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9200" windowHeight="10995" tabRatio="930" firstSheet="6" activeTab="6"/>
  </bookViews>
  <sheets>
    <sheet name="eff all value (2)" sheetId="68" state="hidden" r:id="rId1"/>
    <sheet name="eff all value (3)" sheetId="69" state="hidden" r:id="rId2"/>
    <sheet name="eff all value (4)" sheetId="70" state="hidden" r:id="rId3"/>
    <sheet name="eff all value (5)" sheetId="71" state="hidden" r:id="rId4"/>
    <sheet name="eff all value (6)" sheetId="72" state="hidden" r:id="rId5"/>
    <sheet name="eff all value" sheetId="81" state="hidden" r:id="rId6"/>
    <sheet name="eff all" sheetId="59" r:id="rId7"/>
    <sheet name="Report1" sheetId="48" r:id="rId8"/>
    <sheet name="GRAFIK" sheetId="50" r:id="rId9"/>
    <sheet name="Listrik" sheetId="45" r:id="rId10"/>
    <sheet name="Trim Rwd" sheetId="47" r:id="rId11"/>
    <sheet name="Efficiency1" sheetId="46" r:id="rId12"/>
    <sheet name="Efficiency2" sheetId="58" r:id="rId13"/>
    <sheet name="BB" sheetId="2" r:id="rId14"/>
    <sheet name="Chem" sheetId="1" r:id="rId15"/>
    <sheet name="RBP" sheetId="55" r:id="rId16"/>
    <sheet name="Sheet1" sheetId="54" r:id="rId17"/>
    <sheet name="summary" sheetId="53" r:id="rId18"/>
    <sheet name="30" sheetId="4" r:id="rId19"/>
    <sheet name="29" sheetId="37" r:id="rId20"/>
    <sheet name="28" sheetId="6" r:id="rId21"/>
    <sheet name="27" sheetId="7" r:id="rId22"/>
    <sheet name="26" sheetId="8" r:id="rId23"/>
    <sheet name="25" sheetId="9" r:id="rId24"/>
    <sheet name="24" sheetId="10" r:id="rId25"/>
    <sheet name="23" sheetId="11" r:id="rId26"/>
    <sheet name="22" sheetId="12" r:id="rId27"/>
    <sheet name="21" sheetId="13" r:id="rId28"/>
    <sheet name="20" sheetId="14" r:id="rId29"/>
    <sheet name="19" sheetId="15" r:id="rId30"/>
    <sheet name="18" sheetId="16" r:id="rId31"/>
    <sheet name="17" sheetId="17" r:id="rId32"/>
    <sheet name="16" sheetId="18" r:id="rId33"/>
    <sheet name="15" sheetId="19" r:id="rId34"/>
    <sheet name="14" sheetId="20" r:id="rId35"/>
    <sheet name="13" sheetId="22" r:id="rId36"/>
    <sheet name="12" sheetId="21" r:id="rId37"/>
    <sheet name="11" sheetId="23" r:id="rId38"/>
    <sheet name="10" sheetId="24" r:id="rId39"/>
    <sheet name="9" sheetId="25" r:id="rId40"/>
    <sheet name="8" sheetId="26" r:id="rId41"/>
    <sheet name="7" sheetId="28" r:id="rId42"/>
    <sheet name="6" sheetId="27" r:id="rId43"/>
    <sheet name="5" sheetId="29" r:id="rId44"/>
    <sheet name="4" sheetId="30" r:id="rId45"/>
    <sheet name="3" sheetId="31" r:id="rId46"/>
    <sheet name="2" sheetId="32" r:id="rId47"/>
    <sheet name="1" sheetId="33" r:id="rId48"/>
    <sheet name="31" sheetId="43" r:id="rId49"/>
  </sheets>
  <externalReferences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</externalReferences>
  <definedNames>
    <definedName name="_xlnm._FilterDatabase" localSheetId="16" hidden="1">Sheet1!$C$1:$F$118</definedName>
    <definedName name="_xlnm.Print_Area" localSheetId="47">'1'!$A$2:$M$61</definedName>
    <definedName name="_xlnm.Print_Area" localSheetId="38">'10'!$A$2:$M$61</definedName>
    <definedName name="_xlnm.Print_Area" localSheetId="37">'11'!$A$2:$M$61</definedName>
    <definedName name="_xlnm.Print_Area" localSheetId="36">'12'!$A$2:$M$61</definedName>
    <definedName name="_xlnm.Print_Area" localSheetId="35">'13'!$A$1:$M$62</definedName>
    <definedName name="_xlnm.Print_Area" localSheetId="34">'14'!$A$1:$M$61</definedName>
    <definedName name="_xlnm.Print_Area" localSheetId="33">'15'!$A$1:$M$61</definedName>
    <definedName name="_xlnm.Print_Area" localSheetId="31">'17'!$A$1:$M$61</definedName>
    <definedName name="_xlnm.Print_Area" localSheetId="30">'18'!$A$1:$M$61</definedName>
    <definedName name="_xlnm.Print_Area" localSheetId="29">'19'!$A$1:$M$61</definedName>
    <definedName name="_xlnm.Print_Area" localSheetId="46">'2'!$A$2:$M$61</definedName>
    <definedName name="_xlnm.Print_Area" localSheetId="28">'20'!$A$1:$M$62</definedName>
    <definedName name="_xlnm.Print_Area" localSheetId="27">'21'!$A$1:$M$61</definedName>
    <definedName name="_xlnm.Print_Area" localSheetId="26">'22'!$A$1:$M$61</definedName>
    <definedName name="_xlnm.Print_Area" localSheetId="25">'23'!$A$1:$M$61</definedName>
    <definedName name="_xlnm.Print_Area" localSheetId="24">'24'!$A$1:$M$61</definedName>
    <definedName name="_xlnm.Print_Area" localSheetId="23">'25'!$A$1:$M$61</definedName>
    <definedName name="_xlnm.Print_Area" localSheetId="22">'26'!$A$1:$M$61</definedName>
    <definedName name="_xlnm.Print_Area" localSheetId="21">'27'!$A$1:$M$61</definedName>
    <definedName name="_xlnm.Print_Area" localSheetId="20">'28'!$A$1:$M$61</definedName>
    <definedName name="_xlnm.Print_Area" localSheetId="19">'29'!$A$1:$M$61</definedName>
    <definedName name="_xlnm.Print_Area" localSheetId="45">'3'!$A$1:$M$61</definedName>
    <definedName name="_xlnm.Print_Area" localSheetId="18">'30'!$A$1:$M$61</definedName>
    <definedName name="_xlnm.Print_Area" localSheetId="48">'31'!$A$1:$L$63</definedName>
    <definedName name="_xlnm.Print_Area" localSheetId="44">'4'!$A$1:$M$61</definedName>
    <definedName name="_xlnm.Print_Area" localSheetId="43">'5'!$A$1:$M$61</definedName>
    <definedName name="_xlnm.Print_Area" localSheetId="42">'6'!$A$2:$M$61</definedName>
    <definedName name="_xlnm.Print_Area" localSheetId="41">'7'!$A$2:$M$61</definedName>
    <definedName name="_xlnm.Print_Area" localSheetId="40">'8'!$A$2:$M$61</definedName>
    <definedName name="_xlnm.Print_Area" localSheetId="39">'9'!$A$1:$M$62</definedName>
    <definedName name="_xlnm.Print_Area" localSheetId="14">Chem!$CE$7:$CQ$16</definedName>
    <definedName name="_xlnm.Print_Area" localSheetId="6">'eff all'!$A$1:$Q$82</definedName>
    <definedName name="_xlnm.Print_Area" localSheetId="11">Efficiency1!$A$1:$AD$148</definedName>
    <definedName name="_xlnm.Print_Area" localSheetId="12">Efficiency2!$A$1:$AD$148</definedName>
    <definedName name="_xlnm.Print_Area" localSheetId="9">Listrik!$A$2:$AT$40</definedName>
    <definedName name="_xlnm.Print_Area" localSheetId="7">Report1!$A$3:$AE$41</definedName>
  </definedNames>
  <calcPr calcId="144525"/>
</workbook>
</file>

<file path=xl/calcChain.xml><?xml version="1.0" encoding="utf-8"?>
<calcChain xmlns="http://schemas.openxmlformats.org/spreadsheetml/2006/main">
  <c r="N36" i="48" l="1"/>
  <c r="N35" i="48"/>
  <c r="N34" i="48"/>
  <c r="N33" i="48"/>
  <c r="N32" i="48"/>
  <c r="N31" i="48"/>
  <c r="N30" i="48"/>
  <c r="N29" i="48"/>
  <c r="N28" i="48"/>
  <c r="N27" i="48"/>
  <c r="N26" i="48"/>
  <c r="N25" i="48"/>
  <c r="N20" i="48"/>
  <c r="N18" i="48"/>
  <c r="N16" i="48"/>
  <c r="N15" i="48"/>
  <c r="N14" i="48"/>
  <c r="N13" i="48"/>
  <c r="N12" i="48"/>
  <c r="N10" i="48"/>
  <c r="N9" i="48"/>
  <c r="N38" i="48"/>
  <c r="N37" i="48"/>
  <c r="N24" i="48"/>
  <c r="N23" i="48"/>
  <c r="N22" i="48"/>
  <c r="N21" i="48"/>
  <c r="N19" i="48"/>
  <c r="N17" i="48"/>
  <c r="N11" i="48"/>
  <c r="Y146" i="58" l="1"/>
  <c r="Y148" i="58" s="1"/>
  <c r="Z140" i="58"/>
  <c r="Y140" i="58"/>
  <c r="W140" i="58"/>
  <c r="X140" i="58" s="1"/>
  <c r="Z135" i="58"/>
  <c r="W135" i="58"/>
  <c r="X135" i="58" s="1"/>
  <c r="Z130" i="58"/>
  <c r="W130" i="58"/>
  <c r="X129" i="58"/>
  <c r="W129" i="58"/>
  <c r="W126" i="58"/>
  <c r="Z125" i="58"/>
  <c r="W125" i="58"/>
  <c r="X124" i="58"/>
  <c r="W124" i="58"/>
  <c r="W120" i="58"/>
  <c r="X119" i="58"/>
  <c r="W119" i="58"/>
  <c r="W117" i="58"/>
  <c r="W116" i="58"/>
  <c r="W115" i="58"/>
  <c r="X114" i="58"/>
  <c r="W114" i="58"/>
  <c r="W112" i="58"/>
  <c r="W111" i="58"/>
  <c r="W110" i="58"/>
  <c r="W109" i="58"/>
  <c r="X109" i="58" s="1"/>
  <c r="W104" i="58"/>
  <c r="Z103" i="58"/>
  <c r="W103" i="58"/>
  <c r="X103" i="58" s="1"/>
  <c r="Z98" i="58"/>
  <c r="W98" i="58"/>
  <c r="Z97" i="58"/>
  <c r="X97" i="58"/>
  <c r="W97" i="58"/>
  <c r="W94" i="58"/>
  <c r="Z93" i="58"/>
  <c r="W93" i="58"/>
  <c r="X93" i="58" s="1"/>
  <c r="W91" i="58"/>
  <c r="W90" i="58"/>
  <c r="Z89" i="58"/>
  <c r="W89" i="58"/>
  <c r="Z88" i="58"/>
  <c r="W88" i="58"/>
  <c r="W87" i="58"/>
  <c r="X87" i="58" s="1"/>
  <c r="Z85" i="58"/>
  <c r="W85" i="58"/>
  <c r="Z84" i="58"/>
  <c r="W84" i="58"/>
  <c r="Z83" i="58"/>
  <c r="X83" i="58"/>
  <c r="W83" i="58"/>
  <c r="W80" i="58"/>
  <c r="Z79" i="58"/>
  <c r="W79" i="58"/>
  <c r="X79" i="58" s="1"/>
  <c r="Z76" i="58"/>
  <c r="W76" i="58"/>
  <c r="X75" i="58" s="1"/>
  <c r="W75" i="58"/>
  <c r="Z71" i="58"/>
  <c r="X71" i="58"/>
  <c r="W71" i="58"/>
  <c r="Z67" i="58"/>
  <c r="W67" i="58"/>
  <c r="X67" i="58" s="1"/>
  <c r="Z63" i="58"/>
  <c r="W63" i="58"/>
  <c r="X63" i="58" s="1"/>
  <c r="Z58" i="58"/>
  <c r="W58" i="58"/>
  <c r="X58" i="58" s="1"/>
  <c r="W55" i="58"/>
  <c r="Z54" i="58"/>
  <c r="X54" i="58"/>
  <c r="W54" i="58"/>
  <c r="Z50" i="58"/>
  <c r="X50" i="58"/>
  <c r="W50" i="58"/>
  <c r="Z47" i="58"/>
  <c r="W47" i="58"/>
  <c r="Z46" i="58"/>
  <c r="Z146" i="58" s="1"/>
  <c r="W46" i="58"/>
  <c r="W45" i="58"/>
  <c r="X45" i="58" s="1"/>
  <c r="Z41" i="58"/>
  <c r="W41" i="58"/>
  <c r="X41" i="58" s="1"/>
  <c r="W38" i="58"/>
  <c r="X37" i="58"/>
  <c r="W37" i="58"/>
  <c r="Z35" i="58"/>
  <c r="W35" i="58"/>
  <c r="W34" i="58"/>
  <c r="W33" i="58"/>
  <c r="X33" i="58" s="1"/>
  <c r="Z30" i="58"/>
  <c r="W30" i="58"/>
  <c r="X29" i="58" s="1"/>
  <c r="W29" i="58"/>
  <c r="W25" i="58"/>
  <c r="W24" i="58"/>
  <c r="Z23" i="58"/>
  <c r="X23" i="58"/>
  <c r="W23" i="58"/>
  <c r="W20" i="58"/>
  <c r="X19" i="58" s="1"/>
  <c r="W19" i="58"/>
  <c r="W15" i="58"/>
  <c r="X15" i="58" s="1"/>
  <c r="W11" i="58"/>
  <c r="X10" i="58"/>
  <c r="W10" i="58"/>
  <c r="W7" i="58"/>
  <c r="X6" i="58" s="1"/>
  <c r="W6" i="58"/>
  <c r="W146" i="58" s="1"/>
  <c r="AH33" i="48"/>
  <c r="AH32" i="48"/>
  <c r="AH31" i="48"/>
  <c r="L33" i="48"/>
  <c r="L32" i="48"/>
  <c r="Z148" i="58" l="1"/>
  <c r="Z147" i="58"/>
  <c r="W148" i="58"/>
  <c r="X146" i="58"/>
  <c r="Y147" i="58"/>
  <c r="AI39" i="2"/>
  <c r="AA39" i="2"/>
  <c r="F119" i="47"/>
  <c r="E119" i="47"/>
  <c r="G119" i="47" l="1"/>
  <c r="H119" i="47" s="1"/>
  <c r="Q130" i="58"/>
  <c r="R130" i="58"/>
  <c r="AW133" i="58"/>
  <c r="Q140" i="58"/>
  <c r="R140" i="58"/>
  <c r="AW143" i="58"/>
  <c r="AR143" i="58"/>
  <c r="BA143" i="58" s="1"/>
  <c r="AD143" i="58" s="1"/>
  <c r="AM143" i="58"/>
  <c r="AR142" i="58"/>
  <c r="BA142" i="58" s="1"/>
  <c r="AM142" i="58"/>
  <c r="AR141" i="58"/>
  <c r="BA141" i="58" s="1"/>
  <c r="AD141" i="58" s="1"/>
  <c r="AM141" i="58"/>
  <c r="AR140" i="58"/>
  <c r="BA140" i="58" s="1"/>
  <c r="AM140" i="58"/>
  <c r="N140" i="58"/>
  <c r="J140" i="58"/>
  <c r="O140" i="46" l="1"/>
  <c r="O140" i="58"/>
  <c r="C140" i="58"/>
  <c r="AD142" i="58"/>
  <c r="AD140" i="58"/>
  <c r="I38" i="4"/>
  <c r="I119" i="47" s="1"/>
  <c r="G42" i="4"/>
  <c r="I37" i="4" s="1"/>
  <c r="F42" i="4"/>
  <c r="P9" i="4"/>
  <c r="P12" i="4" s="1"/>
  <c r="G40" i="4"/>
  <c r="G39" i="4"/>
  <c r="G38" i="4"/>
  <c r="AR143" i="46"/>
  <c r="BA143" i="46" s="1"/>
  <c r="AM143" i="46"/>
  <c r="AR142" i="46"/>
  <c r="BA142" i="46" s="1"/>
  <c r="AM142" i="46"/>
  <c r="AR141" i="46"/>
  <c r="BA141" i="46" s="1"/>
  <c r="AM141" i="46"/>
  <c r="AR140" i="46"/>
  <c r="BA140" i="46" s="1"/>
  <c r="AD140" i="46" s="1"/>
  <c r="AM140" i="46"/>
  <c r="Y140" i="46"/>
  <c r="V140" i="46"/>
  <c r="T140" i="46"/>
  <c r="U140" i="46"/>
  <c r="N140" i="46"/>
  <c r="K140" i="46" s="1"/>
  <c r="L38" i="48" s="1"/>
  <c r="J140" i="46"/>
  <c r="C140" i="46"/>
  <c r="O11" i="4"/>
  <c r="O10" i="4"/>
  <c r="O9" i="4"/>
  <c r="N6" i="4"/>
  <c r="AF38" i="48"/>
  <c r="AG4" i="55"/>
  <c r="AG3" i="55"/>
  <c r="AE7" i="55"/>
  <c r="AE6" i="55"/>
  <c r="AD7" i="55"/>
  <c r="AD6" i="55"/>
  <c r="AC7" i="55"/>
  <c r="AC6" i="55"/>
  <c r="AD143" i="46" l="1"/>
  <c r="T140" i="58"/>
  <c r="U140" i="58"/>
  <c r="P140" i="58"/>
  <c r="V140" i="58"/>
  <c r="K140" i="58"/>
  <c r="P140" i="46"/>
  <c r="AC140" i="46"/>
  <c r="AD141" i="46"/>
  <c r="AD142" i="46"/>
  <c r="AH38" i="48" l="1"/>
  <c r="AC140" i="58"/>
  <c r="AI38" i="2"/>
  <c r="AA38" i="2"/>
  <c r="S38" i="2"/>
  <c r="Q135" i="58" l="1"/>
  <c r="R135" i="58"/>
  <c r="AW138" i="58"/>
  <c r="AR138" i="58"/>
  <c r="AM138" i="58"/>
  <c r="AR137" i="58"/>
  <c r="BA137" i="58" s="1"/>
  <c r="AM137" i="58"/>
  <c r="AR136" i="58"/>
  <c r="BA136" i="58" s="1"/>
  <c r="AM136" i="58"/>
  <c r="AR135" i="58"/>
  <c r="BA135" i="58" s="1"/>
  <c r="AM135" i="58"/>
  <c r="N135" i="58"/>
  <c r="J135" i="58"/>
  <c r="AD137" i="58" l="1"/>
  <c r="AD135" i="58"/>
  <c r="AD136" i="58"/>
  <c r="BA138" i="58"/>
  <c r="AD138" i="58" s="1"/>
  <c r="F117" i="47" l="1"/>
  <c r="E117" i="47"/>
  <c r="E116" i="47"/>
  <c r="G116" i="47" s="1"/>
  <c r="H116" i="47" l="1"/>
  <c r="G117" i="47"/>
  <c r="AF37" i="48"/>
  <c r="O135" i="58" l="1"/>
  <c r="O135" i="46"/>
  <c r="AM138" i="46"/>
  <c r="C135" i="46"/>
  <c r="N135" i="46"/>
  <c r="V135" i="46" s="1"/>
  <c r="K135" i="46"/>
  <c r="L37" i="48" s="1"/>
  <c r="J135" i="46"/>
  <c r="AR138" i="46"/>
  <c r="BA138" i="46" s="1"/>
  <c r="AR137" i="46"/>
  <c r="BA137" i="46" s="1"/>
  <c r="AM137" i="46"/>
  <c r="AD137" i="46" s="1"/>
  <c r="AR136" i="46"/>
  <c r="BA136" i="46" s="1"/>
  <c r="AM136" i="46"/>
  <c r="AR135" i="46"/>
  <c r="BA135" i="46" s="1"/>
  <c r="AM135" i="46"/>
  <c r="T135" i="58" l="1"/>
  <c r="K135" i="58"/>
  <c r="C135" i="58"/>
  <c r="P135" i="58"/>
  <c r="V135" i="58"/>
  <c r="U135" i="58"/>
  <c r="AD135" i="46"/>
  <c r="AD136" i="46"/>
  <c r="AD138" i="46"/>
  <c r="P135" i="46"/>
  <c r="T135" i="46"/>
  <c r="AC135" i="46" s="1"/>
  <c r="U135" i="46"/>
  <c r="I38" i="37"/>
  <c r="I116" i="47" s="1"/>
  <c r="G40" i="37"/>
  <c r="G39" i="37"/>
  <c r="G38" i="37"/>
  <c r="O10" i="37"/>
  <c r="O9" i="37"/>
  <c r="O8" i="37"/>
  <c r="N6" i="37"/>
  <c r="AC135" i="58" l="1"/>
  <c r="AH37" i="48"/>
  <c r="AI37" i="2"/>
  <c r="S37" i="2"/>
  <c r="E114" i="47" l="1"/>
  <c r="G114" i="47" s="1"/>
  <c r="H114" i="47" s="1"/>
  <c r="O130" i="58" s="1"/>
  <c r="F113" i="47"/>
  <c r="E113" i="47"/>
  <c r="G113" i="47" s="1"/>
  <c r="H113" i="47" s="1"/>
  <c r="K24" i="6"/>
  <c r="C8" i="6"/>
  <c r="K25" i="6" s="1"/>
  <c r="C16" i="6"/>
  <c r="O129" i="46" l="1"/>
  <c r="O129" i="58"/>
  <c r="O130" i="46"/>
  <c r="P130" i="46" s="1"/>
  <c r="AF36" i="48"/>
  <c r="AR133" i="58"/>
  <c r="BA133" i="58" s="1"/>
  <c r="AM133" i="58"/>
  <c r="AR132" i="58"/>
  <c r="BA132" i="58" s="1"/>
  <c r="AM132" i="58"/>
  <c r="AR131" i="58"/>
  <c r="BA131" i="58" s="1"/>
  <c r="AM131" i="58"/>
  <c r="AD131" i="58" s="1"/>
  <c r="AR130" i="58"/>
  <c r="BA130" i="58" s="1"/>
  <c r="AM130" i="58"/>
  <c r="C130" i="58"/>
  <c r="N130" i="58"/>
  <c r="K130" i="58" s="1"/>
  <c r="J130" i="58"/>
  <c r="AR129" i="58"/>
  <c r="BA129" i="58" s="1"/>
  <c r="AD129" i="58" s="1"/>
  <c r="AM129" i="58"/>
  <c r="P129" i="58"/>
  <c r="N129" i="58"/>
  <c r="K129" i="58" s="1"/>
  <c r="J129" i="58"/>
  <c r="AR133" i="46"/>
  <c r="BA133" i="46" s="1"/>
  <c r="AM133" i="46"/>
  <c r="W130" i="46"/>
  <c r="W129" i="46"/>
  <c r="P129" i="46"/>
  <c r="N129" i="46"/>
  <c r="J129" i="46"/>
  <c r="AM129" i="46"/>
  <c r="AR129" i="46"/>
  <c r="BA129" i="46" s="1"/>
  <c r="AD129" i="46" s="1"/>
  <c r="C130" i="46"/>
  <c r="J130" i="46"/>
  <c r="N130" i="46"/>
  <c r="V130" i="46" s="1"/>
  <c r="T130" i="46"/>
  <c r="U130" i="46"/>
  <c r="AM130" i="46"/>
  <c r="AR130" i="46"/>
  <c r="BA130" i="46" s="1"/>
  <c r="AM131" i="46"/>
  <c r="AR131" i="46"/>
  <c r="BA131" i="46"/>
  <c r="AM132" i="46"/>
  <c r="AR132" i="46"/>
  <c r="BA132" i="46" s="1"/>
  <c r="L37" i="6"/>
  <c r="I113" i="47" s="1"/>
  <c r="I38" i="6"/>
  <c r="L38" i="6" s="1"/>
  <c r="I114" i="47" s="1"/>
  <c r="F42" i="6"/>
  <c r="G40" i="6"/>
  <c r="G39" i="6"/>
  <c r="G42" i="6" s="1"/>
  <c r="I37" i="6" s="1"/>
  <c r="P18" i="6"/>
  <c r="Q17" i="6"/>
  <c r="O17" i="6"/>
  <c r="R17" i="6" s="1"/>
  <c r="F28" i="6"/>
  <c r="Q16" i="6"/>
  <c r="O16" i="6"/>
  <c r="R16" i="6" s="1"/>
  <c r="Q15" i="6"/>
  <c r="Q18" i="6" s="1"/>
  <c r="Q19" i="6" s="1"/>
  <c r="O15" i="6"/>
  <c r="R15" i="6" s="1"/>
  <c r="Q9" i="6"/>
  <c r="P8" i="6"/>
  <c r="Q8" i="6" s="1"/>
  <c r="O9" i="6"/>
  <c r="R9" i="6" s="1"/>
  <c r="O8" i="6"/>
  <c r="R8" i="6" s="1"/>
  <c r="N6" i="6"/>
  <c r="P10" i="6" l="1"/>
  <c r="R18" i="6"/>
  <c r="R19" i="6" s="1"/>
  <c r="AD131" i="46"/>
  <c r="K130" i="46"/>
  <c r="AC130" i="46" s="1"/>
  <c r="Q10" i="6"/>
  <c r="Q11" i="6" s="1"/>
  <c r="AD130" i="46"/>
  <c r="AD132" i="46"/>
  <c r="AH36" i="48"/>
  <c r="K129" i="46"/>
  <c r="U129" i="46"/>
  <c r="U129" i="58"/>
  <c r="C129" i="46"/>
  <c r="T129" i="46"/>
  <c r="AD130" i="58"/>
  <c r="AD132" i="58"/>
  <c r="AD133" i="58"/>
  <c r="T129" i="58"/>
  <c r="AC129" i="58" s="1"/>
  <c r="C129" i="58"/>
  <c r="V129" i="58"/>
  <c r="P130" i="58"/>
  <c r="T130" i="58"/>
  <c r="AC130" i="58" s="1"/>
  <c r="U130" i="58"/>
  <c r="V130" i="58"/>
  <c r="AD133" i="46"/>
  <c r="V129" i="46"/>
  <c r="R10" i="6"/>
  <c r="R11" i="6" s="1"/>
  <c r="L36" i="48" l="1"/>
  <c r="AC129" i="46"/>
  <c r="X129" i="46"/>
  <c r="AB6" i="55" l="1"/>
  <c r="AA6" i="55"/>
  <c r="Z6" i="55" l="1"/>
  <c r="Y6" i="55"/>
  <c r="X6" i="55"/>
  <c r="W12" i="55"/>
  <c r="W6" i="55"/>
  <c r="V6" i="55"/>
  <c r="V3" i="55"/>
  <c r="U6" i="55"/>
  <c r="T7" i="55"/>
  <c r="T6" i="55"/>
  <c r="T12" i="55"/>
  <c r="R7" i="55"/>
  <c r="R6" i="55"/>
  <c r="Q7" i="55"/>
  <c r="Q6" i="55"/>
  <c r="P6" i="55"/>
  <c r="P7" i="55"/>
  <c r="O6" i="55"/>
  <c r="N6" i="55"/>
  <c r="M6" i="55"/>
  <c r="M3" i="55"/>
  <c r="L3" i="55"/>
  <c r="L19" i="55"/>
  <c r="L12" i="55"/>
  <c r="L6" i="55"/>
  <c r="AI36" i="2" l="1"/>
  <c r="S36" i="2"/>
  <c r="F111" i="47" l="1"/>
  <c r="E111" i="47"/>
  <c r="F110" i="47"/>
  <c r="E110" i="47"/>
  <c r="E109" i="47"/>
  <c r="G109" i="47" s="1"/>
  <c r="H109" i="47" s="1"/>
  <c r="O124" i="58" s="1"/>
  <c r="K24" i="7"/>
  <c r="K13" i="7"/>
  <c r="C26" i="7"/>
  <c r="K11" i="7" s="1"/>
  <c r="C16" i="7"/>
  <c r="C8" i="7"/>
  <c r="O124" i="46" l="1"/>
  <c r="G111" i="47"/>
  <c r="H111" i="47" s="1"/>
  <c r="O126" i="58" s="1"/>
  <c r="G110" i="47"/>
  <c r="H110" i="47" s="1"/>
  <c r="O125" i="58" s="1"/>
  <c r="O125" i="46" l="1"/>
  <c r="O126" i="46"/>
  <c r="AR127" i="58"/>
  <c r="BA127" i="58" s="1"/>
  <c r="AM127" i="58"/>
  <c r="AR126" i="58"/>
  <c r="BA126" i="58" s="1"/>
  <c r="AM126" i="58"/>
  <c r="M126" i="58"/>
  <c r="J126" i="58"/>
  <c r="AR125" i="58"/>
  <c r="BA125" i="58" s="1"/>
  <c r="AM125" i="58"/>
  <c r="AD125" i="58" s="1"/>
  <c r="M125" i="58"/>
  <c r="U125" i="58" s="1"/>
  <c r="J125" i="58"/>
  <c r="AR124" i="58"/>
  <c r="BA124" i="58" s="1"/>
  <c r="AM124" i="58"/>
  <c r="P124" i="58"/>
  <c r="M124" i="58"/>
  <c r="N124" i="58" s="1"/>
  <c r="J124" i="58"/>
  <c r="W126" i="46"/>
  <c r="W125" i="46"/>
  <c r="W124" i="46"/>
  <c r="M126" i="46"/>
  <c r="U126" i="46" s="1"/>
  <c r="M125" i="46"/>
  <c r="C125" i="46" s="1"/>
  <c r="M124" i="46"/>
  <c r="U124" i="46" s="1"/>
  <c r="P126" i="46"/>
  <c r="AR127" i="46"/>
  <c r="BA127" i="46" s="1"/>
  <c r="AM127" i="46"/>
  <c r="AR126" i="46"/>
  <c r="BA126" i="46" s="1"/>
  <c r="AM126" i="46"/>
  <c r="AR125" i="46"/>
  <c r="BA125" i="46" s="1"/>
  <c r="AM125" i="46"/>
  <c r="J125" i="46"/>
  <c r="AR124" i="46"/>
  <c r="BA124" i="46" s="1"/>
  <c r="AM124" i="46"/>
  <c r="L38" i="7"/>
  <c r="I110" i="47" s="1"/>
  <c r="L37" i="7"/>
  <c r="I109" i="47" s="1"/>
  <c r="I38" i="7"/>
  <c r="L39" i="7" s="1"/>
  <c r="I111" i="47" s="1"/>
  <c r="F42" i="7"/>
  <c r="G40" i="7"/>
  <c r="G42" i="7" s="1"/>
  <c r="I37" i="7" s="1"/>
  <c r="P16" i="7"/>
  <c r="P15" i="7"/>
  <c r="O16" i="7"/>
  <c r="O15" i="7"/>
  <c r="R15" i="7" s="1"/>
  <c r="O8" i="7"/>
  <c r="Q15" i="7"/>
  <c r="P10" i="7"/>
  <c r="O9" i="7"/>
  <c r="N6" i="7"/>
  <c r="P17" i="7" l="1"/>
  <c r="AD126" i="58"/>
  <c r="N125" i="58"/>
  <c r="U126" i="58"/>
  <c r="AD124" i="46"/>
  <c r="N125" i="46"/>
  <c r="K125" i="46" s="1"/>
  <c r="AD127" i="46"/>
  <c r="N126" i="58"/>
  <c r="K126" i="58" s="1"/>
  <c r="AC126" i="58" s="1"/>
  <c r="AD126" i="46"/>
  <c r="AD125" i="46"/>
  <c r="T125" i="58"/>
  <c r="T125" i="46"/>
  <c r="U125" i="46"/>
  <c r="P125" i="46"/>
  <c r="V125" i="46"/>
  <c r="K125" i="58"/>
  <c r="T124" i="58"/>
  <c r="C124" i="58"/>
  <c r="P124" i="46"/>
  <c r="K124" i="58"/>
  <c r="V124" i="58"/>
  <c r="AD124" i="58"/>
  <c r="AD127" i="58"/>
  <c r="P125" i="58"/>
  <c r="P126" i="58"/>
  <c r="T126" i="58"/>
  <c r="C125" i="58"/>
  <c r="C126" i="58"/>
  <c r="V125" i="58"/>
  <c r="U124" i="58"/>
  <c r="N126" i="46"/>
  <c r="T126" i="46"/>
  <c r="C126" i="46"/>
  <c r="N124" i="46"/>
  <c r="C124" i="46"/>
  <c r="T124" i="46"/>
  <c r="Q16" i="7"/>
  <c r="Q17" i="7" s="1"/>
  <c r="Q18" i="7" s="1"/>
  <c r="R16" i="7"/>
  <c r="R17" i="7"/>
  <c r="R18" i="7" s="1"/>
  <c r="T38" i="48"/>
  <c r="T37" i="48"/>
  <c r="T36" i="48"/>
  <c r="T35" i="48"/>
  <c r="T34" i="48"/>
  <c r="T33" i="48"/>
  <c r="T32" i="48"/>
  <c r="T31" i="48"/>
  <c r="T30" i="48"/>
  <c r="T29" i="48"/>
  <c r="T28" i="48"/>
  <c r="T27" i="48"/>
  <c r="T26" i="48"/>
  <c r="T25" i="48"/>
  <c r="T24" i="48"/>
  <c r="T23" i="48"/>
  <c r="T22" i="48"/>
  <c r="T21" i="48"/>
  <c r="T20" i="48"/>
  <c r="T19" i="48"/>
  <c r="T18" i="48"/>
  <c r="T17" i="48"/>
  <c r="T16" i="48"/>
  <c r="T15" i="48"/>
  <c r="T14" i="48"/>
  <c r="T13" i="48"/>
  <c r="T12" i="48"/>
  <c r="T11" i="48"/>
  <c r="T10" i="48"/>
  <c r="V126" i="58" l="1"/>
  <c r="AC125" i="46"/>
  <c r="AC125" i="58"/>
  <c r="AC124" i="58"/>
  <c r="AH35" i="48"/>
  <c r="V126" i="46"/>
  <c r="V124" i="46"/>
  <c r="K126" i="46" l="1"/>
  <c r="AC126" i="46" s="1"/>
  <c r="J126" i="46"/>
  <c r="J124" i="46"/>
  <c r="K124" i="46"/>
  <c r="L35" i="48" l="1"/>
  <c r="X124" i="46"/>
  <c r="AC124" i="46"/>
  <c r="K6" i="55" l="1"/>
  <c r="K3" i="55"/>
  <c r="J6" i="55"/>
  <c r="I6" i="55"/>
  <c r="I3" i="55"/>
  <c r="H6" i="55"/>
  <c r="G3" i="55"/>
  <c r="G13" i="55"/>
  <c r="G6" i="55"/>
  <c r="F6" i="55"/>
  <c r="E6" i="55"/>
  <c r="D6" i="55"/>
  <c r="C6" i="55"/>
  <c r="B6" i="55"/>
  <c r="F106" i="47" l="1"/>
  <c r="E107" i="47"/>
  <c r="G107" i="47"/>
  <c r="H107" i="47" s="1"/>
  <c r="O120" i="58" s="1"/>
  <c r="E106" i="47"/>
  <c r="G106" i="47" s="1"/>
  <c r="H106" i="47" s="1"/>
  <c r="O119" i="58" s="1"/>
  <c r="K13" i="8"/>
  <c r="C25" i="8"/>
  <c r="K12" i="8" s="1"/>
  <c r="AR116" i="58"/>
  <c r="BA116" i="58" s="1"/>
  <c r="AM116" i="58"/>
  <c r="M116" i="58"/>
  <c r="AR115" i="58"/>
  <c r="BA115" i="58" s="1"/>
  <c r="AM115" i="58"/>
  <c r="M115" i="58"/>
  <c r="J115" i="58"/>
  <c r="AR114" i="58"/>
  <c r="BA114" i="58" s="1"/>
  <c r="AM114" i="58"/>
  <c r="N114" i="58"/>
  <c r="H114" i="58" s="1"/>
  <c r="K22" i="9"/>
  <c r="E102" i="47"/>
  <c r="H102" i="47" s="1"/>
  <c r="F103" i="47"/>
  <c r="E103" i="47"/>
  <c r="G103" i="47"/>
  <c r="H103" i="47" s="1"/>
  <c r="E104" i="47"/>
  <c r="G104" i="47" s="1"/>
  <c r="H104" i="47" s="1"/>
  <c r="E101" i="47"/>
  <c r="G101" i="47" s="1"/>
  <c r="F100" i="47"/>
  <c r="E100" i="47"/>
  <c r="C17" i="9"/>
  <c r="K12" i="9" s="1"/>
  <c r="C7" i="9"/>
  <c r="K11" i="9" s="1"/>
  <c r="O116" i="58" l="1"/>
  <c r="P116" i="58" s="1"/>
  <c r="O115" i="46"/>
  <c r="O115" i="58"/>
  <c r="W117" i="46"/>
  <c r="O119" i="46"/>
  <c r="P115" i="58"/>
  <c r="AD115" i="58"/>
  <c r="O120" i="46"/>
  <c r="G100" i="47"/>
  <c r="U116" i="58"/>
  <c r="AD114" i="58"/>
  <c r="O116" i="46"/>
  <c r="H100" i="47"/>
  <c r="O114" i="58" s="1"/>
  <c r="AD116" i="58"/>
  <c r="N115" i="58"/>
  <c r="N116" i="58"/>
  <c r="J114" i="58"/>
  <c r="C116" i="58"/>
  <c r="T116" i="58"/>
  <c r="G102" i="47"/>
  <c r="U115" i="58" l="1"/>
  <c r="C115" i="58"/>
  <c r="T115" i="58"/>
  <c r="O114" i="46"/>
  <c r="H116" i="58"/>
  <c r="V116" i="58"/>
  <c r="V115" i="58"/>
  <c r="K115" i="58"/>
  <c r="V114" i="58" l="1"/>
  <c r="K114" i="58"/>
  <c r="C114" i="58"/>
  <c r="U114" i="58"/>
  <c r="AA114" i="58" s="1"/>
  <c r="P114" i="58"/>
  <c r="T114" i="58"/>
  <c r="AC115" i="58"/>
  <c r="K116" i="58"/>
  <c r="AC116" i="58" s="1"/>
  <c r="J116" i="58"/>
  <c r="AC114" i="58" l="1"/>
  <c r="AB114" i="58"/>
  <c r="AI35" i="2" l="1"/>
  <c r="AI34" i="2"/>
  <c r="S35" i="2"/>
  <c r="S34" i="2"/>
  <c r="AR122" i="58" l="1"/>
  <c r="BA122" i="58" s="1"/>
  <c r="AM122" i="58"/>
  <c r="AR121" i="58"/>
  <c r="BA121" i="58" s="1"/>
  <c r="AM121" i="58"/>
  <c r="AD121" i="58" s="1"/>
  <c r="AR120" i="58"/>
  <c r="BA120" i="58" s="1"/>
  <c r="AM120" i="58"/>
  <c r="P120" i="58"/>
  <c r="M120" i="58"/>
  <c r="N120" i="58" s="1"/>
  <c r="H120" i="58" s="1"/>
  <c r="J120" i="58" s="1"/>
  <c r="AR119" i="58"/>
  <c r="BA119" i="58" s="1"/>
  <c r="AM119" i="58"/>
  <c r="M119" i="58"/>
  <c r="N119" i="58" s="1"/>
  <c r="AR112" i="58"/>
  <c r="BA112" i="58" s="1"/>
  <c r="AM112" i="58"/>
  <c r="M112" i="58"/>
  <c r="AR111" i="58"/>
  <c r="BA111" i="58" s="1"/>
  <c r="AM111" i="58"/>
  <c r="M111" i="58"/>
  <c r="J111" i="58"/>
  <c r="AR110" i="58"/>
  <c r="BA110" i="58" s="1"/>
  <c r="AM110" i="58"/>
  <c r="S110" i="58"/>
  <c r="N110" i="58"/>
  <c r="J110" i="58"/>
  <c r="AR109" i="58"/>
  <c r="BA109" i="58" s="1"/>
  <c r="AM109" i="58"/>
  <c r="M109" i="58"/>
  <c r="N109" i="58" s="1"/>
  <c r="J109" i="58"/>
  <c r="AM122" i="46"/>
  <c r="AR122" i="46"/>
  <c r="BA122" i="46"/>
  <c r="W120" i="46"/>
  <c r="W119" i="46"/>
  <c r="M120" i="46"/>
  <c r="N120" i="46" s="1"/>
  <c r="H120" i="46" s="1"/>
  <c r="J120" i="46" s="1"/>
  <c r="M119" i="46"/>
  <c r="P120" i="46"/>
  <c r="P119" i="46"/>
  <c r="N119" i="46"/>
  <c r="AR121" i="46"/>
  <c r="BA121" i="46" s="1"/>
  <c r="AM121" i="46"/>
  <c r="AR120" i="46"/>
  <c r="BA120" i="46" s="1"/>
  <c r="AM120" i="46"/>
  <c r="AR119" i="46"/>
  <c r="BA119" i="46" s="1"/>
  <c r="AM119" i="46"/>
  <c r="L38" i="8"/>
  <c r="I107" i="47" s="1"/>
  <c r="I38" i="8"/>
  <c r="F42" i="8"/>
  <c r="O26" i="8"/>
  <c r="G39" i="8"/>
  <c r="G38" i="8"/>
  <c r="L38" i="9"/>
  <c r="I102" i="47" s="1"/>
  <c r="W116" i="46"/>
  <c r="W115" i="46"/>
  <c r="M116" i="46"/>
  <c r="M115" i="46"/>
  <c r="T115" i="46" s="1"/>
  <c r="J115" i="46"/>
  <c r="P116" i="46"/>
  <c r="P10" i="9"/>
  <c r="Q10" i="9" s="1"/>
  <c r="O25" i="9"/>
  <c r="P11" i="9"/>
  <c r="P8" i="9"/>
  <c r="O9" i="9"/>
  <c r="R9" i="9" s="1"/>
  <c r="O10" i="9"/>
  <c r="R10" i="9" s="1"/>
  <c r="I38" i="9"/>
  <c r="W114" i="46"/>
  <c r="K11" i="10"/>
  <c r="P114" i="46"/>
  <c r="N114" i="46"/>
  <c r="V114" i="46" s="1"/>
  <c r="AR116" i="46"/>
  <c r="BA116" i="46" s="1"/>
  <c r="AM116" i="46"/>
  <c r="AR115" i="46"/>
  <c r="BA115" i="46" s="1"/>
  <c r="AM115" i="46"/>
  <c r="AR114" i="46"/>
  <c r="BA114" i="46" s="1"/>
  <c r="AM114" i="46"/>
  <c r="P11" i="8"/>
  <c r="P26" i="8"/>
  <c r="Q26" i="8" s="1"/>
  <c r="P25" i="8"/>
  <c r="O25" i="8"/>
  <c r="R25" i="8" s="1"/>
  <c r="O10" i="8"/>
  <c r="O9" i="8"/>
  <c r="O8" i="8"/>
  <c r="N6" i="8"/>
  <c r="P26" i="9"/>
  <c r="P27" i="9" s="1"/>
  <c r="O26" i="9"/>
  <c r="G40" i="9"/>
  <c r="P17" i="9"/>
  <c r="Q17" i="9" s="1"/>
  <c r="P16" i="9"/>
  <c r="Q16" i="9" s="1"/>
  <c r="O17" i="9"/>
  <c r="O16" i="9"/>
  <c r="Q9" i="9"/>
  <c r="Q8" i="9"/>
  <c r="O8" i="9"/>
  <c r="R8" i="9" s="1"/>
  <c r="N6" i="9"/>
  <c r="N115" i="46" l="1"/>
  <c r="P27" i="8"/>
  <c r="L37" i="8"/>
  <c r="I106" i="47" s="1"/>
  <c r="P18" i="9"/>
  <c r="R16" i="9"/>
  <c r="R17" i="9"/>
  <c r="R18" i="9" s="1"/>
  <c r="R19" i="9" s="1"/>
  <c r="G42" i="8"/>
  <c r="I37" i="8" s="1"/>
  <c r="AD122" i="46"/>
  <c r="R26" i="8"/>
  <c r="U119" i="58"/>
  <c r="Q25" i="8"/>
  <c r="AD119" i="58"/>
  <c r="R11" i="9"/>
  <c r="AD120" i="58"/>
  <c r="R27" i="8"/>
  <c r="R28" i="8" s="1"/>
  <c r="W112" i="46"/>
  <c r="AD111" i="58"/>
  <c r="Q18" i="9"/>
  <c r="Q11" i="9"/>
  <c r="Q12" i="9" s="1"/>
  <c r="AD119" i="46"/>
  <c r="AD122" i="58"/>
  <c r="AD120" i="46"/>
  <c r="L37" i="9"/>
  <c r="V119" i="46"/>
  <c r="U119" i="46"/>
  <c r="T119" i="46"/>
  <c r="T120" i="46"/>
  <c r="U120" i="46"/>
  <c r="P115" i="46"/>
  <c r="V119" i="58"/>
  <c r="U120" i="58"/>
  <c r="V120" i="58"/>
  <c r="K120" i="58"/>
  <c r="T120" i="58"/>
  <c r="U116" i="46"/>
  <c r="K115" i="46"/>
  <c r="U115" i="46"/>
  <c r="C115" i="46"/>
  <c r="U114" i="46"/>
  <c r="T114" i="46"/>
  <c r="AD112" i="58"/>
  <c r="AD110" i="58"/>
  <c r="AD109" i="58"/>
  <c r="N111" i="58"/>
  <c r="P119" i="58"/>
  <c r="N112" i="58"/>
  <c r="C119" i="58"/>
  <c r="T119" i="58"/>
  <c r="H119" i="58"/>
  <c r="C120" i="58"/>
  <c r="AD121" i="46"/>
  <c r="V120" i="46"/>
  <c r="K120" i="46"/>
  <c r="C120" i="46"/>
  <c r="H119" i="46"/>
  <c r="C119" i="46"/>
  <c r="V115" i="46"/>
  <c r="N116" i="46"/>
  <c r="C116" i="46"/>
  <c r="T116" i="46"/>
  <c r="AD116" i="46"/>
  <c r="AD115" i="46"/>
  <c r="AD114" i="46"/>
  <c r="C114" i="46"/>
  <c r="H114" i="46"/>
  <c r="Q27" i="8"/>
  <c r="Q28" i="8" s="1"/>
  <c r="R12" i="9"/>
  <c r="Q19" i="9" l="1"/>
  <c r="AA119" i="58"/>
  <c r="I100" i="47"/>
  <c r="L39" i="9"/>
  <c r="I103" i="47" s="1"/>
  <c r="AC120" i="58"/>
  <c r="AA119" i="46"/>
  <c r="AA114" i="46"/>
  <c r="K119" i="58"/>
  <c r="J119" i="58"/>
  <c r="H112" i="58"/>
  <c r="K119" i="46"/>
  <c r="L34" i="48" s="1"/>
  <c r="J119" i="46"/>
  <c r="AC120" i="46"/>
  <c r="V116" i="46"/>
  <c r="H116" i="46"/>
  <c r="AC115" i="46"/>
  <c r="K114" i="46"/>
  <c r="J114" i="46"/>
  <c r="AH34" i="48" l="1"/>
  <c r="J112" i="58"/>
  <c r="AC119" i="58"/>
  <c r="AB119" i="58"/>
  <c r="AC119" i="46"/>
  <c r="AB119" i="46" s="1"/>
  <c r="X119" i="46"/>
  <c r="J116" i="46"/>
  <c r="K116" i="46"/>
  <c r="AC114" i="46"/>
  <c r="X114" i="46" l="1"/>
  <c r="AC116" i="46"/>
  <c r="AB114" i="46"/>
  <c r="W111" i="46" l="1"/>
  <c r="E98" i="47"/>
  <c r="G98" i="47" s="1"/>
  <c r="H98" i="47" s="1"/>
  <c r="O112" i="58" s="1"/>
  <c r="E97" i="47"/>
  <c r="H97" i="47" s="1"/>
  <c r="O111" i="58" s="1"/>
  <c r="I97" i="47"/>
  <c r="I94" i="47"/>
  <c r="E96" i="47"/>
  <c r="G96" i="47" s="1"/>
  <c r="F95" i="47"/>
  <c r="E95" i="47"/>
  <c r="G95" i="47" s="1"/>
  <c r="E94" i="47"/>
  <c r="G94" i="47" s="1"/>
  <c r="H94" i="47" s="1"/>
  <c r="O109" i="58" s="1"/>
  <c r="K21" i="10"/>
  <c r="C25" i="10"/>
  <c r="C8" i="10"/>
  <c r="H95" i="47" l="1"/>
  <c r="O110" i="58" s="1"/>
  <c r="K22" i="10"/>
  <c r="O109" i="46"/>
  <c r="O112" i="46"/>
  <c r="P112" i="46" s="1"/>
  <c r="G97" i="47"/>
  <c r="O110" i="46"/>
  <c r="O111" i="46"/>
  <c r="P111" i="58"/>
  <c r="U111" i="58"/>
  <c r="C111" i="58"/>
  <c r="T111" i="58"/>
  <c r="V111" i="58"/>
  <c r="K111" i="58"/>
  <c r="AC111" i="58" s="1"/>
  <c r="U110" i="58"/>
  <c r="T110" i="58"/>
  <c r="K110" i="58"/>
  <c r="AC110" i="58" s="1"/>
  <c r="C110" i="58"/>
  <c r="V110" i="58"/>
  <c r="P110" i="58"/>
  <c r="L40" i="10"/>
  <c r="I98" i="47" s="1"/>
  <c r="M112" i="46"/>
  <c r="M111" i="46"/>
  <c r="N111" i="46" s="1"/>
  <c r="J111" i="46"/>
  <c r="O20" i="10"/>
  <c r="O23" i="10"/>
  <c r="P25" i="10"/>
  <c r="Q25" i="10" s="1"/>
  <c r="O25" i="10"/>
  <c r="R25" i="10" s="1"/>
  <c r="P28" i="10" l="1"/>
  <c r="U111" i="46"/>
  <c r="P112" i="58"/>
  <c r="U112" i="58"/>
  <c r="C112" i="58"/>
  <c r="T112" i="58"/>
  <c r="V112" i="58"/>
  <c r="K112" i="58"/>
  <c r="AC112" i="58" s="1"/>
  <c r="U109" i="58"/>
  <c r="P109" i="58"/>
  <c r="K109" i="58"/>
  <c r="C109" i="58"/>
  <c r="V109" i="58"/>
  <c r="T109" i="58"/>
  <c r="T112" i="46"/>
  <c r="V111" i="46"/>
  <c r="P111" i="46"/>
  <c r="K111" i="46"/>
  <c r="T111" i="46"/>
  <c r="C111" i="46"/>
  <c r="N112" i="46"/>
  <c r="U112" i="46"/>
  <c r="C112" i="46"/>
  <c r="AI33" i="2"/>
  <c r="S33" i="2"/>
  <c r="AA109" i="58" l="1"/>
  <c r="AC109" i="58"/>
  <c r="AB109" i="58" s="1"/>
  <c r="V112" i="46"/>
  <c r="H112" i="46"/>
  <c r="AC111" i="46"/>
  <c r="W110" i="46"/>
  <c r="W109" i="46"/>
  <c r="S110" i="46"/>
  <c r="M109" i="46"/>
  <c r="C109" i="46"/>
  <c r="N109" i="46"/>
  <c r="V109" i="46" s="1"/>
  <c r="J109" i="46"/>
  <c r="AR112" i="46"/>
  <c r="BA112" i="46" s="1"/>
  <c r="AM112" i="46"/>
  <c r="AR111" i="46"/>
  <c r="BA111" i="46" s="1"/>
  <c r="AM111" i="46"/>
  <c r="AR110" i="46"/>
  <c r="BA110" i="46" s="1"/>
  <c r="AM110" i="46"/>
  <c r="T110" i="46"/>
  <c r="N110" i="46"/>
  <c r="J110" i="46"/>
  <c r="AR109" i="46"/>
  <c r="BA109" i="46" s="1"/>
  <c r="AM109" i="46"/>
  <c r="I38" i="10"/>
  <c r="L38" i="10" s="1"/>
  <c r="I95" i="47" s="1"/>
  <c r="O8" i="10"/>
  <c r="Q14" i="10"/>
  <c r="Q15" i="10"/>
  <c r="R15" i="10"/>
  <c r="Q27" i="10"/>
  <c r="Q26" i="10"/>
  <c r="Q28" i="10" s="1"/>
  <c r="O27" i="10"/>
  <c r="R27" i="10" s="1"/>
  <c r="O26" i="10"/>
  <c r="R26" i="10" s="1"/>
  <c r="P15" i="10"/>
  <c r="O15" i="10"/>
  <c r="O14" i="10"/>
  <c r="R14" i="10" s="1"/>
  <c r="P13" i="10"/>
  <c r="Q13" i="10" s="1"/>
  <c r="O13" i="10"/>
  <c r="R13" i="10" s="1"/>
  <c r="N6" i="10"/>
  <c r="R16" i="10" l="1"/>
  <c r="Q16" i="10"/>
  <c r="P16" i="10"/>
  <c r="R17" i="10" s="1"/>
  <c r="R28" i="10"/>
  <c r="R29" i="10" s="1"/>
  <c r="K110" i="46"/>
  <c r="AC110" i="46" s="1"/>
  <c r="U110" i="46"/>
  <c r="C110" i="46"/>
  <c r="K112" i="46"/>
  <c r="AC112" i="46" s="1"/>
  <c r="J112" i="46"/>
  <c r="Q29" i="10"/>
  <c r="AD112" i="46"/>
  <c r="AD110" i="46"/>
  <c r="AD109" i="46"/>
  <c r="V110" i="46"/>
  <c r="P109" i="46"/>
  <c r="T109" i="46"/>
  <c r="U109" i="46"/>
  <c r="K109" i="46"/>
  <c r="AD111" i="46"/>
  <c r="P110" i="46"/>
  <c r="Q17" i="10" l="1"/>
  <c r="AA109" i="46"/>
  <c r="AC109" i="46"/>
  <c r="X109" i="46"/>
  <c r="AB109" i="46" l="1"/>
  <c r="AI32" i="2"/>
  <c r="S32" i="2"/>
  <c r="Z103" i="46" l="1"/>
  <c r="C17" i="11"/>
  <c r="K20" i="11" s="1"/>
  <c r="C16" i="11"/>
  <c r="K11" i="11" s="1"/>
  <c r="I90" i="47"/>
  <c r="F92" i="47"/>
  <c r="E92" i="47"/>
  <c r="G92" i="47" s="1"/>
  <c r="E91" i="47"/>
  <c r="H91" i="47" s="1"/>
  <c r="O104" i="58" s="1"/>
  <c r="F90" i="47"/>
  <c r="G90" i="47" s="1"/>
  <c r="H90" i="47" s="1"/>
  <c r="O103" i="58" s="1"/>
  <c r="E90" i="47"/>
  <c r="O103" i="46" l="1"/>
  <c r="O104" i="46"/>
  <c r="P104" i="46" s="1"/>
  <c r="C104" i="58"/>
  <c r="G91" i="47"/>
  <c r="W104" i="46"/>
  <c r="W103" i="46"/>
  <c r="Z98" i="46"/>
  <c r="Z97" i="46"/>
  <c r="Z93" i="46"/>
  <c r="Z89" i="46"/>
  <c r="Z88" i="46"/>
  <c r="Z85" i="46"/>
  <c r="Z84" i="46"/>
  <c r="Z83" i="46"/>
  <c r="W80" i="46"/>
  <c r="Z47" i="46"/>
  <c r="Z46" i="46"/>
  <c r="Z35" i="46"/>
  <c r="Z23" i="46"/>
  <c r="W20" i="46"/>
  <c r="AR107" i="58"/>
  <c r="BA107" i="58" s="1"/>
  <c r="AM107" i="58"/>
  <c r="AR106" i="58"/>
  <c r="BA106" i="58" s="1"/>
  <c r="AM106" i="58"/>
  <c r="AR105" i="58"/>
  <c r="BA105" i="58" s="1"/>
  <c r="AM105" i="58"/>
  <c r="AR104" i="58"/>
  <c r="BA104" i="58" s="1"/>
  <c r="AM104" i="58"/>
  <c r="N104" i="58"/>
  <c r="J104" i="58"/>
  <c r="AR103" i="58"/>
  <c r="BA103" i="58" s="1"/>
  <c r="AM103" i="58"/>
  <c r="Q103" i="58"/>
  <c r="P103" i="58" s="1"/>
  <c r="N103" i="58"/>
  <c r="H103" i="58" s="1"/>
  <c r="AM107" i="46"/>
  <c r="AR107" i="46"/>
  <c r="BA107" i="46" s="1"/>
  <c r="Q103" i="46"/>
  <c r="U103" i="46" s="1"/>
  <c r="AR106" i="46"/>
  <c r="BA106" i="46" s="1"/>
  <c r="AM106" i="46"/>
  <c r="AR105" i="46"/>
  <c r="BA105" i="46" s="1"/>
  <c r="AM105" i="46"/>
  <c r="AR104" i="46"/>
  <c r="BA104" i="46" s="1"/>
  <c r="AM104" i="46"/>
  <c r="J104" i="46"/>
  <c r="AR103" i="46"/>
  <c r="BA103" i="46" s="1"/>
  <c r="AM103" i="46"/>
  <c r="N103" i="46"/>
  <c r="F42" i="11"/>
  <c r="I38" i="11"/>
  <c r="L38" i="11" s="1"/>
  <c r="I91" i="47" s="1"/>
  <c r="O21" i="11"/>
  <c r="O20" i="11"/>
  <c r="G40" i="11"/>
  <c r="G39" i="11"/>
  <c r="R22" i="11"/>
  <c r="Q22" i="11"/>
  <c r="P22" i="11"/>
  <c r="P25" i="11"/>
  <c r="Q25" i="11" s="1"/>
  <c r="O25" i="11"/>
  <c r="R25" i="11" s="1"/>
  <c r="O26" i="11"/>
  <c r="P26" i="11"/>
  <c r="Q26" i="11" s="1"/>
  <c r="Q27" i="11"/>
  <c r="O27" i="11"/>
  <c r="R27" i="11" s="1"/>
  <c r="Q11" i="11"/>
  <c r="P10" i="11"/>
  <c r="Q10" i="11" s="1"/>
  <c r="P9" i="11"/>
  <c r="Q9" i="11" s="1"/>
  <c r="P8" i="11"/>
  <c r="Q8" i="11" s="1"/>
  <c r="O10" i="11"/>
  <c r="O11" i="11"/>
  <c r="R11" i="11" s="1"/>
  <c r="O8" i="11"/>
  <c r="O9" i="11"/>
  <c r="N6" i="11"/>
  <c r="AD105" i="46" l="1"/>
  <c r="AD104" i="58"/>
  <c r="AD105" i="58"/>
  <c r="G42" i="11"/>
  <c r="I37" i="11" s="1"/>
  <c r="R10" i="11"/>
  <c r="Q28" i="11"/>
  <c r="P12" i="11"/>
  <c r="AD103" i="58"/>
  <c r="R8" i="11"/>
  <c r="R26" i="11"/>
  <c r="R28" i="11" s="1"/>
  <c r="R9" i="11"/>
  <c r="Q23" i="11"/>
  <c r="K104" i="58"/>
  <c r="AD106" i="58"/>
  <c r="P28" i="11"/>
  <c r="Q29" i="11" s="1"/>
  <c r="T103" i="46"/>
  <c r="P103" i="46"/>
  <c r="K103" i="58"/>
  <c r="T103" i="58"/>
  <c r="V103" i="46"/>
  <c r="AD107" i="58"/>
  <c r="C103" i="58"/>
  <c r="U103" i="58"/>
  <c r="P104" i="58"/>
  <c r="J103" i="58"/>
  <c r="V103" i="58"/>
  <c r="T104" i="58"/>
  <c r="U104" i="58"/>
  <c r="V104" i="58"/>
  <c r="AD107" i="46"/>
  <c r="H103" i="46"/>
  <c r="J103" i="46" s="1"/>
  <c r="AD103" i="46"/>
  <c r="AD104" i="46"/>
  <c r="AD106" i="46"/>
  <c r="C103" i="46"/>
  <c r="R23" i="11"/>
  <c r="Q12" i="11"/>
  <c r="R12" i="11" l="1"/>
  <c r="R13" i="11" s="1"/>
  <c r="R29" i="11"/>
  <c r="K103" i="46"/>
  <c r="Q13" i="11"/>
  <c r="AC104" i="58"/>
  <c r="AA103" i="58"/>
  <c r="AC103" i="46"/>
  <c r="AC103" i="58"/>
  <c r="N104" i="46"/>
  <c r="C104" i="46"/>
  <c r="U104" i="46"/>
  <c r="AA103" i="46" s="1"/>
  <c r="T104" i="46"/>
  <c r="AB103" i="58" l="1"/>
  <c r="K104" i="46"/>
  <c r="V104" i="46"/>
  <c r="AC104" i="46" l="1"/>
  <c r="AB103" i="46"/>
  <c r="X103" i="46"/>
  <c r="L31" i="48"/>
  <c r="E88" i="47"/>
  <c r="F87" i="47"/>
  <c r="E87" i="47"/>
  <c r="E86" i="47"/>
  <c r="N98" i="58"/>
  <c r="J98" i="58"/>
  <c r="N97" i="58"/>
  <c r="H97" i="58"/>
  <c r="C17" i="12"/>
  <c r="C16" i="12"/>
  <c r="K11" i="12" s="1"/>
  <c r="C8" i="12"/>
  <c r="W97" i="46" l="1"/>
  <c r="K16" i="12"/>
  <c r="H86" i="47"/>
  <c r="O97" i="58" s="1"/>
  <c r="G88" i="47"/>
  <c r="H88" i="47" s="1"/>
  <c r="O98" i="58" s="1"/>
  <c r="G87" i="47"/>
  <c r="G86" i="47"/>
  <c r="J97" i="58"/>
  <c r="O97" i="46" l="1"/>
  <c r="K97" i="58"/>
  <c r="C97" i="58"/>
  <c r="P97" i="58"/>
  <c r="W98" i="46"/>
  <c r="T98" i="58"/>
  <c r="U97" i="58"/>
  <c r="T97" i="58"/>
  <c r="V97" i="58"/>
  <c r="P98" i="58" l="1"/>
  <c r="U98" i="58"/>
  <c r="AA97" i="58" s="1"/>
  <c r="C98" i="58"/>
  <c r="V98" i="58"/>
  <c r="K98" i="58"/>
  <c r="AC97" i="58"/>
  <c r="AC98" i="58" l="1"/>
  <c r="AB97" i="58"/>
  <c r="AI31" i="2"/>
  <c r="S31" i="2"/>
  <c r="AH30" i="48" l="1"/>
  <c r="AR101" i="58" l="1"/>
  <c r="BA101" i="58" s="1"/>
  <c r="AM101" i="58"/>
  <c r="AR100" i="58"/>
  <c r="BA100" i="58" s="1"/>
  <c r="AM100" i="58"/>
  <c r="AR99" i="58"/>
  <c r="BA99" i="58" s="1"/>
  <c r="AM99" i="58"/>
  <c r="AR98" i="58"/>
  <c r="BA98" i="58" s="1"/>
  <c r="AM98" i="58"/>
  <c r="AR97" i="58"/>
  <c r="BA97" i="58" s="1"/>
  <c r="AM97" i="58"/>
  <c r="AM100" i="46"/>
  <c r="AR100" i="46"/>
  <c r="BA100" i="46" s="1"/>
  <c r="AM101" i="46"/>
  <c r="AR101" i="46"/>
  <c r="BA101" i="46" s="1"/>
  <c r="N97" i="46"/>
  <c r="H97" i="46" s="1"/>
  <c r="C97" i="46"/>
  <c r="J98" i="46"/>
  <c r="N98" i="46"/>
  <c r="O98" i="46"/>
  <c r="P98" i="46" s="1"/>
  <c r="AM97" i="46"/>
  <c r="AR97" i="46"/>
  <c r="BA97" i="46" s="1"/>
  <c r="AM98" i="46"/>
  <c r="AR98" i="46"/>
  <c r="BA98" i="46" s="1"/>
  <c r="AM99" i="46"/>
  <c r="AR99" i="46"/>
  <c r="BA99" i="46" s="1"/>
  <c r="O18" i="12"/>
  <c r="O17" i="12"/>
  <c r="R17" i="12" s="1"/>
  <c r="O16" i="12"/>
  <c r="O10" i="12"/>
  <c r="O8" i="12"/>
  <c r="R8" i="12" s="1"/>
  <c r="L38" i="12"/>
  <c r="I88" i="47" s="1"/>
  <c r="I38" i="12"/>
  <c r="P16" i="12"/>
  <c r="Q16" i="12" s="1"/>
  <c r="Q18" i="12"/>
  <c r="Q17" i="12"/>
  <c r="Q9" i="12"/>
  <c r="Q8" i="12"/>
  <c r="P10" i="12"/>
  <c r="Q10" i="12" s="1"/>
  <c r="O9" i="12"/>
  <c r="R9" i="12" s="1"/>
  <c r="N6" i="12"/>
  <c r="Q19" i="12" l="1"/>
  <c r="AD97" i="58"/>
  <c r="AD100" i="58"/>
  <c r="AD98" i="58"/>
  <c r="V98" i="46"/>
  <c r="L37" i="12"/>
  <c r="I86" i="47" s="1"/>
  <c r="C98" i="46"/>
  <c r="AD101" i="46"/>
  <c r="AD99" i="46"/>
  <c r="AD100" i="46"/>
  <c r="AD99" i="58"/>
  <c r="R10" i="12"/>
  <c r="P11" i="12"/>
  <c r="AD101" i="58"/>
  <c r="U98" i="46"/>
  <c r="T98" i="46"/>
  <c r="T97" i="46"/>
  <c r="J97" i="46"/>
  <c r="K97" i="46"/>
  <c r="P97" i="46"/>
  <c r="K98" i="46"/>
  <c r="V97" i="46"/>
  <c r="U97" i="46"/>
  <c r="AD97" i="46"/>
  <c r="AD98" i="46"/>
  <c r="R16" i="12"/>
  <c r="P19" i="12"/>
  <c r="Q20" i="12" s="1"/>
  <c r="R18" i="12"/>
  <c r="R11" i="12"/>
  <c r="R12" i="12" s="1"/>
  <c r="Q11" i="12"/>
  <c r="Q12" i="12" s="1"/>
  <c r="AA97" i="46" l="1"/>
  <c r="AC98" i="46"/>
  <c r="AC97" i="46"/>
  <c r="X97" i="46"/>
  <c r="L30" i="48"/>
  <c r="R19" i="12"/>
  <c r="R20" i="12" s="1"/>
  <c r="AB97" i="46" l="1"/>
  <c r="Q58" i="58"/>
  <c r="R58" i="58"/>
  <c r="AY61" i="58"/>
  <c r="AX149" i="58"/>
  <c r="AI30" i="2" l="1"/>
  <c r="S30" i="2"/>
  <c r="N94" i="58"/>
  <c r="H94" i="58" s="1"/>
  <c r="M93" i="58"/>
  <c r="N93" i="58" s="1"/>
  <c r="J93" i="58"/>
  <c r="O93" i="46"/>
  <c r="E84" i="47"/>
  <c r="G84" i="47" s="1"/>
  <c r="H84" i="47" s="1"/>
  <c r="O94" i="58" s="1"/>
  <c r="E83" i="47"/>
  <c r="G83" i="47" s="1"/>
  <c r="H83" i="47" s="1"/>
  <c r="O93" i="58" s="1"/>
  <c r="K20" i="13"/>
  <c r="K11" i="13"/>
  <c r="W94" i="46" l="1"/>
  <c r="W93" i="46"/>
  <c r="P93" i="58"/>
  <c r="U93" i="58"/>
  <c r="T93" i="58"/>
  <c r="C93" i="58"/>
  <c r="O94" i="46"/>
  <c r="C94" i="58"/>
  <c r="J94" i="58"/>
  <c r="K93" i="58"/>
  <c r="V93" i="58"/>
  <c r="AC93" i="58" l="1"/>
  <c r="K94" i="58"/>
  <c r="U94" i="58"/>
  <c r="AA93" i="58" s="1"/>
  <c r="V94" i="58"/>
  <c r="T94" i="58"/>
  <c r="P94" i="58"/>
  <c r="AC94" i="58" l="1"/>
  <c r="AB93" i="58" s="1"/>
  <c r="AR95" i="58"/>
  <c r="BA95" i="58" s="1"/>
  <c r="AM95" i="58"/>
  <c r="AD95" i="58" s="1"/>
  <c r="AR94" i="58"/>
  <c r="BA94" i="58" s="1"/>
  <c r="AM94" i="58"/>
  <c r="AR93" i="58"/>
  <c r="BA93" i="58" s="1"/>
  <c r="AM93" i="58"/>
  <c r="AR90" i="58"/>
  <c r="BA90" i="58" s="1"/>
  <c r="AM90" i="58"/>
  <c r="M90" i="58"/>
  <c r="N90" i="58" s="1"/>
  <c r="J90" i="58"/>
  <c r="AR89" i="58"/>
  <c r="BA89" i="58" s="1"/>
  <c r="AM89" i="58"/>
  <c r="M89" i="58"/>
  <c r="N89" i="58" s="1"/>
  <c r="J89" i="58"/>
  <c r="AR88" i="58"/>
  <c r="BA88" i="58" s="1"/>
  <c r="AM88" i="58"/>
  <c r="M88" i="58"/>
  <c r="N88" i="58" s="1"/>
  <c r="J88" i="58"/>
  <c r="AR87" i="58"/>
  <c r="BA87" i="58" s="1"/>
  <c r="AM87" i="58"/>
  <c r="M87" i="58"/>
  <c r="J87" i="58"/>
  <c r="O17" i="13"/>
  <c r="M93" i="46"/>
  <c r="U94" i="46"/>
  <c r="N94" i="46"/>
  <c r="V94" i="46" s="1"/>
  <c r="AR95" i="46"/>
  <c r="BA95" i="46" s="1"/>
  <c r="AM95" i="46"/>
  <c r="AR94" i="46"/>
  <c r="BA94" i="46" s="1"/>
  <c r="AM94" i="46"/>
  <c r="AR93" i="46"/>
  <c r="BA93" i="46" s="1"/>
  <c r="AM93" i="46"/>
  <c r="C93" i="46"/>
  <c r="N93" i="46"/>
  <c r="K93" i="46" s="1"/>
  <c r="J93" i="46"/>
  <c r="L38" i="13"/>
  <c r="I84" i="47" s="1"/>
  <c r="I38" i="13"/>
  <c r="L37" i="13" s="1"/>
  <c r="I83" i="47" s="1"/>
  <c r="P17" i="13"/>
  <c r="Q17" i="13" s="1"/>
  <c r="P16" i="13"/>
  <c r="Q16" i="13" s="1"/>
  <c r="O16" i="13"/>
  <c r="O8" i="13"/>
  <c r="N6" i="13"/>
  <c r="R16" i="13" l="1"/>
  <c r="AD93" i="46"/>
  <c r="AD94" i="58"/>
  <c r="AD89" i="58"/>
  <c r="AD87" i="58"/>
  <c r="AD90" i="58"/>
  <c r="P18" i="13"/>
  <c r="R17" i="13"/>
  <c r="R18" i="13" s="1"/>
  <c r="AD88" i="58"/>
  <c r="AD93" i="58"/>
  <c r="P93" i="46"/>
  <c r="T93" i="46"/>
  <c r="AC93" i="46" s="1"/>
  <c r="U93" i="46"/>
  <c r="AA93" i="46" s="1"/>
  <c r="V93" i="46"/>
  <c r="N87" i="58"/>
  <c r="AD95" i="46"/>
  <c r="AD94" i="46"/>
  <c r="P94" i="46"/>
  <c r="T94" i="46"/>
  <c r="C94" i="46"/>
  <c r="H94" i="46"/>
  <c r="Q18" i="13"/>
  <c r="X152" i="59"/>
  <c r="X115" i="59"/>
  <c r="X81" i="59"/>
  <c r="Q19" i="13" l="1"/>
  <c r="R19" i="13"/>
  <c r="J94" i="46"/>
  <c r="K94" i="46"/>
  <c r="K20" i="14"/>
  <c r="C25" i="14"/>
  <c r="K19" i="14" s="1"/>
  <c r="C17" i="14"/>
  <c r="K16" i="14" s="1"/>
  <c r="C16" i="14"/>
  <c r="C9" i="14"/>
  <c r="C8" i="14"/>
  <c r="C7" i="14"/>
  <c r="K18" i="14" s="1"/>
  <c r="C10" i="14"/>
  <c r="K15" i="14" s="1"/>
  <c r="W90" i="46" l="1"/>
  <c r="W89" i="46"/>
  <c r="W91" i="46"/>
  <c r="W87" i="46"/>
  <c r="AC94" i="46"/>
  <c r="AB93" i="46" s="1"/>
  <c r="X93" i="46"/>
  <c r="W88" i="46"/>
  <c r="AH29" i="48"/>
  <c r="L29" i="48"/>
  <c r="F80" i="47"/>
  <c r="F81" i="47"/>
  <c r="E81" i="47"/>
  <c r="G81" i="47" s="1"/>
  <c r="H81" i="47" s="1"/>
  <c r="O90" i="58" s="1"/>
  <c r="F78" i="47"/>
  <c r="E80" i="47"/>
  <c r="E79" i="47"/>
  <c r="G79" i="47" s="1"/>
  <c r="H79" i="47" s="1"/>
  <c r="O88" i="58" s="1"/>
  <c r="E78" i="47"/>
  <c r="E77" i="47"/>
  <c r="G77" i="47" s="1"/>
  <c r="H77" i="47" l="1"/>
  <c r="O87" i="58" s="1"/>
  <c r="G80" i="47"/>
  <c r="H80" i="47" s="1"/>
  <c r="O89" i="58" s="1"/>
  <c r="O90" i="46"/>
  <c r="O88" i="46"/>
  <c r="G78" i="47"/>
  <c r="AI29" i="2"/>
  <c r="S29" i="2"/>
  <c r="O89" i="46" l="1"/>
  <c r="P89" i="46" s="1"/>
  <c r="O87" i="46"/>
  <c r="P89" i="58"/>
  <c r="C89" i="58"/>
  <c r="K89" i="58"/>
  <c r="T89" i="58"/>
  <c r="V89" i="58"/>
  <c r="U89" i="58"/>
  <c r="P88" i="58"/>
  <c r="K88" i="58"/>
  <c r="U88" i="58"/>
  <c r="V88" i="58"/>
  <c r="T88" i="58"/>
  <c r="C88" i="58"/>
  <c r="P90" i="58"/>
  <c r="C90" i="58"/>
  <c r="U90" i="58"/>
  <c r="T90" i="58"/>
  <c r="V90" i="58"/>
  <c r="K90" i="58"/>
  <c r="P87" i="58"/>
  <c r="U87" i="58"/>
  <c r="T87" i="58"/>
  <c r="C87" i="58"/>
  <c r="K87" i="58"/>
  <c r="V87" i="58"/>
  <c r="AM90" i="46"/>
  <c r="AR90" i="46"/>
  <c r="BA90" i="46" s="1"/>
  <c r="M90" i="46"/>
  <c r="U90" i="46" s="1"/>
  <c r="M89" i="46"/>
  <c r="M88" i="46"/>
  <c r="N88" i="46" s="1"/>
  <c r="M87" i="46"/>
  <c r="P90" i="46"/>
  <c r="J90" i="46"/>
  <c r="J89" i="46"/>
  <c r="P87" i="46"/>
  <c r="J87" i="46"/>
  <c r="AM87" i="46"/>
  <c r="AR87" i="46"/>
  <c r="BA87" i="46" s="1"/>
  <c r="J88" i="46"/>
  <c r="P88" i="46"/>
  <c r="AM88" i="46"/>
  <c r="AR88" i="46"/>
  <c r="BA88" i="46"/>
  <c r="AM89" i="46"/>
  <c r="AR89" i="46"/>
  <c r="BA89" i="46" s="1"/>
  <c r="L40" i="14"/>
  <c r="I81" i="47" s="1"/>
  <c r="L38" i="14"/>
  <c r="I79" i="47" s="1"/>
  <c r="L37" i="14"/>
  <c r="I77" i="47" s="1"/>
  <c r="I38" i="14"/>
  <c r="P17" i="14"/>
  <c r="Q17" i="14" s="1"/>
  <c r="P16" i="14"/>
  <c r="O17" i="14"/>
  <c r="R17" i="14" s="1"/>
  <c r="O16" i="14"/>
  <c r="Q8" i="14"/>
  <c r="P10" i="14"/>
  <c r="Q10" i="14" s="1"/>
  <c r="P9" i="14"/>
  <c r="O10" i="14"/>
  <c r="O9" i="14"/>
  <c r="O8" i="14"/>
  <c r="R8" i="14" s="1"/>
  <c r="N6" i="14"/>
  <c r="AC88" i="58" l="1"/>
  <c r="AA87" i="58"/>
  <c r="R16" i="14"/>
  <c r="L39" i="14"/>
  <c r="I80" i="47" s="1"/>
  <c r="R10" i="14"/>
  <c r="R11" i="14" s="1"/>
  <c r="P11" i="14"/>
  <c r="AC89" i="58"/>
  <c r="Q9" i="14"/>
  <c r="Q11" i="14" s="1"/>
  <c r="AC90" i="58"/>
  <c r="R9" i="14"/>
  <c r="AD87" i="46"/>
  <c r="R18" i="14"/>
  <c r="AC87" i="58"/>
  <c r="AD89" i="46"/>
  <c r="Q16" i="14"/>
  <c r="Q18" i="14" s="1"/>
  <c r="P18" i="14"/>
  <c r="AD90" i="46"/>
  <c r="AD88" i="46"/>
  <c r="U89" i="46"/>
  <c r="C88" i="46"/>
  <c r="U88" i="46"/>
  <c r="T88" i="46"/>
  <c r="U87" i="46"/>
  <c r="K88" i="46"/>
  <c r="V88" i="46"/>
  <c r="N90" i="46"/>
  <c r="T90" i="46"/>
  <c r="C90" i="46"/>
  <c r="N89" i="46"/>
  <c r="T89" i="46"/>
  <c r="C89" i="46"/>
  <c r="N87" i="46"/>
  <c r="T87" i="46"/>
  <c r="C87" i="46"/>
  <c r="R12" i="14" l="1"/>
  <c r="AC88" i="46"/>
  <c r="Q12" i="14"/>
  <c r="R19" i="14"/>
  <c r="AA87" i="46"/>
  <c r="Q19" i="14"/>
  <c r="AB87" i="58"/>
  <c r="AH28" i="48"/>
  <c r="K90" i="46"/>
  <c r="AC90" i="46" s="1"/>
  <c r="V90" i="46"/>
  <c r="K89" i="46"/>
  <c r="AC89" i="46" s="1"/>
  <c r="V89" i="46"/>
  <c r="K87" i="46"/>
  <c r="V87" i="46"/>
  <c r="AC87" i="46" l="1"/>
  <c r="X87" i="46"/>
  <c r="AB87" i="46"/>
  <c r="L28" i="48"/>
  <c r="M84" i="58" l="1"/>
  <c r="J84" i="58"/>
  <c r="M83" i="58"/>
  <c r="J83" i="58"/>
  <c r="M80" i="58"/>
  <c r="J80" i="58"/>
  <c r="M79" i="58"/>
  <c r="N79" i="58" s="1"/>
  <c r="J79" i="58"/>
  <c r="F73" i="47"/>
  <c r="E74" i="47"/>
  <c r="F75" i="47"/>
  <c r="E75" i="47"/>
  <c r="G75" i="47" s="1"/>
  <c r="H75" i="47" s="1"/>
  <c r="F72" i="47"/>
  <c r="E73" i="47"/>
  <c r="E72" i="47"/>
  <c r="E70" i="47"/>
  <c r="G70" i="47" s="1"/>
  <c r="L37" i="17"/>
  <c r="I60" i="47" s="1"/>
  <c r="F65" i="47"/>
  <c r="F67" i="47"/>
  <c r="F69" i="47"/>
  <c r="E69" i="47"/>
  <c r="G69" i="47" s="1"/>
  <c r="E68" i="47"/>
  <c r="G68" i="47" s="1"/>
  <c r="F66" i="47"/>
  <c r="E67" i="47"/>
  <c r="E66" i="47"/>
  <c r="F64" i="47"/>
  <c r="E64" i="47"/>
  <c r="E65" i="47"/>
  <c r="C26" i="15"/>
  <c r="K18" i="15" s="1"/>
  <c r="C25" i="15"/>
  <c r="C7" i="15"/>
  <c r="C8" i="15"/>
  <c r="K16" i="15" s="1"/>
  <c r="W84" i="46" l="1"/>
  <c r="H64" i="47"/>
  <c r="G66" i="47"/>
  <c r="K15" i="15"/>
  <c r="W85" i="46"/>
  <c r="G67" i="47"/>
  <c r="H70" i="47"/>
  <c r="O80" i="58" s="1"/>
  <c r="H72" i="47"/>
  <c r="G73" i="47"/>
  <c r="N84" i="58"/>
  <c r="N80" i="58"/>
  <c r="N83" i="58"/>
  <c r="G74" i="47"/>
  <c r="H74" i="47" s="1"/>
  <c r="O84" i="58" s="1"/>
  <c r="G72" i="47"/>
  <c r="G65" i="47"/>
  <c r="G64" i="47"/>
  <c r="O83" i="58" l="1"/>
  <c r="T83" i="58" s="1"/>
  <c r="O79" i="46"/>
  <c r="O79" i="58"/>
  <c r="V79" i="58" s="1"/>
  <c r="K79" i="58"/>
  <c r="O83" i="46"/>
  <c r="U79" i="58"/>
  <c r="W83" i="46"/>
  <c r="K80" i="58"/>
  <c r="O80" i="46"/>
  <c r="P83" i="58"/>
  <c r="U83" i="58"/>
  <c r="P79" i="58"/>
  <c r="C79" i="58"/>
  <c r="O84" i="46"/>
  <c r="K84" i="58"/>
  <c r="C83" i="58"/>
  <c r="K83" i="58"/>
  <c r="V83" i="58"/>
  <c r="T79" i="58" l="1"/>
  <c r="V80" i="58"/>
  <c r="P80" i="58"/>
  <c r="U80" i="58"/>
  <c r="T80" i="58"/>
  <c r="C80" i="58"/>
  <c r="P84" i="58"/>
  <c r="U84" i="58"/>
  <c r="AA83" i="58" s="1"/>
  <c r="V84" i="58"/>
  <c r="T84" i="58"/>
  <c r="C84" i="58"/>
  <c r="AI28" i="2"/>
  <c r="AI27" i="2"/>
  <c r="S28" i="2"/>
  <c r="S27" i="2"/>
  <c r="G27" i="2"/>
  <c r="AR85" i="58" l="1"/>
  <c r="BA85" i="58" s="1"/>
  <c r="AM85" i="58"/>
  <c r="AR84" i="58"/>
  <c r="BA84" i="58" s="1"/>
  <c r="AM84" i="58"/>
  <c r="AR83" i="58"/>
  <c r="BA83" i="58" s="1"/>
  <c r="AM83" i="58"/>
  <c r="AD83" i="58" s="1"/>
  <c r="AR81" i="58"/>
  <c r="BA81" i="58" s="1"/>
  <c r="AM81" i="58"/>
  <c r="AR80" i="58"/>
  <c r="BA80" i="58" s="1"/>
  <c r="AM80" i="58"/>
  <c r="AR79" i="58"/>
  <c r="BA79" i="58" s="1"/>
  <c r="AM79" i="58"/>
  <c r="M84" i="46"/>
  <c r="N84" i="46" s="1"/>
  <c r="K84" i="46" s="1"/>
  <c r="M83" i="46"/>
  <c r="C83" i="46" s="1"/>
  <c r="AR85" i="46"/>
  <c r="BA85" i="46" s="1"/>
  <c r="AM85" i="46"/>
  <c r="AR84" i="46"/>
  <c r="BA84" i="46" s="1"/>
  <c r="AM84" i="46"/>
  <c r="J84" i="46"/>
  <c r="AR83" i="46"/>
  <c r="BA83" i="46" s="1"/>
  <c r="AM83" i="46"/>
  <c r="J83" i="46"/>
  <c r="L37" i="15"/>
  <c r="I72" i="47" s="1"/>
  <c r="I38" i="15"/>
  <c r="F42" i="15"/>
  <c r="G39" i="15"/>
  <c r="G38" i="15"/>
  <c r="P25" i="15"/>
  <c r="Q25" i="15" s="1"/>
  <c r="P26" i="15"/>
  <c r="P27" i="15" s="1"/>
  <c r="O26" i="15"/>
  <c r="O25" i="15"/>
  <c r="P9" i="15"/>
  <c r="P8" i="15"/>
  <c r="O9" i="15"/>
  <c r="O8" i="15"/>
  <c r="N6" i="15"/>
  <c r="L38" i="16"/>
  <c r="I70" i="47" s="1"/>
  <c r="M80" i="46"/>
  <c r="C80" i="46" s="1"/>
  <c r="M79" i="46"/>
  <c r="T79" i="46" s="1"/>
  <c r="AR81" i="46"/>
  <c r="BA81" i="46" s="1"/>
  <c r="AM81" i="46"/>
  <c r="AR80" i="46"/>
  <c r="BA80" i="46" s="1"/>
  <c r="AM80" i="46"/>
  <c r="J80" i="46"/>
  <c r="AR79" i="46"/>
  <c r="BA79" i="46" s="1"/>
  <c r="AM79" i="46"/>
  <c r="J79" i="46"/>
  <c r="I38" i="16"/>
  <c r="G39" i="16"/>
  <c r="G40" i="16"/>
  <c r="G38" i="16"/>
  <c r="P9" i="16"/>
  <c r="P8" i="16"/>
  <c r="O9" i="16"/>
  <c r="O8" i="16"/>
  <c r="N6" i="16"/>
  <c r="N80" i="46" l="1"/>
  <c r="K80" i="46" s="1"/>
  <c r="AD79" i="46"/>
  <c r="AD84" i="46"/>
  <c r="AD83" i="46"/>
  <c r="N79" i="46"/>
  <c r="K79" i="46" s="1"/>
  <c r="AC79" i="46" s="1"/>
  <c r="C84" i="46"/>
  <c r="L38" i="15"/>
  <c r="I74" i="47" s="1"/>
  <c r="R26" i="15"/>
  <c r="Q26" i="15"/>
  <c r="Q27" i="15" s="1"/>
  <c r="Q28" i="15" s="1"/>
  <c r="R25" i="15"/>
  <c r="P10" i="15"/>
  <c r="G42" i="15"/>
  <c r="I37" i="15" s="1"/>
  <c r="P10" i="16"/>
  <c r="AD81" i="46"/>
  <c r="AD85" i="46"/>
  <c r="AD80" i="46"/>
  <c r="L37" i="16"/>
  <c r="I64" i="47" s="1"/>
  <c r="V84" i="46"/>
  <c r="P83" i="46"/>
  <c r="P84" i="46"/>
  <c r="T84" i="46"/>
  <c r="AC84" i="46" s="1"/>
  <c r="U84" i="46"/>
  <c r="U83" i="46"/>
  <c r="V79" i="46"/>
  <c r="C79" i="46"/>
  <c r="P79" i="46"/>
  <c r="U79" i="46"/>
  <c r="P80" i="46"/>
  <c r="T80" i="46"/>
  <c r="AC80" i="46" s="1"/>
  <c r="U80" i="46"/>
  <c r="L26" i="48"/>
  <c r="AD85" i="58"/>
  <c r="AD80" i="58"/>
  <c r="AD79" i="58"/>
  <c r="AD81" i="58"/>
  <c r="AD84" i="58"/>
  <c r="AC84" i="58"/>
  <c r="AC83" i="58"/>
  <c r="N83" i="46"/>
  <c r="T83" i="46"/>
  <c r="V80" i="46"/>
  <c r="AA83" i="46" l="1"/>
  <c r="R27" i="15"/>
  <c r="R28" i="15" s="1"/>
  <c r="AH27" i="48"/>
  <c r="AC79" i="58"/>
  <c r="AC80" i="58"/>
  <c r="AH26" i="48"/>
  <c r="AB83" i="58"/>
  <c r="V83" i="46"/>
  <c r="K83" i="46"/>
  <c r="AR77" i="58"/>
  <c r="BA77" i="58" s="1"/>
  <c r="AM77" i="58"/>
  <c r="AR76" i="58"/>
  <c r="BA76" i="58" s="1"/>
  <c r="AM76" i="58"/>
  <c r="N76" i="58"/>
  <c r="J76" i="58"/>
  <c r="AR75" i="58"/>
  <c r="BA75" i="58" s="1"/>
  <c r="AM75" i="58"/>
  <c r="N75" i="58"/>
  <c r="J75" i="58"/>
  <c r="C16" i="17"/>
  <c r="C17" i="17" s="1"/>
  <c r="C7" i="17"/>
  <c r="C8" i="17" s="1"/>
  <c r="F61" i="47"/>
  <c r="F62" i="47"/>
  <c r="F60" i="47"/>
  <c r="E61" i="47"/>
  <c r="E62" i="47"/>
  <c r="E60" i="47"/>
  <c r="G60" i="47" l="1"/>
  <c r="H60" i="47" s="1"/>
  <c r="L27" i="48"/>
  <c r="AC83" i="46"/>
  <c r="X83" i="46"/>
  <c r="G61" i="47"/>
  <c r="AB83" i="46"/>
  <c r="K16" i="17"/>
  <c r="K17" i="17"/>
  <c r="G62" i="47"/>
  <c r="AD77" i="58"/>
  <c r="H61" i="47"/>
  <c r="O76" i="58" s="1"/>
  <c r="AD76" i="58"/>
  <c r="AD75" i="58"/>
  <c r="O75" i="46" l="1"/>
  <c r="O75" i="58"/>
  <c r="W76" i="46"/>
  <c r="W75" i="46"/>
  <c r="O76" i="46"/>
  <c r="AI26" i="2"/>
  <c r="S26" i="2"/>
  <c r="G26" i="2"/>
  <c r="T75" i="58" l="1"/>
  <c r="U75" i="58"/>
  <c r="C75" i="58"/>
  <c r="K75" i="58"/>
  <c r="P75" i="58"/>
  <c r="V75" i="58"/>
  <c r="C76" i="58"/>
  <c r="K76" i="58"/>
  <c r="U76" i="58"/>
  <c r="T76" i="58"/>
  <c r="P76" i="58"/>
  <c r="V76" i="58"/>
  <c r="P29" i="17"/>
  <c r="S29" i="17" s="1"/>
  <c r="S37" i="17" s="1"/>
  <c r="P18" i="17"/>
  <c r="S18" i="17" s="1"/>
  <c r="P9" i="17"/>
  <c r="P8" i="17"/>
  <c r="J76" i="46"/>
  <c r="N76" i="46"/>
  <c r="T76" i="46"/>
  <c r="AR77" i="46"/>
  <c r="BA77" i="46" s="1"/>
  <c r="AM77" i="46"/>
  <c r="AR76" i="46"/>
  <c r="BA76" i="46" s="1"/>
  <c r="AM76" i="46"/>
  <c r="AR75" i="46"/>
  <c r="BA75" i="46" s="1"/>
  <c r="AM75" i="46"/>
  <c r="C75" i="46"/>
  <c r="N75" i="46"/>
  <c r="K75" i="46" s="1"/>
  <c r="J75" i="46"/>
  <c r="I38" i="17"/>
  <c r="L38" i="17" s="1"/>
  <c r="I61" i="47" s="1"/>
  <c r="Q40" i="17"/>
  <c r="Q41" i="17" s="1"/>
  <c r="G42" i="17"/>
  <c r="I37" i="17" s="1"/>
  <c r="F42" i="17"/>
  <c r="Q37" i="17"/>
  <c r="Q38" i="17" s="1"/>
  <c r="R29" i="17"/>
  <c r="R37" i="17" s="1"/>
  <c r="R38" i="17" s="1"/>
  <c r="R18" i="17"/>
  <c r="Q8" i="17"/>
  <c r="N6" i="17"/>
  <c r="AC75" i="58" l="1"/>
  <c r="AD76" i="46"/>
  <c r="S38" i="17"/>
  <c r="Q9" i="17"/>
  <c r="R9" i="17" s="1"/>
  <c r="AD75" i="46"/>
  <c r="R8" i="17"/>
  <c r="R16" i="17" s="1"/>
  <c r="AC76" i="58"/>
  <c r="AH25" i="48"/>
  <c r="P75" i="46"/>
  <c r="C76" i="46"/>
  <c r="U75" i="46"/>
  <c r="T75" i="46"/>
  <c r="AC75" i="46" s="1"/>
  <c r="V76" i="46"/>
  <c r="AD77" i="46"/>
  <c r="K76" i="46"/>
  <c r="AC76" i="46" s="1"/>
  <c r="P76" i="46"/>
  <c r="U76" i="46"/>
  <c r="V75" i="46"/>
  <c r="R26" i="17"/>
  <c r="S26" i="17"/>
  <c r="Q26" i="17"/>
  <c r="Q27" i="17" s="1"/>
  <c r="S8" i="17"/>
  <c r="X75" i="46" l="1"/>
  <c r="S9" i="17"/>
  <c r="R27" i="17"/>
  <c r="Q16" i="17"/>
  <c r="Q17" i="17" s="1"/>
  <c r="S16" i="17"/>
  <c r="S17" i="17" s="1"/>
  <c r="L25" i="48"/>
  <c r="S27" i="17"/>
  <c r="R17" i="17" l="1"/>
  <c r="F32" i="16"/>
  <c r="E32" i="16"/>
  <c r="D32" i="16"/>
  <c r="C32" i="16"/>
  <c r="F23" i="16"/>
  <c r="E23" i="16"/>
  <c r="D23" i="16"/>
  <c r="C23" i="16"/>
  <c r="F14" i="16"/>
  <c r="E14" i="16"/>
  <c r="D14" i="16"/>
  <c r="C14" i="16"/>
  <c r="AI25" i="2" l="1"/>
  <c r="S25" i="2"/>
  <c r="M71" i="58" l="1"/>
  <c r="N71" i="58" s="1"/>
  <c r="N67" i="58"/>
  <c r="G40" i="18"/>
  <c r="G39" i="18"/>
  <c r="G38" i="18"/>
  <c r="O9" i="18"/>
  <c r="O10" i="18"/>
  <c r="M71" i="46"/>
  <c r="F58" i="47" l="1"/>
  <c r="E58" i="47"/>
  <c r="G58" i="47" s="1"/>
  <c r="H58" i="47" s="1"/>
  <c r="O71" i="58" s="1"/>
  <c r="O71" i="46" l="1"/>
  <c r="AR73" i="58" l="1"/>
  <c r="BA73" i="58" s="1"/>
  <c r="AM73" i="58"/>
  <c r="AD73" i="58" s="1"/>
  <c r="AR72" i="58"/>
  <c r="BA72" i="58" s="1"/>
  <c r="AM72" i="58"/>
  <c r="AR71" i="58"/>
  <c r="BA71" i="58" s="1"/>
  <c r="AM71" i="58"/>
  <c r="AD71" i="58" s="1"/>
  <c r="U71" i="58"/>
  <c r="T71" i="58"/>
  <c r="V71" i="58"/>
  <c r="J71" i="58"/>
  <c r="C71" i="58"/>
  <c r="J71" i="46"/>
  <c r="N71" i="46"/>
  <c r="K71" i="46" s="1"/>
  <c r="T71" i="46"/>
  <c r="P71" i="46"/>
  <c r="AM71" i="46"/>
  <c r="AD71" i="46" s="1"/>
  <c r="AR71" i="46"/>
  <c r="BA71" i="46" s="1"/>
  <c r="AM72" i="46"/>
  <c r="AR72" i="46"/>
  <c r="BA72" i="46" s="1"/>
  <c r="AM73" i="46"/>
  <c r="AR73" i="46"/>
  <c r="BA73" i="46" s="1"/>
  <c r="I38" i="18"/>
  <c r="I58" i="47" s="1"/>
  <c r="O8" i="18"/>
  <c r="N6" i="18"/>
  <c r="AC71" i="46" l="1"/>
  <c r="AD72" i="58"/>
  <c r="L24" i="48"/>
  <c r="K71" i="58"/>
  <c r="P71" i="58"/>
  <c r="AD72" i="46"/>
  <c r="AD73" i="46"/>
  <c r="V71" i="46"/>
  <c r="U71" i="46"/>
  <c r="C71" i="46"/>
  <c r="AH24" i="48" l="1"/>
  <c r="AC71" i="58"/>
  <c r="E56" i="47" l="1"/>
  <c r="G56" i="47" l="1"/>
  <c r="H56" i="47" s="1"/>
  <c r="O67" i="58" s="1"/>
  <c r="O67" i="46" l="1"/>
  <c r="AI24" i="2"/>
  <c r="S24" i="2"/>
  <c r="AR69" i="58" l="1"/>
  <c r="BA69" i="58" s="1"/>
  <c r="AM69" i="58"/>
  <c r="AR68" i="58"/>
  <c r="BA68" i="58" s="1"/>
  <c r="AM68" i="58"/>
  <c r="AD68" i="58" s="1"/>
  <c r="AR67" i="58"/>
  <c r="BA67" i="58" s="1"/>
  <c r="AM67" i="58"/>
  <c r="V67" i="58"/>
  <c r="J67" i="58"/>
  <c r="AD69" i="58" l="1"/>
  <c r="AD67" i="58"/>
  <c r="T67" i="58"/>
  <c r="U67" i="58"/>
  <c r="C67" i="58"/>
  <c r="K67" i="58"/>
  <c r="P67" i="58"/>
  <c r="J67" i="46"/>
  <c r="N67" i="46"/>
  <c r="K67" i="46" s="1"/>
  <c r="C67" i="46"/>
  <c r="U67" i="46"/>
  <c r="AM67" i="46"/>
  <c r="AR67" i="46"/>
  <c r="BA67" i="46" s="1"/>
  <c r="AD67" i="46" s="1"/>
  <c r="AM68" i="46"/>
  <c r="AR68" i="46"/>
  <c r="BA68" i="46" s="1"/>
  <c r="AM69" i="46"/>
  <c r="AR69" i="46"/>
  <c r="BA69" i="46" s="1"/>
  <c r="I38" i="19"/>
  <c r="I56" i="47" s="1"/>
  <c r="F42" i="19"/>
  <c r="G40" i="19"/>
  <c r="G39" i="19"/>
  <c r="G38" i="19"/>
  <c r="G42" i="19" s="1"/>
  <c r="I37" i="19" s="1"/>
  <c r="O10" i="19"/>
  <c r="O9" i="19"/>
  <c r="O8" i="19"/>
  <c r="N6" i="19"/>
  <c r="AC67" i="58" l="1"/>
  <c r="AD68" i="46"/>
  <c r="AH23" i="48"/>
  <c r="L23" i="48"/>
  <c r="V67" i="46"/>
  <c r="T67" i="46"/>
  <c r="AC67" i="46" s="1"/>
  <c r="AD69" i="46"/>
  <c r="P67" i="46"/>
  <c r="E21" i="45" l="1"/>
  <c r="I21" i="45"/>
  <c r="M21" i="45"/>
  <c r="Q21" i="45"/>
  <c r="U21" i="45"/>
  <c r="Y21" i="45"/>
  <c r="AC21" i="45"/>
  <c r="AG21" i="45"/>
  <c r="AK21" i="45"/>
  <c r="AO21" i="45"/>
  <c r="E22" i="45"/>
  <c r="I22" i="45"/>
  <c r="M22" i="45"/>
  <c r="Q22" i="45"/>
  <c r="U22" i="45"/>
  <c r="Y22" i="45"/>
  <c r="AC22" i="45"/>
  <c r="AG22" i="45"/>
  <c r="AK22" i="45"/>
  <c r="AO22" i="45"/>
  <c r="E23" i="45"/>
  <c r="I23" i="45"/>
  <c r="M23" i="45"/>
  <c r="Q23" i="45"/>
  <c r="U23" i="45"/>
  <c r="Y23" i="45"/>
  <c r="AC23" i="45"/>
  <c r="AG23" i="45"/>
  <c r="AK23" i="45"/>
  <c r="AO23" i="45"/>
  <c r="E24" i="45"/>
  <c r="I24" i="45"/>
  <c r="M24" i="45"/>
  <c r="Q24" i="45"/>
  <c r="U24" i="45"/>
  <c r="Y24" i="45"/>
  <c r="AC24" i="45"/>
  <c r="AG24" i="45"/>
  <c r="AK24" i="45"/>
  <c r="AO24" i="45"/>
  <c r="E25" i="45"/>
  <c r="I25" i="45"/>
  <c r="M25" i="45"/>
  <c r="Q25" i="45"/>
  <c r="U25" i="45"/>
  <c r="Y25" i="45"/>
  <c r="AC25" i="45"/>
  <c r="AG25" i="45"/>
  <c r="AK25" i="45"/>
  <c r="AO25" i="45"/>
  <c r="E26" i="45"/>
  <c r="I26" i="45"/>
  <c r="M26" i="45"/>
  <c r="Q26" i="45"/>
  <c r="U26" i="45"/>
  <c r="Y26" i="45"/>
  <c r="AC26" i="45"/>
  <c r="AG26" i="45"/>
  <c r="AK26" i="45"/>
  <c r="AO26" i="45"/>
  <c r="E27" i="45"/>
  <c r="I27" i="45"/>
  <c r="M27" i="45"/>
  <c r="Q27" i="45"/>
  <c r="U27" i="45"/>
  <c r="Y27" i="45"/>
  <c r="AC27" i="45"/>
  <c r="AG27" i="45"/>
  <c r="AK27" i="45"/>
  <c r="AO27" i="45"/>
  <c r="E28" i="45"/>
  <c r="I28" i="45"/>
  <c r="M28" i="45"/>
  <c r="Q28" i="45"/>
  <c r="U28" i="45"/>
  <c r="Y28" i="45"/>
  <c r="AC28" i="45"/>
  <c r="AG28" i="45"/>
  <c r="AK28" i="45"/>
  <c r="AO28" i="45"/>
  <c r="E29" i="45"/>
  <c r="I29" i="45"/>
  <c r="M29" i="45"/>
  <c r="Q29" i="45"/>
  <c r="U29" i="45"/>
  <c r="Y29" i="45"/>
  <c r="AC29" i="45"/>
  <c r="AG29" i="45"/>
  <c r="AK29" i="45"/>
  <c r="AO29" i="45"/>
  <c r="E30" i="45"/>
  <c r="I30" i="45"/>
  <c r="M30" i="45"/>
  <c r="Q30" i="45"/>
  <c r="U30" i="45"/>
  <c r="Y30" i="45"/>
  <c r="AC30" i="45"/>
  <c r="AG30" i="45"/>
  <c r="AK30" i="45"/>
  <c r="AO30" i="45"/>
  <c r="E31" i="45"/>
  <c r="I31" i="45"/>
  <c r="M31" i="45"/>
  <c r="Q31" i="45"/>
  <c r="U31" i="45"/>
  <c r="Y31" i="45"/>
  <c r="AC31" i="45"/>
  <c r="AG31" i="45"/>
  <c r="AK31" i="45"/>
  <c r="AO31" i="45"/>
  <c r="E32" i="45"/>
  <c r="I32" i="45"/>
  <c r="M32" i="45"/>
  <c r="Q32" i="45"/>
  <c r="U32" i="45"/>
  <c r="Y32" i="45"/>
  <c r="AC32" i="45"/>
  <c r="AG32" i="45"/>
  <c r="AK32" i="45"/>
  <c r="AO32" i="45"/>
  <c r="E33" i="45"/>
  <c r="I33" i="45"/>
  <c r="M33" i="45"/>
  <c r="Q33" i="45"/>
  <c r="U33" i="45"/>
  <c r="Y33" i="45"/>
  <c r="AC33" i="45"/>
  <c r="AG33" i="45"/>
  <c r="AK33" i="45"/>
  <c r="AO33" i="45"/>
  <c r="E34" i="45"/>
  <c r="I34" i="45"/>
  <c r="M34" i="45"/>
  <c r="Q34" i="45"/>
  <c r="U34" i="45"/>
  <c r="Y34" i="45"/>
  <c r="AC34" i="45"/>
  <c r="AG34" i="45"/>
  <c r="AK34" i="45"/>
  <c r="AO34" i="45"/>
  <c r="E35" i="45"/>
  <c r="I35" i="45"/>
  <c r="M35" i="45"/>
  <c r="Q35" i="45"/>
  <c r="U35" i="45"/>
  <c r="Y35" i="45"/>
  <c r="AC35" i="45"/>
  <c r="AG35" i="45"/>
  <c r="AK35" i="45"/>
  <c r="AO35" i="45"/>
  <c r="E36" i="45"/>
  <c r="I36" i="45"/>
  <c r="M36" i="45"/>
  <c r="Q36" i="45"/>
  <c r="U36" i="45"/>
  <c r="Y36" i="45"/>
  <c r="AC36" i="45"/>
  <c r="AG36" i="45"/>
  <c r="AK36" i="45"/>
  <c r="AO36" i="45"/>
  <c r="E37" i="45"/>
  <c r="I37" i="45"/>
  <c r="M37" i="45"/>
  <c r="Q37" i="45"/>
  <c r="U37" i="45"/>
  <c r="Y37" i="45"/>
  <c r="AC37" i="45"/>
  <c r="AG37" i="45"/>
  <c r="AK37" i="45"/>
  <c r="AO37" i="45"/>
  <c r="AR28" i="45" l="1"/>
  <c r="AR36" i="45"/>
  <c r="AR33" i="45"/>
  <c r="AR25" i="45"/>
  <c r="AR35" i="45"/>
  <c r="AR27" i="45"/>
  <c r="AR30" i="45"/>
  <c r="AR22" i="45"/>
  <c r="AR29" i="45"/>
  <c r="AR21" i="45"/>
  <c r="AR32" i="45"/>
  <c r="AR24" i="45"/>
  <c r="AR37" i="45"/>
  <c r="AR31" i="45"/>
  <c r="AR23" i="45"/>
  <c r="AR34" i="45"/>
  <c r="AR26" i="45"/>
  <c r="AI23" i="2"/>
  <c r="S23" i="2"/>
  <c r="G23" i="2"/>
  <c r="F54" i="47"/>
  <c r="F53" i="47"/>
  <c r="E54" i="47"/>
  <c r="E53" i="47"/>
  <c r="E52" i="47"/>
  <c r="G52" i="47" s="1"/>
  <c r="H52" i="47" l="1"/>
  <c r="O63" i="58" s="1"/>
  <c r="G53" i="47"/>
  <c r="G54" i="47"/>
  <c r="O63" i="46"/>
  <c r="P63" i="46" s="1"/>
  <c r="AR65" i="58"/>
  <c r="BA65" i="58" s="1"/>
  <c r="AM65" i="58"/>
  <c r="AR64" i="58"/>
  <c r="BA64" i="58" s="1"/>
  <c r="AM64" i="58"/>
  <c r="AR63" i="58"/>
  <c r="BA63" i="58" s="1"/>
  <c r="AM63" i="58"/>
  <c r="C63" i="58"/>
  <c r="N63" i="58"/>
  <c r="J63" i="58"/>
  <c r="AR65" i="46"/>
  <c r="BA65" i="46" s="1"/>
  <c r="AM65" i="46"/>
  <c r="AR64" i="46"/>
  <c r="BA64" i="46" s="1"/>
  <c r="AM64" i="46"/>
  <c r="AR63" i="46"/>
  <c r="BA63" i="46" s="1"/>
  <c r="AM63" i="46"/>
  <c r="J63" i="46"/>
  <c r="G40" i="20"/>
  <c r="G39" i="20"/>
  <c r="G38" i="20"/>
  <c r="O8" i="20"/>
  <c r="I38" i="20"/>
  <c r="I52" i="47" s="1"/>
  <c r="F42" i="20"/>
  <c r="N6" i="20"/>
  <c r="G42" i="20" l="1"/>
  <c r="I37" i="20" s="1"/>
  <c r="AD63" i="46"/>
  <c r="AD63" i="58"/>
  <c r="AD64" i="46"/>
  <c r="AD65" i="58"/>
  <c r="AD65" i="46"/>
  <c r="AD64" i="58"/>
  <c r="C63" i="46"/>
  <c r="T63" i="46"/>
  <c r="U63" i="46"/>
  <c r="V63" i="58"/>
  <c r="K63" i="58"/>
  <c r="P63" i="58"/>
  <c r="T63" i="58"/>
  <c r="U63" i="58"/>
  <c r="N63" i="46"/>
  <c r="V63" i="46" s="1"/>
  <c r="F32" i="19"/>
  <c r="E32" i="19"/>
  <c r="D32" i="19"/>
  <c r="C32" i="19"/>
  <c r="F23" i="19"/>
  <c r="E23" i="19"/>
  <c r="D23" i="19"/>
  <c r="C23" i="19"/>
  <c r="F14" i="19"/>
  <c r="E14" i="19"/>
  <c r="D14" i="19"/>
  <c r="C14" i="19"/>
  <c r="AC63" i="58" l="1"/>
  <c r="AH22" i="48"/>
  <c r="K63" i="46"/>
  <c r="AC63" i="46" s="1"/>
  <c r="L22" i="48" l="1"/>
  <c r="AI22" i="2"/>
  <c r="S22" i="2"/>
  <c r="G22" i="2"/>
  <c r="N58" i="58"/>
  <c r="J58" i="58"/>
  <c r="F50" i="47"/>
  <c r="E50" i="47"/>
  <c r="G50" i="47" l="1"/>
  <c r="H50" i="47" s="1"/>
  <c r="O58" i="58" s="1"/>
  <c r="O58" i="46" l="1"/>
  <c r="T58" i="58" l="1"/>
  <c r="C58" i="58"/>
  <c r="U58" i="58"/>
  <c r="P58" i="58"/>
  <c r="K58" i="58"/>
  <c r="V58" i="58"/>
  <c r="AR61" i="58"/>
  <c r="BA61" i="58" s="1"/>
  <c r="AM61" i="58"/>
  <c r="AR60" i="58"/>
  <c r="BA60" i="58" s="1"/>
  <c r="AM60" i="58"/>
  <c r="AR59" i="58"/>
  <c r="BA59" i="58" s="1"/>
  <c r="AM59" i="58"/>
  <c r="AR58" i="58"/>
  <c r="BA58" i="58" s="1"/>
  <c r="AM58" i="58"/>
  <c r="AM61" i="46"/>
  <c r="AR61" i="46"/>
  <c r="BA61" i="46" s="1"/>
  <c r="N58" i="46"/>
  <c r="K58" i="46" s="1"/>
  <c r="J58" i="46"/>
  <c r="AM58" i="46"/>
  <c r="AR58" i="46"/>
  <c r="BA58" i="46" s="1"/>
  <c r="AD58" i="46" s="1"/>
  <c r="AM59" i="46"/>
  <c r="AR59" i="46"/>
  <c r="BA59" i="46" s="1"/>
  <c r="AM60" i="46"/>
  <c r="AR60" i="46"/>
  <c r="BA60" i="46" s="1"/>
  <c r="I38" i="22"/>
  <c r="I50" i="47" s="1"/>
  <c r="F42" i="22"/>
  <c r="G40" i="22"/>
  <c r="G39" i="22"/>
  <c r="G38" i="22"/>
  <c r="P9" i="22"/>
  <c r="P11" i="22" s="1"/>
  <c r="O10" i="22"/>
  <c r="O9" i="22"/>
  <c r="O8" i="22"/>
  <c r="F18" i="22"/>
  <c r="N6" i="22"/>
  <c r="AD60" i="46" l="1"/>
  <c r="L21" i="48"/>
  <c r="G42" i="22"/>
  <c r="I37" i="22" s="1"/>
  <c r="AD60" i="58"/>
  <c r="AC58" i="58"/>
  <c r="AD59" i="46"/>
  <c r="P58" i="46"/>
  <c r="AH21" i="48"/>
  <c r="T58" i="46"/>
  <c r="AC58" i="46" s="1"/>
  <c r="U58" i="46"/>
  <c r="C58" i="46"/>
  <c r="V58" i="46"/>
  <c r="AD58" i="58"/>
  <c r="AD59" i="58"/>
  <c r="AD61" i="58"/>
  <c r="AD61" i="46"/>
  <c r="M55" i="58" l="1"/>
  <c r="N55" i="58" s="1"/>
  <c r="J55" i="58"/>
  <c r="M54" i="58"/>
  <c r="N54" i="58" s="1"/>
  <c r="J54" i="58"/>
  <c r="M50" i="58"/>
  <c r="J50" i="58"/>
  <c r="K17" i="21"/>
  <c r="C25" i="21"/>
  <c r="K16" i="21" s="1"/>
  <c r="E47" i="47"/>
  <c r="G47" i="47" s="1"/>
  <c r="F45" i="47"/>
  <c r="F48" i="47"/>
  <c r="F46" i="47"/>
  <c r="E48" i="47"/>
  <c r="G48" i="47" s="1"/>
  <c r="H48" i="47" s="1"/>
  <c r="O55" i="58" s="1"/>
  <c r="F44" i="47"/>
  <c r="E46" i="47"/>
  <c r="E45" i="47"/>
  <c r="F43" i="47"/>
  <c r="E44" i="47"/>
  <c r="F42" i="47"/>
  <c r="E43" i="47"/>
  <c r="E42" i="47"/>
  <c r="F40" i="47"/>
  <c r="E40" i="47"/>
  <c r="W54" i="46" l="1"/>
  <c r="W55" i="46"/>
  <c r="H42" i="47"/>
  <c r="O54" i="58" s="1"/>
  <c r="G44" i="47"/>
  <c r="G46" i="47"/>
  <c r="O54" i="46"/>
  <c r="U55" i="58"/>
  <c r="C55" i="58"/>
  <c r="P55" i="58"/>
  <c r="N50" i="58"/>
  <c r="O55" i="46"/>
  <c r="K55" i="58"/>
  <c r="V55" i="58"/>
  <c r="T55" i="58"/>
  <c r="G43" i="47"/>
  <c r="G45" i="47"/>
  <c r="G42" i="47"/>
  <c r="G40" i="47"/>
  <c r="H40" i="47" s="1"/>
  <c r="O50" i="58" s="1"/>
  <c r="P54" i="58" l="1"/>
  <c r="K54" i="58"/>
  <c r="V54" i="58"/>
  <c r="T54" i="58"/>
  <c r="AC55" i="58"/>
  <c r="C54" i="58"/>
  <c r="U54" i="58"/>
  <c r="O50" i="46"/>
  <c r="K50" i="58"/>
  <c r="AC54" i="58" l="1"/>
  <c r="P50" i="58"/>
  <c r="C50" i="58"/>
  <c r="U50" i="58"/>
  <c r="T50" i="58"/>
  <c r="AC50" i="58" s="1"/>
  <c r="V50" i="58"/>
  <c r="AI21" i="2"/>
  <c r="AI20" i="2"/>
  <c r="G20" i="2"/>
  <c r="G21" i="2"/>
  <c r="S21" i="2"/>
  <c r="AR56" i="58" l="1"/>
  <c r="BA56" i="58" s="1"/>
  <c r="AM56" i="58"/>
  <c r="AR55" i="58"/>
  <c r="BA55" i="58" s="1"/>
  <c r="AM55" i="58"/>
  <c r="AR54" i="58"/>
  <c r="BA54" i="58" s="1"/>
  <c r="AM54" i="58"/>
  <c r="AR52" i="58"/>
  <c r="BA52" i="58" s="1"/>
  <c r="AM52" i="58"/>
  <c r="AR51" i="58"/>
  <c r="BA51" i="58" s="1"/>
  <c r="AM51" i="58"/>
  <c r="AR50" i="58"/>
  <c r="BA50" i="58" s="1"/>
  <c r="AM50" i="58"/>
  <c r="M55" i="46"/>
  <c r="C55" i="46" s="1"/>
  <c r="J55" i="46"/>
  <c r="AR56" i="46"/>
  <c r="BA56" i="46" s="1"/>
  <c r="AM56" i="46"/>
  <c r="AR55" i="46"/>
  <c r="BA55" i="46" s="1"/>
  <c r="AM55" i="46"/>
  <c r="AR54" i="46"/>
  <c r="BA54" i="46" s="1"/>
  <c r="AM54" i="46"/>
  <c r="P54" i="46"/>
  <c r="M54" i="46"/>
  <c r="U54" i="46" s="1"/>
  <c r="J54" i="46"/>
  <c r="P50" i="46"/>
  <c r="M50" i="46"/>
  <c r="J50" i="46"/>
  <c r="AM50" i="46"/>
  <c r="AR50" i="46"/>
  <c r="BA50" i="46" s="1"/>
  <c r="AM51" i="46"/>
  <c r="AR51" i="46"/>
  <c r="BA51" i="46" s="1"/>
  <c r="AM52" i="46"/>
  <c r="AR52" i="46"/>
  <c r="BA52" i="46" s="1"/>
  <c r="I38" i="23"/>
  <c r="I40" i="47" s="1"/>
  <c r="F42" i="23"/>
  <c r="G40" i="23"/>
  <c r="G39" i="23"/>
  <c r="G38" i="23"/>
  <c r="L38" i="21"/>
  <c r="I48" i="47" s="1"/>
  <c r="I38" i="21"/>
  <c r="F42" i="21"/>
  <c r="G40" i="21"/>
  <c r="G39" i="21"/>
  <c r="G38" i="21"/>
  <c r="O8" i="21"/>
  <c r="N6" i="21"/>
  <c r="O8" i="23"/>
  <c r="N6" i="23"/>
  <c r="L37" i="21" l="1"/>
  <c r="I42" i="47" s="1"/>
  <c r="C54" i="46"/>
  <c r="AD51" i="46"/>
  <c r="AD55" i="46"/>
  <c r="AD54" i="46"/>
  <c r="AD55" i="58"/>
  <c r="G42" i="21"/>
  <c r="I37" i="21" s="1"/>
  <c r="AD50" i="46"/>
  <c r="AD50" i="58"/>
  <c r="N54" i="46"/>
  <c r="AD54" i="58"/>
  <c r="AD51" i="58"/>
  <c r="AD56" i="46"/>
  <c r="T54" i="46"/>
  <c r="N55" i="46"/>
  <c r="K55" i="46" s="1"/>
  <c r="AC55" i="46" s="1"/>
  <c r="G42" i="23"/>
  <c r="I37" i="23" s="1"/>
  <c r="AD52" i="46"/>
  <c r="AD56" i="58"/>
  <c r="AD52" i="58"/>
  <c r="P55" i="46"/>
  <c r="T55" i="46"/>
  <c r="U55" i="46"/>
  <c r="U50" i="46"/>
  <c r="AH20" i="48"/>
  <c r="N50" i="46"/>
  <c r="T50" i="46"/>
  <c r="C50" i="46"/>
  <c r="M47" i="58"/>
  <c r="N47" i="58" s="1"/>
  <c r="J47" i="58"/>
  <c r="M46" i="58"/>
  <c r="N46" i="58" s="1"/>
  <c r="J46" i="58"/>
  <c r="M45" i="58"/>
  <c r="N45" i="58" s="1"/>
  <c r="I36" i="47"/>
  <c r="F37" i="47"/>
  <c r="F38" i="47"/>
  <c r="E37" i="47"/>
  <c r="G37" i="47" s="1"/>
  <c r="H37" i="47" s="1"/>
  <c r="O46" i="58" s="1"/>
  <c r="E38" i="47"/>
  <c r="E36" i="47"/>
  <c r="G36" i="47" s="1"/>
  <c r="H36" i="47" s="1"/>
  <c r="O45" i="58" s="1"/>
  <c r="K16" i="24"/>
  <c r="C16" i="24"/>
  <c r="K15" i="24" s="1"/>
  <c r="C7" i="24"/>
  <c r="K12" i="24" s="1"/>
  <c r="W45" i="46" l="1"/>
  <c r="W47" i="46"/>
  <c r="W46" i="46"/>
  <c r="G38" i="47"/>
  <c r="H38" i="47" s="1"/>
  <c r="V55" i="46"/>
  <c r="V54" i="46"/>
  <c r="K54" i="46"/>
  <c r="T45" i="58"/>
  <c r="U46" i="58"/>
  <c r="O46" i="46"/>
  <c r="O45" i="46"/>
  <c r="AH19" i="48"/>
  <c r="V50" i="46"/>
  <c r="K50" i="46"/>
  <c r="AC50" i="46" s="1"/>
  <c r="K46" i="58"/>
  <c r="V46" i="58"/>
  <c r="H45" i="58"/>
  <c r="P46" i="58"/>
  <c r="T46" i="58"/>
  <c r="C46" i="58"/>
  <c r="G19" i="2"/>
  <c r="O47" i="58" l="1"/>
  <c r="P47" i="58" s="1"/>
  <c r="V47" i="58"/>
  <c r="T47" i="58"/>
  <c r="K47" i="58"/>
  <c r="AC47" i="58" s="1"/>
  <c r="O47" i="46"/>
  <c r="U47" i="58"/>
  <c r="C47" i="58"/>
  <c r="AC54" i="46"/>
  <c r="X54" i="46"/>
  <c r="V45" i="58"/>
  <c r="P45" i="58"/>
  <c r="U45" i="58"/>
  <c r="L20" i="48"/>
  <c r="C45" i="58"/>
  <c r="L19" i="48"/>
  <c r="K45" i="58"/>
  <c r="J45" i="58"/>
  <c r="AC46" i="58"/>
  <c r="S19" i="2"/>
  <c r="AI19" i="2"/>
  <c r="AA45" i="58" l="1"/>
  <c r="AC45" i="58"/>
  <c r="AB45" i="58" l="1"/>
  <c r="AR48" i="58" l="1"/>
  <c r="BA48" i="58" s="1"/>
  <c r="AM48" i="58"/>
  <c r="AR47" i="58"/>
  <c r="BA47" i="58" s="1"/>
  <c r="AM47" i="58"/>
  <c r="AR46" i="58"/>
  <c r="BA46" i="58" s="1"/>
  <c r="AM46" i="58"/>
  <c r="AR45" i="58"/>
  <c r="BA45" i="58" s="1"/>
  <c r="AM45" i="58"/>
  <c r="AM48" i="46"/>
  <c r="AR48" i="46"/>
  <c r="BA48" i="46" s="1"/>
  <c r="M47" i="46"/>
  <c r="U47" i="46" s="1"/>
  <c r="M46" i="46"/>
  <c r="N46" i="46" s="1"/>
  <c r="M45" i="46"/>
  <c r="U45" i="46" s="1"/>
  <c r="AR47" i="46"/>
  <c r="BA47" i="46" s="1"/>
  <c r="AM47" i="46"/>
  <c r="AR46" i="46"/>
  <c r="BA46" i="46" s="1"/>
  <c r="AM46" i="46"/>
  <c r="AR45" i="46"/>
  <c r="BA45" i="46" s="1"/>
  <c r="AM45" i="46"/>
  <c r="AD45" i="46" s="1"/>
  <c r="C32" i="24"/>
  <c r="C23" i="24"/>
  <c r="C14" i="24"/>
  <c r="N38" i="24"/>
  <c r="I37" i="47" s="1"/>
  <c r="I38" i="24"/>
  <c r="N39" i="24" s="1"/>
  <c r="I38" i="47" s="1"/>
  <c r="O17" i="24"/>
  <c r="R17" i="24" s="1"/>
  <c r="P18" i="24"/>
  <c r="P19" i="24" s="1"/>
  <c r="O18" i="24"/>
  <c r="Q17" i="24"/>
  <c r="AD46" i="46" l="1"/>
  <c r="AD47" i="58"/>
  <c r="AD46" i="58"/>
  <c r="AD48" i="58"/>
  <c r="N45" i="46"/>
  <c r="V45" i="46" s="1"/>
  <c r="C47" i="46"/>
  <c r="U46" i="46"/>
  <c r="AA45" i="46" s="1"/>
  <c r="N47" i="46"/>
  <c r="K47" i="46" s="1"/>
  <c r="AC47" i="46" s="1"/>
  <c r="T47" i="46"/>
  <c r="AD48" i="46"/>
  <c r="AD45" i="58"/>
  <c r="V46" i="46"/>
  <c r="J47" i="46"/>
  <c r="P46" i="46"/>
  <c r="T46" i="46"/>
  <c r="C46" i="46"/>
  <c r="P47" i="46"/>
  <c r="AD47" i="46"/>
  <c r="T45" i="46"/>
  <c r="P45" i="46"/>
  <c r="C45" i="46"/>
  <c r="R18" i="24"/>
  <c r="R19" i="24" s="1"/>
  <c r="R20" i="24" s="1"/>
  <c r="Q18" i="24"/>
  <c r="Q19" i="24" s="1"/>
  <c r="Q20" i="24" s="1"/>
  <c r="Q8" i="24"/>
  <c r="P9" i="24"/>
  <c r="Q9" i="24" s="1"/>
  <c r="O9" i="24"/>
  <c r="O8" i="24"/>
  <c r="R8" i="24" s="1"/>
  <c r="N6" i="24"/>
  <c r="H45" i="46" l="1"/>
  <c r="K45" i="46" s="1"/>
  <c r="R9" i="24"/>
  <c r="P10" i="24"/>
  <c r="J45" i="46"/>
  <c r="V47" i="46"/>
  <c r="AH18" i="48"/>
  <c r="J46" i="46"/>
  <c r="K46" i="46"/>
  <c r="AC46" i="46" s="1"/>
  <c r="Q10" i="24"/>
  <c r="R10" i="24"/>
  <c r="AR31" i="59"/>
  <c r="AR30" i="59"/>
  <c r="AR29" i="59"/>
  <c r="AR28" i="59"/>
  <c r="AR27" i="59"/>
  <c r="AR26" i="59"/>
  <c r="AR25" i="59"/>
  <c r="AR24" i="59"/>
  <c r="AR23" i="59"/>
  <c r="AR22" i="59"/>
  <c r="AR21" i="59"/>
  <c r="AR20" i="59"/>
  <c r="AR19" i="59"/>
  <c r="AR18" i="59"/>
  <c r="AR17" i="59"/>
  <c r="AR16" i="59"/>
  <c r="AR15" i="59"/>
  <c r="AR14" i="59"/>
  <c r="AR13" i="59"/>
  <c r="AR12" i="59"/>
  <c r="AR11" i="59"/>
  <c r="AR10" i="59"/>
  <c r="AR9" i="59"/>
  <c r="AR8" i="59"/>
  <c r="AR7" i="59"/>
  <c r="AR6" i="59"/>
  <c r="AR5" i="59"/>
  <c r="R11" i="24" l="1"/>
  <c r="Q11" i="24"/>
  <c r="AC45" i="46"/>
  <c r="X45" i="46"/>
  <c r="AB45" i="46"/>
  <c r="L18" i="48"/>
  <c r="AI18" i="2"/>
  <c r="S18" i="2"/>
  <c r="F34" i="47" l="1"/>
  <c r="E34" i="47"/>
  <c r="G34" i="47" l="1"/>
  <c r="H34" i="47" s="1"/>
  <c r="AR43" i="58"/>
  <c r="BA43" i="58" s="1"/>
  <c r="AM43" i="58"/>
  <c r="AR42" i="58"/>
  <c r="BA42" i="58" s="1"/>
  <c r="AM42" i="58"/>
  <c r="AR41" i="58"/>
  <c r="BA41" i="58" s="1"/>
  <c r="AM41" i="58"/>
  <c r="N41" i="58"/>
  <c r="AM41" i="46"/>
  <c r="AR41" i="46"/>
  <c r="BA41" i="46" s="1"/>
  <c r="AM42" i="46"/>
  <c r="AR42" i="46"/>
  <c r="BA42" i="46" s="1"/>
  <c r="AM43" i="46"/>
  <c r="AR43" i="46"/>
  <c r="BA43" i="46" s="1"/>
  <c r="I38" i="25"/>
  <c r="I34" i="47" s="1"/>
  <c r="G40" i="25"/>
  <c r="G39" i="25"/>
  <c r="G38" i="25"/>
  <c r="O10" i="25"/>
  <c r="O9" i="25"/>
  <c r="O8" i="25"/>
  <c r="N6" i="25"/>
  <c r="O41" i="58" l="1"/>
  <c r="T41" i="58" s="1"/>
  <c r="C41" i="58"/>
  <c r="O41" i="46"/>
  <c r="P41" i="46" s="1"/>
  <c r="AD42" i="58"/>
  <c r="AD41" i="58"/>
  <c r="AD43" i="58"/>
  <c r="AD43" i="46"/>
  <c r="AD41" i="46"/>
  <c r="U41" i="58"/>
  <c r="P41" i="58"/>
  <c r="H41" i="58"/>
  <c r="N41" i="46"/>
  <c r="C41" i="46"/>
  <c r="AD42" i="46"/>
  <c r="V41" i="58" l="1"/>
  <c r="T41" i="46"/>
  <c r="U41" i="46"/>
  <c r="J41" i="58"/>
  <c r="K41" i="58"/>
  <c r="V41" i="46"/>
  <c r="H41" i="46"/>
  <c r="AH17" i="48" l="1"/>
  <c r="AC41" i="58"/>
  <c r="K41" i="46"/>
  <c r="J41" i="46"/>
  <c r="L17" i="48" l="1"/>
  <c r="AC41" i="46"/>
  <c r="BG17" i="2"/>
  <c r="AI17" i="2" l="1"/>
  <c r="S17" i="2"/>
  <c r="M38" i="58"/>
  <c r="M37" i="58"/>
  <c r="I32" i="47"/>
  <c r="F32" i="47"/>
  <c r="F31" i="47"/>
  <c r="E32" i="47"/>
  <c r="G32" i="47" s="1"/>
  <c r="H32" i="47" s="1"/>
  <c r="O38" i="58" s="1"/>
  <c r="E31" i="47"/>
  <c r="C17" i="26"/>
  <c r="K12" i="26" s="1"/>
  <c r="C16" i="26"/>
  <c r="K14" i="26" s="1"/>
  <c r="M38" i="46"/>
  <c r="N38" i="46" s="1"/>
  <c r="W37" i="46" l="1"/>
  <c r="W38" i="46"/>
  <c r="G31" i="47"/>
  <c r="H31" i="47" s="1"/>
  <c r="O38" i="46"/>
  <c r="P38" i="46" s="1"/>
  <c r="P38" i="58"/>
  <c r="N37" i="58"/>
  <c r="N38" i="58"/>
  <c r="C38" i="58"/>
  <c r="T38" i="58"/>
  <c r="H38" i="46"/>
  <c r="O37" i="58" l="1"/>
  <c r="P37" i="58" s="1"/>
  <c r="V38" i="46"/>
  <c r="T38" i="46"/>
  <c r="U38" i="46"/>
  <c r="O37" i="46"/>
  <c r="C38" i="46"/>
  <c r="U38" i="58"/>
  <c r="T37" i="58"/>
  <c r="U37" i="58"/>
  <c r="V38" i="58"/>
  <c r="H38" i="58"/>
  <c r="V37" i="58"/>
  <c r="H37" i="58"/>
  <c r="J38" i="46"/>
  <c r="K38" i="46"/>
  <c r="AR39" i="58"/>
  <c r="BA39" i="58" s="1"/>
  <c r="AM39" i="58"/>
  <c r="AR38" i="58"/>
  <c r="BA38" i="58" s="1"/>
  <c r="AM38" i="58"/>
  <c r="AR37" i="58"/>
  <c r="BA37" i="58" s="1"/>
  <c r="AM37" i="58"/>
  <c r="P37" i="46"/>
  <c r="M37" i="46"/>
  <c r="N37" i="46" s="1"/>
  <c r="AM37" i="46"/>
  <c r="AR37" i="46"/>
  <c r="BA37" i="46" s="1"/>
  <c r="AM38" i="46"/>
  <c r="AR38" i="46"/>
  <c r="BA38" i="46" s="1"/>
  <c r="AM39" i="46"/>
  <c r="AR39" i="46"/>
  <c r="BA39" i="46" s="1"/>
  <c r="I38" i="26"/>
  <c r="N37" i="26" s="1"/>
  <c r="I31" i="47" s="1"/>
  <c r="G40" i="26"/>
  <c r="G39" i="26"/>
  <c r="O16" i="26"/>
  <c r="O9" i="26"/>
  <c r="P9" i="26"/>
  <c r="Q9" i="26" s="1"/>
  <c r="P8" i="26"/>
  <c r="Q8" i="26" s="1"/>
  <c r="O8" i="26"/>
  <c r="N6" i="26"/>
  <c r="AC38" i="46" l="1"/>
  <c r="C37" i="58"/>
  <c r="AD39" i="58"/>
  <c r="AA37" i="58"/>
  <c r="R8" i="26"/>
  <c r="AD37" i="46"/>
  <c r="R9" i="26"/>
  <c r="R10" i="26" s="1"/>
  <c r="Q10" i="26"/>
  <c r="AD38" i="58"/>
  <c r="P10" i="26"/>
  <c r="K37" i="58"/>
  <c r="J37" i="58"/>
  <c r="K38" i="58"/>
  <c r="AC38" i="58" s="1"/>
  <c r="J38" i="58"/>
  <c r="U37" i="46"/>
  <c r="AA37" i="46" s="1"/>
  <c r="T37" i="46"/>
  <c r="V37" i="46"/>
  <c r="AD37" i="58"/>
  <c r="AD38" i="46"/>
  <c r="C37" i="46"/>
  <c r="H37" i="46"/>
  <c r="AD39" i="46"/>
  <c r="AR35" i="58"/>
  <c r="BA35" i="58" s="1"/>
  <c r="AM35" i="58"/>
  <c r="AR34" i="58"/>
  <c r="BA34" i="58" s="1"/>
  <c r="AM34" i="58"/>
  <c r="S34" i="58"/>
  <c r="M34" i="58"/>
  <c r="N34" i="58" s="1"/>
  <c r="H34" i="58" s="1"/>
  <c r="AR33" i="58"/>
  <c r="BA33" i="58" s="1"/>
  <c r="AM33" i="58"/>
  <c r="M33" i="58"/>
  <c r="C8" i="28"/>
  <c r="K14" i="28" s="1"/>
  <c r="C7" i="28"/>
  <c r="K13" i="28" s="1"/>
  <c r="C9" i="28"/>
  <c r="K12" i="28" s="1"/>
  <c r="F28" i="47"/>
  <c r="F29" i="47"/>
  <c r="E29" i="47"/>
  <c r="E28" i="47"/>
  <c r="E27" i="47"/>
  <c r="AI16" i="2"/>
  <c r="S16" i="2"/>
  <c r="R11" i="26" l="1"/>
  <c r="W33" i="46"/>
  <c r="W35" i="46"/>
  <c r="W34" i="46"/>
  <c r="AD33" i="58"/>
  <c r="AD35" i="58"/>
  <c r="AH16" i="48"/>
  <c r="AD34" i="58"/>
  <c r="Q11" i="26"/>
  <c r="AC37" i="58"/>
  <c r="AB37" i="58" s="1"/>
  <c r="K37" i="46"/>
  <c r="J37" i="46"/>
  <c r="J34" i="58"/>
  <c r="N33" i="58"/>
  <c r="G29" i="47"/>
  <c r="H29" i="47" s="1"/>
  <c r="O34" i="58" s="1"/>
  <c r="G28" i="47"/>
  <c r="H28" i="47" s="1"/>
  <c r="O33" i="58" s="1"/>
  <c r="G27" i="47"/>
  <c r="H27" i="47" s="1"/>
  <c r="L16" i="48" l="1"/>
  <c r="AC37" i="46"/>
  <c r="X37" i="46"/>
  <c r="AB37" i="46"/>
  <c r="O34" i="46"/>
  <c r="O33" i="46"/>
  <c r="V33" i="58"/>
  <c r="H33" i="58"/>
  <c r="P33" i="58" l="1"/>
  <c r="U33" i="58"/>
  <c r="C33" i="58"/>
  <c r="T33" i="58"/>
  <c r="P34" i="58"/>
  <c r="U34" i="58"/>
  <c r="T34" i="58"/>
  <c r="V34" i="58"/>
  <c r="K34" i="58"/>
  <c r="C34" i="58"/>
  <c r="K33" i="58"/>
  <c r="J33" i="58"/>
  <c r="AA33" i="58" l="1"/>
  <c r="AC34" i="58"/>
  <c r="AC33" i="58"/>
  <c r="AB33" i="58" l="1"/>
  <c r="S34" i="46" l="1"/>
  <c r="M34" i="46"/>
  <c r="C34" i="46" s="1"/>
  <c r="M33" i="46"/>
  <c r="N33" i="46"/>
  <c r="H33" i="46" s="1"/>
  <c r="P33" i="46"/>
  <c r="AM33" i="46"/>
  <c r="AR33" i="46"/>
  <c r="BA33" i="46" s="1"/>
  <c r="N34" i="46"/>
  <c r="H34" i="46" s="1"/>
  <c r="AM34" i="46"/>
  <c r="AR34" i="46"/>
  <c r="BA34" i="46" s="1"/>
  <c r="AM35" i="46"/>
  <c r="AR35" i="46"/>
  <c r="BA35" i="46" s="1"/>
  <c r="N37" i="28"/>
  <c r="I28" i="47" s="1"/>
  <c r="I38" i="28"/>
  <c r="N38" i="28" s="1"/>
  <c r="I29" i="47" s="1"/>
  <c r="G40" i="28"/>
  <c r="G39" i="28"/>
  <c r="Q9" i="28"/>
  <c r="P8" i="28"/>
  <c r="Q8" i="28" s="1"/>
  <c r="Q10" i="28" s="1"/>
  <c r="O9" i="28"/>
  <c r="R9" i="28" s="1"/>
  <c r="O8" i="28"/>
  <c r="R8" i="28" s="1"/>
  <c r="N6" i="28"/>
  <c r="AD35" i="46" l="1"/>
  <c r="P10" i="28"/>
  <c r="Q11" i="28" s="1"/>
  <c r="AD34" i="46"/>
  <c r="C33" i="46"/>
  <c r="V33" i="46"/>
  <c r="P34" i="46"/>
  <c r="K33" i="46"/>
  <c r="J33" i="46"/>
  <c r="AD33" i="46"/>
  <c r="J34" i="46"/>
  <c r="K34" i="46"/>
  <c r="U33" i="46"/>
  <c r="T33" i="46"/>
  <c r="V34" i="46"/>
  <c r="U34" i="46"/>
  <c r="T34" i="46"/>
  <c r="R10" i="28"/>
  <c r="AI15" i="2"/>
  <c r="S15" i="2"/>
  <c r="M30" i="58"/>
  <c r="M29" i="58"/>
  <c r="F25" i="47"/>
  <c r="E25" i="47"/>
  <c r="G25" i="47" s="1"/>
  <c r="H25" i="47" s="1"/>
  <c r="O30" i="58" s="1"/>
  <c r="E24" i="47"/>
  <c r="C8" i="27"/>
  <c r="K12" i="27" s="1"/>
  <c r="C7" i="27"/>
  <c r="K11" i="27" s="1"/>
  <c r="AC33" i="46" l="1"/>
  <c r="X33" i="46"/>
  <c r="AC34" i="46"/>
  <c r="AA33" i="46"/>
  <c r="AB33" i="46" s="1"/>
  <c r="W29" i="46"/>
  <c r="W30" i="46"/>
  <c r="R11" i="28"/>
  <c r="O30" i="46"/>
  <c r="P30" i="58"/>
  <c r="L15" i="48"/>
  <c r="AH15" i="48"/>
  <c r="N30" i="58"/>
  <c r="U30" i="58"/>
  <c r="N29" i="58"/>
  <c r="C30" i="58"/>
  <c r="G24" i="47"/>
  <c r="H24" i="47" s="1"/>
  <c r="O29" i="58" s="1"/>
  <c r="AR31" i="58"/>
  <c r="BA31" i="58" s="1"/>
  <c r="AM31" i="58"/>
  <c r="AR30" i="58"/>
  <c r="BA30" i="58" s="1"/>
  <c r="AM30" i="58"/>
  <c r="AR29" i="58"/>
  <c r="BA29" i="58" s="1"/>
  <c r="AM29" i="58"/>
  <c r="M30" i="46"/>
  <c r="N30" i="46" s="1"/>
  <c r="M29" i="46"/>
  <c r="N29" i="46" s="1"/>
  <c r="AR31" i="46"/>
  <c r="BA31" i="46" s="1"/>
  <c r="AM31" i="46"/>
  <c r="AR30" i="46"/>
  <c r="BA30" i="46" s="1"/>
  <c r="AM30" i="46"/>
  <c r="AR29" i="46"/>
  <c r="BA29" i="46" s="1"/>
  <c r="AM29" i="46"/>
  <c r="N37" i="27"/>
  <c r="I24" i="47" s="1"/>
  <c r="I38" i="27"/>
  <c r="G40" i="27"/>
  <c r="G39" i="27"/>
  <c r="Q10" i="27"/>
  <c r="P9" i="27"/>
  <c r="Q9" i="27" s="1"/>
  <c r="O10" i="27"/>
  <c r="R10" i="27" s="1"/>
  <c r="O9" i="27"/>
  <c r="N38" i="27" l="1"/>
  <c r="I25" i="47" s="1"/>
  <c r="T30" i="58"/>
  <c r="U30" i="46"/>
  <c r="AD31" i="58"/>
  <c r="AD30" i="58"/>
  <c r="AD29" i="58"/>
  <c r="P11" i="27"/>
  <c r="R9" i="27"/>
  <c r="R11" i="27" s="1"/>
  <c r="Q11" i="27"/>
  <c r="V29" i="58"/>
  <c r="O29" i="46"/>
  <c r="U29" i="46" s="1"/>
  <c r="H29" i="58"/>
  <c r="V30" i="58"/>
  <c r="H30" i="58"/>
  <c r="V30" i="46"/>
  <c r="AD31" i="46"/>
  <c r="AD30" i="46"/>
  <c r="AD29" i="46"/>
  <c r="P30" i="46"/>
  <c r="T30" i="46"/>
  <c r="C30" i="46"/>
  <c r="H30" i="46"/>
  <c r="H29" i="46"/>
  <c r="Q12" i="27" l="1"/>
  <c r="R12" i="27"/>
  <c r="V29" i="46"/>
  <c r="C29" i="46"/>
  <c r="T29" i="46"/>
  <c r="P29" i="58"/>
  <c r="U29" i="58"/>
  <c r="C29" i="58"/>
  <c r="T29" i="58"/>
  <c r="P29" i="46"/>
  <c r="K30" i="58"/>
  <c r="J30" i="58"/>
  <c r="K29" i="58"/>
  <c r="J29" i="58"/>
  <c r="J30" i="46"/>
  <c r="K30" i="46"/>
  <c r="AC30" i="46" s="1"/>
  <c r="J29" i="46"/>
  <c r="K29" i="46"/>
  <c r="AC29" i="46" l="1"/>
  <c r="X29" i="46"/>
  <c r="L14" i="48"/>
  <c r="AC30" i="58"/>
  <c r="AC29" i="58"/>
  <c r="AH14" i="48" l="1"/>
  <c r="N6" i="27" l="1"/>
  <c r="N25" i="58" l="1"/>
  <c r="N24" i="58"/>
  <c r="H24" i="58" s="1"/>
  <c r="Q23" i="58"/>
  <c r="N23" i="58"/>
  <c r="N20" i="58"/>
  <c r="H20" i="58" s="1"/>
  <c r="N19" i="58"/>
  <c r="H19" i="58" s="1"/>
  <c r="E22" i="47"/>
  <c r="G22" i="47" s="1"/>
  <c r="F21" i="47"/>
  <c r="E20" i="47"/>
  <c r="E21" i="47"/>
  <c r="E19" i="47"/>
  <c r="G19" i="47" s="1"/>
  <c r="H19" i="47" s="1"/>
  <c r="O23" i="58" s="1"/>
  <c r="K7" i="29"/>
  <c r="C18" i="29"/>
  <c r="K11" i="29" s="1"/>
  <c r="C16" i="29"/>
  <c r="K10" i="29" s="1"/>
  <c r="F17" i="47"/>
  <c r="F16" i="47"/>
  <c r="E17" i="47"/>
  <c r="E16" i="47"/>
  <c r="C16" i="30"/>
  <c r="W23" i="46" l="1"/>
  <c r="W24" i="46"/>
  <c r="W25" i="46"/>
  <c r="H21" i="47"/>
  <c r="O25" i="58" s="1"/>
  <c r="G21" i="47"/>
  <c r="V23" i="58"/>
  <c r="O23" i="46"/>
  <c r="U23" i="58"/>
  <c r="P23" i="58"/>
  <c r="C23" i="58"/>
  <c r="T23" i="58"/>
  <c r="H25" i="58"/>
  <c r="H23" i="58"/>
  <c r="J24" i="58"/>
  <c r="J19" i="58"/>
  <c r="J20" i="58"/>
  <c r="G20" i="47"/>
  <c r="H20" i="47" s="1"/>
  <c r="O24" i="58" s="1"/>
  <c r="G17" i="47"/>
  <c r="H17" i="47" s="1"/>
  <c r="O20" i="58" s="1"/>
  <c r="G16" i="47"/>
  <c r="H16" i="47" s="1"/>
  <c r="O19" i="58" s="1"/>
  <c r="O25" i="46" l="1"/>
  <c r="C25" i="58"/>
  <c r="P25" i="58"/>
  <c r="T25" i="58"/>
  <c r="V25" i="58"/>
  <c r="U25" i="58"/>
  <c r="U19" i="58"/>
  <c r="U20" i="58"/>
  <c r="O24" i="46"/>
  <c r="K25" i="58"/>
  <c r="J25" i="58"/>
  <c r="K23" i="58"/>
  <c r="J23" i="58"/>
  <c r="AC25" i="58" l="1"/>
  <c r="T19" i="58"/>
  <c r="K20" i="58"/>
  <c r="V20" i="58"/>
  <c r="C19" i="58"/>
  <c r="T20" i="58"/>
  <c r="P19" i="58"/>
  <c r="K19" i="58"/>
  <c r="P20" i="58"/>
  <c r="C20" i="58"/>
  <c r="V19" i="58"/>
  <c r="U24" i="58"/>
  <c r="AA23" i="58" s="1"/>
  <c r="K24" i="58"/>
  <c r="V24" i="58"/>
  <c r="T24" i="58"/>
  <c r="P24" i="58"/>
  <c r="C24" i="58"/>
  <c r="AC23" i="58"/>
  <c r="AC19" i="58" l="1"/>
  <c r="AC20" i="58"/>
  <c r="AC24" i="58"/>
  <c r="AB23" i="58" s="1"/>
  <c r="AI14" i="2"/>
  <c r="AI13" i="2"/>
  <c r="S14" i="2"/>
  <c r="S13" i="2"/>
  <c r="AR27" i="58" l="1"/>
  <c r="BA27" i="58" s="1"/>
  <c r="AM27" i="58"/>
  <c r="AR26" i="58"/>
  <c r="BA26" i="58" s="1"/>
  <c r="AM26" i="58"/>
  <c r="AR25" i="58"/>
  <c r="BA25" i="58" s="1"/>
  <c r="AM25" i="58"/>
  <c r="AR24" i="58"/>
  <c r="BA24" i="58" s="1"/>
  <c r="AM24" i="58"/>
  <c r="AR23" i="58"/>
  <c r="BA23" i="58" s="1"/>
  <c r="AM23" i="58"/>
  <c r="AR21" i="58"/>
  <c r="BA21" i="58" s="1"/>
  <c r="AM21" i="58"/>
  <c r="AR20" i="58"/>
  <c r="BA20" i="58" s="1"/>
  <c r="AM20" i="58"/>
  <c r="AR19" i="58"/>
  <c r="BA19" i="58" s="1"/>
  <c r="AM19" i="58"/>
  <c r="AM26" i="46"/>
  <c r="AR26" i="46"/>
  <c r="BA26" i="46"/>
  <c r="AM27" i="46"/>
  <c r="AR27" i="46"/>
  <c r="BA27" i="46" s="1"/>
  <c r="Q23" i="46"/>
  <c r="U23" i="46" s="1"/>
  <c r="U25" i="46"/>
  <c r="N25" i="46"/>
  <c r="N23" i="46"/>
  <c r="AM23" i="46"/>
  <c r="AR23" i="46"/>
  <c r="BA23" i="46" s="1"/>
  <c r="N24" i="46"/>
  <c r="H24" i="46" s="1"/>
  <c r="P24" i="46"/>
  <c r="AM24" i="46"/>
  <c r="AR24" i="46"/>
  <c r="BA24" i="46" s="1"/>
  <c r="AM25" i="46"/>
  <c r="AR25" i="46"/>
  <c r="BA25" i="46" s="1"/>
  <c r="P26" i="29"/>
  <c r="O26" i="29"/>
  <c r="P10" i="29"/>
  <c r="Q10" i="29" s="1"/>
  <c r="O10" i="29"/>
  <c r="N38" i="29"/>
  <c r="I20" i="47" s="1"/>
  <c r="N39" i="29"/>
  <c r="I21" i="47" s="1"/>
  <c r="I38" i="29"/>
  <c r="G42" i="29"/>
  <c r="F42" i="29"/>
  <c r="Q17" i="29"/>
  <c r="P16" i="29"/>
  <c r="Q16" i="29" s="1"/>
  <c r="P15" i="29"/>
  <c r="O17" i="29"/>
  <c r="R17" i="29" s="1"/>
  <c r="O16" i="29"/>
  <c r="O15" i="29"/>
  <c r="Q9" i="29"/>
  <c r="Q8" i="29"/>
  <c r="O9" i="29"/>
  <c r="R9" i="29" s="1"/>
  <c r="O8" i="29"/>
  <c r="R8" i="29" s="1"/>
  <c r="N6" i="29"/>
  <c r="P25" i="30"/>
  <c r="P27" i="30" s="1"/>
  <c r="Q24" i="30"/>
  <c r="O24" i="30"/>
  <c r="R24" i="30" s="1"/>
  <c r="O20" i="46"/>
  <c r="P20" i="46" s="1"/>
  <c r="N20" i="46"/>
  <c r="N19" i="46"/>
  <c r="H19" i="46" s="1"/>
  <c r="O19" i="46"/>
  <c r="C19" i="46" s="1"/>
  <c r="AM19" i="46"/>
  <c r="AR19" i="46"/>
  <c r="BA19" i="46" s="1"/>
  <c r="AM20" i="46"/>
  <c r="AR20" i="46"/>
  <c r="BA20" i="46" s="1"/>
  <c r="AM21" i="46"/>
  <c r="AR21" i="46"/>
  <c r="BA21" i="46" s="1"/>
  <c r="N37" i="30"/>
  <c r="I16" i="47" s="1"/>
  <c r="I38" i="30"/>
  <c r="N38" i="30" s="1"/>
  <c r="I17" i="47" s="1"/>
  <c r="O26" i="30"/>
  <c r="R26" i="30" s="1"/>
  <c r="Q26" i="30"/>
  <c r="O25" i="30"/>
  <c r="Q19" i="30"/>
  <c r="Q18" i="30"/>
  <c r="Q17" i="30"/>
  <c r="P20" i="30"/>
  <c r="P8" i="30"/>
  <c r="O8" i="30"/>
  <c r="O19" i="30"/>
  <c r="R19" i="30" s="1"/>
  <c r="O18" i="30"/>
  <c r="R18" i="30" s="1"/>
  <c r="O17" i="30"/>
  <c r="R17" i="30" s="1"/>
  <c r="N6" i="30"/>
  <c r="R10" i="29" l="1"/>
  <c r="R25" i="30"/>
  <c r="R16" i="29"/>
  <c r="AD19" i="46"/>
  <c r="R15" i="29"/>
  <c r="R18" i="29" s="1"/>
  <c r="AD24" i="46"/>
  <c r="Q11" i="29"/>
  <c r="AD26" i="46"/>
  <c r="Q25" i="30"/>
  <c r="Q27" i="30" s="1"/>
  <c r="Q28" i="30" s="1"/>
  <c r="AD26" i="58"/>
  <c r="N37" i="29"/>
  <c r="I19" i="47" s="1"/>
  <c r="R11" i="29"/>
  <c r="P11" i="29"/>
  <c r="AD23" i="58"/>
  <c r="P18" i="29"/>
  <c r="AD27" i="46"/>
  <c r="Q15" i="29"/>
  <c r="Q18" i="29" s="1"/>
  <c r="AD20" i="58"/>
  <c r="AD19" i="58"/>
  <c r="AD24" i="58"/>
  <c r="AD25" i="58"/>
  <c r="AD27" i="58"/>
  <c r="R27" i="30"/>
  <c r="R28" i="30" s="1"/>
  <c r="AD21" i="46"/>
  <c r="AD21" i="58"/>
  <c r="P25" i="46"/>
  <c r="T25" i="46"/>
  <c r="V25" i="46"/>
  <c r="T24" i="46"/>
  <c r="V23" i="46"/>
  <c r="C20" i="46"/>
  <c r="V20" i="46"/>
  <c r="T20" i="46"/>
  <c r="U20" i="46"/>
  <c r="T19" i="46"/>
  <c r="AD23" i="46"/>
  <c r="C25" i="46"/>
  <c r="H25" i="46"/>
  <c r="P23" i="46"/>
  <c r="T23" i="46"/>
  <c r="C23" i="46"/>
  <c r="H23" i="46"/>
  <c r="AD25" i="46"/>
  <c r="J24" i="46"/>
  <c r="K24" i="46"/>
  <c r="AC24" i="46" s="1"/>
  <c r="V24" i="46"/>
  <c r="U24" i="46"/>
  <c r="AA23" i="46" s="1"/>
  <c r="C24" i="46"/>
  <c r="H20" i="46"/>
  <c r="AD20" i="46"/>
  <c r="J19" i="46"/>
  <c r="K19" i="46"/>
  <c r="AC19" i="46" s="1"/>
  <c r="P19" i="46"/>
  <c r="V19" i="46"/>
  <c r="U19" i="46"/>
  <c r="Q20" i="30"/>
  <c r="Q21" i="30" s="1"/>
  <c r="R20" i="30"/>
  <c r="R21" i="30" s="1"/>
  <c r="F14" i="29"/>
  <c r="F23" i="29"/>
  <c r="Q19" i="29" l="1"/>
  <c r="Q12" i="29"/>
  <c r="R12" i="29"/>
  <c r="R19" i="29"/>
  <c r="AH13" i="48"/>
  <c r="AH12" i="48"/>
  <c r="J25" i="46"/>
  <c r="K25" i="46"/>
  <c r="AC25" i="46" s="1"/>
  <c r="J23" i="46"/>
  <c r="K23" i="46"/>
  <c r="K20" i="46"/>
  <c r="AC20" i="46" s="1"/>
  <c r="J20" i="46"/>
  <c r="AN152" i="59"/>
  <c r="AC23" i="46" l="1"/>
  <c r="X23" i="46"/>
  <c r="AB23" i="46"/>
  <c r="L13" i="48"/>
  <c r="L12" i="48"/>
  <c r="AI12" i="2"/>
  <c r="AI11" i="2"/>
  <c r="S12" i="2"/>
  <c r="S11" i="2"/>
  <c r="N15" i="58"/>
  <c r="N11" i="58"/>
  <c r="H11" i="58" s="1"/>
  <c r="N10" i="58"/>
  <c r="H10" i="58" s="1"/>
  <c r="E14" i="47"/>
  <c r="G14" i="47"/>
  <c r="F12" i="47"/>
  <c r="G12" i="47" s="1"/>
  <c r="E13" i="47"/>
  <c r="G13" i="47" s="1"/>
  <c r="E12" i="47"/>
  <c r="N37" i="32"/>
  <c r="I8" i="47" s="1"/>
  <c r="E10" i="47"/>
  <c r="G10" i="47" s="1"/>
  <c r="F9" i="47"/>
  <c r="E9" i="47"/>
  <c r="F8" i="47"/>
  <c r="E8" i="47"/>
  <c r="C16" i="32"/>
  <c r="K8" i="32" s="1"/>
  <c r="C17" i="32"/>
  <c r="K9" i="32" s="1"/>
  <c r="W10" i="46" l="1"/>
  <c r="W11" i="46"/>
  <c r="G9" i="47"/>
  <c r="H12" i="47"/>
  <c r="O15" i="58" s="1"/>
  <c r="J10" i="58"/>
  <c r="H9" i="47"/>
  <c r="O11" i="58" s="1"/>
  <c r="J11" i="58"/>
  <c r="H15" i="58"/>
  <c r="G8" i="47"/>
  <c r="H8" i="47" s="1"/>
  <c r="O10" i="58" s="1"/>
  <c r="AR17" i="58"/>
  <c r="BA17" i="58" s="1"/>
  <c r="AM17" i="58"/>
  <c r="AR16" i="58"/>
  <c r="BA16" i="58" s="1"/>
  <c r="AM16" i="58"/>
  <c r="AR15" i="58"/>
  <c r="BA15" i="58" s="1"/>
  <c r="AM15" i="58"/>
  <c r="AR13" i="58"/>
  <c r="BA13" i="58" s="1"/>
  <c r="AM13" i="58"/>
  <c r="AR12" i="58"/>
  <c r="BA12" i="58" s="1"/>
  <c r="AM12" i="58"/>
  <c r="AR11" i="58"/>
  <c r="BA11" i="58" s="1"/>
  <c r="AM11" i="58"/>
  <c r="AR10" i="58"/>
  <c r="BA10" i="58" s="1"/>
  <c r="AM10" i="58"/>
  <c r="AR8" i="58"/>
  <c r="BA8" i="58" s="1"/>
  <c r="AM8" i="58"/>
  <c r="AR7" i="58"/>
  <c r="BA7" i="58" s="1"/>
  <c r="AM7" i="58"/>
  <c r="M7" i="58"/>
  <c r="AR6" i="58"/>
  <c r="BA6" i="58" s="1"/>
  <c r="AM6" i="58"/>
  <c r="N6" i="58"/>
  <c r="H6" i="58" s="1"/>
  <c r="A6" i="58"/>
  <c r="N15" i="46"/>
  <c r="AR17" i="46"/>
  <c r="BA17" i="46" s="1"/>
  <c r="AM17" i="46"/>
  <c r="AR16" i="46"/>
  <c r="BA16" i="46" s="1"/>
  <c r="AM16" i="46"/>
  <c r="AR15" i="46"/>
  <c r="BA15" i="46" s="1"/>
  <c r="AM15" i="46"/>
  <c r="I38" i="31"/>
  <c r="I12" i="47" s="1"/>
  <c r="AM13" i="46"/>
  <c r="AR13" i="46"/>
  <c r="BA13" i="46" s="1"/>
  <c r="N10" i="46"/>
  <c r="AM10" i="46"/>
  <c r="AR10" i="46"/>
  <c r="BA10" i="46" s="1"/>
  <c r="N11" i="46"/>
  <c r="AM11" i="46"/>
  <c r="AR11" i="46"/>
  <c r="BA11" i="46" s="1"/>
  <c r="AM12" i="46"/>
  <c r="AR12" i="46"/>
  <c r="BA12" i="46" s="1"/>
  <c r="I38" i="32"/>
  <c r="N38" i="32" s="1"/>
  <c r="I9" i="47" s="1"/>
  <c r="F42" i="32"/>
  <c r="G40" i="32"/>
  <c r="G38" i="32"/>
  <c r="P27" i="32"/>
  <c r="Q26" i="32"/>
  <c r="O26" i="32"/>
  <c r="R26" i="32" s="1"/>
  <c r="Q25" i="32"/>
  <c r="O25" i="32"/>
  <c r="R25" i="32" s="1"/>
  <c r="P18" i="32"/>
  <c r="Q17" i="32"/>
  <c r="O17" i="32"/>
  <c r="R17" i="32" s="1"/>
  <c r="Q16" i="32"/>
  <c r="O16" i="32"/>
  <c r="R16" i="32" s="1"/>
  <c r="Q8" i="32"/>
  <c r="P9" i="32"/>
  <c r="P10" i="32" s="1"/>
  <c r="O9" i="32"/>
  <c r="O8" i="32"/>
  <c r="R8" i="32" s="1"/>
  <c r="N6" i="32"/>
  <c r="G40" i="31"/>
  <c r="G39" i="31"/>
  <c r="G38" i="31"/>
  <c r="O10" i="31"/>
  <c r="O9" i="31"/>
  <c r="O8" i="31"/>
  <c r="N6" i="31"/>
  <c r="AD12" i="58" l="1"/>
  <c r="Q9" i="32"/>
  <c r="R9" i="32"/>
  <c r="R10" i="32" s="1"/>
  <c r="R11" i="32" s="1"/>
  <c r="R18" i="32"/>
  <c r="R19" i="32" s="1"/>
  <c r="AD17" i="58"/>
  <c r="R27" i="32"/>
  <c r="R28" i="32" s="1"/>
  <c r="Q27" i="32"/>
  <c r="Q28" i="32" s="1"/>
  <c r="AD16" i="46"/>
  <c r="AD13" i="58"/>
  <c r="O15" i="46"/>
  <c r="T15" i="46" s="1"/>
  <c r="AD6" i="58"/>
  <c r="G42" i="32"/>
  <c r="I37" i="32" s="1"/>
  <c r="AD16" i="58"/>
  <c r="O11" i="46"/>
  <c r="U11" i="46" s="1"/>
  <c r="AD10" i="58"/>
  <c r="O10" i="46"/>
  <c r="P10" i="46" s="1"/>
  <c r="AD13" i="46"/>
  <c r="AD15" i="46"/>
  <c r="AD11" i="58"/>
  <c r="AD11" i="46"/>
  <c r="AD7" i="58"/>
  <c r="AD8" i="58"/>
  <c r="J15" i="58"/>
  <c r="AD15" i="58"/>
  <c r="N7" i="58"/>
  <c r="J6" i="58"/>
  <c r="H15" i="46"/>
  <c r="AD17" i="46"/>
  <c r="AD12" i="46"/>
  <c r="AD10" i="46"/>
  <c r="H10" i="46"/>
  <c r="H11" i="46"/>
  <c r="Q18" i="32"/>
  <c r="Q19" i="32" s="1"/>
  <c r="Q10" i="32"/>
  <c r="Q11" i="32" s="1"/>
  <c r="V15" i="58" l="1"/>
  <c r="P15" i="58"/>
  <c r="T15" i="58"/>
  <c r="U15" i="58"/>
  <c r="K15" i="58"/>
  <c r="C15" i="58"/>
  <c r="C15" i="46"/>
  <c r="P15" i="46"/>
  <c r="T10" i="46"/>
  <c r="V10" i="46"/>
  <c r="U15" i="46"/>
  <c r="C11" i="46"/>
  <c r="V15" i="46"/>
  <c r="P11" i="46"/>
  <c r="T11" i="46"/>
  <c r="V11" i="46"/>
  <c r="U10" i="58"/>
  <c r="K10" i="58"/>
  <c r="P10" i="58"/>
  <c r="T10" i="58"/>
  <c r="C10" i="58"/>
  <c r="V10" i="58"/>
  <c r="U10" i="46"/>
  <c r="AA10" i="46" s="1"/>
  <c r="P11" i="58"/>
  <c r="C11" i="58"/>
  <c r="U11" i="58"/>
  <c r="T11" i="58"/>
  <c r="K11" i="58"/>
  <c r="V11" i="58"/>
  <c r="C10" i="46"/>
  <c r="H7" i="58"/>
  <c r="AH11" i="48"/>
  <c r="J15" i="46"/>
  <c r="K15" i="46"/>
  <c r="K10" i="46"/>
  <c r="J10" i="46"/>
  <c r="J11" i="46"/>
  <c r="K11" i="46"/>
  <c r="AA10" i="58" l="1"/>
  <c r="AC11" i="46"/>
  <c r="AC10" i="46"/>
  <c r="AB10" i="46" s="1"/>
  <c r="X10" i="46"/>
  <c r="L11" i="48"/>
  <c r="AC15" i="46"/>
  <c r="AC10" i="58"/>
  <c r="AH10" i="48"/>
  <c r="L10" i="48"/>
  <c r="AC11" i="58"/>
  <c r="AC15" i="58"/>
  <c r="J7" i="58"/>
  <c r="AB10" i="58" l="1"/>
  <c r="KV37" i="1"/>
  <c r="KV36" i="1"/>
  <c r="KV35" i="1"/>
  <c r="KV34" i="1"/>
  <c r="KV33" i="1"/>
  <c r="KV31" i="1"/>
  <c r="KV29" i="1"/>
  <c r="KV28" i="1"/>
  <c r="KV26" i="1"/>
  <c r="KV25" i="1"/>
  <c r="KV24" i="1"/>
  <c r="KV23" i="1"/>
  <c r="KV22" i="1"/>
  <c r="KV21" i="1"/>
  <c r="KV20" i="1"/>
  <c r="KV19" i="1"/>
  <c r="KV18" i="1"/>
  <c r="KV17" i="1"/>
  <c r="KV16" i="1"/>
  <c r="KV15" i="1"/>
  <c r="KV14" i="1"/>
  <c r="KV13" i="1"/>
  <c r="KV12" i="1"/>
  <c r="KV11" i="1"/>
  <c r="KV10" i="1"/>
  <c r="KV9" i="1"/>
  <c r="CD33" i="59" l="1"/>
  <c r="BZ33" i="59"/>
  <c r="BX33" i="59"/>
  <c r="BV33" i="59"/>
  <c r="CD32" i="59"/>
  <c r="BZ32" i="59"/>
  <c r="BX32" i="59"/>
  <c r="BV32" i="59"/>
  <c r="CD31" i="59"/>
  <c r="BZ31" i="59"/>
  <c r="BX31" i="59"/>
  <c r="BV31" i="59"/>
  <c r="CD30" i="59"/>
  <c r="BZ30" i="59"/>
  <c r="BX30" i="59"/>
  <c r="BV30" i="59"/>
  <c r="CD29" i="59"/>
  <c r="BZ29" i="59"/>
  <c r="BX29" i="59"/>
  <c r="BV29" i="59"/>
  <c r="CD28" i="59"/>
  <c r="BZ28" i="59"/>
  <c r="BX28" i="59"/>
  <c r="BV28" i="59"/>
  <c r="CD27" i="59"/>
  <c r="BZ27" i="59"/>
  <c r="BX27" i="59"/>
  <c r="BV27" i="59"/>
  <c r="CD26" i="59"/>
  <c r="BZ26" i="59"/>
  <c r="BX26" i="59"/>
  <c r="BV26" i="59"/>
  <c r="CD25" i="59"/>
  <c r="BZ25" i="59"/>
  <c r="BX25" i="59"/>
  <c r="BV25" i="59"/>
  <c r="CD24" i="59"/>
  <c r="BZ24" i="59"/>
  <c r="BX24" i="59"/>
  <c r="BV24" i="59"/>
  <c r="CD23" i="59"/>
  <c r="BZ23" i="59"/>
  <c r="BX23" i="59"/>
  <c r="BV23" i="59"/>
  <c r="CD22" i="59"/>
  <c r="BZ22" i="59"/>
  <c r="BX22" i="59"/>
  <c r="BV22" i="59"/>
  <c r="CD21" i="59"/>
  <c r="BZ21" i="59"/>
  <c r="BX21" i="59"/>
  <c r="BV21" i="59"/>
  <c r="CD19" i="59"/>
  <c r="CA19" i="59"/>
  <c r="BZ19" i="59"/>
  <c r="BY19" i="59"/>
  <c r="BX19" i="59"/>
  <c r="BW19" i="59"/>
  <c r="BV19" i="59"/>
  <c r="CD18" i="59"/>
  <c r="CA18" i="59"/>
  <c r="BZ18" i="59"/>
  <c r="BY18" i="59"/>
  <c r="BX18" i="59"/>
  <c r="BW18" i="59"/>
  <c r="BV18" i="59"/>
  <c r="CD17" i="59"/>
  <c r="CA17" i="59"/>
  <c r="BZ17" i="59"/>
  <c r="BY17" i="59"/>
  <c r="BX17" i="59"/>
  <c r="BW17" i="59"/>
  <c r="BV17" i="59"/>
  <c r="CD16" i="59"/>
  <c r="CA16" i="59"/>
  <c r="BZ16" i="59"/>
  <c r="BY16" i="59"/>
  <c r="BX16" i="59"/>
  <c r="BW16" i="59"/>
  <c r="BV16" i="59"/>
  <c r="CD15" i="59"/>
  <c r="CA15" i="59"/>
  <c r="BZ15" i="59"/>
  <c r="BY15" i="59"/>
  <c r="BX15" i="59"/>
  <c r="BW15" i="59"/>
  <c r="BV15" i="59"/>
  <c r="CD14" i="59"/>
  <c r="CA14" i="59"/>
  <c r="BZ14" i="59"/>
  <c r="BY14" i="59"/>
  <c r="BX14" i="59"/>
  <c r="BW14" i="59"/>
  <c r="BV14" i="59"/>
  <c r="CD13" i="59"/>
  <c r="CA13" i="59"/>
  <c r="BZ13" i="59"/>
  <c r="BY13" i="59"/>
  <c r="BX13" i="59"/>
  <c r="BW13" i="59"/>
  <c r="BV13" i="59"/>
  <c r="CA12" i="59"/>
  <c r="BZ12" i="59"/>
  <c r="BY12" i="59"/>
  <c r="BX12" i="59"/>
  <c r="BW12" i="59"/>
  <c r="BV12" i="59"/>
  <c r="CA11" i="59"/>
  <c r="BZ11" i="59"/>
  <c r="BY11" i="59"/>
  <c r="BX11" i="59"/>
  <c r="BW11" i="59"/>
  <c r="BV11" i="59"/>
  <c r="CA10" i="59"/>
  <c r="BZ10" i="59"/>
  <c r="BY10" i="59"/>
  <c r="BX10" i="59"/>
  <c r="BW10" i="59"/>
  <c r="BV10" i="59"/>
  <c r="CA9" i="59"/>
  <c r="BZ9" i="59"/>
  <c r="BY9" i="59"/>
  <c r="BX9" i="59"/>
  <c r="BW9" i="59"/>
  <c r="BV9" i="59"/>
  <c r="CA8" i="59"/>
  <c r="BZ8" i="59"/>
  <c r="BY8" i="59"/>
  <c r="BX8" i="59"/>
  <c r="BW8" i="59"/>
  <c r="BV8" i="59"/>
  <c r="CA7" i="59"/>
  <c r="BZ7" i="59"/>
  <c r="BY7" i="59"/>
  <c r="BX7" i="59"/>
  <c r="BW7" i="59"/>
  <c r="BV7" i="59"/>
  <c r="CA6" i="59"/>
  <c r="BZ6" i="59"/>
  <c r="BY6" i="59"/>
  <c r="BX6" i="59"/>
  <c r="BW6" i="59"/>
  <c r="BV6" i="59"/>
  <c r="CA5" i="59"/>
  <c r="BZ5" i="59"/>
  <c r="BY5" i="59"/>
  <c r="BX5" i="59"/>
  <c r="BW5" i="59"/>
  <c r="BV5" i="59"/>
  <c r="CL81" i="59" l="1"/>
  <c r="CJ81" i="59"/>
  <c r="CH81" i="59"/>
  <c r="CF81" i="59"/>
  <c r="CD81" i="59"/>
  <c r="CB81" i="59"/>
  <c r="BZ81" i="59"/>
  <c r="BX81" i="59"/>
  <c r="BV81" i="59"/>
  <c r="BT81" i="59"/>
  <c r="BR81" i="59"/>
  <c r="BP81" i="59"/>
  <c r="BN81" i="59"/>
  <c r="BL81" i="59"/>
  <c r="BJ81" i="59"/>
  <c r="BH81" i="59"/>
  <c r="BF81" i="59"/>
  <c r="BD81" i="59"/>
  <c r="BB81" i="59"/>
  <c r="AZ81" i="59"/>
  <c r="AX81" i="59"/>
  <c r="AV81" i="59"/>
  <c r="AT81" i="59"/>
  <c r="AR81" i="59"/>
  <c r="AP81" i="59"/>
  <c r="AN81" i="59"/>
  <c r="AL81" i="59"/>
  <c r="AJ81" i="59"/>
  <c r="AH81" i="59"/>
  <c r="AF81" i="59"/>
  <c r="AD81" i="59"/>
  <c r="AB81" i="59"/>
  <c r="V81" i="59"/>
  <c r="T81" i="59"/>
  <c r="R81" i="59"/>
  <c r="P81" i="59"/>
  <c r="N81" i="59"/>
  <c r="L81" i="59"/>
  <c r="J81" i="59"/>
  <c r="H81" i="59"/>
  <c r="F81" i="59"/>
  <c r="D81" i="59"/>
  <c r="B81" i="59"/>
  <c r="AX31" i="59" l="1"/>
  <c r="AX30" i="59"/>
  <c r="AX29" i="59"/>
  <c r="AX28" i="59"/>
  <c r="AX27" i="59"/>
  <c r="AX26" i="59"/>
  <c r="AX25" i="59"/>
  <c r="AX24" i="59"/>
  <c r="AX23" i="59"/>
  <c r="AX22" i="59"/>
  <c r="AX21" i="59"/>
  <c r="AX20" i="59"/>
  <c r="AX19" i="59"/>
  <c r="AX18" i="59"/>
  <c r="AX17" i="59"/>
  <c r="AX16" i="59"/>
  <c r="AX15" i="59"/>
  <c r="AX14" i="59"/>
  <c r="AX13" i="59"/>
  <c r="AU31" i="59"/>
  <c r="AU30" i="59"/>
  <c r="AU29" i="59"/>
  <c r="AU28" i="59"/>
  <c r="AU27" i="59"/>
  <c r="AU26" i="59"/>
  <c r="AU25" i="59"/>
  <c r="AU24" i="59"/>
  <c r="AU23" i="59"/>
  <c r="AU22" i="59"/>
  <c r="AU21" i="59"/>
  <c r="AU20" i="59"/>
  <c r="AU19" i="59"/>
  <c r="AU18" i="59"/>
  <c r="AU17" i="59"/>
  <c r="AU16" i="59"/>
  <c r="AU15" i="59"/>
  <c r="AU14" i="59"/>
  <c r="AU13" i="59"/>
  <c r="AU12" i="59"/>
  <c r="AU11" i="59"/>
  <c r="AU10" i="59"/>
  <c r="AU9" i="59"/>
  <c r="AU8" i="59"/>
  <c r="AU7" i="59"/>
  <c r="AU6" i="59"/>
  <c r="AU5" i="59"/>
  <c r="AU4" i="59"/>
  <c r="AT33" i="59"/>
  <c r="AT31" i="59"/>
  <c r="AT30" i="59"/>
  <c r="AT29" i="59"/>
  <c r="AT28" i="59"/>
  <c r="AT27" i="59"/>
  <c r="AT26" i="59"/>
  <c r="AT25" i="59"/>
  <c r="AT24" i="59"/>
  <c r="AT23" i="59"/>
  <c r="AT22" i="59"/>
  <c r="AT21" i="59"/>
  <c r="AT20" i="59"/>
  <c r="AT19" i="59"/>
  <c r="AT18" i="59"/>
  <c r="AT17" i="59"/>
  <c r="AT16" i="59"/>
  <c r="AT15" i="59"/>
  <c r="AT14" i="59"/>
  <c r="AT13" i="59"/>
  <c r="AT12" i="59"/>
  <c r="AT11" i="59"/>
  <c r="AT10" i="59"/>
  <c r="AT9" i="59"/>
  <c r="AT8" i="59"/>
  <c r="AT7" i="59"/>
  <c r="AT6" i="59"/>
  <c r="AT5" i="59"/>
  <c r="AT4" i="59"/>
  <c r="AQ31" i="59"/>
  <c r="AQ30" i="59"/>
  <c r="AQ29" i="59"/>
  <c r="AQ28" i="59"/>
  <c r="AQ27" i="59"/>
  <c r="AQ26" i="59"/>
  <c r="AQ25" i="59"/>
  <c r="AQ24" i="59"/>
  <c r="AQ23" i="59"/>
  <c r="AQ22" i="59"/>
  <c r="AQ21" i="59"/>
  <c r="AQ20" i="59"/>
  <c r="AQ19" i="59"/>
  <c r="AQ18" i="59"/>
  <c r="AQ17" i="59"/>
  <c r="AQ16" i="59"/>
  <c r="AQ15" i="59"/>
  <c r="AQ14" i="59"/>
  <c r="AQ13" i="59"/>
  <c r="AQ12" i="59"/>
  <c r="AQ11" i="59"/>
  <c r="AQ10" i="59"/>
  <c r="AQ9" i="59"/>
  <c r="AQ8" i="59"/>
  <c r="AQ7" i="59"/>
  <c r="AQ6" i="59"/>
  <c r="AQ5" i="59"/>
  <c r="AQ4" i="59"/>
  <c r="AP31" i="59"/>
  <c r="AP30" i="59"/>
  <c r="AP29" i="59"/>
  <c r="AP28" i="59"/>
  <c r="AP27" i="59"/>
  <c r="AP26" i="59"/>
  <c r="AP25" i="59"/>
  <c r="AP24" i="59"/>
  <c r="AP23" i="59"/>
  <c r="AP22" i="59"/>
  <c r="AP21" i="59"/>
  <c r="AP20" i="59"/>
  <c r="AP19" i="59"/>
  <c r="AP18" i="59"/>
  <c r="AP17" i="59"/>
  <c r="AP16" i="59"/>
  <c r="AP15" i="59"/>
  <c r="AP14" i="59"/>
  <c r="AP13" i="59"/>
  <c r="AP12" i="59"/>
  <c r="AP11" i="59"/>
  <c r="AP10" i="59"/>
  <c r="AP9" i="59"/>
  <c r="AP8" i="59"/>
  <c r="AP7" i="59"/>
  <c r="AP6" i="59"/>
  <c r="AP5" i="59"/>
  <c r="AP4" i="59"/>
  <c r="AJ33" i="59"/>
  <c r="AJ32" i="59"/>
  <c r="AJ31" i="59"/>
  <c r="AJ30" i="59"/>
  <c r="AJ29" i="59"/>
  <c r="AJ28" i="59"/>
  <c r="AJ27" i="59"/>
  <c r="AJ26" i="59"/>
  <c r="AJ25" i="59"/>
  <c r="AJ24" i="59"/>
  <c r="AJ23" i="59"/>
  <c r="AJ22" i="59"/>
  <c r="AJ21" i="59"/>
  <c r="AJ20" i="59"/>
  <c r="AJ19" i="59"/>
  <c r="AJ18" i="59"/>
  <c r="AJ17" i="59"/>
  <c r="AJ16" i="59"/>
  <c r="AJ15" i="59"/>
  <c r="AJ14" i="59"/>
  <c r="AJ13" i="59"/>
  <c r="AI4" i="59"/>
  <c r="AH33" i="59"/>
  <c r="AH32" i="59"/>
  <c r="AH31" i="59"/>
  <c r="AH30" i="59"/>
  <c r="AH29" i="59"/>
  <c r="AH28" i="59"/>
  <c r="AH27" i="59"/>
  <c r="AH26" i="59"/>
  <c r="AH25" i="59"/>
  <c r="AH24" i="59"/>
  <c r="AH23" i="59"/>
  <c r="AH22" i="59"/>
  <c r="AH21" i="59"/>
  <c r="AH20" i="59"/>
  <c r="AH19" i="59"/>
  <c r="AH18" i="59"/>
  <c r="AH17" i="59"/>
  <c r="AH16" i="59"/>
  <c r="AH15" i="59"/>
  <c r="AH14" i="59"/>
  <c r="AH13" i="59"/>
  <c r="AH11" i="59"/>
  <c r="AH10" i="59"/>
  <c r="AH9" i="59"/>
  <c r="AH8" i="59"/>
  <c r="AH7" i="59"/>
  <c r="AH4" i="59"/>
  <c r="AG33" i="59"/>
  <c r="AG32" i="59"/>
  <c r="AG31" i="59"/>
  <c r="AG30" i="59"/>
  <c r="AG29" i="59"/>
  <c r="AG28" i="59"/>
  <c r="AG27" i="59"/>
  <c r="AG26" i="59"/>
  <c r="AG25" i="59"/>
  <c r="AG24" i="59"/>
  <c r="AG23" i="59"/>
  <c r="AG22" i="59"/>
  <c r="AG21" i="59"/>
  <c r="AG20" i="59"/>
  <c r="AG19" i="59"/>
  <c r="AG18" i="59"/>
  <c r="AG17" i="59"/>
  <c r="AG16" i="59"/>
  <c r="AG15" i="59"/>
  <c r="AG14" i="59"/>
  <c r="AG13" i="59"/>
  <c r="AG12" i="59"/>
  <c r="AG11" i="59"/>
  <c r="AG10" i="59"/>
  <c r="AG9" i="59"/>
  <c r="AG8" i="59"/>
  <c r="AG7" i="59"/>
  <c r="AG6" i="59"/>
  <c r="AG5" i="59"/>
  <c r="AG4" i="59"/>
  <c r="AF33" i="59"/>
  <c r="AF32" i="59"/>
  <c r="AF31" i="59"/>
  <c r="AF30" i="59"/>
  <c r="AF29" i="59"/>
  <c r="AF28" i="59"/>
  <c r="AF27" i="59"/>
  <c r="AF26" i="59"/>
  <c r="AF25" i="59"/>
  <c r="AF24" i="59"/>
  <c r="AF23" i="59"/>
  <c r="AF22" i="59"/>
  <c r="AF21" i="59"/>
  <c r="AF20" i="59"/>
  <c r="AF19" i="59"/>
  <c r="AF18" i="59"/>
  <c r="AF17" i="59"/>
  <c r="AF16" i="59"/>
  <c r="AF15" i="59"/>
  <c r="AF14" i="59"/>
  <c r="AF13" i="59"/>
  <c r="AF12" i="59"/>
  <c r="AF11" i="59"/>
  <c r="AF10" i="59"/>
  <c r="AF9" i="59"/>
  <c r="AF8" i="59"/>
  <c r="AF7" i="59"/>
  <c r="AF6" i="59"/>
  <c r="AF5" i="59"/>
  <c r="AF4" i="59"/>
  <c r="AE32" i="59"/>
  <c r="AE31" i="59"/>
  <c r="AE30" i="59"/>
  <c r="AE29" i="59"/>
  <c r="AE28" i="59"/>
  <c r="AE27" i="59"/>
  <c r="AE26" i="59"/>
  <c r="AE25" i="59"/>
  <c r="AE24" i="59"/>
  <c r="AE23" i="59"/>
  <c r="AE22" i="59"/>
  <c r="AE21" i="59"/>
  <c r="AE20" i="59"/>
  <c r="AE19" i="59"/>
  <c r="AE18" i="59"/>
  <c r="AE17" i="59"/>
  <c r="AE16" i="59"/>
  <c r="AE15" i="59"/>
  <c r="AE14" i="59"/>
  <c r="AE13" i="59"/>
  <c r="AE12" i="59"/>
  <c r="AE11" i="59"/>
  <c r="AE10" i="59"/>
  <c r="AE9" i="59"/>
  <c r="AE8" i="59"/>
  <c r="AE7" i="59"/>
  <c r="AE6" i="59"/>
  <c r="AE5" i="59"/>
  <c r="AE4" i="59"/>
  <c r="AD32" i="59"/>
  <c r="AD31" i="59"/>
  <c r="AD30" i="59"/>
  <c r="AD29" i="59"/>
  <c r="AD28" i="59"/>
  <c r="AD27" i="59"/>
  <c r="AD26" i="59"/>
  <c r="AD25" i="59"/>
  <c r="AD24" i="59"/>
  <c r="AD23" i="59"/>
  <c r="AD22" i="59"/>
  <c r="AD21" i="59"/>
  <c r="AD20" i="59"/>
  <c r="AD19" i="59"/>
  <c r="AD18" i="59"/>
  <c r="AD17" i="59"/>
  <c r="AD16" i="59"/>
  <c r="AD15" i="59"/>
  <c r="AD14" i="59"/>
  <c r="AD13" i="59"/>
  <c r="AD12" i="59"/>
  <c r="AD11" i="59"/>
  <c r="AD10" i="59"/>
  <c r="AD9" i="59"/>
  <c r="AD8" i="59"/>
  <c r="AD7" i="59"/>
  <c r="AD6" i="59"/>
  <c r="AD5" i="59"/>
  <c r="AC33" i="59"/>
  <c r="AC32" i="59"/>
  <c r="AC31" i="59"/>
  <c r="AC30" i="59"/>
  <c r="AC29" i="59"/>
  <c r="AC28" i="59"/>
  <c r="AC27" i="59"/>
  <c r="AC26" i="59"/>
  <c r="AC25" i="59"/>
  <c r="AC24" i="59"/>
  <c r="AC23" i="59"/>
  <c r="AC22" i="59"/>
  <c r="AC21" i="59"/>
  <c r="AC20" i="59"/>
  <c r="AC19" i="59"/>
  <c r="AC18" i="59"/>
  <c r="AC17" i="59"/>
  <c r="AC16" i="59"/>
  <c r="AC15" i="59"/>
  <c r="AC14" i="59"/>
  <c r="AC13" i="59"/>
  <c r="AC12" i="59"/>
  <c r="AC11" i="59"/>
  <c r="AC10" i="59"/>
  <c r="AC9" i="59"/>
  <c r="AC8" i="59"/>
  <c r="AC7" i="59"/>
  <c r="AC6" i="59"/>
  <c r="AC5" i="59"/>
  <c r="AC4" i="59"/>
  <c r="AB33" i="59"/>
  <c r="AB32" i="59"/>
  <c r="AB31" i="59"/>
  <c r="AB30" i="59"/>
  <c r="AB29" i="59"/>
  <c r="AB28" i="59"/>
  <c r="AB27" i="59"/>
  <c r="AB26" i="59"/>
  <c r="AB25" i="59"/>
  <c r="AB24" i="59"/>
  <c r="AB23" i="59"/>
  <c r="AB22" i="59"/>
  <c r="AB21" i="59"/>
  <c r="AB20" i="59"/>
  <c r="AB19" i="59"/>
  <c r="AB18" i="59"/>
  <c r="AB17" i="59"/>
  <c r="AB16" i="59"/>
  <c r="AB15" i="59"/>
  <c r="AB14" i="59"/>
  <c r="AB13" i="59"/>
  <c r="AB12" i="59"/>
  <c r="AB11" i="59"/>
  <c r="AB10" i="59"/>
  <c r="AB9" i="59"/>
  <c r="AB8" i="59"/>
  <c r="AB7" i="59"/>
  <c r="AB6" i="59"/>
  <c r="AB5" i="59"/>
  <c r="CA4" i="59"/>
  <c r="BZ4" i="59"/>
  <c r="BY4" i="59"/>
  <c r="BX4" i="59"/>
  <c r="BW4" i="59"/>
  <c r="BV4" i="59"/>
  <c r="AD4" i="59"/>
  <c r="AB4" i="59"/>
  <c r="AO20" i="45" l="1"/>
  <c r="AO19" i="45"/>
  <c r="AO18" i="45"/>
  <c r="AO17" i="45"/>
  <c r="AO16" i="45"/>
  <c r="AO15" i="45"/>
  <c r="AO14" i="45"/>
  <c r="AO13" i="45"/>
  <c r="AO12" i="45"/>
  <c r="AO11" i="45"/>
  <c r="AO10" i="45"/>
  <c r="AO9" i="45"/>
  <c r="AO8" i="45"/>
  <c r="AK20" i="45"/>
  <c r="AK19" i="45"/>
  <c r="AK18" i="45"/>
  <c r="AK17" i="45"/>
  <c r="AK16" i="45"/>
  <c r="AK15" i="45"/>
  <c r="AK14" i="45"/>
  <c r="AK13" i="45"/>
  <c r="AK12" i="45"/>
  <c r="AK11" i="45"/>
  <c r="AK10" i="45"/>
  <c r="AK9" i="45"/>
  <c r="AK8" i="45"/>
  <c r="AG20" i="45"/>
  <c r="AG19" i="45"/>
  <c r="AG18" i="45"/>
  <c r="AG17" i="45"/>
  <c r="AG16" i="45"/>
  <c r="AG15" i="45"/>
  <c r="AG14" i="45"/>
  <c r="AG13" i="45"/>
  <c r="AG12" i="45"/>
  <c r="AG11" i="45"/>
  <c r="AG10" i="45"/>
  <c r="AG9" i="45"/>
  <c r="AG8" i="45"/>
  <c r="AC20" i="45"/>
  <c r="AC19" i="45"/>
  <c r="AC18" i="45"/>
  <c r="AC17" i="45"/>
  <c r="AC16" i="45"/>
  <c r="AC15" i="45"/>
  <c r="AC14" i="45"/>
  <c r="AC13" i="45"/>
  <c r="AC12" i="45"/>
  <c r="AC11" i="45"/>
  <c r="AC10" i="45"/>
  <c r="AC9" i="45"/>
  <c r="AC8" i="45"/>
  <c r="Y20" i="45"/>
  <c r="Y19" i="45"/>
  <c r="Y18" i="45"/>
  <c r="Y17" i="45"/>
  <c r="Y16" i="45"/>
  <c r="Y15" i="45"/>
  <c r="Y14" i="45"/>
  <c r="Y13" i="45"/>
  <c r="Y12" i="45"/>
  <c r="Y11" i="45"/>
  <c r="Y10" i="45"/>
  <c r="Y9" i="45"/>
  <c r="Y8" i="45"/>
  <c r="U20" i="45"/>
  <c r="U19" i="45"/>
  <c r="U18" i="45"/>
  <c r="U17" i="45"/>
  <c r="U16" i="45"/>
  <c r="U15" i="45"/>
  <c r="U14" i="45"/>
  <c r="U13" i="45"/>
  <c r="U12" i="45"/>
  <c r="U11" i="45"/>
  <c r="U10" i="45"/>
  <c r="U9" i="45"/>
  <c r="U8" i="45"/>
  <c r="Q20" i="45"/>
  <c r="Q19" i="45"/>
  <c r="Q18" i="45"/>
  <c r="Q17" i="45"/>
  <c r="Q16" i="45"/>
  <c r="Q15" i="45"/>
  <c r="Q14" i="45"/>
  <c r="Q13" i="45"/>
  <c r="Q12" i="45"/>
  <c r="Q11" i="45"/>
  <c r="Q10" i="45"/>
  <c r="Q9" i="45"/>
  <c r="Q8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I20" i="45"/>
  <c r="I19" i="45"/>
  <c r="I18" i="45"/>
  <c r="I17" i="45"/>
  <c r="I16" i="45"/>
  <c r="I15" i="45"/>
  <c r="I14" i="45"/>
  <c r="I13" i="45"/>
  <c r="I12" i="45"/>
  <c r="I11" i="45"/>
  <c r="I10" i="45"/>
  <c r="I9" i="45"/>
  <c r="I8" i="45"/>
  <c r="E20" i="45"/>
  <c r="E19" i="45"/>
  <c r="E18" i="45"/>
  <c r="E17" i="45"/>
  <c r="E16" i="45"/>
  <c r="E15" i="45"/>
  <c r="E14" i="45"/>
  <c r="E13" i="45"/>
  <c r="E12" i="45"/>
  <c r="E11" i="45"/>
  <c r="E10" i="45"/>
  <c r="E9" i="45"/>
  <c r="E8" i="45"/>
  <c r="F4" i="47"/>
  <c r="E5" i="47"/>
  <c r="E4" i="47"/>
  <c r="E6" i="47"/>
  <c r="C26" i="33"/>
  <c r="K8" i="33" s="1"/>
  <c r="C25" i="33"/>
  <c r="K7" i="33" s="1"/>
  <c r="AI10" i="2"/>
  <c r="S10" i="2"/>
  <c r="W7" i="46" l="1"/>
  <c r="W6" i="46"/>
  <c r="H4" i="47"/>
  <c r="CF44" i="59"/>
  <c r="BP44" i="59"/>
  <c r="AN44" i="59"/>
  <c r="O6" i="58" l="1"/>
  <c r="K6" i="58" s="1"/>
  <c r="U6" i="58"/>
  <c r="C6" i="58"/>
  <c r="P6" i="58"/>
  <c r="T6" i="58"/>
  <c r="V6" i="58"/>
  <c r="O6" i="46"/>
  <c r="AC6" i="58" l="1"/>
  <c r="T33" i="59"/>
  <c r="R33" i="59"/>
  <c r="P33" i="59"/>
  <c r="N33" i="59"/>
  <c r="L33" i="59"/>
  <c r="U31" i="59"/>
  <c r="T31" i="59"/>
  <c r="R31" i="59"/>
  <c r="Q31" i="59"/>
  <c r="P31" i="59"/>
  <c r="M31" i="59"/>
  <c r="L31" i="59"/>
  <c r="U30" i="59"/>
  <c r="T30" i="59"/>
  <c r="R30" i="59"/>
  <c r="Q30" i="59"/>
  <c r="P30" i="59"/>
  <c r="O30" i="59"/>
  <c r="N30" i="59"/>
  <c r="M30" i="59"/>
  <c r="L30" i="59"/>
  <c r="U29" i="59"/>
  <c r="T29" i="59"/>
  <c r="R29" i="59"/>
  <c r="Q29" i="59"/>
  <c r="P29" i="59"/>
  <c r="O29" i="59"/>
  <c r="N29" i="59"/>
  <c r="M29" i="59"/>
  <c r="L29" i="59"/>
  <c r="U28" i="59"/>
  <c r="T28" i="59"/>
  <c r="R28" i="59"/>
  <c r="Q28" i="59"/>
  <c r="P28" i="59"/>
  <c r="O28" i="59"/>
  <c r="N28" i="59"/>
  <c r="M28" i="59"/>
  <c r="L28" i="59"/>
  <c r="U27" i="59"/>
  <c r="T27" i="59"/>
  <c r="R27" i="59"/>
  <c r="Q27" i="59"/>
  <c r="P27" i="59"/>
  <c r="O27" i="59"/>
  <c r="N27" i="59"/>
  <c r="M27" i="59"/>
  <c r="L27" i="59"/>
  <c r="U26" i="59"/>
  <c r="T26" i="59"/>
  <c r="R26" i="59"/>
  <c r="Q26" i="59"/>
  <c r="P26" i="59"/>
  <c r="O26" i="59"/>
  <c r="N26" i="59"/>
  <c r="M26" i="59"/>
  <c r="L26" i="59"/>
  <c r="U25" i="59"/>
  <c r="T25" i="59"/>
  <c r="R25" i="59"/>
  <c r="Q25" i="59"/>
  <c r="P25" i="59"/>
  <c r="O25" i="59"/>
  <c r="N25" i="59"/>
  <c r="M25" i="59"/>
  <c r="L25" i="59"/>
  <c r="U24" i="59"/>
  <c r="T24" i="59"/>
  <c r="R24" i="59"/>
  <c r="Q24" i="59"/>
  <c r="P24" i="59"/>
  <c r="O24" i="59"/>
  <c r="N24" i="59"/>
  <c r="M24" i="59"/>
  <c r="L24" i="59"/>
  <c r="U23" i="59"/>
  <c r="T23" i="59"/>
  <c r="R23" i="59"/>
  <c r="Q23" i="59"/>
  <c r="P23" i="59"/>
  <c r="O23" i="59"/>
  <c r="N23" i="59"/>
  <c r="M23" i="59"/>
  <c r="L23" i="59"/>
  <c r="U22" i="59"/>
  <c r="T22" i="59"/>
  <c r="R22" i="59"/>
  <c r="Q22" i="59"/>
  <c r="P22" i="59"/>
  <c r="O22" i="59"/>
  <c r="N22" i="59"/>
  <c r="M22" i="59"/>
  <c r="L22" i="59"/>
  <c r="U21" i="59"/>
  <c r="T21" i="59"/>
  <c r="R21" i="59"/>
  <c r="Q21" i="59"/>
  <c r="P21" i="59"/>
  <c r="O21" i="59"/>
  <c r="N21" i="59"/>
  <c r="M21" i="59"/>
  <c r="L21" i="59"/>
  <c r="U20" i="59"/>
  <c r="T20" i="59"/>
  <c r="Q20" i="59"/>
  <c r="P20" i="59"/>
  <c r="O20" i="59"/>
  <c r="N20" i="59"/>
  <c r="M20" i="59"/>
  <c r="L20" i="59"/>
  <c r="U19" i="59"/>
  <c r="T19" i="59"/>
  <c r="S19" i="59"/>
  <c r="R19" i="59"/>
  <c r="Q19" i="59"/>
  <c r="P19" i="59"/>
  <c r="O19" i="59"/>
  <c r="N19" i="59"/>
  <c r="M19" i="59"/>
  <c r="L19" i="59"/>
  <c r="U18" i="59"/>
  <c r="T18" i="59"/>
  <c r="S18" i="59"/>
  <c r="R18" i="59"/>
  <c r="Q18" i="59"/>
  <c r="P18" i="59"/>
  <c r="O18" i="59"/>
  <c r="N18" i="59"/>
  <c r="M18" i="59"/>
  <c r="L18" i="59"/>
  <c r="U17" i="59"/>
  <c r="T17" i="59"/>
  <c r="S17" i="59"/>
  <c r="R17" i="59"/>
  <c r="Q17" i="59"/>
  <c r="P17" i="59"/>
  <c r="O17" i="59"/>
  <c r="N17" i="59"/>
  <c r="M17" i="59"/>
  <c r="L17" i="59"/>
  <c r="U16" i="59"/>
  <c r="T16" i="59"/>
  <c r="S16" i="59"/>
  <c r="R16" i="59"/>
  <c r="Q16" i="59"/>
  <c r="P16" i="59"/>
  <c r="O16" i="59"/>
  <c r="N16" i="59"/>
  <c r="M16" i="59"/>
  <c r="L16" i="59"/>
  <c r="U15" i="59"/>
  <c r="T15" i="59"/>
  <c r="S15" i="59"/>
  <c r="R15" i="59"/>
  <c r="Q15" i="59"/>
  <c r="P15" i="59"/>
  <c r="O15" i="59"/>
  <c r="N15" i="59"/>
  <c r="M15" i="59"/>
  <c r="L15" i="59"/>
  <c r="U14" i="59"/>
  <c r="T14" i="59"/>
  <c r="S14" i="59"/>
  <c r="R14" i="59"/>
  <c r="Q14" i="59"/>
  <c r="P14" i="59"/>
  <c r="O14" i="59"/>
  <c r="N14" i="59"/>
  <c r="M14" i="59"/>
  <c r="L14" i="59"/>
  <c r="U13" i="59"/>
  <c r="T13" i="59"/>
  <c r="S13" i="59"/>
  <c r="R13" i="59"/>
  <c r="Q13" i="59"/>
  <c r="P13" i="59"/>
  <c r="O13" i="59"/>
  <c r="N13" i="59"/>
  <c r="M13" i="59"/>
  <c r="L13" i="59"/>
  <c r="U12" i="59"/>
  <c r="T12" i="59"/>
  <c r="S12" i="59"/>
  <c r="R12" i="59"/>
  <c r="Q12" i="59"/>
  <c r="P12" i="59"/>
  <c r="O12" i="59"/>
  <c r="N12" i="59"/>
  <c r="M12" i="59"/>
  <c r="L12" i="59"/>
  <c r="U11" i="59"/>
  <c r="T11" i="59"/>
  <c r="S11" i="59"/>
  <c r="R11" i="59"/>
  <c r="Q11" i="59"/>
  <c r="P11" i="59"/>
  <c r="O11" i="59"/>
  <c r="N11" i="59"/>
  <c r="M11" i="59"/>
  <c r="L11" i="59"/>
  <c r="U10" i="59"/>
  <c r="T10" i="59"/>
  <c r="S10" i="59"/>
  <c r="R10" i="59"/>
  <c r="Q10" i="59"/>
  <c r="P10" i="59"/>
  <c r="O10" i="59"/>
  <c r="N10" i="59"/>
  <c r="M10" i="59"/>
  <c r="L10" i="59"/>
  <c r="U9" i="59"/>
  <c r="T9" i="59"/>
  <c r="S9" i="59"/>
  <c r="R9" i="59"/>
  <c r="Q9" i="59"/>
  <c r="P9" i="59"/>
  <c r="O9" i="59"/>
  <c r="N9" i="59"/>
  <c r="M9" i="59"/>
  <c r="L9" i="59"/>
  <c r="U8" i="59"/>
  <c r="T8" i="59"/>
  <c r="S8" i="59"/>
  <c r="R8" i="59"/>
  <c r="Q8" i="59"/>
  <c r="P8" i="59"/>
  <c r="O8" i="59"/>
  <c r="N8" i="59"/>
  <c r="M8" i="59"/>
  <c r="L8" i="59"/>
  <c r="U7" i="59"/>
  <c r="T7" i="59"/>
  <c r="S7" i="59"/>
  <c r="R7" i="59"/>
  <c r="Q7" i="59"/>
  <c r="P7" i="59"/>
  <c r="O7" i="59"/>
  <c r="N7" i="59"/>
  <c r="M7" i="59"/>
  <c r="L7" i="59"/>
  <c r="U6" i="59"/>
  <c r="T6" i="59"/>
  <c r="S6" i="59"/>
  <c r="R6" i="59"/>
  <c r="Q6" i="59"/>
  <c r="P6" i="59"/>
  <c r="O6" i="59"/>
  <c r="N6" i="59"/>
  <c r="M6" i="59"/>
  <c r="L6" i="59"/>
  <c r="U5" i="59"/>
  <c r="T5" i="59"/>
  <c r="S5" i="59"/>
  <c r="R5" i="59"/>
  <c r="Q5" i="59"/>
  <c r="P5" i="59"/>
  <c r="O5" i="59"/>
  <c r="N5" i="59"/>
  <c r="M5" i="59"/>
  <c r="L5" i="59"/>
  <c r="M7" i="46"/>
  <c r="N38" i="33"/>
  <c r="I6" i="47" s="1"/>
  <c r="I38" i="33"/>
  <c r="G39" i="33"/>
  <c r="G38" i="33"/>
  <c r="P27" i="33"/>
  <c r="Q26" i="33"/>
  <c r="O26" i="33"/>
  <c r="R26" i="33" s="1"/>
  <c r="Q25" i="33"/>
  <c r="O25" i="33"/>
  <c r="R25" i="33" s="1"/>
  <c r="Q10" i="33"/>
  <c r="Q9" i="33"/>
  <c r="Q8" i="33"/>
  <c r="P11" i="33"/>
  <c r="R27" i="33" l="1"/>
  <c r="R28" i="33" s="1"/>
  <c r="N37" i="33"/>
  <c r="I4" i="47" s="1"/>
  <c r="N7" i="46"/>
  <c r="H7" i="46" s="1"/>
  <c r="J7" i="46" s="1"/>
  <c r="Q27" i="33"/>
  <c r="Q28" i="33" s="1"/>
  <c r="Q11" i="33"/>
  <c r="Q12" i="33" s="1"/>
  <c r="O10" i="33"/>
  <c r="R10" i="33" s="1"/>
  <c r="O9" i="33"/>
  <c r="R9" i="33" s="1"/>
  <c r="O8" i="33"/>
  <c r="R8" i="33" s="1"/>
  <c r="N6" i="33"/>
  <c r="R11" i="33" l="1"/>
  <c r="R12" i="33" s="1"/>
  <c r="BA4" i="59"/>
  <c r="AZ4" i="59"/>
  <c r="U4" i="59"/>
  <c r="T4" i="59"/>
  <c r="S4" i="59"/>
  <c r="R4" i="59"/>
  <c r="Q4" i="59"/>
  <c r="P4" i="59"/>
  <c r="O4" i="59"/>
  <c r="N4" i="59"/>
  <c r="M4" i="59"/>
  <c r="L4" i="59"/>
  <c r="A4" i="59"/>
  <c r="A5" i="59" s="1"/>
  <c r="A6" i="59" s="1"/>
  <c r="A7" i="59" s="1"/>
  <c r="A8" i="59" s="1"/>
  <c r="A9" i="59" s="1"/>
  <c r="A10" i="59" s="1"/>
  <c r="A11" i="59" s="1"/>
  <c r="A12" i="59" s="1"/>
  <c r="A13" i="59" s="1"/>
  <c r="A14" i="59" s="1"/>
  <c r="A15" i="59" s="1"/>
  <c r="A16" i="59" s="1"/>
  <c r="A17" i="59" s="1"/>
  <c r="A18" i="59" s="1"/>
  <c r="A19" i="59" s="1"/>
  <c r="A20" i="59" s="1"/>
  <c r="A21" i="59" s="1"/>
  <c r="A22" i="59" s="1"/>
  <c r="A23" i="59" s="1"/>
  <c r="A24" i="59" s="1"/>
  <c r="A25" i="59" s="1"/>
  <c r="A26" i="59" s="1"/>
  <c r="A27" i="59" s="1"/>
  <c r="A28" i="59" s="1"/>
  <c r="A29" i="59" s="1"/>
  <c r="A30" i="59" s="1"/>
  <c r="A31" i="59" s="1"/>
  <c r="A32" i="59" s="1"/>
  <c r="A33" i="59" s="1"/>
  <c r="BA33" i="59"/>
  <c r="AZ44" i="59" s="1"/>
  <c r="AZ33" i="59"/>
  <c r="AF44" i="59"/>
  <c r="AB44" i="59"/>
  <c r="BA32" i="59"/>
  <c r="AZ32" i="59"/>
  <c r="BA31" i="59"/>
  <c r="AZ31" i="59"/>
  <c r="BA30" i="59"/>
  <c r="AZ30" i="59"/>
  <c r="BA29" i="59"/>
  <c r="AZ29" i="59"/>
  <c r="BA28" i="59"/>
  <c r="AZ28" i="59"/>
  <c r="BA27" i="59"/>
  <c r="AZ27" i="59"/>
  <c r="BA26" i="59"/>
  <c r="AZ26" i="59"/>
  <c r="BA25" i="59"/>
  <c r="AZ25" i="59"/>
  <c r="BA24" i="59"/>
  <c r="AZ24" i="59"/>
  <c r="BA23" i="59"/>
  <c r="AZ23" i="59"/>
  <c r="BA22" i="59"/>
  <c r="AZ22" i="59"/>
  <c r="BA21" i="59"/>
  <c r="AZ21" i="59"/>
  <c r="BA20" i="59"/>
  <c r="AZ20" i="59"/>
  <c r="BA19" i="59"/>
  <c r="AZ19" i="59"/>
  <c r="BA18" i="59"/>
  <c r="AZ18" i="59"/>
  <c r="BA17" i="59"/>
  <c r="AZ17" i="59"/>
  <c r="BA16" i="59"/>
  <c r="AZ16" i="59"/>
  <c r="BA15" i="59"/>
  <c r="AZ15" i="59"/>
  <c r="BA14" i="59"/>
  <c r="AZ14" i="59"/>
  <c r="BA13" i="59"/>
  <c r="AZ13" i="59"/>
  <c r="BA12" i="59"/>
  <c r="AZ12" i="59"/>
  <c r="BA11" i="59"/>
  <c r="AZ11" i="59"/>
  <c r="BA10" i="59"/>
  <c r="AZ10" i="59"/>
  <c r="BA9" i="59"/>
  <c r="AZ9" i="59"/>
  <c r="BA8" i="59"/>
  <c r="AZ8" i="59"/>
  <c r="BA7" i="59"/>
  <c r="AZ7" i="59"/>
  <c r="BA6" i="59"/>
  <c r="AZ6" i="59"/>
  <c r="BA5" i="59"/>
  <c r="AZ5" i="59"/>
  <c r="CL152" i="59"/>
  <c r="CJ152" i="59"/>
  <c r="CH152" i="59"/>
  <c r="CF152" i="59"/>
  <c r="CD152" i="59"/>
  <c r="CB152" i="59"/>
  <c r="BZ152" i="59"/>
  <c r="BX152" i="59"/>
  <c r="BV152" i="59"/>
  <c r="BT152" i="59"/>
  <c r="BR152" i="59"/>
  <c r="BP152" i="59"/>
  <c r="BN152" i="59"/>
  <c r="BL152" i="59"/>
  <c r="BJ152" i="59"/>
  <c r="BH152" i="59"/>
  <c r="BD152" i="59"/>
  <c r="BB152" i="59"/>
  <c r="AZ152" i="59"/>
  <c r="AX152" i="59"/>
  <c r="AV152" i="59"/>
  <c r="AT152" i="59"/>
  <c r="AR152" i="59"/>
  <c r="AP152" i="59"/>
  <c r="AL152" i="59"/>
  <c r="AJ152" i="59"/>
  <c r="AH152" i="59"/>
  <c r="AF152" i="59"/>
  <c r="AD152" i="59"/>
  <c r="AB152" i="59"/>
  <c r="V152" i="59"/>
  <c r="T152" i="59"/>
  <c r="R152" i="59"/>
  <c r="P152" i="59"/>
  <c r="N152" i="59"/>
  <c r="L152" i="59"/>
  <c r="J152" i="59"/>
  <c r="H152" i="59"/>
  <c r="F152" i="59"/>
  <c r="D152" i="59"/>
  <c r="B152" i="59"/>
  <c r="CL115" i="59"/>
  <c r="CJ115" i="59"/>
  <c r="CH115" i="59"/>
  <c r="CF115" i="59"/>
  <c r="CD115" i="59"/>
  <c r="CB115" i="59"/>
  <c r="BZ115" i="59"/>
  <c r="BX115" i="59"/>
  <c r="BV115" i="59"/>
  <c r="BT115" i="59"/>
  <c r="BR115" i="59"/>
  <c r="BP115" i="59"/>
  <c r="BN115" i="59"/>
  <c r="BL115" i="59"/>
  <c r="BJ115" i="59"/>
  <c r="BH115" i="59"/>
  <c r="BD115" i="59"/>
  <c r="BB115" i="59"/>
  <c r="AZ115" i="59"/>
  <c r="AX115" i="59"/>
  <c r="AV115" i="59"/>
  <c r="AT115" i="59"/>
  <c r="AR115" i="59"/>
  <c r="AP115" i="59"/>
  <c r="AN115" i="59"/>
  <c r="AL115" i="59"/>
  <c r="AJ115" i="59"/>
  <c r="AH115" i="59"/>
  <c r="AF115" i="59"/>
  <c r="AD115" i="59"/>
  <c r="AB115" i="59"/>
  <c r="V115" i="59"/>
  <c r="T115" i="59"/>
  <c r="R115" i="59"/>
  <c r="P115" i="59"/>
  <c r="N115" i="59"/>
  <c r="L115" i="59"/>
  <c r="J115" i="59"/>
  <c r="H115" i="59"/>
  <c r="F115" i="59"/>
  <c r="D115" i="59"/>
  <c r="B115" i="59"/>
  <c r="U6" i="46"/>
  <c r="N6" i="46"/>
  <c r="V6" i="46" s="1"/>
  <c r="P6" i="46" l="1"/>
  <c r="T6" i="46"/>
  <c r="C6" i="46"/>
  <c r="H6" i="46"/>
  <c r="J6" i="46" l="1"/>
  <c r="K6" i="46"/>
  <c r="AC6" i="46" l="1"/>
  <c r="A6" i="46"/>
  <c r="B1" i="47"/>
  <c r="A8" i="45"/>
  <c r="CF36" i="59" l="1"/>
  <c r="CB36" i="59"/>
  <c r="BP36" i="59"/>
  <c r="BL36" i="59"/>
  <c r="CF37" i="59"/>
  <c r="CB37" i="59"/>
  <c r="BP37" i="59"/>
  <c r="BL37" i="59"/>
  <c r="CF38" i="59"/>
  <c r="CB38" i="59"/>
  <c r="BP38" i="59"/>
  <c r="BL38" i="59"/>
  <c r="CF39" i="59"/>
  <c r="CB39" i="59"/>
  <c r="BP39" i="59"/>
  <c r="BL39" i="59"/>
  <c r="CF41" i="59"/>
  <c r="CB41" i="59"/>
  <c r="BP41" i="59"/>
  <c r="BL41" i="59"/>
  <c r="CF42" i="59"/>
  <c r="CB42" i="59"/>
  <c r="BP42" i="59"/>
  <c r="BL42" i="59"/>
  <c r="CF43" i="59"/>
  <c r="CB43" i="59"/>
  <c r="BP43" i="59"/>
  <c r="BL43" i="59"/>
  <c r="CF40" i="59"/>
  <c r="CB40" i="59"/>
  <c r="BP40" i="59"/>
  <c r="BL40" i="59"/>
  <c r="BB36" i="59" l="1"/>
  <c r="BB39" i="59"/>
  <c r="BB40" i="59"/>
  <c r="BB38" i="59"/>
  <c r="BB43" i="59"/>
  <c r="BB37" i="59"/>
  <c r="BB42" i="59"/>
  <c r="BB41" i="59"/>
  <c r="T39" i="59"/>
  <c r="T40" i="59"/>
  <c r="T36" i="59"/>
  <c r="T38" i="59"/>
  <c r="T43" i="59"/>
  <c r="T37" i="59"/>
  <c r="T42" i="59"/>
  <c r="T41" i="59"/>
  <c r="N37" i="59"/>
  <c r="N42" i="59"/>
  <c r="N39" i="59"/>
  <c r="N36" i="59"/>
  <c r="N41" i="59"/>
  <c r="N43" i="59"/>
  <c r="N40" i="59"/>
  <c r="N38" i="59"/>
  <c r="V39" i="59"/>
  <c r="V40" i="59"/>
  <c r="V37" i="59"/>
  <c r="V41" i="59"/>
  <c r="V38" i="59"/>
  <c r="V43" i="59"/>
  <c r="V42" i="59"/>
  <c r="V36" i="59"/>
  <c r="AF37" i="59"/>
  <c r="AF42" i="59"/>
  <c r="AF39" i="59"/>
  <c r="AF43" i="59"/>
  <c r="AF36" i="59"/>
  <c r="AF41" i="59"/>
  <c r="AF40" i="59"/>
  <c r="AF38" i="59"/>
  <c r="AN39" i="59"/>
  <c r="AN40" i="59"/>
  <c r="AN42" i="59"/>
  <c r="AN38" i="59"/>
  <c r="AN43" i="59"/>
  <c r="AN37" i="59"/>
  <c r="AN36" i="59"/>
  <c r="AN41" i="59"/>
  <c r="AV37" i="59"/>
  <c r="AV42" i="59"/>
  <c r="AV43" i="59"/>
  <c r="AV40" i="59"/>
  <c r="AV36" i="59"/>
  <c r="AV41" i="59"/>
  <c r="AV39" i="59"/>
  <c r="AV38" i="59"/>
  <c r="BD39" i="59"/>
  <c r="BD40" i="59"/>
  <c r="BD37" i="59"/>
  <c r="BD38" i="59"/>
  <c r="BD43" i="59"/>
  <c r="BD42" i="59"/>
  <c r="BD36" i="59"/>
  <c r="BD41" i="59"/>
  <c r="BN36" i="59"/>
  <c r="BN41" i="59"/>
  <c r="BN37" i="59"/>
  <c r="BN39" i="59"/>
  <c r="BN40" i="59"/>
  <c r="BN38" i="59"/>
  <c r="BN43" i="59"/>
  <c r="BN42" i="59"/>
  <c r="BX38" i="59"/>
  <c r="BX43" i="59"/>
  <c r="BX37" i="59"/>
  <c r="BX42" i="59"/>
  <c r="BX41" i="59"/>
  <c r="BX36" i="59"/>
  <c r="BX40" i="59"/>
  <c r="BX39" i="59"/>
  <c r="AT37" i="59"/>
  <c r="AT42" i="59"/>
  <c r="AT36" i="59"/>
  <c r="AT41" i="59"/>
  <c r="AT39" i="59"/>
  <c r="AT40" i="59"/>
  <c r="AT43" i="59"/>
  <c r="AT38" i="59"/>
  <c r="AL39" i="59"/>
  <c r="AL40" i="59"/>
  <c r="AL38" i="59"/>
  <c r="AL43" i="59"/>
  <c r="AL37" i="59"/>
  <c r="AL42" i="59"/>
  <c r="AL36" i="59"/>
  <c r="AL41" i="59"/>
  <c r="P36" i="59"/>
  <c r="P41" i="59"/>
  <c r="P39" i="59"/>
  <c r="P40" i="59"/>
  <c r="P38" i="59"/>
  <c r="P43" i="59"/>
  <c r="P37" i="59"/>
  <c r="P42" i="59"/>
  <c r="AH36" i="59"/>
  <c r="AH41" i="59"/>
  <c r="AH37" i="59"/>
  <c r="AH39" i="59"/>
  <c r="AH40" i="59"/>
  <c r="AH38" i="59"/>
  <c r="AH43" i="59"/>
  <c r="AH42" i="59"/>
  <c r="AP38" i="59"/>
  <c r="AP43" i="59"/>
  <c r="AP37" i="59"/>
  <c r="AP42" i="59"/>
  <c r="AP36" i="59"/>
  <c r="AP41" i="59"/>
  <c r="AP40" i="59"/>
  <c r="AP39" i="59"/>
  <c r="AX36" i="59"/>
  <c r="AX41" i="59"/>
  <c r="AX39" i="59"/>
  <c r="AX40" i="59"/>
  <c r="AX38" i="59"/>
  <c r="AX43" i="59"/>
  <c r="AX37" i="59"/>
  <c r="AX42" i="59"/>
  <c r="BF38" i="59"/>
  <c r="BF43" i="59"/>
  <c r="BF37" i="59"/>
  <c r="BF42" i="59"/>
  <c r="BF36" i="59"/>
  <c r="BF41" i="59"/>
  <c r="BF39" i="59"/>
  <c r="BF40" i="59"/>
  <c r="BR39" i="59"/>
  <c r="BR40" i="59"/>
  <c r="BR38" i="59"/>
  <c r="BR43" i="59"/>
  <c r="BR36" i="59"/>
  <c r="BR37" i="59"/>
  <c r="BR42" i="59"/>
  <c r="BR41" i="59"/>
  <c r="BZ37" i="59"/>
  <c r="BZ42" i="59"/>
  <c r="BZ38" i="59"/>
  <c r="BZ36" i="59"/>
  <c r="BZ41" i="59"/>
  <c r="BZ39" i="59"/>
  <c r="BZ40" i="59"/>
  <c r="BZ43" i="59"/>
  <c r="AD37" i="59"/>
  <c r="AD42" i="59"/>
  <c r="AD36" i="59"/>
  <c r="AD41" i="59"/>
  <c r="AD39" i="59"/>
  <c r="AD40" i="59"/>
  <c r="AD43" i="59"/>
  <c r="AD38" i="59"/>
  <c r="L37" i="59"/>
  <c r="L42" i="59"/>
  <c r="L36" i="59"/>
  <c r="L41" i="59"/>
  <c r="L39" i="59"/>
  <c r="L40" i="59"/>
  <c r="L43" i="59"/>
  <c r="L38" i="59"/>
  <c r="BJ37" i="59"/>
  <c r="BJ42" i="59"/>
  <c r="BJ36" i="59"/>
  <c r="BJ41" i="59"/>
  <c r="BJ39" i="59"/>
  <c r="BJ40" i="59"/>
  <c r="BJ38" i="59"/>
  <c r="BJ43" i="59"/>
  <c r="BV38" i="59"/>
  <c r="BV43" i="59"/>
  <c r="BV37" i="59"/>
  <c r="BV42" i="59"/>
  <c r="BV36" i="59"/>
  <c r="BV41" i="59"/>
  <c r="BV39" i="59"/>
  <c r="BV40" i="59"/>
  <c r="R36" i="59"/>
  <c r="R41" i="59"/>
  <c r="R43" i="59"/>
  <c r="R39" i="59"/>
  <c r="R40" i="59"/>
  <c r="R38" i="59"/>
  <c r="R42" i="59"/>
  <c r="R37" i="59"/>
  <c r="AB38" i="59"/>
  <c r="AB43" i="59"/>
  <c r="AB41" i="59"/>
  <c r="AB40" i="59"/>
  <c r="AB37" i="59"/>
  <c r="AB42" i="59"/>
  <c r="AB36" i="59"/>
  <c r="AB39" i="59"/>
  <c r="AJ36" i="59"/>
  <c r="AJ41" i="59"/>
  <c r="AJ43" i="59"/>
  <c r="AJ39" i="59"/>
  <c r="AJ40" i="59"/>
  <c r="AJ38" i="59"/>
  <c r="AJ37" i="59"/>
  <c r="AJ42" i="59"/>
  <c r="AR38" i="59"/>
  <c r="AR43" i="59"/>
  <c r="AR36" i="59"/>
  <c r="AR37" i="59"/>
  <c r="AR42" i="59"/>
  <c r="AR41" i="59"/>
  <c r="AR39" i="59"/>
  <c r="AR40" i="59"/>
  <c r="AZ36" i="59"/>
  <c r="AZ41" i="59"/>
  <c r="AZ38" i="59"/>
  <c r="AZ42" i="59"/>
  <c r="AZ39" i="59"/>
  <c r="AZ40" i="59"/>
  <c r="AZ43" i="59"/>
  <c r="AZ37" i="59"/>
  <c r="BH38" i="59"/>
  <c r="BH43" i="59"/>
  <c r="BH36" i="59"/>
  <c r="BH41" i="59"/>
  <c r="BH40" i="59"/>
  <c r="BH37" i="59"/>
  <c r="BH42" i="59"/>
  <c r="BH39" i="59"/>
  <c r="BT39" i="59"/>
  <c r="BT40" i="59"/>
  <c r="BT37" i="59"/>
  <c r="BT42" i="59"/>
  <c r="BT38" i="59"/>
  <c r="BT43" i="59"/>
  <c r="BT36" i="59"/>
  <c r="BT41" i="59"/>
  <c r="CD36" i="59"/>
  <c r="CD41" i="59"/>
  <c r="CD37" i="59"/>
  <c r="CD39" i="59"/>
  <c r="CD40" i="59"/>
  <c r="CD38" i="59"/>
  <c r="CD43" i="59"/>
  <c r="CD42" i="59"/>
  <c r="P20" i="48" l="1"/>
  <c r="F32" i="27" l="1"/>
  <c r="E32" i="27"/>
  <c r="D32" i="27"/>
  <c r="C32" i="27"/>
  <c r="F23" i="27"/>
  <c r="E23" i="27"/>
  <c r="D23" i="27"/>
  <c r="C23" i="27"/>
  <c r="F14" i="27"/>
  <c r="E14" i="27"/>
  <c r="D14" i="27"/>
  <c r="C14" i="27"/>
  <c r="F32" i="29"/>
  <c r="E32" i="29"/>
  <c r="D32" i="29"/>
  <c r="C32" i="29"/>
  <c r="E23" i="29"/>
  <c r="D23" i="29"/>
  <c r="C23" i="29"/>
  <c r="E14" i="29"/>
  <c r="D14" i="29"/>
  <c r="C14" i="29"/>
  <c r="F32" i="30"/>
  <c r="E32" i="30"/>
  <c r="D32" i="30"/>
  <c r="C32" i="30"/>
  <c r="F23" i="30"/>
  <c r="E23" i="30"/>
  <c r="D23" i="30"/>
  <c r="C23" i="30"/>
  <c r="F14" i="30"/>
  <c r="E14" i="30"/>
  <c r="D14" i="30"/>
  <c r="C14" i="30"/>
  <c r="F32" i="31"/>
  <c r="E32" i="31"/>
  <c r="D32" i="31"/>
  <c r="C32" i="31"/>
  <c r="F23" i="31"/>
  <c r="E23" i="31"/>
  <c r="D23" i="31"/>
  <c r="C23" i="31"/>
  <c r="F14" i="31"/>
  <c r="E14" i="31"/>
  <c r="D14" i="31"/>
  <c r="C14" i="31"/>
  <c r="J8" i="32"/>
  <c r="E34" i="27" l="1"/>
  <c r="D33" i="29"/>
  <c r="D33" i="30"/>
  <c r="E33" i="30"/>
  <c r="D33" i="31"/>
  <c r="E33" i="31"/>
  <c r="C33" i="30"/>
  <c r="E33" i="29"/>
  <c r="C34" i="27"/>
  <c r="D34" i="27"/>
  <c r="D33" i="27"/>
  <c r="C33" i="29"/>
  <c r="E33" i="27"/>
  <c r="C33" i="27"/>
  <c r="C34" i="30"/>
  <c r="D34" i="29"/>
  <c r="D34" i="30"/>
  <c r="E34" i="29"/>
  <c r="F34" i="27"/>
  <c r="E34" i="30"/>
  <c r="F34" i="29"/>
  <c r="C33" i="31"/>
  <c r="F34" i="30"/>
  <c r="C34" i="29"/>
  <c r="AA29" i="58" l="1"/>
  <c r="AB29" i="58" s="1"/>
  <c r="Z30" i="46"/>
  <c r="AA29" i="46" s="1"/>
  <c r="AB29" i="46" s="1"/>
  <c r="E35" i="27"/>
  <c r="C35" i="27"/>
  <c r="D35" i="27"/>
  <c r="I37" i="29"/>
  <c r="F42" i="30" l="1"/>
  <c r="G42" i="30" l="1"/>
  <c r="I37" i="30" s="1"/>
  <c r="BC39" i="2" l="1"/>
  <c r="BC38" i="2"/>
  <c r="BC37" i="2"/>
  <c r="BC36" i="2"/>
  <c r="BC35" i="2"/>
  <c r="BC34" i="2"/>
  <c r="BC33" i="2"/>
  <c r="BC32" i="2"/>
  <c r="BC31" i="2"/>
  <c r="BC30" i="2"/>
  <c r="BC29" i="2"/>
  <c r="BC28" i="2"/>
  <c r="BC27" i="2"/>
  <c r="BC26" i="2"/>
  <c r="BC25" i="2"/>
  <c r="BC24" i="2"/>
  <c r="BC23" i="2"/>
  <c r="BC22" i="2"/>
  <c r="BC21" i="2"/>
  <c r="BC20" i="2"/>
  <c r="BC19" i="2"/>
  <c r="BC18" i="2"/>
  <c r="BC17" i="2"/>
  <c r="BC16" i="2"/>
  <c r="BC15" i="2"/>
  <c r="BC14" i="2"/>
  <c r="BC13" i="2"/>
  <c r="BC12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BC11" i="2" l="1"/>
  <c r="BC10" i="2" l="1"/>
  <c r="AE10" i="2" l="1"/>
  <c r="F32" i="37" l="1"/>
  <c r="E32" i="37"/>
  <c r="D32" i="37"/>
  <c r="C32" i="37"/>
  <c r="F23" i="37"/>
  <c r="E23" i="37"/>
  <c r="D23" i="37"/>
  <c r="C23" i="37"/>
  <c r="F14" i="37"/>
  <c r="E14" i="37"/>
  <c r="D14" i="37"/>
  <c r="C14" i="37"/>
  <c r="F32" i="43"/>
  <c r="E32" i="43"/>
  <c r="D32" i="43"/>
  <c r="C32" i="43"/>
  <c r="F23" i="43"/>
  <c r="E23" i="43"/>
  <c r="D23" i="43"/>
  <c r="C23" i="43"/>
  <c r="F14" i="43"/>
  <c r="E14" i="43"/>
  <c r="D14" i="43"/>
  <c r="D34" i="43" s="1"/>
  <c r="C14" i="43"/>
  <c r="C34" i="43" s="1"/>
  <c r="F32" i="6"/>
  <c r="E32" i="6"/>
  <c r="D32" i="6"/>
  <c r="C32" i="6"/>
  <c r="F23" i="6"/>
  <c r="E23" i="6"/>
  <c r="D23" i="6"/>
  <c r="C23" i="6"/>
  <c r="F14" i="6"/>
  <c r="E14" i="6"/>
  <c r="D14" i="6"/>
  <c r="C14" i="6"/>
  <c r="F32" i="7"/>
  <c r="E32" i="7"/>
  <c r="D32" i="7"/>
  <c r="C32" i="7"/>
  <c r="F23" i="7"/>
  <c r="E23" i="7"/>
  <c r="D23" i="7"/>
  <c r="C23" i="7"/>
  <c r="F14" i="7"/>
  <c r="E14" i="7"/>
  <c r="E34" i="7" s="1"/>
  <c r="D14" i="7"/>
  <c r="C14" i="7"/>
  <c r="F32" i="8"/>
  <c r="E32" i="8"/>
  <c r="D32" i="8"/>
  <c r="C32" i="8"/>
  <c r="F23" i="8"/>
  <c r="E23" i="8"/>
  <c r="D23" i="8"/>
  <c r="C23" i="8"/>
  <c r="F14" i="8"/>
  <c r="E14" i="8"/>
  <c r="D14" i="8"/>
  <c r="C14" i="8"/>
  <c r="F32" i="9"/>
  <c r="E32" i="9"/>
  <c r="D32" i="9"/>
  <c r="C32" i="9"/>
  <c r="F23" i="9"/>
  <c r="E23" i="9"/>
  <c r="D23" i="9"/>
  <c r="C23" i="9"/>
  <c r="F14" i="9"/>
  <c r="E14" i="9"/>
  <c r="D14" i="9"/>
  <c r="C14" i="9"/>
  <c r="F32" i="10"/>
  <c r="E32" i="10"/>
  <c r="D32" i="10"/>
  <c r="C32" i="10"/>
  <c r="F23" i="10"/>
  <c r="E23" i="10"/>
  <c r="D23" i="10"/>
  <c r="C23" i="10"/>
  <c r="F14" i="10"/>
  <c r="E14" i="10"/>
  <c r="D14" i="10"/>
  <c r="C14" i="10"/>
  <c r="F32" i="11"/>
  <c r="E32" i="11"/>
  <c r="D32" i="11"/>
  <c r="C32" i="11"/>
  <c r="F23" i="11"/>
  <c r="E23" i="11"/>
  <c r="D23" i="11"/>
  <c r="C23" i="11"/>
  <c r="F14" i="11"/>
  <c r="E14" i="11"/>
  <c r="E34" i="11" s="1"/>
  <c r="D14" i="11"/>
  <c r="C14" i="11"/>
  <c r="F32" i="12"/>
  <c r="E32" i="12"/>
  <c r="D32" i="12"/>
  <c r="C32" i="12"/>
  <c r="F23" i="12"/>
  <c r="E23" i="12"/>
  <c r="D23" i="12"/>
  <c r="C23" i="12"/>
  <c r="F14" i="12"/>
  <c r="E14" i="12"/>
  <c r="D14" i="12"/>
  <c r="C14" i="12"/>
  <c r="F32" i="13"/>
  <c r="E32" i="13"/>
  <c r="D32" i="13"/>
  <c r="C32" i="13"/>
  <c r="F23" i="13"/>
  <c r="E23" i="13"/>
  <c r="D23" i="13"/>
  <c r="C23" i="13"/>
  <c r="F14" i="13"/>
  <c r="E14" i="13"/>
  <c r="D14" i="13"/>
  <c r="C14" i="13"/>
  <c r="F32" i="14"/>
  <c r="E32" i="14"/>
  <c r="D32" i="14"/>
  <c r="C32" i="14"/>
  <c r="F23" i="14"/>
  <c r="E23" i="14"/>
  <c r="D23" i="14"/>
  <c r="C23" i="14"/>
  <c r="F14" i="14"/>
  <c r="E14" i="14"/>
  <c r="D14" i="14"/>
  <c r="C14" i="14"/>
  <c r="F32" i="15"/>
  <c r="E32" i="15"/>
  <c r="D32" i="15"/>
  <c r="C32" i="15"/>
  <c r="F23" i="15"/>
  <c r="E23" i="15"/>
  <c r="D23" i="15"/>
  <c r="C23" i="15"/>
  <c r="F14" i="15"/>
  <c r="E14" i="15"/>
  <c r="D14" i="15"/>
  <c r="C14" i="15"/>
  <c r="D33" i="16"/>
  <c r="F32" i="17"/>
  <c r="E32" i="17"/>
  <c r="D32" i="17"/>
  <c r="C32" i="17"/>
  <c r="F23" i="17"/>
  <c r="E23" i="17"/>
  <c r="D23" i="17"/>
  <c r="C23" i="17"/>
  <c r="F14" i="17"/>
  <c r="E14" i="17"/>
  <c r="D14" i="17"/>
  <c r="C14" i="17"/>
  <c r="F32" i="18"/>
  <c r="E32" i="18"/>
  <c r="D32" i="18"/>
  <c r="C32" i="18"/>
  <c r="F23" i="18"/>
  <c r="E23" i="18"/>
  <c r="D23" i="18"/>
  <c r="C23" i="18"/>
  <c r="F14" i="18"/>
  <c r="E14" i="18"/>
  <c r="D14" i="18"/>
  <c r="C14" i="18"/>
  <c r="C34" i="19"/>
  <c r="F32" i="20"/>
  <c r="E32" i="20"/>
  <c r="D32" i="20"/>
  <c r="C32" i="20"/>
  <c r="F23" i="20"/>
  <c r="E23" i="20"/>
  <c r="D23" i="20"/>
  <c r="C23" i="20"/>
  <c r="F14" i="20"/>
  <c r="E14" i="20"/>
  <c r="D14" i="20"/>
  <c r="C14" i="20"/>
  <c r="F32" i="22"/>
  <c r="E32" i="22"/>
  <c r="D32" i="22"/>
  <c r="C32" i="22"/>
  <c r="F23" i="22"/>
  <c r="E23" i="22"/>
  <c r="D23" i="22"/>
  <c r="C23" i="22"/>
  <c r="F14" i="22"/>
  <c r="E14" i="22"/>
  <c r="D14" i="22"/>
  <c r="C14" i="22"/>
  <c r="F32" i="21"/>
  <c r="E32" i="21"/>
  <c r="D32" i="21"/>
  <c r="C32" i="21"/>
  <c r="F23" i="21"/>
  <c r="E23" i="21"/>
  <c r="D23" i="21"/>
  <c r="C23" i="21"/>
  <c r="F14" i="21"/>
  <c r="E14" i="21"/>
  <c r="D14" i="21"/>
  <c r="C14" i="21"/>
  <c r="F32" i="23"/>
  <c r="E32" i="23"/>
  <c r="D32" i="23"/>
  <c r="C32" i="23"/>
  <c r="F23" i="23"/>
  <c r="E23" i="23"/>
  <c r="D23" i="23"/>
  <c r="C23" i="23"/>
  <c r="F14" i="23"/>
  <c r="E14" i="23"/>
  <c r="D14" i="23"/>
  <c r="C14" i="23"/>
  <c r="F32" i="24"/>
  <c r="E32" i="24"/>
  <c r="D32" i="24"/>
  <c r="F23" i="24"/>
  <c r="E23" i="24"/>
  <c r="D23" i="24"/>
  <c r="F14" i="24"/>
  <c r="E14" i="24"/>
  <c r="D14" i="24"/>
  <c r="F32" i="25"/>
  <c r="E32" i="25"/>
  <c r="D32" i="25"/>
  <c r="C32" i="25"/>
  <c r="F23" i="25"/>
  <c r="E23" i="25"/>
  <c r="D23" i="25"/>
  <c r="C23" i="25"/>
  <c r="F14" i="25"/>
  <c r="E14" i="25"/>
  <c r="D14" i="25"/>
  <c r="C14" i="25"/>
  <c r="F32" i="26"/>
  <c r="E32" i="26"/>
  <c r="D32" i="26"/>
  <c r="C32" i="26"/>
  <c r="F23" i="26"/>
  <c r="E23" i="26"/>
  <c r="D23" i="26"/>
  <c r="C23" i="26"/>
  <c r="F14" i="26"/>
  <c r="E14" i="26"/>
  <c r="D14" i="26"/>
  <c r="C14" i="26"/>
  <c r="F32" i="28"/>
  <c r="E32" i="28"/>
  <c r="D32" i="28"/>
  <c r="C32" i="28"/>
  <c r="F23" i="28"/>
  <c r="E23" i="28"/>
  <c r="D23" i="28"/>
  <c r="C23" i="28"/>
  <c r="F14" i="28"/>
  <c r="E14" i="28"/>
  <c r="D14" i="28"/>
  <c r="C14" i="28"/>
  <c r="F34" i="31"/>
  <c r="J9" i="31"/>
  <c r="J9" i="30" s="1"/>
  <c r="J9" i="29" s="1"/>
  <c r="J9" i="27" s="1"/>
  <c r="J9" i="28" s="1"/>
  <c r="J9" i="26" s="1"/>
  <c r="F32" i="32"/>
  <c r="E32" i="32"/>
  <c r="D32" i="32"/>
  <c r="C32" i="32"/>
  <c r="F23" i="32"/>
  <c r="E23" i="32"/>
  <c r="D23" i="32"/>
  <c r="C23" i="32"/>
  <c r="F14" i="32"/>
  <c r="E14" i="32"/>
  <c r="D14" i="32"/>
  <c r="C14" i="32"/>
  <c r="F14" i="33"/>
  <c r="F23" i="33"/>
  <c r="P38" i="48"/>
  <c r="B37" i="45" s="1"/>
  <c r="P37" i="48"/>
  <c r="B36" i="45" s="1"/>
  <c r="P36" i="48"/>
  <c r="B35" i="45" s="1"/>
  <c r="P35" i="48"/>
  <c r="B34" i="45" s="1"/>
  <c r="P34" i="48"/>
  <c r="B33" i="45" s="1"/>
  <c r="P33" i="48"/>
  <c r="B32" i="45" s="1"/>
  <c r="P32" i="48"/>
  <c r="B31" i="45" s="1"/>
  <c r="P31" i="48"/>
  <c r="B30" i="45" s="1"/>
  <c r="P30" i="48"/>
  <c r="B29" i="45" s="1"/>
  <c r="P29" i="48"/>
  <c r="B28" i="45" s="1"/>
  <c r="P28" i="48"/>
  <c r="B27" i="45" s="1"/>
  <c r="P27" i="48"/>
  <c r="B26" i="45" s="1"/>
  <c r="P26" i="48"/>
  <c r="B25" i="45" s="1"/>
  <c r="P25" i="48"/>
  <c r="B24" i="45" s="1"/>
  <c r="P24" i="48"/>
  <c r="B23" i="45" s="1"/>
  <c r="P23" i="48"/>
  <c r="B22" i="45" s="1"/>
  <c r="P22" i="48"/>
  <c r="B21" i="45" s="1"/>
  <c r="P21" i="48"/>
  <c r="P19" i="48"/>
  <c r="P18" i="48"/>
  <c r="P17" i="48"/>
  <c r="P16" i="48"/>
  <c r="P15" i="48"/>
  <c r="P14" i="48"/>
  <c r="P13" i="48"/>
  <c r="P12" i="48"/>
  <c r="P11" i="48"/>
  <c r="P10" i="48"/>
  <c r="P9" i="48"/>
  <c r="F34" i="7" l="1"/>
  <c r="F34" i="9"/>
  <c r="C34" i="11"/>
  <c r="F34" i="13"/>
  <c r="C34" i="15"/>
  <c r="F34" i="15"/>
  <c r="AH26" i="45"/>
  <c r="AD26" i="45"/>
  <c r="AL26" i="45"/>
  <c r="R26" i="45"/>
  <c r="AP26" i="45"/>
  <c r="F26" i="45"/>
  <c r="Z26" i="45"/>
  <c r="V26" i="45"/>
  <c r="N26" i="45"/>
  <c r="J26" i="45"/>
  <c r="AS26" i="45"/>
  <c r="AL34" i="45"/>
  <c r="AD34" i="45"/>
  <c r="V34" i="45"/>
  <c r="Z34" i="45"/>
  <c r="F34" i="45"/>
  <c r="R34" i="45"/>
  <c r="AH34" i="45"/>
  <c r="N34" i="45"/>
  <c r="AP34" i="45"/>
  <c r="J34" i="45"/>
  <c r="AS34" i="45"/>
  <c r="J27" i="45"/>
  <c r="R27" i="45"/>
  <c r="AL27" i="45"/>
  <c r="F27" i="45"/>
  <c r="AP27" i="45"/>
  <c r="AH27" i="45"/>
  <c r="Z27" i="45"/>
  <c r="AD27" i="45"/>
  <c r="N27" i="45"/>
  <c r="V27" i="45"/>
  <c r="AS27" i="45"/>
  <c r="F35" i="45"/>
  <c r="AH35" i="45"/>
  <c r="J35" i="45"/>
  <c r="N35" i="45"/>
  <c r="AD35" i="45"/>
  <c r="Z35" i="45"/>
  <c r="AP35" i="45"/>
  <c r="V35" i="45"/>
  <c r="R35" i="45"/>
  <c r="AL35" i="45"/>
  <c r="AS35" i="45"/>
  <c r="V28" i="45"/>
  <c r="AP28" i="45"/>
  <c r="AH28" i="45"/>
  <c r="Z28" i="45"/>
  <c r="R28" i="45"/>
  <c r="J28" i="45"/>
  <c r="AS28" i="45"/>
  <c r="N28" i="45"/>
  <c r="AL28" i="45"/>
  <c r="AD28" i="45"/>
  <c r="F28" i="45"/>
  <c r="F36" i="45"/>
  <c r="AP36" i="45"/>
  <c r="AH36" i="45"/>
  <c r="Z36" i="45"/>
  <c r="N36" i="45"/>
  <c r="J36" i="45"/>
  <c r="AL36" i="45"/>
  <c r="V36" i="45"/>
  <c r="R36" i="45"/>
  <c r="AD36" i="45"/>
  <c r="AS36" i="45"/>
  <c r="K17" i="19"/>
  <c r="AP33" i="45"/>
  <c r="N33" i="45"/>
  <c r="F33" i="45"/>
  <c r="AL33" i="45"/>
  <c r="V33" i="45"/>
  <c r="AH33" i="45"/>
  <c r="Z33" i="45"/>
  <c r="R33" i="45"/>
  <c r="J33" i="45"/>
  <c r="AD33" i="45"/>
  <c r="AS33" i="45"/>
  <c r="F25" i="45"/>
  <c r="V25" i="45"/>
  <c r="AP25" i="45"/>
  <c r="J25" i="45"/>
  <c r="Z25" i="45"/>
  <c r="AH25" i="45"/>
  <c r="AD25" i="45"/>
  <c r="AL25" i="45"/>
  <c r="N25" i="45"/>
  <c r="R25" i="45"/>
  <c r="AS25" i="45"/>
  <c r="J21" i="45"/>
  <c r="AH21" i="45"/>
  <c r="R21" i="45"/>
  <c r="N21" i="45"/>
  <c r="AP21" i="45"/>
  <c r="F21" i="45"/>
  <c r="V21" i="45"/>
  <c r="AL21" i="45"/>
  <c r="AD21" i="45"/>
  <c r="Z21" i="45"/>
  <c r="AS21" i="45"/>
  <c r="R30" i="45"/>
  <c r="AL30" i="45"/>
  <c r="Z30" i="45"/>
  <c r="N30" i="45"/>
  <c r="F30" i="45"/>
  <c r="V30" i="45"/>
  <c r="J30" i="45"/>
  <c r="AD30" i="45"/>
  <c r="AH30" i="45"/>
  <c r="AP30" i="45"/>
  <c r="AS30" i="45"/>
  <c r="AL37" i="45"/>
  <c r="AH37" i="45"/>
  <c r="AD37" i="45"/>
  <c r="Z37" i="45"/>
  <c r="V37" i="45"/>
  <c r="R37" i="45"/>
  <c r="J37" i="45"/>
  <c r="N37" i="45"/>
  <c r="F37" i="45"/>
  <c r="AP37" i="45"/>
  <c r="AS37" i="45"/>
  <c r="AL23" i="45"/>
  <c r="V23" i="45"/>
  <c r="F23" i="45"/>
  <c r="J23" i="45"/>
  <c r="AD23" i="45"/>
  <c r="N23" i="45"/>
  <c r="R23" i="45"/>
  <c r="Z23" i="45"/>
  <c r="AP23" i="45"/>
  <c r="AH23" i="45"/>
  <c r="AS23" i="45"/>
  <c r="AD31" i="45"/>
  <c r="AH31" i="45"/>
  <c r="J31" i="45"/>
  <c r="AL31" i="45"/>
  <c r="R31" i="45"/>
  <c r="N31" i="45"/>
  <c r="F31" i="45"/>
  <c r="AP31" i="45"/>
  <c r="Z31" i="45"/>
  <c r="V31" i="45"/>
  <c r="AS31" i="45"/>
  <c r="AD29" i="45"/>
  <c r="Z29" i="45"/>
  <c r="AH29" i="45"/>
  <c r="V29" i="45"/>
  <c r="R29" i="45"/>
  <c r="N29" i="45"/>
  <c r="F29" i="45"/>
  <c r="AP29" i="45"/>
  <c r="AL29" i="45"/>
  <c r="J29" i="45"/>
  <c r="AS29" i="45"/>
  <c r="AH24" i="45"/>
  <c r="AD24" i="45"/>
  <c r="V24" i="45"/>
  <c r="N24" i="45"/>
  <c r="AP24" i="45"/>
  <c r="J24" i="45"/>
  <c r="AL24" i="45"/>
  <c r="Z24" i="45"/>
  <c r="F24" i="45"/>
  <c r="R24" i="45"/>
  <c r="AS24" i="45"/>
  <c r="R32" i="45"/>
  <c r="N32" i="45"/>
  <c r="F32" i="45"/>
  <c r="AH32" i="45"/>
  <c r="AD32" i="45"/>
  <c r="AP32" i="45"/>
  <c r="Z32" i="45"/>
  <c r="J32" i="45"/>
  <c r="V32" i="45"/>
  <c r="AL32" i="45"/>
  <c r="AS32" i="45"/>
  <c r="AH22" i="45"/>
  <c r="J22" i="45"/>
  <c r="AP22" i="45"/>
  <c r="F22" i="45"/>
  <c r="AL22" i="45"/>
  <c r="AD22" i="45"/>
  <c r="Z22" i="45"/>
  <c r="N22" i="45"/>
  <c r="V22" i="45"/>
  <c r="R22" i="45"/>
  <c r="AS22" i="45"/>
  <c r="D34" i="23"/>
  <c r="D34" i="22"/>
  <c r="D34" i="19"/>
  <c r="D34" i="17"/>
  <c r="D34" i="15"/>
  <c r="C34" i="22"/>
  <c r="K17" i="22" s="1"/>
  <c r="C33" i="37"/>
  <c r="C34" i="25"/>
  <c r="K12" i="25" s="1"/>
  <c r="C34" i="23"/>
  <c r="C34" i="28"/>
  <c r="F34" i="28"/>
  <c r="D34" i="28"/>
  <c r="E34" i="26"/>
  <c r="E34" i="24"/>
  <c r="E34" i="21"/>
  <c r="E34" i="20"/>
  <c r="E34" i="16"/>
  <c r="E34" i="14"/>
  <c r="E34" i="12"/>
  <c r="E34" i="8"/>
  <c r="F34" i="17"/>
  <c r="D33" i="25"/>
  <c r="E33" i="23"/>
  <c r="D33" i="22"/>
  <c r="E34" i="31"/>
  <c r="E35" i="29"/>
  <c r="E34" i="28"/>
  <c r="E34" i="25"/>
  <c r="E34" i="23"/>
  <c r="E34" i="17"/>
  <c r="D33" i="26"/>
  <c r="D33" i="20"/>
  <c r="E33" i="25"/>
  <c r="E33" i="13"/>
  <c r="C34" i="26"/>
  <c r="C34" i="20"/>
  <c r="K17" i="20" s="1"/>
  <c r="C34" i="16"/>
  <c r="K16" i="16" s="1"/>
  <c r="C33" i="16"/>
  <c r="C34" i="14"/>
  <c r="C34" i="12"/>
  <c r="C34" i="10"/>
  <c r="C34" i="8"/>
  <c r="D34" i="26"/>
  <c r="D34" i="24"/>
  <c r="D34" i="12"/>
  <c r="D34" i="10"/>
  <c r="D34" i="8"/>
  <c r="E33" i="26"/>
  <c r="E33" i="24"/>
  <c r="C33" i="18"/>
  <c r="E33" i="16"/>
  <c r="D33" i="6"/>
  <c r="F34" i="19"/>
  <c r="F34" i="18"/>
  <c r="F34" i="12"/>
  <c r="F34" i="11"/>
  <c r="F34" i="10"/>
  <c r="E34" i="6"/>
  <c r="D34" i="25"/>
  <c r="C33" i="28"/>
  <c r="C33" i="25"/>
  <c r="C33" i="15"/>
  <c r="C33" i="11"/>
  <c r="C33" i="9"/>
  <c r="D34" i="31"/>
  <c r="D34" i="32"/>
  <c r="E34" i="15"/>
  <c r="C33" i="12"/>
  <c r="C33" i="43"/>
  <c r="C34" i="32"/>
  <c r="D33" i="19"/>
  <c r="D34" i="18"/>
  <c r="D33" i="17"/>
  <c r="D33" i="14"/>
  <c r="C33" i="10"/>
  <c r="C33" i="8"/>
  <c r="D33" i="15"/>
  <c r="C33" i="6"/>
  <c r="F34" i="8"/>
  <c r="C34" i="37"/>
  <c r="K25" i="37" s="1"/>
  <c r="C34" i="9"/>
  <c r="D34" i="37"/>
  <c r="F34" i="24"/>
  <c r="F34" i="21"/>
  <c r="E34" i="18"/>
  <c r="E34" i="13"/>
  <c r="D34" i="11"/>
  <c r="C35" i="11" s="1"/>
  <c r="D34" i="9"/>
  <c r="C33" i="7"/>
  <c r="F34" i="6"/>
  <c r="E34" i="37"/>
  <c r="E33" i="37"/>
  <c r="E34" i="19"/>
  <c r="F34" i="14"/>
  <c r="E34" i="10"/>
  <c r="C34" i="6"/>
  <c r="F34" i="43"/>
  <c r="F34" i="37"/>
  <c r="F34" i="16"/>
  <c r="D33" i="28"/>
  <c r="C33" i="23"/>
  <c r="C33" i="22"/>
  <c r="C33" i="19"/>
  <c r="E33" i="17"/>
  <c r="D33" i="12"/>
  <c r="D33" i="37"/>
  <c r="C33" i="20"/>
  <c r="C33" i="14"/>
  <c r="D33" i="11"/>
  <c r="D33" i="10"/>
  <c r="D33" i="8"/>
  <c r="E33" i="32"/>
  <c r="F34" i="25"/>
  <c r="F34" i="23"/>
  <c r="F34" i="22"/>
  <c r="D34" i="20"/>
  <c r="D34" i="14"/>
  <c r="E33" i="8"/>
  <c r="C34" i="7"/>
  <c r="D33" i="43"/>
  <c r="E33" i="15"/>
  <c r="D34" i="7"/>
  <c r="D33" i="7"/>
  <c r="E34" i="43"/>
  <c r="D35" i="43" s="1"/>
  <c r="E33" i="43"/>
  <c r="C34" i="31"/>
  <c r="F34" i="26"/>
  <c r="C34" i="24"/>
  <c r="C34" i="21"/>
  <c r="C33" i="21"/>
  <c r="F34" i="20"/>
  <c r="C34" i="18"/>
  <c r="K17" i="18" s="1"/>
  <c r="E33" i="18"/>
  <c r="D34" i="16"/>
  <c r="C34" i="13"/>
  <c r="C33" i="13"/>
  <c r="D33" i="9"/>
  <c r="E33" i="7"/>
  <c r="D34" i="6"/>
  <c r="C33" i="26"/>
  <c r="D34" i="21"/>
  <c r="D33" i="21"/>
  <c r="E34" i="22"/>
  <c r="C34" i="17"/>
  <c r="C33" i="17"/>
  <c r="D34" i="13"/>
  <c r="D33" i="13"/>
  <c r="E34" i="9"/>
  <c r="E33" i="9"/>
  <c r="E34" i="32"/>
  <c r="C33" i="32"/>
  <c r="D33" i="32"/>
  <c r="E33" i="6"/>
  <c r="E33" i="10"/>
  <c r="E33" i="11"/>
  <c r="E33" i="12"/>
  <c r="E33" i="14"/>
  <c r="D33" i="18"/>
  <c r="E33" i="19"/>
  <c r="E33" i="20"/>
  <c r="E33" i="22"/>
  <c r="E33" i="21"/>
  <c r="D33" i="23"/>
  <c r="C33" i="24"/>
  <c r="D33" i="24"/>
  <c r="E33" i="28"/>
  <c r="F34" i="32"/>
  <c r="Z135" i="46" l="1"/>
  <c r="AA124" i="58"/>
  <c r="AB124" i="58" s="1"/>
  <c r="Z125" i="46"/>
  <c r="AA124" i="46" s="1"/>
  <c r="AB124" i="46" s="1"/>
  <c r="AA129" i="58"/>
  <c r="AB129" i="58" s="1"/>
  <c r="Z130" i="46"/>
  <c r="AA129" i="46" s="1"/>
  <c r="AB129" i="46" s="1"/>
  <c r="AA54" i="58"/>
  <c r="AB54" i="58" s="1"/>
  <c r="AA75" i="58"/>
  <c r="AB75" i="58" s="1"/>
  <c r="AA79" i="58"/>
  <c r="Z41" i="46"/>
  <c r="Z67" i="46"/>
  <c r="Z54" i="46"/>
  <c r="AA54" i="46" s="1"/>
  <c r="AB54" i="46" s="1"/>
  <c r="Z63" i="46"/>
  <c r="Z58" i="46"/>
  <c r="Z76" i="46"/>
  <c r="AA75" i="46" s="1"/>
  <c r="AB75" i="46" s="1"/>
  <c r="Z50" i="46"/>
  <c r="Z71" i="46"/>
  <c r="W79" i="46"/>
  <c r="Z79" i="46"/>
  <c r="D35" i="11"/>
  <c r="D35" i="8"/>
  <c r="C35" i="19"/>
  <c r="D35" i="19"/>
  <c r="E35" i="19"/>
  <c r="C35" i="22"/>
  <c r="D35" i="23"/>
  <c r="K16" i="23"/>
  <c r="C35" i="10"/>
  <c r="E35" i="11"/>
  <c r="C35" i="23"/>
  <c r="E35" i="23"/>
  <c r="C35" i="25"/>
  <c r="C35" i="8"/>
  <c r="E35" i="10"/>
  <c r="E35" i="26"/>
  <c r="D35" i="28"/>
  <c r="D35" i="10"/>
  <c r="D35" i="6"/>
  <c r="D35" i="14"/>
  <c r="D35" i="26"/>
  <c r="D35" i="9"/>
  <c r="D35" i="37"/>
  <c r="D35" i="25"/>
  <c r="E35" i="8"/>
  <c r="E35" i="12"/>
  <c r="E35" i="37"/>
  <c r="E35" i="14"/>
  <c r="D35" i="29"/>
  <c r="C35" i="28"/>
  <c r="C35" i="20"/>
  <c r="E35" i="28"/>
  <c r="D35" i="16"/>
  <c r="C35" i="29"/>
  <c r="C35" i="14"/>
  <c r="D35" i="21"/>
  <c r="C35" i="31"/>
  <c r="K9" i="31"/>
  <c r="E35" i="25"/>
  <c r="E35" i="22"/>
  <c r="C35" i="12"/>
  <c r="D35" i="20"/>
  <c r="C35" i="26"/>
  <c r="D35" i="12"/>
  <c r="E35" i="6"/>
  <c r="D35" i="30"/>
  <c r="K9" i="30"/>
  <c r="E35" i="30"/>
  <c r="E35" i="31"/>
  <c r="D35" i="31"/>
  <c r="D35" i="22"/>
  <c r="C35" i="21"/>
  <c r="C35" i="43"/>
  <c r="C35" i="6"/>
  <c r="C35" i="13"/>
  <c r="C35" i="37"/>
  <c r="E35" i="13"/>
  <c r="D35" i="13"/>
  <c r="E35" i="20"/>
  <c r="E35" i="43"/>
  <c r="C35" i="16"/>
  <c r="E35" i="9"/>
  <c r="C35" i="9"/>
  <c r="E35" i="21"/>
  <c r="E35" i="16"/>
  <c r="C35" i="30"/>
  <c r="AA19" i="58" l="1"/>
  <c r="W19" i="46"/>
  <c r="X79" i="46"/>
  <c r="AA79" i="46"/>
  <c r="AB79" i="46" s="1"/>
  <c r="AB79" i="58"/>
  <c r="AB19" i="58"/>
  <c r="D39" i="53"/>
  <c r="D38" i="53"/>
  <c r="D37" i="53"/>
  <c r="D36" i="53"/>
  <c r="D35" i="53"/>
  <c r="D34" i="53"/>
  <c r="D33" i="53"/>
  <c r="D32" i="53"/>
  <c r="D31" i="53"/>
  <c r="D30" i="53"/>
  <c r="D29" i="53"/>
  <c r="D28" i="53"/>
  <c r="D27" i="53"/>
  <c r="D26" i="53"/>
  <c r="D25" i="53"/>
  <c r="D24" i="53"/>
  <c r="D23" i="53"/>
  <c r="D22" i="53"/>
  <c r="D21" i="53"/>
  <c r="D20" i="53"/>
  <c r="D19" i="53"/>
  <c r="D18" i="53"/>
  <c r="D17" i="53"/>
  <c r="D16" i="53"/>
  <c r="D11" i="53"/>
  <c r="D10" i="53"/>
  <c r="D9" i="53"/>
  <c r="D8" i="53"/>
  <c r="D7" i="53"/>
  <c r="D6" i="53"/>
  <c r="D5" i="53"/>
  <c r="D4" i="53"/>
  <c r="G42" i="37"/>
  <c r="I37" i="37" s="1"/>
  <c r="F42" i="37"/>
  <c r="X19" i="46" l="1"/>
  <c r="AA19" i="46"/>
  <c r="AB19" i="46" s="1"/>
  <c r="Q8" i="7" l="1"/>
  <c r="R9" i="7"/>
  <c r="R8" i="7"/>
  <c r="R10" i="7" s="1"/>
  <c r="Q9" i="7" l="1"/>
  <c r="Q10" i="7" l="1"/>
  <c r="Q11" i="7" s="1"/>
  <c r="R11" i="7"/>
  <c r="F42" i="14" l="1"/>
  <c r="G42" i="14"/>
  <c r="I37" i="14" s="1"/>
  <c r="M39" i="53" l="1"/>
  <c r="BF146" i="46" l="1"/>
  <c r="BE146" i="46"/>
  <c r="BD146" i="46"/>
  <c r="F42" i="25" l="1"/>
  <c r="G42" i="25" l="1"/>
  <c r="I37" i="25" s="1"/>
  <c r="V23" i="31" l="1"/>
  <c r="W22" i="31"/>
  <c r="U22" i="31"/>
  <c r="X22" i="31" s="1"/>
  <c r="W21" i="31"/>
  <c r="U21" i="31"/>
  <c r="X21" i="31" s="1"/>
  <c r="U15" i="31"/>
  <c r="X15" i="31" s="1"/>
  <c r="W15" i="31"/>
  <c r="W16" i="31"/>
  <c r="U16" i="31"/>
  <c r="X16" i="31" s="1"/>
  <c r="V14" i="31"/>
  <c r="V17" i="31" s="1"/>
  <c r="U14" i="31"/>
  <c r="G42" i="31"/>
  <c r="I37" i="31" s="1"/>
  <c r="F42" i="31"/>
  <c r="X23" i="31" l="1"/>
  <c r="X24" i="31" s="1"/>
  <c r="W23" i="31"/>
  <c r="W24" i="31" s="1"/>
  <c r="X14" i="31"/>
  <c r="X17" i="31" s="1"/>
  <c r="X18" i="31" s="1"/>
  <c r="W14" i="31"/>
  <c r="W17" i="31" s="1"/>
  <c r="W18" i="31" s="1"/>
  <c r="G4" i="47" l="1"/>
  <c r="G5" i="47"/>
  <c r="G6" i="47"/>
  <c r="H6" i="47" s="1"/>
  <c r="O7" i="58" s="1"/>
  <c r="P7" i="58" l="1"/>
  <c r="U7" i="58"/>
  <c r="AA6" i="58" s="1"/>
  <c r="T7" i="58"/>
  <c r="C7" i="58"/>
  <c r="V7" i="58"/>
  <c r="K7" i="58"/>
  <c r="O7" i="46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1" i="53"/>
  <c r="M10" i="53"/>
  <c r="M9" i="53"/>
  <c r="M8" i="53"/>
  <c r="M7" i="53"/>
  <c r="M6" i="53"/>
  <c r="M5" i="53"/>
  <c r="M4" i="53"/>
  <c r="E3" i="53"/>
  <c r="F3" i="53" s="1"/>
  <c r="G3" i="53" s="1"/>
  <c r="H3" i="53" s="1"/>
  <c r="M3" i="53" s="1"/>
  <c r="N3" i="53" s="1"/>
  <c r="O3" i="53" s="1"/>
  <c r="P3" i="53" s="1"/>
  <c r="Q3" i="53" s="1"/>
  <c r="AZ146" i="58"/>
  <c r="AY146" i="58"/>
  <c r="AX146" i="58"/>
  <c r="AW146" i="58"/>
  <c r="AV146" i="58"/>
  <c r="AU146" i="58"/>
  <c r="AT146" i="58"/>
  <c r="AS146" i="58"/>
  <c r="AQ146" i="58"/>
  <c r="AP146" i="58"/>
  <c r="AO146" i="58"/>
  <c r="AN146" i="58"/>
  <c r="AL146" i="58"/>
  <c r="AK146" i="58"/>
  <c r="AJ146" i="58"/>
  <c r="AI146" i="58"/>
  <c r="AH146" i="58"/>
  <c r="AG146" i="58"/>
  <c r="AF146" i="58"/>
  <c r="S146" i="58"/>
  <c r="R146" i="58"/>
  <c r="Q146" i="58"/>
  <c r="Q147" i="58" s="1"/>
  <c r="AY149" i="58" s="1"/>
  <c r="AR145" i="58"/>
  <c r="AM145" i="58"/>
  <c r="AC145" i="58"/>
  <c r="AA145" i="58"/>
  <c r="AC7" i="58" l="1"/>
  <c r="AB6" i="58" s="1"/>
  <c r="P7" i="46"/>
  <c r="U7" i="46"/>
  <c r="AA6" i="46" s="1"/>
  <c r="T7" i="46"/>
  <c r="V7" i="46"/>
  <c r="K7" i="46"/>
  <c r="C7" i="46"/>
  <c r="M40" i="53"/>
  <c r="D40" i="53"/>
  <c r="R147" i="58"/>
  <c r="AD146" i="58"/>
  <c r="T9" i="54" s="1"/>
  <c r="S147" i="58"/>
  <c r="AR146" i="58"/>
  <c r="BA146" i="58"/>
  <c r="R148" i="58" s="1"/>
  <c r="AM146" i="58"/>
  <c r="S148" i="58" s="1"/>
  <c r="AM8" i="46"/>
  <c r="AM7" i="46"/>
  <c r="AM6" i="46"/>
  <c r="KQ41" i="1"/>
  <c r="KN41" i="1"/>
  <c r="KK41" i="1"/>
  <c r="KH41" i="1"/>
  <c r="KE41" i="1"/>
  <c r="KB41" i="1"/>
  <c r="JY41" i="1"/>
  <c r="JV41" i="1"/>
  <c r="JS41" i="1"/>
  <c r="JP41" i="1"/>
  <c r="JM41" i="1"/>
  <c r="JJ41" i="1"/>
  <c r="JG41" i="1"/>
  <c r="JD41" i="1"/>
  <c r="JA41" i="1"/>
  <c r="IX41" i="1"/>
  <c r="IU41" i="1"/>
  <c r="IR41" i="1"/>
  <c r="IO41" i="1"/>
  <c r="IL41" i="1"/>
  <c r="II41" i="1"/>
  <c r="IF41" i="1"/>
  <c r="IC41" i="1"/>
  <c r="HZ41" i="1"/>
  <c r="HW41" i="1"/>
  <c r="HT41" i="1"/>
  <c r="HQ41" i="1"/>
  <c r="HN41" i="1"/>
  <c r="HK41" i="1"/>
  <c r="HH41" i="1"/>
  <c r="HE41" i="1"/>
  <c r="HB41" i="1"/>
  <c r="GY41" i="1"/>
  <c r="GV41" i="1"/>
  <c r="GS41" i="1"/>
  <c r="GP41" i="1"/>
  <c r="GM41" i="1"/>
  <c r="GJ41" i="1"/>
  <c r="GG41" i="1"/>
  <c r="GD41" i="1"/>
  <c r="GA41" i="1"/>
  <c r="FX41" i="1"/>
  <c r="FU41" i="1"/>
  <c r="FR41" i="1"/>
  <c r="FO41" i="1"/>
  <c r="FL41" i="1"/>
  <c r="FI41" i="1"/>
  <c r="FF41" i="1"/>
  <c r="FC41" i="1"/>
  <c r="EZ41" i="1"/>
  <c r="EW41" i="1"/>
  <c r="ET41" i="1"/>
  <c r="EQ41" i="1"/>
  <c r="EN41" i="1"/>
  <c r="EK41" i="1"/>
  <c r="EH41" i="1"/>
  <c r="EE41" i="1"/>
  <c r="DY41" i="1"/>
  <c r="DV41" i="1"/>
  <c r="DS41" i="1"/>
  <c r="DP41" i="1"/>
  <c r="DM41" i="1"/>
  <c r="DJ41" i="1"/>
  <c r="DG41" i="1"/>
  <c r="DD41" i="1"/>
  <c r="CX41" i="1"/>
  <c r="CU41" i="1"/>
  <c r="CR41" i="1"/>
  <c r="CO41" i="1"/>
  <c r="CL41" i="1"/>
  <c r="CI41" i="1"/>
  <c r="CF41" i="1"/>
  <c r="BZ41" i="1"/>
  <c r="BT41" i="1"/>
  <c r="BQ41" i="1"/>
  <c r="BK41" i="1"/>
  <c r="BH41" i="1"/>
  <c r="BE41" i="1"/>
  <c r="AY41" i="1"/>
  <c r="AV41" i="1"/>
  <c r="AS41" i="1"/>
  <c r="AM41" i="1"/>
  <c r="AJ41" i="1"/>
  <c r="AG41" i="1"/>
  <c r="AD41" i="1"/>
  <c r="AA41" i="1"/>
  <c r="X41" i="1"/>
  <c r="U41" i="1"/>
  <c r="R41" i="1"/>
  <c r="O41" i="1"/>
  <c r="L41" i="1"/>
  <c r="I41" i="1"/>
  <c r="F41" i="1"/>
  <c r="KR38" i="1"/>
  <c r="KO38" i="1"/>
  <c r="KL38" i="1"/>
  <c r="KI38" i="1"/>
  <c r="KF38" i="1"/>
  <c r="KC38" i="1"/>
  <c r="JZ38" i="1"/>
  <c r="JW38" i="1"/>
  <c r="JT38" i="1"/>
  <c r="JQ38" i="1"/>
  <c r="JN38" i="1"/>
  <c r="JK38" i="1"/>
  <c r="JI38" i="1"/>
  <c r="JF38" i="1"/>
  <c r="JC38" i="1"/>
  <c r="IZ38" i="1"/>
  <c r="IW38" i="1"/>
  <c r="IT38" i="1"/>
  <c r="IQ38" i="1"/>
  <c r="IN38" i="1"/>
  <c r="IK38" i="1"/>
  <c r="IH38" i="1"/>
  <c r="IE38" i="1"/>
  <c r="IB38" i="1"/>
  <c r="HY38" i="1"/>
  <c r="HV38" i="1"/>
  <c r="HS38" i="1"/>
  <c r="HP38" i="1"/>
  <c r="HM38" i="1"/>
  <c r="HJ38" i="1"/>
  <c r="HG38" i="1"/>
  <c r="HD38" i="1"/>
  <c r="HA38" i="1"/>
  <c r="GX38" i="1"/>
  <c r="GU38" i="1"/>
  <c r="GR38" i="1"/>
  <c r="GO38" i="1"/>
  <c r="GL38" i="1"/>
  <c r="GI38" i="1"/>
  <c r="GF38" i="1"/>
  <c r="GC38" i="1"/>
  <c r="FZ38" i="1"/>
  <c r="FW38" i="1"/>
  <c r="FT38" i="1"/>
  <c r="FQ38" i="1"/>
  <c r="FN38" i="1"/>
  <c r="FK38" i="1"/>
  <c r="FH38" i="1"/>
  <c r="FE38" i="1"/>
  <c r="FB38" i="1"/>
  <c r="EY38" i="1"/>
  <c r="EV38" i="1"/>
  <c r="ES38" i="1"/>
  <c r="EP38" i="1"/>
  <c r="EM38" i="1"/>
  <c r="EJ38" i="1"/>
  <c r="EG38" i="1"/>
  <c r="ED38" i="1"/>
  <c r="EA38" i="1"/>
  <c r="DX38" i="1"/>
  <c r="DU38" i="1"/>
  <c r="DR38" i="1"/>
  <c r="DO38" i="1"/>
  <c r="DL38" i="1"/>
  <c r="DI38" i="1"/>
  <c r="DF38" i="1"/>
  <c r="CZ38" i="1"/>
  <c r="CW38" i="1"/>
  <c r="CT38" i="1"/>
  <c r="CQ38" i="1"/>
  <c r="CN38" i="1"/>
  <c r="CK38" i="1"/>
  <c r="CH38" i="1"/>
  <c r="CE38" i="1"/>
  <c r="CB38" i="1"/>
  <c r="BY38" i="1"/>
  <c r="BV38" i="1"/>
  <c r="BS38" i="1"/>
  <c r="BP38" i="1"/>
  <c r="BM38" i="1"/>
  <c r="BJ38" i="1"/>
  <c r="BG38" i="1"/>
  <c r="BD38" i="1"/>
  <c r="BA38" i="1"/>
  <c r="AX38" i="1"/>
  <c r="AU38" i="1"/>
  <c r="AO38" i="1"/>
  <c r="AL38" i="1"/>
  <c r="AI38" i="1"/>
  <c r="AF38" i="1"/>
  <c r="AC38" i="1"/>
  <c r="Z38" i="1"/>
  <c r="W38" i="1"/>
  <c r="T38" i="1"/>
  <c r="Q38" i="1"/>
  <c r="N38" i="1"/>
  <c r="K38" i="1"/>
  <c r="H38" i="1"/>
  <c r="KR37" i="1"/>
  <c r="KO37" i="1"/>
  <c r="KL37" i="1"/>
  <c r="KI37" i="1"/>
  <c r="KF37" i="1"/>
  <c r="KC37" i="1"/>
  <c r="JZ37" i="1"/>
  <c r="JW37" i="1"/>
  <c r="JT37" i="1"/>
  <c r="JQ37" i="1"/>
  <c r="JN37" i="1"/>
  <c r="JK37" i="1"/>
  <c r="JI37" i="1"/>
  <c r="JF37" i="1"/>
  <c r="JC37" i="1"/>
  <c r="IZ37" i="1"/>
  <c r="IW37" i="1"/>
  <c r="IT37" i="1"/>
  <c r="IQ37" i="1"/>
  <c r="IN37" i="1"/>
  <c r="IK37" i="1"/>
  <c r="IH37" i="1"/>
  <c r="IE37" i="1"/>
  <c r="IB37" i="1"/>
  <c r="HY37" i="1"/>
  <c r="HV37" i="1"/>
  <c r="HS37" i="1"/>
  <c r="HP37" i="1"/>
  <c r="HM37" i="1"/>
  <c r="HJ37" i="1"/>
  <c r="HG37" i="1"/>
  <c r="HD37" i="1"/>
  <c r="HA37" i="1"/>
  <c r="GX37" i="1"/>
  <c r="GU37" i="1"/>
  <c r="GR37" i="1"/>
  <c r="GO37" i="1"/>
  <c r="GL37" i="1"/>
  <c r="GI37" i="1"/>
  <c r="GF37" i="1"/>
  <c r="GC37" i="1"/>
  <c r="FZ37" i="1"/>
  <c r="FW37" i="1"/>
  <c r="FT37" i="1"/>
  <c r="FQ37" i="1"/>
  <c r="FN37" i="1"/>
  <c r="FK37" i="1"/>
  <c r="FH37" i="1"/>
  <c r="FE37" i="1"/>
  <c r="FB37" i="1"/>
  <c r="EY37" i="1"/>
  <c r="EV37" i="1"/>
  <c r="ES37" i="1"/>
  <c r="EP37" i="1"/>
  <c r="EM37" i="1"/>
  <c r="EJ37" i="1"/>
  <c r="EG37" i="1"/>
  <c r="ED37" i="1"/>
  <c r="EA37" i="1"/>
  <c r="DX37" i="1"/>
  <c r="DU37" i="1"/>
  <c r="DR37" i="1"/>
  <c r="DO37" i="1"/>
  <c r="DL37" i="1"/>
  <c r="DI37" i="1"/>
  <c r="DF37" i="1"/>
  <c r="DC37" i="1"/>
  <c r="CZ37" i="1"/>
  <c r="CW37" i="1"/>
  <c r="CT37" i="1"/>
  <c r="CQ37" i="1"/>
  <c r="CN37" i="1"/>
  <c r="CK37" i="1"/>
  <c r="CH37" i="1"/>
  <c r="CE37" i="1"/>
  <c r="CB37" i="1"/>
  <c r="BY37" i="1"/>
  <c r="BV37" i="1"/>
  <c r="BS37" i="1"/>
  <c r="BP37" i="1"/>
  <c r="BM37" i="1"/>
  <c r="BJ37" i="1"/>
  <c r="BG37" i="1"/>
  <c r="BD37" i="1"/>
  <c r="BA37" i="1"/>
  <c r="AX37" i="1"/>
  <c r="AU37" i="1"/>
  <c r="AR37" i="1"/>
  <c r="AO37" i="1"/>
  <c r="AL37" i="1"/>
  <c r="AI37" i="1"/>
  <c r="AF37" i="1"/>
  <c r="AC37" i="1"/>
  <c r="Z37" i="1"/>
  <c r="W37" i="1"/>
  <c r="T37" i="1"/>
  <c r="Q37" i="1"/>
  <c r="N37" i="1"/>
  <c r="K37" i="1"/>
  <c r="H37" i="1"/>
  <c r="KR36" i="1"/>
  <c r="KO36" i="1"/>
  <c r="KL36" i="1"/>
  <c r="KI36" i="1"/>
  <c r="KF36" i="1"/>
  <c r="KC36" i="1"/>
  <c r="JZ36" i="1"/>
  <c r="JW36" i="1"/>
  <c r="JT36" i="1"/>
  <c r="JQ36" i="1"/>
  <c r="JN36" i="1"/>
  <c r="JK36" i="1"/>
  <c r="JI36" i="1"/>
  <c r="JF36" i="1"/>
  <c r="JC36" i="1"/>
  <c r="IZ36" i="1"/>
  <c r="IW36" i="1"/>
  <c r="IT36" i="1"/>
  <c r="IQ36" i="1"/>
  <c r="IN36" i="1"/>
  <c r="IK36" i="1"/>
  <c r="IH36" i="1"/>
  <c r="IE36" i="1"/>
  <c r="IB36" i="1"/>
  <c r="HY36" i="1"/>
  <c r="HV36" i="1"/>
  <c r="HS36" i="1"/>
  <c r="HP36" i="1"/>
  <c r="HM36" i="1"/>
  <c r="HJ36" i="1"/>
  <c r="HG36" i="1"/>
  <c r="HD36" i="1"/>
  <c r="HA36" i="1"/>
  <c r="GX36" i="1"/>
  <c r="GU36" i="1"/>
  <c r="GR36" i="1"/>
  <c r="GO36" i="1"/>
  <c r="GL36" i="1"/>
  <c r="GI36" i="1"/>
  <c r="GF36" i="1"/>
  <c r="GC36" i="1"/>
  <c r="FZ36" i="1"/>
  <c r="FW36" i="1"/>
  <c r="FT36" i="1"/>
  <c r="FQ36" i="1"/>
  <c r="FN36" i="1"/>
  <c r="FK36" i="1"/>
  <c r="FH36" i="1"/>
  <c r="FE36" i="1"/>
  <c r="FB36" i="1"/>
  <c r="EY36" i="1"/>
  <c r="EV36" i="1"/>
  <c r="ES36" i="1"/>
  <c r="EP36" i="1"/>
  <c r="EM36" i="1"/>
  <c r="EJ36" i="1"/>
  <c r="EG36" i="1"/>
  <c r="ED36" i="1"/>
  <c r="EA36" i="1"/>
  <c r="DX36" i="1"/>
  <c r="DU36" i="1"/>
  <c r="DR36" i="1"/>
  <c r="DO36" i="1"/>
  <c r="DL36" i="1"/>
  <c r="DI36" i="1"/>
  <c r="DF36" i="1"/>
  <c r="DC36" i="1"/>
  <c r="CZ36" i="1"/>
  <c r="CW36" i="1"/>
  <c r="CT36" i="1"/>
  <c r="CQ36" i="1"/>
  <c r="CN36" i="1"/>
  <c r="CK36" i="1"/>
  <c r="CH36" i="1"/>
  <c r="CE36" i="1"/>
  <c r="CB36" i="1"/>
  <c r="BY36" i="1"/>
  <c r="BV36" i="1"/>
  <c r="BS36" i="1"/>
  <c r="BP36" i="1"/>
  <c r="BM36" i="1"/>
  <c r="BJ36" i="1"/>
  <c r="BG36" i="1"/>
  <c r="BD36" i="1"/>
  <c r="BA36" i="1"/>
  <c r="AX36" i="1"/>
  <c r="AU36" i="1"/>
  <c r="AR36" i="1"/>
  <c r="AO36" i="1"/>
  <c r="AL36" i="1"/>
  <c r="AI36" i="1"/>
  <c r="AF36" i="1"/>
  <c r="AC36" i="1"/>
  <c r="Z36" i="1"/>
  <c r="W36" i="1"/>
  <c r="T36" i="1"/>
  <c r="Q36" i="1"/>
  <c r="N36" i="1"/>
  <c r="K36" i="1"/>
  <c r="H36" i="1"/>
  <c r="KR35" i="1"/>
  <c r="KO35" i="1"/>
  <c r="KL35" i="1"/>
  <c r="KI35" i="1"/>
  <c r="KF35" i="1"/>
  <c r="KC35" i="1"/>
  <c r="JZ35" i="1"/>
  <c r="JW35" i="1"/>
  <c r="JT35" i="1"/>
  <c r="JQ35" i="1"/>
  <c r="JN35" i="1"/>
  <c r="JK35" i="1"/>
  <c r="JI35" i="1"/>
  <c r="JF35" i="1"/>
  <c r="JC35" i="1"/>
  <c r="IZ35" i="1"/>
  <c r="IW35" i="1"/>
  <c r="IT35" i="1"/>
  <c r="IQ35" i="1"/>
  <c r="IN35" i="1"/>
  <c r="IK35" i="1"/>
  <c r="IH35" i="1"/>
  <c r="IE35" i="1"/>
  <c r="IB35" i="1"/>
  <c r="HY35" i="1"/>
  <c r="HV35" i="1"/>
  <c r="HS35" i="1"/>
  <c r="HP35" i="1"/>
  <c r="HM35" i="1"/>
  <c r="HJ35" i="1"/>
  <c r="HG35" i="1"/>
  <c r="HD35" i="1"/>
  <c r="HA35" i="1"/>
  <c r="GX35" i="1"/>
  <c r="GU35" i="1"/>
  <c r="GR35" i="1"/>
  <c r="GO35" i="1"/>
  <c r="GL35" i="1"/>
  <c r="GI35" i="1"/>
  <c r="GF35" i="1"/>
  <c r="GC35" i="1"/>
  <c r="FZ35" i="1"/>
  <c r="FW35" i="1"/>
  <c r="FT35" i="1"/>
  <c r="FQ35" i="1"/>
  <c r="FN35" i="1"/>
  <c r="FK35" i="1"/>
  <c r="FH35" i="1"/>
  <c r="FE35" i="1"/>
  <c r="FB35" i="1"/>
  <c r="EY35" i="1"/>
  <c r="EV35" i="1"/>
  <c r="ES35" i="1"/>
  <c r="EP35" i="1"/>
  <c r="EM35" i="1"/>
  <c r="EJ35" i="1"/>
  <c r="EG35" i="1"/>
  <c r="ED35" i="1"/>
  <c r="EA35" i="1"/>
  <c r="DX35" i="1"/>
  <c r="DU35" i="1"/>
  <c r="DR35" i="1"/>
  <c r="DO35" i="1"/>
  <c r="DL35" i="1"/>
  <c r="DI35" i="1"/>
  <c r="DF35" i="1"/>
  <c r="DC35" i="1"/>
  <c r="CZ35" i="1"/>
  <c r="CW35" i="1"/>
  <c r="CT35" i="1"/>
  <c r="CQ35" i="1"/>
  <c r="CN35" i="1"/>
  <c r="CK35" i="1"/>
  <c r="CH35" i="1"/>
  <c r="CE35" i="1"/>
  <c r="CB35" i="1"/>
  <c r="BY35" i="1"/>
  <c r="BV35" i="1"/>
  <c r="BS35" i="1"/>
  <c r="BP35" i="1"/>
  <c r="BM35" i="1"/>
  <c r="BJ35" i="1"/>
  <c r="BG35" i="1"/>
  <c r="BD35" i="1"/>
  <c r="BA35" i="1"/>
  <c r="AX35" i="1"/>
  <c r="AU35" i="1"/>
  <c r="AR35" i="1"/>
  <c r="AO35" i="1"/>
  <c r="AL35" i="1"/>
  <c r="AI35" i="1"/>
  <c r="AF35" i="1"/>
  <c r="AC35" i="1"/>
  <c r="Z35" i="1"/>
  <c r="W35" i="1"/>
  <c r="T35" i="1"/>
  <c r="Q35" i="1"/>
  <c r="N35" i="1"/>
  <c r="K35" i="1"/>
  <c r="H35" i="1"/>
  <c r="KR34" i="1"/>
  <c r="KO34" i="1"/>
  <c r="KL34" i="1"/>
  <c r="KI34" i="1"/>
  <c r="KF34" i="1"/>
  <c r="KC34" i="1"/>
  <c r="JZ34" i="1"/>
  <c r="JW34" i="1"/>
  <c r="JT34" i="1"/>
  <c r="JQ34" i="1"/>
  <c r="JN34" i="1"/>
  <c r="JK34" i="1"/>
  <c r="JI34" i="1"/>
  <c r="JF34" i="1"/>
  <c r="JC34" i="1"/>
  <c r="IZ34" i="1"/>
  <c r="IW34" i="1"/>
  <c r="IT34" i="1"/>
  <c r="IQ34" i="1"/>
  <c r="IN34" i="1"/>
  <c r="IK34" i="1"/>
  <c r="IH34" i="1"/>
  <c r="IE34" i="1"/>
  <c r="IB34" i="1"/>
  <c r="HY34" i="1"/>
  <c r="HV34" i="1"/>
  <c r="HS34" i="1"/>
  <c r="HP34" i="1"/>
  <c r="HM34" i="1"/>
  <c r="HJ34" i="1"/>
  <c r="HG34" i="1"/>
  <c r="HD34" i="1"/>
  <c r="HA34" i="1"/>
  <c r="GX34" i="1"/>
  <c r="GU34" i="1"/>
  <c r="GR34" i="1"/>
  <c r="GO34" i="1"/>
  <c r="GL34" i="1"/>
  <c r="GI34" i="1"/>
  <c r="GF34" i="1"/>
  <c r="GC34" i="1"/>
  <c r="FZ34" i="1"/>
  <c r="FW34" i="1"/>
  <c r="FT34" i="1"/>
  <c r="FQ34" i="1"/>
  <c r="FN34" i="1"/>
  <c r="FK34" i="1"/>
  <c r="FH34" i="1"/>
  <c r="FE34" i="1"/>
  <c r="FB34" i="1"/>
  <c r="EY34" i="1"/>
  <c r="EV34" i="1"/>
  <c r="ES34" i="1"/>
  <c r="EP34" i="1"/>
  <c r="EM34" i="1"/>
  <c r="EJ34" i="1"/>
  <c r="EG34" i="1"/>
  <c r="ED34" i="1"/>
  <c r="EA34" i="1"/>
  <c r="DX34" i="1"/>
  <c r="DU34" i="1"/>
  <c r="DR34" i="1"/>
  <c r="DO34" i="1"/>
  <c r="DL34" i="1"/>
  <c r="DI34" i="1"/>
  <c r="DF34" i="1"/>
  <c r="DC34" i="1"/>
  <c r="CZ34" i="1"/>
  <c r="CW34" i="1"/>
  <c r="CT34" i="1"/>
  <c r="CQ34" i="1"/>
  <c r="CN34" i="1"/>
  <c r="CK34" i="1"/>
  <c r="CH34" i="1"/>
  <c r="CE34" i="1"/>
  <c r="CB34" i="1"/>
  <c r="BY34" i="1"/>
  <c r="BV34" i="1"/>
  <c r="BS34" i="1"/>
  <c r="BP34" i="1"/>
  <c r="BM34" i="1"/>
  <c r="BJ34" i="1"/>
  <c r="BG34" i="1"/>
  <c r="BD34" i="1"/>
  <c r="BA34" i="1"/>
  <c r="AX34" i="1"/>
  <c r="AU34" i="1"/>
  <c r="AR34" i="1"/>
  <c r="AO34" i="1"/>
  <c r="AL34" i="1"/>
  <c r="AI34" i="1"/>
  <c r="AF34" i="1"/>
  <c r="AC34" i="1"/>
  <c r="Z34" i="1"/>
  <c r="W34" i="1"/>
  <c r="T34" i="1"/>
  <c r="Q34" i="1"/>
  <c r="N34" i="1"/>
  <c r="K34" i="1"/>
  <c r="H34" i="1"/>
  <c r="KR33" i="1"/>
  <c r="KO33" i="1"/>
  <c r="KL33" i="1"/>
  <c r="KI33" i="1"/>
  <c r="KF33" i="1"/>
  <c r="KC33" i="1"/>
  <c r="JZ33" i="1"/>
  <c r="JW33" i="1"/>
  <c r="JT33" i="1"/>
  <c r="JQ33" i="1"/>
  <c r="JN33" i="1"/>
  <c r="JK33" i="1"/>
  <c r="JI33" i="1"/>
  <c r="JF33" i="1"/>
  <c r="JC33" i="1"/>
  <c r="IZ33" i="1"/>
  <c r="IW33" i="1"/>
  <c r="IT33" i="1"/>
  <c r="IQ33" i="1"/>
  <c r="IN33" i="1"/>
  <c r="IK33" i="1"/>
  <c r="IH33" i="1"/>
  <c r="IE33" i="1"/>
  <c r="IB33" i="1"/>
  <c r="HY33" i="1"/>
  <c r="HV33" i="1"/>
  <c r="HS33" i="1"/>
  <c r="HP33" i="1"/>
  <c r="HM33" i="1"/>
  <c r="HJ33" i="1"/>
  <c r="HG33" i="1"/>
  <c r="HD33" i="1"/>
  <c r="HA33" i="1"/>
  <c r="GX33" i="1"/>
  <c r="GU33" i="1"/>
  <c r="GR33" i="1"/>
  <c r="GO33" i="1"/>
  <c r="GL33" i="1"/>
  <c r="GI33" i="1"/>
  <c r="GF33" i="1"/>
  <c r="GC33" i="1"/>
  <c r="FZ33" i="1"/>
  <c r="FW33" i="1"/>
  <c r="FT33" i="1"/>
  <c r="FQ33" i="1"/>
  <c r="FN33" i="1"/>
  <c r="FK33" i="1"/>
  <c r="FH33" i="1"/>
  <c r="FE33" i="1"/>
  <c r="FB33" i="1"/>
  <c r="EY33" i="1"/>
  <c r="EV33" i="1"/>
  <c r="ES33" i="1"/>
  <c r="EP33" i="1"/>
  <c r="EM33" i="1"/>
  <c r="EJ33" i="1"/>
  <c r="EG33" i="1"/>
  <c r="ED33" i="1"/>
  <c r="EA33" i="1"/>
  <c r="DX33" i="1"/>
  <c r="DU33" i="1"/>
  <c r="DR33" i="1"/>
  <c r="DO33" i="1"/>
  <c r="DL33" i="1"/>
  <c r="DI33" i="1"/>
  <c r="DF33" i="1"/>
  <c r="DC33" i="1"/>
  <c r="CZ33" i="1"/>
  <c r="CW33" i="1"/>
  <c r="CT33" i="1"/>
  <c r="CQ33" i="1"/>
  <c r="CN33" i="1"/>
  <c r="CK33" i="1"/>
  <c r="CH33" i="1"/>
  <c r="CE33" i="1"/>
  <c r="CB33" i="1"/>
  <c r="BY33" i="1"/>
  <c r="BV33" i="1"/>
  <c r="BS33" i="1"/>
  <c r="BP33" i="1"/>
  <c r="BM33" i="1"/>
  <c r="BJ33" i="1"/>
  <c r="BG33" i="1"/>
  <c r="BD33" i="1"/>
  <c r="BA33" i="1"/>
  <c r="AX33" i="1"/>
  <c r="AU33" i="1"/>
  <c r="AR33" i="1"/>
  <c r="AO33" i="1"/>
  <c r="AL33" i="1"/>
  <c r="AI33" i="1"/>
  <c r="AF33" i="1"/>
  <c r="AC33" i="1"/>
  <c r="Z33" i="1"/>
  <c r="W33" i="1"/>
  <c r="T33" i="1"/>
  <c r="Q33" i="1"/>
  <c r="N33" i="1"/>
  <c r="K33" i="1"/>
  <c r="H33" i="1"/>
  <c r="KR32" i="1"/>
  <c r="KO32" i="1"/>
  <c r="KL32" i="1"/>
  <c r="KI32" i="1"/>
  <c r="KF32" i="1"/>
  <c r="KC32" i="1"/>
  <c r="JZ32" i="1"/>
  <c r="JW32" i="1"/>
  <c r="JT32" i="1"/>
  <c r="JQ32" i="1"/>
  <c r="JN32" i="1"/>
  <c r="JK32" i="1"/>
  <c r="JI32" i="1"/>
  <c r="JF32" i="1"/>
  <c r="JC32" i="1"/>
  <c r="IZ32" i="1"/>
  <c r="IW32" i="1"/>
  <c r="IT32" i="1"/>
  <c r="IQ32" i="1"/>
  <c r="IN32" i="1"/>
  <c r="IK32" i="1"/>
  <c r="IH32" i="1"/>
  <c r="IE32" i="1"/>
  <c r="IB32" i="1"/>
  <c r="HY32" i="1"/>
  <c r="HV32" i="1"/>
  <c r="HS32" i="1"/>
  <c r="HP32" i="1"/>
  <c r="HM32" i="1"/>
  <c r="HJ32" i="1"/>
  <c r="HG32" i="1"/>
  <c r="HD32" i="1"/>
  <c r="HA32" i="1"/>
  <c r="GX32" i="1"/>
  <c r="GU32" i="1"/>
  <c r="GR32" i="1"/>
  <c r="GO32" i="1"/>
  <c r="GL32" i="1"/>
  <c r="GI32" i="1"/>
  <c r="GF32" i="1"/>
  <c r="GC32" i="1"/>
  <c r="FZ32" i="1"/>
  <c r="FW32" i="1"/>
  <c r="FT32" i="1"/>
  <c r="FQ32" i="1"/>
  <c r="FN32" i="1"/>
  <c r="FK32" i="1"/>
  <c r="FH32" i="1"/>
  <c r="FE32" i="1"/>
  <c r="FB32" i="1"/>
  <c r="EY32" i="1"/>
  <c r="EV32" i="1"/>
  <c r="ES32" i="1"/>
  <c r="EP32" i="1"/>
  <c r="EM32" i="1"/>
  <c r="EJ32" i="1"/>
  <c r="EG32" i="1"/>
  <c r="ED32" i="1"/>
  <c r="EA32" i="1"/>
  <c r="DX32" i="1"/>
  <c r="DU32" i="1"/>
  <c r="DR32" i="1"/>
  <c r="DO32" i="1"/>
  <c r="DL32" i="1"/>
  <c r="DI32" i="1"/>
  <c r="DF32" i="1"/>
  <c r="DC32" i="1"/>
  <c r="CZ32" i="1"/>
  <c r="CW32" i="1"/>
  <c r="CT32" i="1"/>
  <c r="CQ32" i="1"/>
  <c r="CN32" i="1"/>
  <c r="CK32" i="1"/>
  <c r="CH32" i="1"/>
  <c r="CE32" i="1"/>
  <c r="CB32" i="1"/>
  <c r="BY32" i="1"/>
  <c r="BV32" i="1"/>
  <c r="BS32" i="1"/>
  <c r="BP32" i="1"/>
  <c r="BM32" i="1"/>
  <c r="BJ32" i="1"/>
  <c r="BG32" i="1"/>
  <c r="BA32" i="1"/>
  <c r="AX32" i="1"/>
  <c r="AU32" i="1"/>
  <c r="AR32" i="1"/>
  <c r="AO32" i="1"/>
  <c r="AL32" i="1"/>
  <c r="AI32" i="1"/>
  <c r="AF32" i="1"/>
  <c r="AC32" i="1"/>
  <c r="Z32" i="1"/>
  <c r="W32" i="1"/>
  <c r="T32" i="1"/>
  <c r="Q32" i="1"/>
  <c r="N32" i="1"/>
  <c r="K32" i="1"/>
  <c r="H32" i="1"/>
  <c r="KR31" i="1"/>
  <c r="KO31" i="1"/>
  <c r="KL31" i="1"/>
  <c r="KI31" i="1"/>
  <c r="KF31" i="1"/>
  <c r="KC31" i="1"/>
  <c r="JZ31" i="1"/>
  <c r="JW31" i="1"/>
  <c r="JT31" i="1"/>
  <c r="JQ31" i="1"/>
  <c r="JN31" i="1"/>
  <c r="JK31" i="1"/>
  <c r="JI31" i="1"/>
  <c r="JF31" i="1"/>
  <c r="JC31" i="1"/>
  <c r="IZ31" i="1"/>
  <c r="IW31" i="1"/>
  <c r="IT31" i="1"/>
  <c r="IQ31" i="1"/>
  <c r="IN31" i="1"/>
  <c r="IK31" i="1"/>
  <c r="IH31" i="1"/>
  <c r="IE31" i="1"/>
  <c r="IB31" i="1"/>
  <c r="HY31" i="1"/>
  <c r="HV31" i="1"/>
  <c r="HS31" i="1"/>
  <c r="HP31" i="1"/>
  <c r="HM31" i="1"/>
  <c r="HJ31" i="1"/>
  <c r="HG31" i="1"/>
  <c r="HD31" i="1"/>
  <c r="HA31" i="1"/>
  <c r="GX31" i="1"/>
  <c r="GU31" i="1"/>
  <c r="GR31" i="1"/>
  <c r="GO31" i="1"/>
  <c r="GL31" i="1"/>
  <c r="GI31" i="1"/>
  <c r="GF31" i="1"/>
  <c r="GC31" i="1"/>
  <c r="FZ31" i="1"/>
  <c r="FW31" i="1"/>
  <c r="FT31" i="1"/>
  <c r="FQ31" i="1"/>
  <c r="FN31" i="1"/>
  <c r="FK31" i="1"/>
  <c r="FH31" i="1"/>
  <c r="FE31" i="1"/>
  <c r="FB31" i="1"/>
  <c r="EY31" i="1"/>
  <c r="EV31" i="1"/>
  <c r="ES31" i="1"/>
  <c r="EP31" i="1"/>
  <c r="EM31" i="1"/>
  <c r="EJ31" i="1"/>
  <c r="EG31" i="1"/>
  <c r="ED31" i="1"/>
  <c r="EA31" i="1"/>
  <c r="DX31" i="1"/>
  <c r="DU31" i="1"/>
  <c r="DR31" i="1"/>
  <c r="DO31" i="1"/>
  <c r="DL31" i="1"/>
  <c r="DI31" i="1"/>
  <c r="DF31" i="1"/>
  <c r="DC31" i="1"/>
  <c r="CZ31" i="1"/>
  <c r="CW31" i="1"/>
  <c r="CT31" i="1"/>
  <c r="CQ31" i="1"/>
  <c r="CN31" i="1"/>
  <c r="CK31" i="1"/>
  <c r="CH31" i="1"/>
  <c r="CE31" i="1"/>
  <c r="CB31" i="1"/>
  <c r="BY31" i="1"/>
  <c r="BV31" i="1"/>
  <c r="BS31" i="1"/>
  <c r="BP31" i="1"/>
  <c r="BM31" i="1"/>
  <c r="BJ31" i="1"/>
  <c r="BG31" i="1"/>
  <c r="BD31" i="1"/>
  <c r="BA31" i="1"/>
  <c r="AX31" i="1"/>
  <c r="AU31" i="1"/>
  <c r="AR31" i="1"/>
  <c r="AO31" i="1"/>
  <c r="AL31" i="1"/>
  <c r="AI31" i="1"/>
  <c r="AF31" i="1"/>
  <c r="AC31" i="1"/>
  <c r="Z31" i="1"/>
  <c r="W31" i="1"/>
  <c r="T31" i="1"/>
  <c r="Q31" i="1"/>
  <c r="N31" i="1"/>
  <c r="K31" i="1"/>
  <c r="H31" i="1"/>
  <c r="KR30" i="1"/>
  <c r="KO30" i="1"/>
  <c r="KL30" i="1"/>
  <c r="KI30" i="1"/>
  <c r="KF30" i="1"/>
  <c r="KC30" i="1"/>
  <c r="JZ30" i="1"/>
  <c r="JW30" i="1"/>
  <c r="JT30" i="1"/>
  <c r="JQ30" i="1"/>
  <c r="JN30" i="1"/>
  <c r="JK30" i="1"/>
  <c r="JI30" i="1"/>
  <c r="JF30" i="1"/>
  <c r="JC30" i="1"/>
  <c r="IZ30" i="1"/>
  <c r="IW30" i="1"/>
  <c r="IT30" i="1"/>
  <c r="IQ30" i="1"/>
  <c r="IN30" i="1"/>
  <c r="IK30" i="1"/>
  <c r="IH30" i="1"/>
  <c r="IE30" i="1"/>
  <c r="IB30" i="1"/>
  <c r="HY30" i="1"/>
  <c r="HV30" i="1"/>
  <c r="HS30" i="1"/>
  <c r="HP30" i="1"/>
  <c r="HM30" i="1"/>
  <c r="HJ30" i="1"/>
  <c r="HG30" i="1"/>
  <c r="HD30" i="1"/>
  <c r="HA30" i="1"/>
  <c r="GX30" i="1"/>
  <c r="GU30" i="1"/>
  <c r="GR30" i="1"/>
  <c r="GO30" i="1"/>
  <c r="GL30" i="1"/>
  <c r="GI30" i="1"/>
  <c r="GF30" i="1"/>
  <c r="GC30" i="1"/>
  <c r="FZ30" i="1"/>
  <c r="FW30" i="1"/>
  <c r="FT30" i="1"/>
  <c r="FQ30" i="1"/>
  <c r="FN30" i="1"/>
  <c r="FK30" i="1"/>
  <c r="FH30" i="1"/>
  <c r="FE30" i="1"/>
  <c r="FB30" i="1"/>
  <c r="EY30" i="1"/>
  <c r="EV30" i="1"/>
  <c r="ES30" i="1"/>
  <c r="EP30" i="1"/>
  <c r="EM30" i="1"/>
  <c r="EJ30" i="1"/>
  <c r="EG30" i="1"/>
  <c r="EA30" i="1"/>
  <c r="DX30" i="1"/>
  <c r="DU30" i="1"/>
  <c r="DR30" i="1"/>
  <c r="DO30" i="1"/>
  <c r="DL30" i="1"/>
  <c r="DI30" i="1"/>
  <c r="DF30" i="1"/>
  <c r="DC30" i="1"/>
  <c r="CZ30" i="1"/>
  <c r="CW30" i="1"/>
  <c r="CT30" i="1"/>
  <c r="CQ30" i="1"/>
  <c r="CN30" i="1"/>
  <c r="CK30" i="1"/>
  <c r="CH30" i="1"/>
  <c r="CE30" i="1"/>
  <c r="CB30" i="1"/>
  <c r="BY30" i="1"/>
  <c r="BV30" i="1"/>
  <c r="BS30" i="1"/>
  <c r="BP30" i="1"/>
  <c r="BM30" i="1"/>
  <c r="BJ30" i="1"/>
  <c r="BG30" i="1"/>
  <c r="BD30" i="1"/>
  <c r="BA30" i="1"/>
  <c r="AX30" i="1"/>
  <c r="AU30" i="1"/>
  <c r="AR30" i="1"/>
  <c r="AO30" i="1"/>
  <c r="AL30" i="1"/>
  <c r="AI30" i="1"/>
  <c r="AF30" i="1"/>
  <c r="AC30" i="1"/>
  <c r="Z30" i="1"/>
  <c r="W30" i="1"/>
  <c r="T30" i="1"/>
  <c r="Q30" i="1"/>
  <c r="N30" i="1"/>
  <c r="K30" i="1"/>
  <c r="H30" i="1"/>
  <c r="KR29" i="1"/>
  <c r="KO29" i="1"/>
  <c r="KL29" i="1"/>
  <c r="KI29" i="1"/>
  <c r="KF29" i="1"/>
  <c r="KC29" i="1"/>
  <c r="JZ29" i="1"/>
  <c r="JW29" i="1"/>
  <c r="JT29" i="1"/>
  <c r="JQ29" i="1"/>
  <c r="JN29" i="1"/>
  <c r="JK29" i="1"/>
  <c r="JI29" i="1"/>
  <c r="JF29" i="1"/>
  <c r="JC29" i="1"/>
  <c r="IZ29" i="1"/>
  <c r="IW29" i="1"/>
  <c r="IT29" i="1"/>
  <c r="IQ29" i="1"/>
  <c r="IN29" i="1"/>
  <c r="IK29" i="1"/>
  <c r="IH29" i="1"/>
  <c r="IE29" i="1"/>
  <c r="IB29" i="1"/>
  <c r="HY29" i="1"/>
  <c r="HV29" i="1"/>
  <c r="HS29" i="1"/>
  <c r="HP29" i="1"/>
  <c r="HM29" i="1"/>
  <c r="HJ29" i="1"/>
  <c r="HG29" i="1"/>
  <c r="HD29" i="1"/>
  <c r="HA29" i="1"/>
  <c r="GX29" i="1"/>
  <c r="GU29" i="1"/>
  <c r="GR29" i="1"/>
  <c r="GO29" i="1"/>
  <c r="GL29" i="1"/>
  <c r="GI29" i="1"/>
  <c r="GF29" i="1"/>
  <c r="GC29" i="1"/>
  <c r="FZ29" i="1"/>
  <c r="FW29" i="1"/>
  <c r="FT29" i="1"/>
  <c r="FQ29" i="1"/>
  <c r="FN29" i="1"/>
  <c r="FK29" i="1"/>
  <c r="FH29" i="1"/>
  <c r="FE29" i="1"/>
  <c r="FB29" i="1"/>
  <c r="EY29" i="1"/>
  <c r="EV29" i="1"/>
  <c r="ES29" i="1"/>
  <c r="EP29" i="1"/>
  <c r="EM29" i="1"/>
  <c r="EJ29" i="1"/>
  <c r="EG29" i="1"/>
  <c r="ED29" i="1"/>
  <c r="EA29" i="1"/>
  <c r="DX29" i="1"/>
  <c r="DU29" i="1"/>
  <c r="DR29" i="1"/>
  <c r="DO29" i="1"/>
  <c r="DL29" i="1"/>
  <c r="DI29" i="1"/>
  <c r="DF29" i="1"/>
  <c r="DC29" i="1"/>
  <c r="CZ29" i="1"/>
  <c r="CW29" i="1"/>
  <c r="CT29" i="1"/>
  <c r="CQ29" i="1"/>
  <c r="CN29" i="1"/>
  <c r="CK29" i="1"/>
  <c r="CH29" i="1"/>
  <c r="CE29" i="1"/>
  <c r="CB29" i="1"/>
  <c r="BY29" i="1"/>
  <c r="BV29" i="1"/>
  <c r="BS29" i="1"/>
  <c r="BP29" i="1"/>
  <c r="BM29" i="1"/>
  <c r="BJ29" i="1"/>
  <c r="BG29" i="1"/>
  <c r="BD29" i="1"/>
  <c r="BA29" i="1"/>
  <c r="AX29" i="1"/>
  <c r="AU29" i="1"/>
  <c r="AR29" i="1"/>
  <c r="AO29" i="1"/>
  <c r="AL29" i="1"/>
  <c r="AI29" i="1"/>
  <c r="AF29" i="1"/>
  <c r="AC29" i="1"/>
  <c r="Z29" i="1"/>
  <c r="W29" i="1"/>
  <c r="T29" i="1"/>
  <c r="Q29" i="1"/>
  <c r="N29" i="1"/>
  <c r="K29" i="1"/>
  <c r="H29" i="1"/>
  <c r="KR28" i="1"/>
  <c r="KO28" i="1"/>
  <c r="KL28" i="1"/>
  <c r="KI28" i="1"/>
  <c r="KF28" i="1"/>
  <c r="KC28" i="1"/>
  <c r="JZ28" i="1"/>
  <c r="JW28" i="1"/>
  <c r="JT28" i="1"/>
  <c r="JQ28" i="1"/>
  <c r="JN28" i="1"/>
  <c r="JK28" i="1"/>
  <c r="JI28" i="1"/>
  <c r="JF28" i="1"/>
  <c r="JC28" i="1"/>
  <c r="IZ28" i="1"/>
  <c r="IW28" i="1"/>
  <c r="IT28" i="1"/>
  <c r="IQ28" i="1"/>
  <c r="IN28" i="1"/>
  <c r="IK28" i="1"/>
  <c r="IH28" i="1"/>
  <c r="IE28" i="1"/>
  <c r="IB28" i="1"/>
  <c r="HY28" i="1"/>
  <c r="HV28" i="1"/>
  <c r="HS28" i="1"/>
  <c r="HP28" i="1"/>
  <c r="HM28" i="1"/>
  <c r="HJ28" i="1"/>
  <c r="HG28" i="1"/>
  <c r="HD28" i="1"/>
  <c r="HA28" i="1"/>
  <c r="GX28" i="1"/>
  <c r="GU28" i="1"/>
  <c r="GR28" i="1"/>
  <c r="GO28" i="1"/>
  <c r="GL28" i="1"/>
  <c r="GI28" i="1"/>
  <c r="GF28" i="1"/>
  <c r="GC28" i="1"/>
  <c r="FZ28" i="1"/>
  <c r="FW28" i="1"/>
  <c r="FT28" i="1"/>
  <c r="FQ28" i="1"/>
  <c r="FN28" i="1"/>
  <c r="FK28" i="1"/>
  <c r="FH28" i="1"/>
  <c r="FE28" i="1"/>
  <c r="FB28" i="1"/>
  <c r="EY28" i="1"/>
  <c r="EV28" i="1"/>
  <c r="ES28" i="1"/>
  <c r="EP28" i="1"/>
  <c r="EM28" i="1"/>
  <c r="EJ28" i="1"/>
  <c r="EG28" i="1"/>
  <c r="ED28" i="1"/>
  <c r="EA28" i="1"/>
  <c r="DX28" i="1"/>
  <c r="DU28" i="1"/>
  <c r="DR28" i="1"/>
  <c r="DO28" i="1"/>
  <c r="DL28" i="1"/>
  <c r="DI28" i="1"/>
  <c r="DF28" i="1"/>
  <c r="DC28" i="1"/>
  <c r="CZ28" i="1"/>
  <c r="CW28" i="1"/>
  <c r="CT28" i="1"/>
  <c r="CQ28" i="1"/>
  <c r="CN28" i="1"/>
  <c r="CK28" i="1"/>
  <c r="CH28" i="1"/>
  <c r="CE28" i="1"/>
  <c r="CB28" i="1"/>
  <c r="BY28" i="1"/>
  <c r="BV28" i="1"/>
  <c r="BS28" i="1"/>
  <c r="BP28" i="1"/>
  <c r="BM28" i="1"/>
  <c r="BJ28" i="1"/>
  <c r="BG28" i="1"/>
  <c r="BD28" i="1"/>
  <c r="BA28" i="1"/>
  <c r="AX28" i="1"/>
  <c r="AU28" i="1"/>
  <c r="AR28" i="1"/>
  <c r="AO28" i="1"/>
  <c r="AL28" i="1"/>
  <c r="AI28" i="1"/>
  <c r="AF28" i="1"/>
  <c r="AC28" i="1"/>
  <c r="Z28" i="1"/>
  <c r="W28" i="1"/>
  <c r="T28" i="1"/>
  <c r="Q28" i="1"/>
  <c r="N28" i="1"/>
  <c r="K28" i="1"/>
  <c r="H28" i="1"/>
  <c r="KR27" i="1"/>
  <c r="KO27" i="1"/>
  <c r="KL27" i="1"/>
  <c r="KI27" i="1"/>
  <c r="KF27" i="1"/>
  <c r="KC27" i="1"/>
  <c r="JZ27" i="1"/>
  <c r="JW27" i="1"/>
  <c r="JT27" i="1"/>
  <c r="JQ27" i="1"/>
  <c r="JN27" i="1"/>
  <c r="JK27" i="1"/>
  <c r="JI27" i="1"/>
  <c r="JF27" i="1"/>
  <c r="JC27" i="1"/>
  <c r="IZ27" i="1"/>
  <c r="IW27" i="1"/>
  <c r="IT27" i="1"/>
  <c r="IQ27" i="1"/>
  <c r="IN27" i="1"/>
  <c r="IK27" i="1"/>
  <c r="IH27" i="1"/>
  <c r="IE27" i="1"/>
  <c r="IB27" i="1"/>
  <c r="HY27" i="1"/>
  <c r="HV27" i="1"/>
  <c r="HS27" i="1"/>
  <c r="HP27" i="1"/>
  <c r="HM27" i="1"/>
  <c r="HJ27" i="1"/>
  <c r="HG27" i="1"/>
  <c r="HD27" i="1"/>
  <c r="HA27" i="1"/>
  <c r="GX27" i="1"/>
  <c r="GU27" i="1"/>
  <c r="GR27" i="1"/>
  <c r="GO27" i="1"/>
  <c r="GL27" i="1"/>
  <c r="GI27" i="1"/>
  <c r="GF27" i="1"/>
  <c r="GC27" i="1"/>
  <c r="FZ27" i="1"/>
  <c r="FW27" i="1"/>
  <c r="FT27" i="1"/>
  <c r="FQ27" i="1"/>
  <c r="FN27" i="1"/>
  <c r="FK27" i="1"/>
  <c r="FH27" i="1"/>
  <c r="FE27" i="1"/>
  <c r="FB27" i="1"/>
  <c r="EY27" i="1"/>
  <c r="EV27" i="1"/>
  <c r="ES27" i="1"/>
  <c r="EP27" i="1"/>
  <c r="EM27" i="1"/>
  <c r="EJ27" i="1"/>
  <c r="EG27" i="1"/>
  <c r="ED27" i="1"/>
  <c r="EA27" i="1"/>
  <c r="DX27" i="1"/>
  <c r="DU27" i="1"/>
  <c r="DR27" i="1"/>
  <c r="DO27" i="1"/>
  <c r="DL27" i="1"/>
  <c r="DI27" i="1"/>
  <c r="DF27" i="1"/>
  <c r="DC27" i="1"/>
  <c r="CZ27" i="1"/>
  <c r="CW27" i="1"/>
  <c r="CT27" i="1"/>
  <c r="CQ27" i="1"/>
  <c r="CN27" i="1"/>
  <c r="CK27" i="1"/>
  <c r="CH27" i="1"/>
  <c r="CE27" i="1"/>
  <c r="CB27" i="1"/>
  <c r="BV27" i="1"/>
  <c r="BS27" i="1"/>
  <c r="BM27" i="1"/>
  <c r="BJ27" i="1"/>
  <c r="BG27" i="1"/>
  <c r="BD27" i="1"/>
  <c r="BA27" i="1"/>
  <c r="AX27" i="1"/>
  <c r="AU27" i="1"/>
  <c r="AR27" i="1"/>
  <c r="AO27" i="1"/>
  <c r="AL27" i="1"/>
  <c r="AI27" i="1"/>
  <c r="AF27" i="1"/>
  <c r="AC27" i="1"/>
  <c r="Z27" i="1"/>
  <c r="W27" i="1"/>
  <c r="T27" i="1"/>
  <c r="Q27" i="1"/>
  <c r="N27" i="1"/>
  <c r="K27" i="1"/>
  <c r="H27" i="1"/>
  <c r="KR26" i="1"/>
  <c r="KO26" i="1"/>
  <c r="KL26" i="1"/>
  <c r="KI26" i="1"/>
  <c r="KF26" i="1"/>
  <c r="KC26" i="1"/>
  <c r="JZ26" i="1"/>
  <c r="JW26" i="1"/>
  <c r="JT26" i="1"/>
  <c r="JQ26" i="1"/>
  <c r="JN26" i="1"/>
  <c r="JK26" i="1"/>
  <c r="JI26" i="1"/>
  <c r="JF26" i="1"/>
  <c r="JC26" i="1"/>
  <c r="IZ26" i="1"/>
  <c r="IW26" i="1"/>
  <c r="IT26" i="1"/>
  <c r="IQ26" i="1"/>
  <c r="IN26" i="1"/>
  <c r="IK26" i="1"/>
  <c r="IH26" i="1"/>
  <c r="IE26" i="1"/>
  <c r="IB26" i="1"/>
  <c r="HY26" i="1"/>
  <c r="HV26" i="1"/>
  <c r="HS26" i="1"/>
  <c r="HP26" i="1"/>
  <c r="HM26" i="1"/>
  <c r="HJ26" i="1"/>
  <c r="HG26" i="1"/>
  <c r="HD26" i="1"/>
  <c r="HA26" i="1"/>
  <c r="GX26" i="1"/>
  <c r="GU26" i="1"/>
  <c r="GR26" i="1"/>
  <c r="GO26" i="1"/>
  <c r="GL26" i="1"/>
  <c r="GI26" i="1"/>
  <c r="GF26" i="1"/>
  <c r="GC26" i="1"/>
  <c r="FZ26" i="1"/>
  <c r="FW26" i="1"/>
  <c r="FT26" i="1"/>
  <c r="FQ26" i="1"/>
  <c r="FN26" i="1"/>
  <c r="FK26" i="1"/>
  <c r="FH26" i="1"/>
  <c r="FE26" i="1"/>
  <c r="FB26" i="1"/>
  <c r="EY26" i="1"/>
  <c r="EV26" i="1"/>
  <c r="ES26" i="1"/>
  <c r="EP26" i="1"/>
  <c r="EM26" i="1"/>
  <c r="EJ26" i="1"/>
  <c r="EG26" i="1"/>
  <c r="ED26" i="1"/>
  <c r="EA26" i="1"/>
  <c r="DX26" i="1"/>
  <c r="DU26" i="1"/>
  <c r="DR26" i="1"/>
  <c r="DO26" i="1"/>
  <c r="DL26" i="1"/>
  <c r="DI26" i="1"/>
  <c r="DF26" i="1"/>
  <c r="DC26" i="1"/>
  <c r="CZ26" i="1"/>
  <c r="CW26" i="1"/>
  <c r="CT26" i="1"/>
  <c r="CQ26" i="1"/>
  <c r="CN26" i="1"/>
  <c r="CK26" i="1"/>
  <c r="CH26" i="1"/>
  <c r="CE26" i="1"/>
  <c r="CB26" i="1"/>
  <c r="BY26" i="1"/>
  <c r="BV26" i="1"/>
  <c r="BS26" i="1"/>
  <c r="BP26" i="1"/>
  <c r="BM26" i="1"/>
  <c r="BJ26" i="1"/>
  <c r="BG26" i="1"/>
  <c r="BD26" i="1"/>
  <c r="BA26" i="1"/>
  <c r="AX26" i="1"/>
  <c r="AU26" i="1"/>
  <c r="AR26" i="1"/>
  <c r="AO26" i="1"/>
  <c r="AL26" i="1"/>
  <c r="AI26" i="1"/>
  <c r="AF26" i="1"/>
  <c r="AC26" i="1"/>
  <c r="Z26" i="1"/>
  <c r="W26" i="1"/>
  <c r="T26" i="1"/>
  <c r="Q26" i="1"/>
  <c r="N26" i="1"/>
  <c r="K26" i="1"/>
  <c r="H26" i="1"/>
  <c r="KR25" i="1"/>
  <c r="KO25" i="1"/>
  <c r="KL25" i="1"/>
  <c r="KI25" i="1"/>
  <c r="KF25" i="1"/>
  <c r="KC25" i="1"/>
  <c r="JZ25" i="1"/>
  <c r="JW25" i="1"/>
  <c r="JT25" i="1"/>
  <c r="JQ25" i="1"/>
  <c r="JN25" i="1"/>
  <c r="JK25" i="1"/>
  <c r="JI25" i="1"/>
  <c r="JF25" i="1"/>
  <c r="JC25" i="1"/>
  <c r="IZ25" i="1"/>
  <c r="IW25" i="1"/>
  <c r="IT25" i="1"/>
  <c r="IQ25" i="1"/>
  <c r="IN25" i="1"/>
  <c r="IK25" i="1"/>
  <c r="IH25" i="1"/>
  <c r="IE25" i="1"/>
  <c r="IB25" i="1"/>
  <c r="HY25" i="1"/>
  <c r="HV25" i="1"/>
  <c r="HS25" i="1"/>
  <c r="HP25" i="1"/>
  <c r="HM25" i="1"/>
  <c r="HJ25" i="1"/>
  <c r="HG25" i="1"/>
  <c r="HD25" i="1"/>
  <c r="HA25" i="1"/>
  <c r="GX25" i="1"/>
  <c r="GU25" i="1"/>
  <c r="GR25" i="1"/>
  <c r="GO25" i="1"/>
  <c r="GL25" i="1"/>
  <c r="GI25" i="1"/>
  <c r="GF25" i="1"/>
  <c r="GC25" i="1"/>
  <c r="FZ25" i="1"/>
  <c r="FW25" i="1"/>
  <c r="FT25" i="1"/>
  <c r="FQ25" i="1"/>
  <c r="FN25" i="1"/>
  <c r="FK25" i="1"/>
  <c r="FH25" i="1"/>
  <c r="FE25" i="1"/>
  <c r="FB25" i="1"/>
  <c r="EY25" i="1"/>
  <c r="EV25" i="1"/>
  <c r="ES25" i="1"/>
  <c r="EP25" i="1"/>
  <c r="EM25" i="1"/>
  <c r="EJ25" i="1"/>
  <c r="EG25" i="1"/>
  <c r="ED25" i="1"/>
  <c r="EA25" i="1"/>
  <c r="DX25" i="1"/>
  <c r="DU25" i="1"/>
  <c r="DR25" i="1"/>
  <c r="DO25" i="1"/>
  <c r="DL25" i="1"/>
  <c r="DI25" i="1"/>
  <c r="DF25" i="1"/>
  <c r="DC25" i="1"/>
  <c r="CZ25" i="1"/>
  <c r="CW25" i="1"/>
  <c r="CT25" i="1"/>
  <c r="CQ25" i="1"/>
  <c r="CN25" i="1"/>
  <c r="CK25" i="1"/>
  <c r="CH25" i="1"/>
  <c r="CE25" i="1"/>
  <c r="CB25" i="1"/>
  <c r="BY25" i="1"/>
  <c r="BV25" i="1"/>
  <c r="BS25" i="1"/>
  <c r="BP25" i="1"/>
  <c r="BM25" i="1"/>
  <c r="BJ25" i="1"/>
  <c r="BG25" i="1"/>
  <c r="BD25" i="1"/>
  <c r="BA25" i="1"/>
  <c r="AX25" i="1"/>
  <c r="AU25" i="1"/>
  <c r="AR25" i="1"/>
  <c r="AO25" i="1"/>
  <c r="AL25" i="1"/>
  <c r="AI25" i="1"/>
  <c r="AF25" i="1"/>
  <c r="AC25" i="1"/>
  <c r="Z25" i="1"/>
  <c r="W25" i="1"/>
  <c r="T25" i="1"/>
  <c r="Q25" i="1"/>
  <c r="N25" i="1"/>
  <c r="K25" i="1"/>
  <c r="H25" i="1"/>
  <c r="KR24" i="1"/>
  <c r="KO24" i="1"/>
  <c r="KL24" i="1"/>
  <c r="KI24" i="1"/>
  <c r="KF24" i="1"/>
  <c r="KC24" i="1"/>
  <c r="JZ24" i="1"/>
  <c r="JW24" i="1"/>
  <c r="JT24" i="1"/>
  <c r="JQ24" i="1"/>
  <c r="JN24" i="1"/>
  <c r="JK24" i="1"/>
  <c r="JI24" i="1"/>
  <c r="JF24" i="1"/>
  <c r="JC24" i="1"/>
  <c r="IZ24" i="1"/>
  <c r="IW24" i="1"/>
  <c r="IT24" i="1"/>
  <c r="IQ24" i="1"/>
  <c r="IN24" i="1"/>
  <c r="IK24" i="1"/>
  <c r="IH24" i="1"/>
  <c r="IE24" i="1"/>
  <c r="IB24" i="1"/>
  <c r="HY24" i="1"/>
  <c r="HV24" i="1"/>
  <c r="HS24" i="1"/>
  <c r="HP24" i="1"/>
  <c r="HM24" i="1"/>
  <c r="HJ24" i="1"/>
  <c r="HG24" i="1"/>
  <c r="HD24" i="1"/>
  <c r="HA24" i="1"/>
  <c r="GX24" i="1"/>
  <c r="GU24" i="1"/>
  <c r="GR24" i="1"/>
  <c r="GO24" i="1"/>
  <c r="GL24" i="1"/>
  <c r="GI24" i="1"/>
  <c r="GF24" i="1"/>
  <c r="GC24" i="1"/>
  <c r="FZ24" i="1"/>
  <c r="FW24" i="1"/>
  <c r="FT24" i="1"/>
  <c r="FQ24" i="1"/>
  <c r="FN24" i="1"/>
  <c r="FK24" i="1"/>
  <c r="FH24" i="1"/>
  <c r="FE24" i="1"/>
  <c r="FB24" i="1"/>
  <c r="EY24" i="1"/>
  <c r="EV24" i="1"/>
  <c r="ES24" i="1"/>
  <c r="EP24" i="1"/>
  <c r="EM24" i="1"/>
  <c r="EJ24" i="1"/>
  <c r="EG24" i="1"/>
  <c r="ED24" i="1"/>
  <c r="EA24" i="1"/>
  <c r="DX24" i="1"/>
  <c r="DU24" i="1"/>
  <c r="DR24" i="1"/>
  <c r="DO24" i="1"/>
  <c r="DL24" i="1"/>
  <c r="DI24" i="1"/>
  <c r="DF24" i="1"/>
  <c r="DC24" i="1"/>
  <c r="CZ24" i="1"/>
  <c r="CW24" i="1"/>
  <c r="CT24" i="1"/>
  <c r="CQ24" i="1"/>
  <c r="CN24" i="1"/>
  <c r="CK24" i="1"/>
  <c r="CH24" i="1"/>
  <c r="CE24" i="1"/>
  <c r="CB24" i="1"/>
  <c r="BY24" i="1"/>
  <c r="BV24" i="1"/>
  <c r="BS24" i="1"/>
  <c r="BP24" i="1"/>
  <c r="BM24" i="1"/>
  <c r="BJ24" i="1"/>
  <c r="BG24" i="1"/>
  <c r="BD24" i="1"/>
  <c r="BA24" i="1"/>
  <c r="AX24" i="1"/>
  <c r="AU24" i="1"/>
  <c r="AR24" i="1"/>
  <c r="AO24" i="1"/>
  <c r="AL24" i="1"/>
  <c r="AI24" i="1"/>
  <c r="AF24" i="1"/>
  <c r="AC24" i="1"/>
  <c r="Z24" i="1"/>
  <c r="W24" i="1"/>
  <c r="T24" i="1"/>
  <c r="Q24" i="1"/>
  <c r="N24" i="1"/>
  <c r="K24" i="1"/>
  <c r="H24" i="1"/>
  <c r="KR23" i="1"/>
  <c r="KO23" i="1"/>
  <c r="KL23" i="1"/>
  <c r="KI23" i="1"/>
  <c r="KF23" i="1"/>
  <c r="KC23" i="1"/>
  <c r="JZ23" i="1"/>
  <c r="JW23" i="1"/>
  <c r="JT23" i="1"/>
  <c r="JQ23" i="1"/>
  <c r="JN23" i="1"/>
  <c r="JK23" i="1"/>
  <c r="JI23" i="1"/>
  <c r="JF23" i="1"/>
  <c r="JC23" i="1"/>
  <c r="IZ23" i="1"/>
  <c r="IW23" i="1"/>
  <c r="IT23" i="1"/>
  <c r="IQ23" i="1"/>
  <c r="IN23" i="1"/>
  <c r="IK23" i="1"/>
  <c r="IH23" i="1"/>
  <c r="IE23" i="1"/>
  <c r="IB23" i="1"/>
  <c r="HY23" i="1"/>
  <c r="HV23" i="1"/>
  <c r="HS23" i="1"/>
  <c r="HP23" i="1"/>
  <c r="HM23" i="1"/>
  <c r="HJ23" i="1"/>
  <c r="HG23" i="1"/>
  <c r="HD23" i="1"/>
  <c r="HA23" i="1"/>
  <c r="GX23" i="1"/>
  <c r="GU23" i="1"/>
  <c r="GR23" i="1"/>
  <c r="GO23" i="1"/>
  <c r="GL23" i="1"/>
  <c r="GI23" i="1"/>
  <c r="GF23" i="1"/>
  <c r="GC23" i="1"/>
  <c r="FZ23" i="1"/>
  <c r="FW23" i="1"/>
  <c r="FT23" i="1"/>
  <c r="FQ23" i="1"/>
  <c r="FN23" i="1"/>
  <c r="FK23" i="1"/>
  <c r="FH23" i="1"/>
  <c r="FE23" i="1"/>
  <c r="FB23" i="1"/>
  <c r="EY23" i="1"/>
  <c r="EV23" i="1"/>
  <c r="ES23" i="1"/>
  <c r="EP23" i="1"/>
  <c r="EM23" i="1"/>
  <c r="EJ23" i="1"/>
  <c r="EG23" i="1"/>
  <c r="ED23" i="1"/>
  <c r="EA23" i="1"/>
  <c r="DX23" i="1"/>
  <c r="DU23" i="1"/>
  <c r="DR23" i="1"/>
  <c r="DO23" i="1"/>
  <c r="DL23" i="1"/>
  <c r="DI23" i="1"/>
  <c r="DF23" i="1"/>
  <c r="DC23" i="1"/>
  <c r="CZ23" i="1"/>
  <c r="CW23" i="1"/>
  <c r="CT23" i="1"/>
  <c r="CQ23" i="1"/>
  <c r="CN23" i="1"/>
  <c r="CK23" i="1"/>
  <c r="CH23" i="1"/>
  <c r="CE23" i="1"/>
  <c r="CB23" i="1"/>
  <c r="BY23" i="1"/>
  <c r="BV23" i="1"/>
  <c r="BS23" i="1"/>
  <c r="BP23" i="1"/>
  <c r="BM23" i="1"/>
  <c r="BJ23" i="1"/>
  <c r="BG23" i="1"/>
  <c r="BD23" i="1"/>
  <c r="BA23" i="1"/>
  <c r="AX23" i="1"/>
  <c r="AU23" i="1"/>
  <c r="AR23" i="1"/>
  <c r="AO23" i="1"/>
  <c r="AL23" i="1"/>
  <c r="AI23" i="1"/>
  <c r="AF23" i="1"/>
  <c r="AC23" i="1"/>
  <c r="Z23" i="1"/>
  <c r="W23" i="1"/>
  <c r="T23" i="1"/>
  <c r="Q23" i="1"/>
  <c r="N23" i="1"/>
  <c r="K23" i="1"/>
  <c r="H23" i="1"/>
  <c r="KR22" i="1"/>
  <c r="KO22" i="1"/>
  <c r="KL22" i="1"/>
  <c r="KI22" i="1"/>
  <c r="KF22" i="1"/>
  <c r="KC22" i="1"/>
  <c r="JZ22" i="1"/>
  <c r="JW22" i="1"/>
  <c r="JT22" i="1"/>
  <c r="JQ22" i="1"/>
  <c r="JN22" i="1"/>
  <c r="JK22" i="1"/>
  <c r="JI22" i="1"/>
  <c r="JF22" i="1"/>
  <c r="JC22" i="1"/>
  <c r="IZ22" i="1"/>
  <c r="IW22" i="1"/>
  <c r="IT22" i="1"/>
  <c r="IQ22" i="1"/>
  <c r="IN22" i="1"/>
  <c r="IK22" i="1"/>
  <c r="IH22" i="1"/>
  <c r="IE22" i="1"/>
  <c r="IB22" i="1"/>
  <c r="HY22" i="1"/>
  <c r="HV22" i="1"/>
  <c r="HS22" i="1"/>
  <c r="HP22" i="1"/>
  <c r="HM22" i="1"/>
  <c r="HJ22" i="1"/>
  <c r="HG22" i="1"/>
  <c r="HD22" i="1"/>
  <c r="HA22" i="1"/>
  <c r="GX22" i="1"/>
  <c r="GU22" i="1"/>
  <c r="GR22" i="1"/>
  <c r="GO22" i="1"/>
  <c r="GL22" i="1"/>
  <c r="GI22" i="1"/>
  <c r="GF22" i="1"/>
  <c r="GC22" i="1"/>
  <c r="FZ22" i="1"/>
  <c r="FW22" i="1"/>
  <c r="FT22" i="1"/>
  <c r="FQ22" i="1"/>
  <c r="FN22" i="1"/>
  <c r="FK22" i="1"/>
  <c r="FH22" i="1"/>
  <c r="FE22" i="1"/>
  <c r="FB22" i="1"/>
  <c r="EY22" i="1"/>
  <c r="EV22" i="1"/>
  <c r="ES22" i="1"/>
  <c r="EP22" i="1"/>
  <c r="EM22" i="1"/>
  <c r="EJ22" i="1"/>
  <c r="EG22" i="1"/>
  <c r="ED22" i="1"/>
  <c r="EA22" i="1"/>
  <c r="DX22" i="1"/>
  <c r="DU22" i="1"/>
  <c r="DR22" i="1"/>
  <c r="DO22" i="1"/>
  <c r="DL22" i="1"/>
  <c r="DI22" i="1"/>
  <c r="DF22" i="1"/>
  <c r="DC22" i="1"/>
  <c r="CZ22" i="1"/>
  <c r="CW22" i="1"/>
  <c r="CT22" i="1"/>
  <c r="CQ22" i="1"/>
  <c r="CN22" i="1"/>
  <c r="CK22" i="1"/>
  <c r="CH22" i="1"/>
  <c r="CE22" i="1"/>
  <c r="CB22" i="1"/>
  <c r="BY22" i="1"/>
  <c r="BV22" i="1"/>
  <c r="BS22" i="1"/>
  <c r="BP22" i="1"/>
  <c r="BM22" i="1"/>
  <c r="BJ22" i="1"/>
  <c r="BG22" i="1"/>
  <c r="BD22" i="1"/>
  <c r="BA22" i="1"/>
  <c r="AX22" i="1"/>
  <c r="AU22" i="1"/>
  <c r="AR22" i="1"/>
  <c r="AO22" i="1"/>
  <c r="AL22" i="1"/>
  <c r="AI22" i="1"/>
  <c r="AF22" i="1"/>
  <c r="AC22" i="1"/>
  <c r="Z22" i="1"/>
  <c r="W22" i="1"/>
  <c r="T22" i="1"/>
  <c r="Q22" i="1"/>
  <c r="N22" i="1"/>
  <c r="K22" i="1"/>
  <c r="H22" i="1"/>
  <c r="KR21" i="1"/>
  <c r="KO21" i="1"/>
  <c r="KL21" i="1"/>
  <c r="KI21" i="1"/>
  <c r="KF21" i="1"/>
  <c r="KC21" i="1"/>
  <c r="JZ21" i="1"/>
  <c r="JW21" i="1"/>
  <c r="JT21" i="1"/>
  <c r="JQ21" i="1"/>
  <c r="JN21" i="1"/>
  <c r="JK21" i="1"/>
  <c r="JI21" i="1"/>
  <c r="JF21" i="1"/>
  <c r="JC21" i="1"/>
  <c r="IZ21" i="1"/>
  <c r="IW21" i="1"/>
  <c r="IT21" i="1"/>
  <c r="IQ21" i="1"/>
  <c r="IN21" i="1"/>
  <c r="IK21" i="1"/>
  <c r="IH21" i="1"/>
  <c r="IE21" i="1"/>
  <c r="IB21" i="1"/>
  <c r="HY21" i="1"/>
  <c r="HV21" i="1"/>
  <c r="HS21" i="1"/>
  <c r="HP21" i="1"/>
  <c r="HM21" i="1"/>
  <c r="HJ21" i="1"/>
  <c r="HG21" i="1"/>
  <c r="HD21" i="1"/>
  <c r="HA21" i="1"/>
  <c r="GX21" i="1"/>
  <c r="GU21" i="1"/>
  <c r="GR21" i="1"/>
  <c r="GO21" i="1"/>
  <c r="GL21" i="1"/>
  <c r="GI21" i="1"/>
  <c r="GF21" i="1"/>
  <c r="GC21" i="1"/>
  <c r="FZ21" i="1"/>
  <c r="FW21" i="1"/>
  <c r="FT21" i="1"/>
  <c r="FQ21" i="1"/>
  <c r="FN21" i="1"/>
  <c r="FK21" i="1"/>
  <c r="FH21" i="1"/>
  <c r="FE21" i="1"/>
  <c r="FB21" i="1"/>
  <c r="EY21" i="1"/>
  <c r="EV21" i="1"/>
  <c r="ES21" i="1"/>
  <c r="EP21" i="1"/>
  <c r="EM21" i="1"/>
  <c r="EJ21" i="1"/>
  <c r="EG21" i="1"/>
  <c r="ED21" i="1"/>
  <c r="EA21" i="1"/>
  <c r="DX21" i="1"/>
  <c r="DU21" i="1"/>
  <c r="DR21" i="1"/>
  <c r="DO21" i="1"/>
  <c r="DL21" i="1"/>
  <c r="DI21" i="1"/>
  <c r="DF21" i="1"/>
  <c r="DC21" i="1"/>
  <c r="CZ21" i="1"/>
  <c r="CW21" i="1"/>
  <c r="CT21" i="1"/>
  <c r="CQ21" i="1"/>
  <c r="CN21" i="1"/>
  <c r="CK21" i="1"/>
  <c r="CH21" i="1"/>
  <c r="CE21" i="1"/>
  <c r="CB21" i="1"/>
  <c r="BY21" i="1"/>
  <c r="BV21" i="1"/>
  <c r="BS21" i="1"/>
  <c r="BP21" i="1"/>
  <c r="BM21" i="1"/>
  <c r="BJ21" i="1"/>
  <c r="BG21" i="1"/>
  <c r="BD21" i="1"/>
  <c r="BA21" i="1"/>
  <c r="AX21" i="1"/>
  <c r="AU21" i="1"/>
  <c r="AR21" i="1"/>
  <c r="AO21" i="1"/>
  <c r="AL21" i="1"/>
  <c r="AI21" i="1"/>
  <c r="AF21" i="1"/>
  <c r="AC21" i="1"/>
  <c r="Z21" i="1"/>
  <c r="W21" i="1"/>
  <c r="T21" i="1"/>
  <c r="Q21" i="1"/>
  <c r="N21" i="1"/>
  <c r="K21" i="1"/>
  <c r="H21" i="1"/>
  <c r="KR20" i="1"/>
  <c r="KO20" i="1"/>
  <c r="KL20" i="1"/>
  <c r="KI20" i="1"/>
  <c r="KF20" i="1"/>
  <c r="KC20" i="1"/>
  <c r="JZ20" i="1"/>
  <c r="JW20" i="1"/>
  <c r="JT20" i="1"/>
  <c r="JQ20" i="1"/>
  <c r="JN20" i="1"/>
  <c r="JK20" i="1"/>
  <c r="JI20" i="1"/>
  <c r="JF20" i="1"/>
  <c r="JC20" i="1"/>
  <c r="IZ20" i="1"/>
  <c r="IW20" i="1"/>
  <c r="IT20" i="1"/>
  <c r="IQ20" i="1"/>
  <c r="IN20" i="1"/>
  <c r="IK20" i="1"/>
  <c r="IH20" i="1"/>
  <c r="IE20" i="1"/>
  <c r="IB20" i="1"/>
  <c r="HY20" i="1"/>
  <c r="HV20" i="1"/>
  <c r="HS20" i="1"/>
  <c r="HP20" i="1"/>
  <c r="HM20" i="1"/>
  <c r="HJ20" i="1"/>
  <c r="HG20" i="1"/>
  <c r="HD20" i="1"/>
  <c r="HA20" i="1"/>
  <c r="GX20" i="1"/>
  <c r="GU20" i="1"/>
  <c r="GR20" i="1"/>
  <c r="GO20" i="1"/>
  <c r="GL20" i="1"/>
  <c r="GI20" i="1"/>
  <c r="GF20" i="1"/>
  <c r="GC20" i="1"/>
  <c r="FZ20" i="1"/>
  <c r="FW20" i="1"/>
  <c r="FT20" i="1"/>
  <c r="FQ20" i="1"/>
  <c r="FN20" i="1"/>
  <c r="FK20" i="1"/>
  <c r="FH20" i="1"/>
  <c r="FE20" i="1"/>
  <c r="FB20" i="1"/>
  <c r="EY20" i="1"/>
  <c r="EV20" i="1"/>
  <c r="ES20" i="1"/>
  <c r="EP20" i="1"/>
  <c r="EM20" i="1"/>
  <c r="EJ20" i="1"/>
  <c r="EG20" i="1"/>
  <c r="ED20" i="1"/>
  <c r="EA20" i="1"/>
  <c r="DX20" i="1"/>
  <c r="DU20" i="1"/>
  <c r="DR20" i="1"/>
  <c r="DO20" i="1"/>
  <c r="DL20" i="1"/>
  <c r="DI20" i="1"/>
  <c r="DF20" i="1"/>
  <c r="DC20" i="1"/>
  <c r="CZ20" i="1"/>
  <c r="CW20" i="1"/>
  <c r="CT20" i="1"/>
  <c r="CQ20" i="1"/>
  <c r="CN20" i="1"/>
  <c r="CK20" i="1"/>
  <c r="CH20" i="1"/>
  <c r="CE20" i="1"/>
  <c r="CB20" i="1"/>
  <c r="BY20" i="1"/>
  <c r="BV20" i="1"/>
  <c r="BS20" i="1"/>
  <c r="BP20" i="1"/>
  <c r="BM20" i="1"/>
  <c r="BJ20" i="1"/>
  <c r="BG20" i="1"/>
  <c r="BD20" i="1"/>
  <c r="BA20" i="1"/>
  <c r="AX20" i="1"/>
  <c r="AU20" i="1"/>
  <c r="AR20" i="1"/>
  <c r="AO20" i="1"/>
  <c r="AL20" i="1"/>
  <c r="AI20" i="1"/>
  <c r="AF20" i="1"/>
  <c r="AC20" i="1"/>
  <c r="Z20" i="1"/>
  <c r="W20" i="1"/>
  <c r="T20" i="1"/>
  <c r="Q20" i="1"/>
  <c r="N20" i="1"/>
  <c r="K20" i="1"/>
  <c r="H20" i="1"/>
  <c r="KR19" i="1"/>
  <c r="KO19" i="1"/>
  <c r="KL19" i="1"/>
  <c r="KI19" i="1"/>
  <c r="KF19" i="1"/>
  <c r="KC19" i="1"/>
  <c r="JZ19" i="1"/>
  <c r="JW19" i="1"/>
  <c r="JT19" i="1"/>
  <c r="JQ19" i="1"/>
  <c r="JN19" i="1"/>
  <c r="JK19" i="1"/>
  <c r="JI19" i="1"/>
  <c r="JF19" i="1"/>
  <c r="JC19" i="1"/>
  <c r="IZ19" i="1"/>
  <c r="IW19" i="1"/>
  <c r="IT19" i="1"/>
  <c r="IQ19" i="1"/>
  <c r="IN19" i="1"/>
  <c r="IK19" i="1"/>
  <c r="IH19" i="1"/>
  <c r="IE19" i="1"/>
  <c r="IB19" i="1"/>
  <c r="HY19" i="1"/>
  <c r="HV19" i="1"/>
  <c r="HS19" i="1"/>
  <c r="HP19" i="1"/>
  <c r="HM19" i="1"/>
  <c r="HJ19" i="1"/>
  <c r="HG19" i="1"/>
  <c r="HD19" i="1"/>
  <c r="HA19" i="1"/>
  <c r="GX19" i="1"/>
  <c r="GU19" i="1"/>
  <c r="GR19" i="1"/>
  <c r="GO19" i="1"/>
  <c r="GL19" i="1"/>
  <c r="GI19" i="1"/>
  <c r="GF19" i="1"/>
  <c r="GC19" i="1"/>
  <c r="FZ19" i="1"/>
  <c r="FW19" i="1"/>
  <c r="FT19" i="1"/>
  <c r="FQ19" i="1"/>
  <c r="FN19" i="1"/>
  <c r="FK19" i="1"/>
  <c r="FH19" i="1"/>
  <c r="FE19" i="1"/>
  <c r="FB19" i="1"/>
  <c r="EY19" i="1"/>
  <c r="EV19" i="1"/>
  <c r="ES19" i="1"/>
  <c r="EP19" i="1"/>
  <c r="EM19" i="1"/>
  <c r="EJ19" i="1"/>
  <c r="EG19" i="1"/>
  <c r="ED19" i="1"/>
  <c r="EA19" i="1"/>
  <c r="DX19" i="1"/>
  <c r="DU19" i="1"/>
  <c r="DR19" i="1"/>
  <c r="DO19" i="1"/>
  <c r="DL19" i="1"/>
  <c r="DI19" i="1"/>
  <c r="DF19" i="1"/>
  <c r="DC19" i="1"/>
  <c r="CZ19" i="1"/>
  <c r="CW19" i="1"/>
  <c r="CT19" i="1"/>
  <c r="CQ19" i="1"/>
  <c r="CN19" i="1"/>
  <c r="CK19" i="1"/>
  <c r="CH19" i="1"/>
  <c r="CE19" i="1"/>
  <c r="CB19" i="1"/>
  <c r="BY19" i="1"/>
  <c r="BV19" i="1"/>
  <c r="BS19" i="1"/>
  <c r="BP19" i="1"/>
  <c r="BM19" i="1"/>
  <c r="BJ19" i="1"/>
  <c r="BG19" i="1"/>
  <c r="BD19" i="1"/>
  <c r="BA19" i="1"/>
  <c r="AX19" i="1"/>
  <c r="AU19" i="1"/>
  <c r="AR19" i="1"/>
  <c r="AO19" i="1"/>
  <c r="AL19" i="1"/>
  <c r="AI19" i="1"/>
  <c r="AF19" i="1"/>
  <c r="AC19" i="1"/>
  <c r="Z19" i="1"/>
  <c r="W19" i="1"/>
  <c r="T19" i="1"/>
  <c r="Q19" i="1"/>
  <c r="N19" i="1"/>
  <c r="K19" i="1"/>
  <c r="H19" i="1"/>
  <c r="KR18" i="1"/>
  <c r="KO18" i="1"/>
  <c r="KL18" i="1"/>
  <c r="KI18" i="1"/>
  <c r="KF18" i="1"/>
  <c r="KC18" i="1"/>
  <c r="JZ18" i="1"/>
  <c r="JW18" i="1"/>
  <c r="JT18" i="1"/>
  <c r="JQ18" i="1"/>
  <c r="JN18" i="1"/>
  <c r="JK18" i="1"/>
  <c r="JI18" i="1"/>
  <c r="JF18" i="1"/>
  <c r="JC18" i="1"/>
  <c r="IZ18" i="1"/>
  <c r="IW18" i="1"/>
  <c r="IT18" i="1"/>
  <c r="IQ18" i="1"/>
  <c r="IN18" i="1"/>
  <c r="IK18" i="1"/>
  <c r="IH18" i="1"/>
  <c r="IE18" i="1"/>
  <c r="IB18" i="1"/>
  <c r="HY18" i="1"/>
  <c r="HV18" i="1"/>
  <c r="HS18" i="1"/>
  <c r="HP18" i="1"/>
  <c r="HM18" i="1"/>
  <c r="HJ18" i="1"/>
  <c r="HG18" i="1"/>
  <c r="HD18" i="1"/>
  <c r="HA18" i="1"/>
  <c r="GX18" i="1"/>
  <c r="GU18" i="1"/>
  <c r="GR18" i="1"/>
  <c r="GO18" i="1"/>
  <c r="GL18" i="1"/>
  <c r="GI18" i="1"/>
  <c r="GF18" i="1"/>
  <c r="GC18" i="1"/>
  <c r="FZ18" i="1"/>
  <c r="FW18" i="1"/>
  <c r="FT18" i="1"/>
  <c r="FQ18" i="1"/>
  <c r="FN18" i="1"/>
  <c r="FK18" i="1"/>
  <c r="FH18" i="1"/>
  <c r="FE18" i="1"/>
  <c r="FB18" i="1"/>
  <c r="EY18" i="1"/>
  <c r="EV18" i="1"/>
  <c r="ES18" i="1"/>
  <c r="EP18" i="1"/>
  <c r="EM18" i="1"/>
  <c r="EJ18" i="1"/>
  <c r="EG18" i="1"/>
  <c r="ED18" i="1"/>
  <c r="EA18" i="1"/>
  <c r="DX18" i="1"/>
  <c r="DU18" i="1"/>
  <c r="DR18" i="1"/>
  <c r="DO18" i="1"/>
  <c r="DL18" i="1"/>
  <c r="DI18" i="1"/>
  <c r="DF18" i="1"/>
  <c r="DC18" i="1"/>
  <c r="CZ18" i="1"/>
  <c r="CW18" i="1"/>
  <c r="CT18" i="1"/>
  <c r="CQ18" i="1"/>
  <c r="CN18" i="1"/>
  <c r="CK18" i="1"/>
  <c r="CH18" i="1"/>
  <c r="CB18" i="1"/>
  <c r="BY18" i="1"/>
  <c r="BV18" i="1"/>
  <c r="BS18" i="1"/>
  <c r="BP18" i="1"/>
  <c r="BM18" i="1"/>
  <c r="BJ18" i="1"/>
  <c r="BG18" i="1"/>
  <c r="BD18" i="1"/>
  <c r="BA18" i="1"/>
  <c r="AX18" i="1"/>
  <c r="AU18" i="1"/>
  <c r="AR18" i="1"/>
  <c r="AO18" i="1"/>
  <c r="AL18" i="1"/>
  <c r="AI18" i="1"/>
  <c r="AF18" i="1"/>
  <c r="AC18" i="1"/>
  <c r="Z18" i="1"/>
  <c r="W18" i="1"/>
  <c r="T18" i="1"/>
  <c r="Q18" i="1"/>
  <c r="N18" i="1"/>
  <c r="K18" i="1"/>
  <c r="H18" i="1"/>
  <c r="KR17" i="1"/>
  <c r="KO17" i="1"/>
  <c r="KL17" i="1"/>
  <c r="KI17" i="1"/>
  <c r="KF17" i="1"/>
  <c r="KC17" i="1"/>
  <c r="JZ17" i="1"/>
  <c r="JW17" i="1"/>
  <c r="JT17" i="1"/>
  <c r="JQ17" i="1"/>
  <c r="JN17" i="1"/>
  <c r="JK17" i="1"/>
  <c r="JI17" i="1"/>
  <c r="JF17" i="1"/>
  <c r="JC17" i="1"/>
  <c r="IZ17" i="1"/>
  <c r="IW17" i="1"/>
  <c r="IT17" i="1"/>
  <c r="IQ17" i="1"/>
  <c r="IN17" i="1"/>
  <c r="IK17" i="1"/>
  <c r="IH17" i="1"/>
  <c r="IE17" i="1"/>
  <c r="IB17" i="1"/>
  <c r="HY17" i="1"/>
  <c r="HV17" i="1"/>
  <c r="HS17" i="1"/>
  <c r="HP17" i="1"/>
  <c r="HM17" i="1"/>
  <c r="HJ17" i="1"/>
  <c r="HG17" i="1"/>
  <c r="HD17" i="1"/>
  <c r="HA17" i="1"/>
  <c r="GX17" i="1"/>
  <c r="GU17" i="1"/>
  <c r="GR17" i="1"/>
  <c r="GO17" i="1"/>
  <c r="GL17" i="1"/>
  <c r="GI17" i="1"/>
  <c r="GF17" i="1"/>
  <c r="GC17" i="1"/>
  <c r="FZ17" i="1"/>
  <c r="FW17" i="1"/>
  <c r="FT17" i="1"/>
  <c r="FQ17" i="1"/>
  <c r="FN17" i="1"/>
  <c r="FK17" i="1"/>
  <c r="FH17" i="1"/>
  <c r="FE17" i="1"/>
  <c r="FB17" i="1"/>
  <c r="EY17" i="1"/>
  <c r="EV17" i="1"/>
  <c r="ES17" i="1"/>
  <c r="EP17" i="1"/>
  <c r="EM17" i="1"/>
  <c r="EJ17" i="1"/>
  <c r="EG17" i="1"/>
  <c r="ED17" i="1"/>
  <c r="EA17" i="1"/>
  <c r="DX17" i="1"/>
  <c r="DU17" i="1"/>
  <c r="DR17" i="1"/>
  <c r="DO17" i="1"/>
  <c r="DL17" i="1"/>
  <c r="DI17" i="1"/>
  <c r="DF17" i="1"/>
  <c r="DC17" i="1"/>
  <c r="CZ17" i="1"/>
  <c r="CW17" i="1"/>
  <c r="CT17" i="1"/>
  <c r="CQ17" i="1"/>
  <c r="CN17" i="1"/>
  <c r="CK17" i="1"/>
  <c r="CH17" i="1"/>
  <c r="CE17" i="1"/>
  <c r="CB17" i="1"/>
  <c r="BY17" i="1"/>
  <c r="BV17" i="1"/>
  <c r="BS17" i="1"/>
  <c r="BP17" i="1"/>
  <c r="BM17" i="1"/>
  <c r="BJ17" i="1"/>
  <c r="BG17" i="1"/>
  <c r="BD17" i="1"/>
  <c r="BA17" i="1"/>
  <c r="AX17" i="1"/>
  <c r="AU17" i="1"/>
  <c r="AR17" i="1"/>
  <c r="AO17" i="1"/>
  <c r="AL17" i="1"/>
  <c r="AI17" i="1"/>
  <c r="AF17" i="1"/>
  <c r="AC17" i="1"/>
  <c r="Z17" i="1"/>
  <c r="W17" i="1"/>
  <c r="T17" i="1"/>
  <c r="Q17" i="1"/>
  <c r="N17" i="1"/>
  <c r="K17" i="1"/>
  <c r="H17" i="1"/>
  <c r="KR16" i="1"/>
  <c r="KO16" i="1"/>
  <c r="KL16" i="1"/>
  <c r="KI16" i="1"/>
  <c r="KF16" i="1"/>
  <c r="KC16" i="1"/>
  <c r="JZ16" i="1"/>
  <c r="JW16" i="1"/>
  <c r="JT16" i="1"/>
  <c r="JQ16" i="1"/>
  <c r="JN16" i="1"/>
  <c r="JK16" i="1"/>
  <c r="JI16" i="1"/>
  <c r="JF16" i="1"/>
  <c r="JC16" i="1"/>
  <c r="IZ16" i="1"/>
  <c r="IW16" i="1"/>
  <c r="IT16" i="1"/>
  <c r="IQ16" i="1"/>
  <c r="IN16" i="1"/>
  <c r="IK16" i="1"/>
  <c r="IH16" i="1"/>
  <c r="IE16" i="1"/>
  <c r="IB16" i="1"/>
  <c r="HY16" i="1"/>
  <c r="HV16" i="1"/>
  <c r="HS16" i="1"/>
  <c r="HP16" i="1"/>
  <c r="HM16" i="1"/>
  <c r="HJ16" i="1"/>
  <c r="HG16" i="1"/>
  <c r="HD16" i="1"/>
  <c r="HA16" i="1"/>
  <c r="GX16" i="1"/>
  <c r="GU16" i="1"/>
  <c r="GR16" i="1"/>
  <c r="GO16" i="1"/>
  <c r="GL16" i="1"/>
  <c r="GI16" i="1"/>
  <c r="GF16" i="1"/>
  <c r="GC16" i="1"/>
  <c r="FZ16" i="1"/>
  <c r="FW16" i="1"/>
  <c r="FT16" i="1"/>
  <c r="FQ16" i="1"/>
  <c r="FN16" i="1"/>
  <c r="FK16" i="1"/>
  <c r="FH16" i="1"/>
  <c r="FE16" i="1"/>
  <c r="FB16" i="1"/>
  <c r="EY16" i="1"/>
  <c r="EV16" i="1"/>
  <c r="ES16" i="1"/>
  <c r="EP16" i="1"/>
  <c r="EM16" i="1"/>
  <c r="EJ16" i="1"/>
  <c r="EG16" i="1"/>
  <c r="ED16" i="1"/>
  <c r="EA16" i="1"/>
  <c r="DX16" i="1"/>
  <c r="DU16" i="1"/>
  <c r="DR16" i="1"/>
  <c r="DO16" i="1"/>
  <c r="DL16" i="1"/>
  <c r="DI16" i="1"/>
  <c r="DF16" i="1"/>
  <c r="DC16" i="1"/>
  <c r="CZ16" i="1"/>
  <c r="CW16" i="1"/>
  <c r="CT16" i="1"/>
  <c r="CQ16" i="1"/>
  <c r="CN16" i="1"/>
  <c r="CK16" i="1"/>
  <c r="CH16" i="1"/>
  <c r="CE16" i="1"/>
  <c r="CB16" i="1"/>
  <c r="BY16" i="1"/>
  <c r="BV16" i="1"/>
  <c r="BS16" i="1"/>
  <c r="BP16" i="1"/>
  <c r="BM16" i="1"/>
  <c r="BJ16" i="1"/>
  <c r="BG16" i="1"/>
  <c r="BD16" i="1"/>
  <c r="BA16" i="1"/>
  <c r="AX16" i="1"/>
  <c r="AU16" i="1"/>
  <c r="AR16" i="1"/>
  <c r="AO16" i="1"/>
  <c r="AL16" i="1"/>
  <c r="AI16" i="1"/>
  <c r="AF16" i="1"/>
  <c r="AC16" i="1"/>
  <c r="Z16" i="1"/>
  <c r="W16" i="1"/>
  <c r="T16" i="1"/>
  <c r="Q16" i="1"/>
  <c r="N16" i="1"/>
  <c r="K16" i="1"/>
  <c r="H16" i="1"/>
  <c r="KR15" i="1"/>
  <c r="KO15" i="1"/>
  <c r="KL15" i="1"/>
  <c r="KI15" i="1"/>
  <c r="KF15" i="1"/>
  <c r="KC15" i="1"/>
  <c r="JZ15" i="1"/>
  <c r="JW15" i="1"/>
  <c r="JT15" i="1"/>
  <c r="JQ15" i="1"/>
  <c r="JN15" i="1"/>
  <c r="JK15" i="1"/>
  <c r="JI15" i="1"/>
  <c r="JF15" i="1"/>
  <c r="JC15" i="1"/>
  <c r="IZ15" i="1"/>
  <c r="IW15" i="1"/>
  <c r="IT15" i="1"/>
  <c r="IQ15" i="1"/>
  <c r="IN15" i="1"/>
  <c r="IK15" i="1"/>
  <c r="IH15" i="1"/>
  <c r="IE15" i="1"/>
  <c r="IB15" i="1"/>
  <c r="HY15" i="1"/>
  <c r="HV15" i="1"/>
  <c r="HS15" i="1"/>
  <c r="HP15" i="1"/>
  <c r="HM15" i="1"/>
  <c r="HJ15" i="1"/>
  <c r="HG15" i="1"/>
  <c r="HD15" i="1"/>
  <c r="HA15" i="1"/>
  <c r="GX15" i="1"/>
  <c r="GU15" i="1"/>
  <c r="GR15" i="1"/>
  <c r="GO15" i="1"/>
  <c r="GL15" i="1"/>
  <c r="GI15" i="1"/>
  <c r="GF15" i="1"/>
  <c r="GC15" i="1"/>
  <c r="FZ15" i="1"/>
  <c r="FW15" i="1"/>
  <c r="FT15" i="1"/>
  <c r="FQ15" i="1"/>
  <c r="FN15" i="1"/>
  <c r="FK15" i="1"/>
  <c r="FH15" i="1"/>
  <c r="FE15" i="1"/>
  <c r="FB15" i="1"/>
  <c r="EY15" i="1"/>
  <c r="EV15" i="1"/>
  <c r="ES15" i="1"/>
  <c r="EP15" i="1"/>
  <c r="EM15" i="1"/>
  <c r="EJ15" i="1"/>
  <c r="EG15" i="1"/>
  <c r="ED15" i="1"/>
  <c r="EA15" i="1"/>
  <c r="DX15" i="1"/>
  <c r="DU15" i="1"/>
  <c r="DR15" i="1"/>
  <c r="DO15" i="1"/>
  <c r="DL15" i="1"/>
  <c r="DI15" i="1"/>
  <c r="DF15" i="1"/>
  <c r="DC15" i="1"/>
  <c r="CZ15" i="1"/>
  <c r="CW15" i="1"/>
  <c r="CT15" i="1"/>
  <c r="CQ15" i="1"/>
  <c r="CN15" i="1"/>
  <c r="CK15" i="1"/>
  <c r="CH15" i="1"/>
  <c r="CE15" i="1"/>
  <c r="CB15" i="1"/>
  <c r="BY15" i="1"/>
  <c r="BV15" i="1"/>
  <c r="BS15" i="1"/>
  <c r="BP15" i="1"/>
  <c r="BM15" i="1"/>
  <c r="BJ15" i="1"/>
  <c r="BG15" i="1"/>
  <c r="BD15" i="1"/>
  <c r="BA15" i="1"/>
  <c r="AX15" i="1"/>
  <c r="AU15" i="1"/>
  <c r="AR15" i="1"/>
  <c r="AO15" i="1"/>
  <c r="AL15" i="1"/>
  <c r="AI15" i="1"/>
  <c r="AF15" i="1"/>
  <c r="AC15" i="1"/>
  <c r="Z15" i="1"/>
  <c r="W15" i="1"/>
  <c r="T15" i="1"/>
  <c r="Q15" i="1"/>
  <c r="N15" i="1"/>
  <c r="K15" i="1"/>
  <c r="H15" i="1"/>
  <c r="KR14" i="1"/>
  <c r="KO14" i="1"/>
  <c r="KL14" i="1"/>
  <c r="KI14" i="1"/>
  <c r="KF14" i="1"/>
  <c r="KC14" i="1"/>
  <c r="JZ14" i="1"/>
  <c r="JW14" i="1"/>
  <c r="JT14" i="1"/>
  <c r="JQ14" i="1"/>
  <c r="JN14" i="1"/>
  <c r="JK14" i="1"/>
  <c r="JI14" i="1"/>
  <c r="JF14" i="1"/>
  <c r="JC14" i="1"/>
  <c r="IZ14" i="1"/>
  <c r="IW14" i="1"/>
  <c r="IT14" i="1"/>
  <c r="IQ14" i="1"/>
  <c r="IN14" i="1"/>
  <c r="IK14" i="1"/>
  <c r="IH14" i="1"/>
  <c r="IE14" i="1"/>
  <c r="IB14" i="1"/>
  <c r="HY14" i="1"/>
  <c r="HV14" i="1"/>
  <c r="HS14" i="1"/>
  <c r="HP14" i="1"/>
  <c r="HM14" i="1"/>
  <c r="HJ14" i="1"/>
  <c r="HG14" i="1"/>
  <c r="HD14" i="1"/>
  <c r="HA14" i="1"/>
  <c r="GX14" i="1"/>
  <c r="GU14" i="1"/>
  <c r="GR14" i="1"/>
  <c r="GO14" i="1"/>
  <c r="GL14" i="1"/>
  <c r="GI14" i="1"/>
  <c r="GF14" i="1"/>
  <c r="GC14" i="1"/>
  <c r="FZ14" i="1"/>
  <c r="FW14" i="1"/>
  <c r="FT14" i="1"/>
  <c r="FQ14" i="1"/>
  <c r="FN14" i="1"/>
  <c r="FK14" i="1"/>
  <c r="FH14" i="1"/>
  <c r="FE14" i="1"/>
  <c r="FB14" i="1"/>
  <c r="EY14" i="1"/>
  <c r="EV14" i="1"/>
  <c r="ES14" i="1"/>
  <c r="EP14" i="1"/>
  <c r="EM14" i="1"/>
  <c r="EJ14" i="1"/>
  <c r="EG14" i="1"/>
  <c r="ED14" i="1"/>
  <c r="EA14" i="1"/>
  <c r="DX14" i="1"/>
  <c r="DU14" i="1"/>
  <c r="DR14" i="1"/>
  <c r="DO14" i="1"/>
  <c r="DL14" i="1"/>
  <c r="DI14" i="1"/>
  <c r="DF14" i="1"/>
  <c r="DC14" i="1"/>
  <c r="CZ14" i="1"/>
  <c r="CW14" i="1"/>
  <c r="CT14" i="1"/>
  <c r="CQ14" i="1"/>
  <c r="CN14" i="1"/>
  <c r="CK14" i="1"/>
  <c r="CH14" i="1"/>
  <c r="CE14" i="1"/>
  <c r="CB14" i="1"/>
  <c r="BY14" i="1"/>
  <c r="BV14" i="1"/>
  <c r="BS14" i="1"/>
  <c r="BP14" i="1"/>
  <c r="BM14" i="1"/>
  <c r="BJ14" i="1"/>
  <c r="BG14" i="1"/>
  <c r="BD14" i="1"/>
  <c r="BA14" i="1"/>
  <c r="AX14" i="1"/>
  <c r="AU14" i="1"/>
  <c r="AR14" i="1"/>
  <c r="AO14" i="1"/>
  <c r="AL14" i="1"/>
  <c r="AI14" i="1"/>
  <c r="AF14" i="1"/>
  <c r="AC14" i="1"/>
  <c r="Z14" i="1"/>
  <c r="W14" i="1"/>
  <c r="T14" i="1"/>
  <c r="Q14" i="1"/>
  <c r="N14" i="1"/>
  <c r="K14" i="1"/>
  <c r="H14" i="1"/>
  <c r="KR13" i="1"/>
  <c r="KO13" i="1"/>
  <c r="KL13" i="1"/>
  <c r="KI13" i="1"/>
  <c r="KF13" i="1"/>
  <c r="KC13" i="1"/>
  <c r="JZ13" i="1"/>
  <c r="JW13" i="1"/>
  <c r="JT13" i="1"/>
  <c r="JQ13" i="1"/>
  <c r="JN13" i="1"/>
  <c r="JK13" i="1"/>
  <c r="JI13" i="1"/>
  <c r="JF13" i="1"/>
  <c r="JC13" i="1"/>
  <c r="IZ13" i="1"/>
  <c r="IW13" i="1"/>
  <c r="IT13" i="1"/>
  <c r="IQ13" i="1"/>
  <c r="IN13" i="1"/>
  <c r="IK13" i="1"/>
  <c r="IH13" i="1"/>
  <c r="IE13" i="1"/>
  <c r="IB13" i="1"/>
  <c r="HY13" i="1"/>
  <c r="HV13" i="1"/>
  <c r="HS13" i="1"/>
  <c r="HP13" i="1"/>
  <c r="HM13" i="1"/>
  <c r="HJ13" i="1"/>
  <c r="HG13" i="1"/>
  <c r="HD13" i="1"/>
  <c r="HA13" i="1"/>
  <c r="GX13" i="1"/>
  <c r="GU13" i="1"/>
  <c r="GR13" i="1"/>
  <c r="GO13" i="1"/>
  <c r="GL13" i="1"/>
  <c r="GI13" i="1"/>
  <c r="GF13" i="1"/>
  <c r="GC13" i="1"/>
  <c r="FZ13" i="1"/>
  <c r="FW13" i="1"/>
  <c r="FT13" i="1"/>
  <c r="FQ13" i="1"/>
  <c r="FN13" i="1"/>
  <c r="FK13" i="1"/>
  <c r="FH13" i="1"/>
  <c r="FE13" i="1"/>
  <c r="FB13" i="1"/>
  <c r="EY13" i="1"/>
  <c r="EV13" i="1"/>
  <c r="ES13" i="1"/>
  <c r="EP13" i="1"/>
  <c r="EM13" i="1"/>
  <c r="EJ13" i="1"/>
  <c r="EG13" i="1"/>
  <c r="ED13" i="1"/>
  <c r="EA13" i="1"/>
  <c r="DX13" i="1"/>
  <c r="DU13" i="1"/>
  <c r="DR13" i="1"/>
  <c r="DO13" i="1"/>
  <c r="DL13" i="1"/>
  <c r="DF13" i="1"/>
  <c r="DC13" i="1"/>
  <c r="CZ13" i="1"/>
  <c r="CW13" i="1"/>
  <c r="CT13" i="1"/>
  <c r="CQ13" i="1"/>
  <c r="CN13" i="1"/>
  <c r="CK13" i="1"/>
  <c r="CH13" i="1"/>
  <c r="CE13" i="1"/>
  <c r="CB13" i="1"/>
  <c r="BY13" i="1"/>
  <c r="BV13" i="1"/>
  <c r="BS13" i="1"/>
  <c r="BP13" i="1"/>
  <c r="BM13" i="1"/>
  <c r="BJ13" i="1"/>
  <c r="BG13" i="1"/>
  <c r="BD13" i="1"/>
  <c r="BA13" i="1"/>
  <c r="AX13" i="1"/>
  <c r="AU13" i="1"/>
  <c r="AR13" i="1"/>
  <c r="AO13" i="1"/>
  <c r="AL13" i="1"/>
  <c r="AI13" i="1"/>
  <c r="AF13" i="1"/>
  <c r="AC13" i="1"/>
  <c r="Z13" i="1"/>
  <c r="W13" i="1"/>
  <c r="T13" i="1"/>
  <c r="Q13" i="1"/>
  <c r="N13" i="1"/>
  <c r="K13" i="1"/>
  <c r="H13" i="1"/>
  <c r="KR12" i="1"/>
  <c r="KO12" i="1"/>
  <c r="KL12" i="1"/>
  <c r="KI12" i="1"/>
  <c r="KF12" i="1"/>
  <c r="KC12" i="1"/>
  <c r="JZ12" i="1"/>
  <c r="JW12" i="1"/>
  <c r="JT12" i="1"/>
  <c r="JQ12" i="1"/>
  <c r="JN12" i="1"/>
  <c r="JK12" i="1"/>
  <c r="JI12" i="1"/>
  <c r="JF12" i="1"/>
  <c r="JC12" i="1"/>
  <c r="IZ12" i="1"/>
  <c r="IW12" i="1"/>
  <c r="IT12" i="1"/>
  <c r="IQ12" i="1"/>
  <c r="IN12" i="1"/>
  <c r="IK12" i="1"/>
  <c r="IH12" i="1"/>
  <c r="IE12" i="1"/>
  <c r="IB12" i="1"/>
  <c r="HY12" i="1"/>
  <c r="HV12" i="1"/>
  <c r="HS12" i="1"/>
  <c r="HP12" i="1"/>
  <c r="HM12" i="1"/>
  <c r="HJ12" i="1"/>
  <c r="HG12" i="1"/>
  <c r="HD12" i="1"/>
  <c r="HA12" i="1"/>
  <c r="GX12" i="1"/>
  <c r="GU12" i="1"/>
  <c r="GR12" i="1"/>
  <c r="GO12" i="1"/>
  <c r="GL12" i="1"/>
  <c r="GI12" i="1"/>
  <c r="GF12" i="1"/>
  <c r="GC12" i="1"/>
  <c r="FZ12" i="1"/>
  <c r="FW12" i="1"/>
  <c r="FT12" i="1"/>
  <c r="FQ12" i="1"/>
  <c r="FN12" i="1"/>
  <c r="FK12" i="1"/>
  <c r="FH12" i="1"/>
  <c r="FE12" i="1"/>
  <c r="FB12" i="1"/>
  <c r="EY12" i="1"/>
  <c r="EV12" i="1"/>
  <c r="ES12" i="1"/>
  <c r="EP12" i="1"/>
  <c r="EM12" i="1"/>
  <c r="EJ12" i="1"/>
  <c r="EG12" i="1"/>
  <c r="ED12" i="1"/>
  <c r="EA12" i="1"/>
  <c r="DX12" i="1"/>
  <c r="DU12" i="1"/>
  <c r="DR12" i="1"/>
  <c r="DO12" i="1"/>
  <c r="DL12" i="1"/>
  <c r="DF12" i="1"/>
  <c r="DC12" i="1"/>
  <c r="CZ12" i="1"/>
  <c r="CW12" i="1"/>
  <c r="CT12" i="1"/>
  <c r="CQ12" i="1"/>
  <c r="CN12" i="1"/>
  <c r="CK12" i="1"/>
  <c r="CH12" i="1"/>
  <c r="CE12" i="1"/>
  <c r="CB12" i="1"/>
  <c r="BY12" i="1"/>
  <c r="BV12" i="1"/>
  <c r="BS12" i="1"/>
  <c r="BP12" i="1"/>
  <c r="BM12" i="1"/>
  <c r="BJ12" i="1"/>
  <c r="BG12" i="1"/>
  <c r="BD12" i="1"/>
  <c r="BA12" i="1"/>
  <c r="AX12" i="1"/>
  <c r="AU12" i="1"/>
  <c r="AR12" i="1"/>
  <c r="AO12" i="1"/>
  <c r="AL12" i="1"/>
  <c r="AI12" i="1"/>
  <c r="AF12" i="1"/>
  <c r="AC12" i="1"/>
  <c r="Z12" i="1"/>
  <c r="W12" i="1"/>
  <c r="T12" i="1"/>
  <c r="Q12" i="1"/>
  <c r="N12" i="1"/>
  <c r="K12" i="1"/>
  <c r="H12" i="1"/>
  <c r="KR11" i="1"/>
  <c r="KO11" i="1"/>
  <c r="KL11" i="1"/>
  <c r="KI11" i="1"/>
  <c r="KF11" i="1"/>
  <c r="KC11" i="1"/>
  <c r="JZ11" i="1"/>
  <c r="JW11" i="1"/>
  <c r="JT11" i="1"/>
  <c r="JQ11" i="1"/>
  <c r="JN11" i="1"/>
  <c r="JK11" i="1"/>
  <c r="JI11" i="1"/>
  <c r="JF11" i="1"/>
  <c r="JC11" i="1"/>
  <c r="IZ11" i="1"/>
  <c r="IW11" i="1"/>
  <c r="IT11" i="1"/>
  <c r="IQ11" i="1"/>
  <c r="IN11" i="1"/>
  <c r="IK11" i="1"/>
  <c r="IH11" i="1"/>
  <c r="IE11" i="1"/>
  <c r="IB11" i="1"/>
  <c r="HY11" i="1"/>
  <c r="HV11" i="1"/>
  <c r="HS11" i="1"/>
  <c r="HP11" i="1"/>
  <c r="HM11" i="1"/>
  <c r="HJ11" i="1"/>
  <c r="HG11" i="1"/>
  <c r="HD11" i="1"/>
  <c r="HA11" i="1"/>
  <c r="GX11" i="1"/>
  <c r="GU11" i="1"/>
  <c r="GR11" i="1"/>
  <c r="GO11" i="1"/>
  <c r="GL11" i="1"/>
  <c r="GI11" i="1"/>
  <c r="GF11" i="1"/>
  <c r="GC11" i="1"/>
  <c r="FZ11" i="1"/>
  <c r="FW11" i="1"/>
  <c r="FT11" i="1"/>
  <c r="FQ11" i="1"/>
  <c r="FN11" i="1"/>
  <c r="FK11" i="1"/>
  <c r="FH11" i="1"/>
  <c r="FE11" i="1"/>
  <c r="FB11" i="1"/>
  <c r="EY11" i="1"/>
  <c r="EV11" i="1"/>
  <c r="ES11" i="1"/>
  <c r="EP11" i="1"/>
  <c r="EM11" i="1"/>
  <c r="EJ11" i="1"/>
  <c r="EG11" i="1"/>
  <c r="ED11" i="1"/>
  <c r="EA11" i="1"/>
  <c r="DX11" i="1"/>
  <c r="DU11" i="1"/>
  <c r="DR11" i="1"/>
  <c r="DO11" i="1"/>
  <c r="DL11" i="1"/>
  <c r="DF11" i="1"/>
  <c r="DC11" i="1"/>
  <c r="CZ11" i="1"/>
  <c r="CW11" i="1"/>
  <c r="CT11" i="1"/>
  <c r="CQ11" i="1"/>
  <c r="CN11" i="1"/>
  <c r="CK11" i="1"/>
  <c r="CH11" i="1"/>
  <c r="CE11" i="1"/>
  <c r="CB11" i="1"/>
  <c r="BY11" i="1"/>
  <c r="BV11" i="1"/>
  <c r="BS11" i="1"/>
  <c r="BP11" i="1"/>
  <c r="BM11" i="1"/>
  <c r="BJ11" i="1"/>
  <c r="BG11" i="1"/>
  <c r="BD11" i="1"/>
  <c r="BA11" i="1"/>
  <c r="AX11" i="1"/>
  <c r="AU11" i="1"/>
  <c r="AR11" i="1"/>
  <c r="AO11" i="1"/>
  <c r="AL11" i="1"/>
  <c r="AI11" i="1"/>
  <c r="AF11" i="1"/>
  <c r="AC11" i="1"/>
  <c r="Z11" i="1"/>
  <c r="W11" i="1"/>
  <c r="T11" i="1"/>
  <c r="Q11" i="1"/>
  <c r="N11" i="1"/>
  <c r="K11" i="1"/>
  <c r="H11" i="1"/>
  <c r="KR10" i="1"/>
  <c r="KO10" i="1"/>
  <c r="KL10" i="1"/>
  <c r="KI10" i="1"/>
  <c r="KF10" i="1"/>
  <c r="KC10" i="1"/>
  <c r="JZ10" i="1"/>
  <c r="JW10" i="1"/>
  <c r="JT10" i="1"/>
  <c r="JQ10" i="1"/>
  <c r="JN10" i="1"/>
  <c r="JK10" i="1"/>
  <c r="JI10" i="1"/>
  <c r="JF10" i="1"/>
  <c r="JC10" i="1"/>
  <c r="IZ10" i="1"/>
  <c r="IW10" i="1"/>
  <c r="IT10" i="1"/>
  <c r="IQ10" i="1"/>
  <c r="IN10" i="1"/>
  <c r="IK10" i="1"/>
  <c r="IH10" i="1"/>
  <c r="IE10" i="1"/>
  <c r="IB10" i="1"/>
  <c r="HY10" i="1"/>
  <c r="HV10" i="1"/>
  <c r="HS10" i="1"/>
  <c r="HP10" i="1"/>
  <c r="HM10" i="1"/>
  <c r="HJ10" i="1"/>
  <c r="HG10" i="1"/>
  <c r="HD10" i="1"/>
  <c r="HA10" i="1"/>
  <c r="GX10" i="1"/>
  <c r="GU10" i="1"/>
  <c r="GR10" i="1"/>
  <c r="GO10" i="1"/>
  <c r="GL10" i="1"/>
  <c r="GI10" i="1"/>
  <c r="GF10" i="1"/>
  <c r="GC10" i="1"/>
  <c r="FZ10" i="1"/>
  <c r="FW10" i="1"/>
  <c r="FT10" i="1"/>
  <c r="FQ10" i="1"/>
  <c r="FN10" i="1"/>
  <c r="FK10" i="1"/>
  <c r="FH10" i="1"/>
  <c r="FE10" i="1"/>
  <c r="FB10" i="1"/>
  <c r="EY10" i="1"/>
  <c r="EV10" i="1"/>
  <c r="ES10" i="1"/>
  <c r="EP10" i="1"/>
  <c r="EM10" i="1"/>
  <c r="EJ10" i="1"/>
  <c r="EG10" i="1"/>
  <c r="ED10" i="1"/>
  <c r="EA10" i="1"/>
  <c r="DX10" i="1"/>
  <c r="DU10" i="1"/>
  <c r="DR10" i="1"/>
  <c r="DO10" i="1"/>
  <c r="DL10" i="1"/>
  <c r="DF10" i="1"/>
  <c r="DC10" i="1"/>
  <c r="CZ10" i="1"/>
  <c r="CW10" i="1"/>
  <c r="CT10" i="1"/>
  <c r="CQ10" i="1"/>
  <c r="CN10" i="1"/>
  <c r="CK10" i="1"/>
  <c r="CH10" i="1"/>
  <c r="CE10" i="1"/>
  <c r="CB10" i="1"/>
  <c r="BY10" i="1"/>
  <c r="BV10" i="1"/>
  <c r="BS10" i="1"/>
  <c r="BP10" i="1"/>
  <c r="BM10" i="1"/>
  <c r="BJ10" i="1"/>
  <c r="BG10" i="1"/>
  <c r="BD10" i="1"/>
  <c r="BA10" i="1"/>
  <c r="AX10" i="1"/>
  <c r="AU10" i="1"/>
  <c r="AR10" i="1"/>
  <c r="AO10" i="1"/>
  <c r="AL10" i="1"/>
  <c r="AI10" i="1"/>
  <c r="AF10" i="1"/>
  <c r="AC10" i="1"/>
  <c r="Z10" i="1"/>
  <c r="W10" i="1"/>
  <c r="T10" i="1"/>
  <c r="Q10" i="1"/>
  <c r="N10" i="1"/>
  <c r="K10" i="1"/>
  <c r="H10" i="1"/>
  <c r="KR9" i="1"/>
  <c r="KO9" i="1"/>
  <c r="KL9" i="1"/>
  <c r="KI9" i="1"/>
  <c r="KF9" i="1"/>
  <c r="KC9" i="1"/>
  <c r="JZ9" i="1"/>
  <c r="JW9" i="1"/>
  <c r="JT9" i="1"/>
  <c r="JQ9" i="1"/>
  <c r="JN9" i="1"/>
  <c r="JK9" i="1"/>
  <c r="JI9" i="1"/>
  <c r="JF9" i="1"/>
  <c r="JC9" i="1"/>
  <c r="IZ9" i="1"/>
  <c r="IW9" i="1"/>
  <c r="IT9" i="1"/>
  <c r="IQ9" i="1"/>
  <c r="IN9" i="1"/>
  <c r="IK9" i="1"/>
  <c r="IH9" i="1"/>
  <c r="IE9" i="1"/>
  <c r="IB9" i="1"/>
  <c r="HY9" i="1"/>
  <c r="HV9" i="1"/>
  <c r="HS9" i="1"/>
  <c r="HP9" i="1"/>
  <c r="HM9" i="1"/>
  <c r="HJ9" i="1"/>
  <c r="HG9" i="1"/>
  <c r="HD9" i="1"/>
  <c r="HA9" i="1"/>
  <c r="GX9" i="1"/>
  <c r="GU9" i="1"/>
  <c r="GR9" i="1"/>
  <c r="GO9" i="1"/>
  <c r="GL9" i="1"/>
  <c r="GI9" i="1"/>
  <c r="GF9" i="1"/>
  <c r="GC9" i="1"/>
  <c r="FZ9" i="1"/>
  <c r="FW9" i="1"/>
  <c r="FT9" i="1"/>
  <c r="FQ9" i="1"/>
  <c r="FN9" i="1"/>
  <c r="FK9" i="1"/>
  <c r="FH9" i="1"/>
  <c r="FE9" i="1"/>
  <c r="FB9" i="1"/>
  <c r="EY9" i="1"/>
  <c r="EV9" i="1"/>
  <c r="ES9" i="1"/>
  <c r="EP9" i="1"/>
  <c r="EM9" i="1"/>
  <c r="EJ9" i="1"/>
  <c r="EG9" i="1"/>
  <c r="ED9" i="1"/>
  <c r="EA9" i="1"/>
  <c r="DX9" i="1"/>
  <c r="DU9" i="1"/>
  <c r="DR9" i="1"/>
  <c r="DO9" i="1"/>
  <c r="DL9" i="1"/>
  <c r="DF9" i="1"/>
  <c r="DC9" i="1"/>
  <c r="CZ9" i="1"/>
  <c r="CW9" i="1"/>
  <c r="CT9" i="1"/>
  <c r="CQ9" i="1"/>
  <c r="CN9" i="1"/>
  <c r="CK9" i="1"/>
  <c r="CH9" i="1"/>
  <c r="CE9" i="1"/>
  <c r="CB9" i="1"/>
  <c r="BY9" i="1"/>
  <c r="BV9" i="1"/>
  <c r="BS9" i="1"/>
  <c r="BP9" i="1"/>
  <c r="BM9" i="1"/>
  <c r="BJ9" i="1"/>
  <c r="BG9" i="1"/>
  <c r="BD9" i="1"/>
  <c r="BA9" i="1"/>
  <c r="AX9" i="1"/>
  <c r="AU9" i="1"/>
  <c r="AR9" i="1"/>
  <c r="AO9" i="1"/>
  <c r="AL9" i="1"/>
  <c r="AI9" i="1"/>
  <c r="AF9" i="1"/>
  <c r="AC9" i="1"/>
  <c r="Z9" i="1"/>
  <c r="W9" i="1"/>
  <c r="T9" i="1"/>
  <c r="Q9" i="1"/>
  <c r="N9" i="1"/>
  <c r="K9" i="1"/>
  <c r="H9" i="1"/>
  <c r="KS9" i="1"/>
  <c r="KP9" i="1"/>
  <c r="KJ11" i="1"/>
  <c r="KA11" i="1"/>
  <c r="JU10" i="1"/>
  <c r="JO11" i="1"/>
  <c r="JL9" i="1"/>
  <c r="AC7" i="46" l="1"/>
  <c r="X6" i="46"/>
  <c r="AB6" i="46"/>
  <c r="AH9" i="48"/>
  <c r="KG11" i="1"/>
  <c r="KG28" i="1"/>
  <c r="KF41" i="1"/>
  <c r="KS10" i="1"/>
  <c r="JU9" i="1"/>
  <c r="KT29" i="1"/>
  <c r="Y41" i="1"/>
  <c r="KT19" i="1"/>
  <c r="KT35" i="1"/>
  <c r="K41" i="1"/>
  <c r="KT23" i="1"/>
  <c r="Q41" i="1"/>
  <c r="KT25" i="1"/>
  <c r="KT24" i="1"/>
  <c r="KS11" i="1"/>
  <c r="JL12" i="1"/>
  <c r="JL11" i="1"/>
  <c r="KJ12" i="1"/>
  <c r="KT12" i="1"/>
  <c r="KG9" i="1"/>
  <c r="JL15" i="1"/>
  <c r="JL13" i="1"/>
  <c r="KJ15" i="1"/>
  <c r="KJ13" i="1"/>
  <c r="KJ9" i="1"/>
  <c r="JU11" i="1"/>
  <c r="KT13" i="1"/>
  <c r="KT17" i="1"/>
  <c r="KT14" i="1"/>
  <c r="KT16" i="1"/>
  <c r="KT15" i="1"/>
  <c r="KT21" i="1"/>
  <c r="KT22" i="1"/>
  <c r="KT26" i="1"/>
  <c r="KT31" i="1"/>
  <c r="KT20" i="1"/>
  <c r="KT28" i="1"/>
  <c r="KT33" i="1"/>
  <c r="W41" i="1"/>
  <c r="CN41" i="1"/>
  <c r="DL41" i="1"/>
  <c r="EJ41" i="1"/>
  <c r="FH41" i="1"/>
  <c r="GF41" i="1"/>
  <c r="HC41" i="1"/>
  <c r="IA41" i="1"/>
  <c r="IY41" i="1"/>
  <c r="KT34" i="1"/>
  <c r="AU41" i="1"/>
  <c r="BS41" i="1"/>
  <c r="CQ41" i="1"/>
  <c r="DO41" i="1"/>
  <c r="EM41" i="1"/>
  <c r="FK41" i="1"/>
  <c r="GI41" i="1"/>
  <c r="HG41" i="1"/>
  <c r="IE41" i="1"/>
  <c r="JC41" i="1"/>
  <c r="AC41" i="1"/>
  <c r="AZ41" i="1"/>
  <c r="CW41" i="1"/>
  <c r="DU41" i="1"/>
  <c r="ES41" i="1"/>
  <c r="FQ41" i="1"/>
  <c r="GO41" i="1"/>
  <c r="HM41" i="1"/>
  <c r="IK41" i="1"/>
  <c r="JI41" i="1"/>
  <c r="AE41" i="1"/>
  <c r="AI41" i="1"/>
  <c r="BG41" i="1"/>
  <c r="EA41" i="1"/>
  <c r="EY41" i="1"/>
  <c r="FW41" i="1"/>
  <c r="GU41" i="1"/>
  <c r="HS41" i="1"/>
  <c r="IQ41" i="1"/>
  <c r="KT37" i="1"/>
  <c r="AL41" i="1"/>
  <c r="BJ41" i="1"/>
  <c r="CH41" i="1"/>
  <c r="DF41" i="1"/>
  <c r="FB41" i="1"/>
  <c r="FZ41" i="1"/>
  <c r="GX41" i="1"/>
  <c r="HV41" i="1"/>
  <c r="IT41" i="1"/>
  <c r="KT36" i="1"/>
  <c r="T41" i="1"/>
  <c r="JX41" i="1"/>
  <c r="JX31" i="1"/>
  <c r="JX23" i="1"/>
  <c r="JX36" i="1"/>
  <c r="JX28" i="1"/>
  <c r="JX20" i="1"/>
  <c r="JX12" i="1"/>
  <c r="JX33" i="1"/>
  <c r="JX25" i="1"/>
  <c r="JX17" i="1"/>
  <c r="JX38" i="1"/>
  <c r="JX30" i="1"/>
  <c r="JX22" i="1"/>
  <c r="JX14" i="1"/>
  <c r="JX35" i="1"/>
  <c r="JX27" i="1"/>
  <c r="JX19" i="1"/>
  <c r="JX11" i="1"/>
  <c r="JX32" i="1"/>
  <c r="JX24" i="1"/>
  <c r="JX16" i="1"/>
  <c r="JX37" i="1"/>
  <c r="JX29" i="1"/>
  <c r="JX21" i="1"/>
  <c r="JX34" i="1"/>
  <c r="JX26" i="1"/>
  <c r="JX18" i="1"/>
  <c r="JX10" i="1"/>
  <c r="JX15" i="1"/>
  <c r="JX9" i="1"/>
  <c r="KG10" i="1"/>
  <c r="KT11" i="1"/>
  <c r="KA33" i="1"/>
  <c r="KA25" i="1"/>
  <c r="KA17" i="1"/>
  <c r="KA9" i="1"/>
  <c r="KA38" i="1"/>
  <c r="KA30" i="1"/>
  <c r="KA22" i="1"/>
  <c r="KA14" i="1"/>
  <c r="KA35" i="1"/>
  <c r="KA27" i="1"/>
  <c r="KA19" i="1"/>
  <c r="KA32" i="1"/>
  <c r="KA24" i="1"/>
  <c r="KA16" i="1"/>
  <c r="KA37" i="1"/>
  <c r="KA29" i="1"/>
  <c r="KA21" i="1"/>
  <c r="KA13" i="1"/>
  <c r="KA34" i="1"/>
  <c r="KA26" i="1"/>
  <c r="KA18" i="1"/>
  <c r="KA10" i="1"/>
  <c r="KA31" i="1"/>
  <c r="KA23" i="1"/>
  <c r="KA15" i="1"/>
  <c r="KA36" i="1"/>
  <c r="KA28" i="1"/>
  <c r="KA20" i="1"/>
  <c r="KA12" i="1"/>
  <c r="KA41" i="1"/>
  <c r="KT9" i="1"/>
  <c r="JX13" i="1"/>
  <c r="JO33" i="1"/>
  <c r="JO25" i="1"/>
  <c r="JO17" i="1"/>
  <c r="JO38" i="1"/>
  <c r="JO30" i="1"/>
  <c r="JO22" i="1"/>
  <c r="JO14" i="1"/>
  <c r="JO35" i="1"/>
  <c r="JO27" i="1"/>
  <c r="JO19" i="1"/>
  <c r="JO32" i="1"/>
  <c r="JO24" i="1"/>
  <c r="JO16" i="1"/>
  <c r="JO37" i="1"/>
  <c r="JO29" i="1"/>
  <c r="JO21" i="1"/>
  <c r="JO13" i="1"/>
  <c r="JO34" i="1"/>
  <c r="JO26" i="1"/>
  <c r="JO18" i="1"/>
  <c r="JO10" i="1"/>
  <c r="JO31" i="1"/>
  <c r="JO23" i="1"/>
  <c r="JO15" i="1"/>
  <c r="JO36" i="1"/>
  <c r="JO28" i="1"/>
  <c r="JO20" i="1"/>
  <c r="JO12" i="1"/>
  <c r="JO9" i="1"/>
  <c r="JR35" i="1"/>
  <c r="JR27" i="1"/>
  <c r="JR19" i="1"/>
  <c r="JR32" i="1"/>
  <c r="JR24" i="1"/>
  <c r="JR16" i="1"/>
  <c r="JR37" i="1"/>
  <c r="JR29" i="1"/>
  <c r="JR21" i="1"/>
  <c r="JR13" i="1"/>
  <c r="JR34" i="1"/>
  <c r="JR26" i="1"/>
  <c r="JR18" i="1"/>
  <c r="JR10" i="1"/>
  <c r="JR31" i="1"/>
  <c r="JR23" i="1"/>
  <c r="JR15" i="1"/>
  <c r="JR36" i="1"/>
  <c r="JR28" i="1"/>
  <c r="JR20" i="1"/>
  <c r="JR12" i="1"/>
  <c r="JR33" i="1"/>
  <c r="JR25" i="1"/>
  <c r="JR17" i="1"/>
  <c r="JR38" i="1"/>
  <c r="JR30" i="1"/>
  <c r="JR22" i="1"/>
  <c r="JR14" i="1"/>
  <c r="JR11" i="1"/>
  <c r="KT10" i="1"/>
  <c r="KG41" i="1"/>
  <c r="KD35" i="1"/>
  <c r="KD27" i="1"/>
  <c r="KD19" i="1"/>
  <c r="KD32" i="1"/>
  <c r="KD24" i="1"/>
  <c r="KD16" i="1"/>
  <c r="KD41" i="1"/>
  <c r="KD37" i="1"/>
  <c r="KD29" i="1"/>
  <c r="KD21" i="1"/>
  <c r="KD13" i="1"/>
  <c r="KD34" i="1"/>
  <c r="KD26" i="1"/>
  <c r="KD18" i="1"/>
  <c r="KD10" i="1"/>
  <c r="KD31" i="1"/>
  <c r="KD23" i="1"/>
  <c r="KD15" i="1"/>
  <c r="KD36" i="1"/>
  <c r="KD28" i="1"/>
  <c r="KD20" i="1"/>
  <c r="KD12" i="1"/>
  <c r="KD33" i="1"/>
  <c r="KD25" i="1"/>
  <c r="KD17" i="1"/>
  <c r="KD38" i="1"/>
  <c r="KD30" i="1"/>
  <c r="KD22" i="1"/>
  <c r="KD14" i="1"/>
  <c r="KD11" i="1"/>
  <c r="KG37" i="1"/>
  <c r="KG29" i="1"/>
  <c r="KG21" i="1"/>
  <c r="KG34" i="1"/>
  <c r="KG26" i="1"/>
  <c r="KG18" i="1"/>
  <c r="KG31" i="1"/>
  <c r="KG23" i="1"/>
  <c r="KG15" i="1"/>
  <c r="KG36" i="1"/>
  <c r="KG20" i="1"/>
  <c r="KG12" i="1"/>
  <c r="KG33" i="1"/>
  <c r="KG25" i="1"/>
  <c r="KG17" i="1"/>
  <c r="KG38" i="1"/>
  <c r="KG30" i="1"/>
  <c r="KG22" i="1"/>
  <c r="KG14" i="1"/>
  <c r="KG35" i="1"/>
  <c r="KG27" i="1"/>
  <c r="KG19" i="1"/>
  <c r="KG32" i="1"/>
  <c r="KG24" i="1"/>
  <c r="KG16" i="1"/>
  <c r="KG13" i="1"/>
  <c r="KD9" i="1"/>
  <c r="JR9" i="1"/>
  <c r="JO41" i="1"/>
  <c r="KM41" i="1"/>
  <c r="JR41" i="1"/>
  <c r="KP41" i="1"/>
  <c r="KM33" i="1"/>
  <c r="KM25" i="1"/>
  <c r="KM17" i="1"/>
  <c r="KM38" i="1"/>
  <c r="KM30" i="1"/>
  <c r="KM22" i="1"/>
  <c r="KM14" i="1"/>
  <c r="KM35" i="1"/>
  <c r="KM27" i="1"/>
  <c r="KM19" i="1"/>
  <c r="KM32" i="1"/>
  <c r="KM24" i="1"/>
  <c r="KM16" i="1"/>
  <c r="KM37" i="1"/>
  <c r="KM29" i="1"/>
  <c r="KM21" i="1"/>
  <c r="KM13" i="1"/>
  <c r="KM34" i="1"/>
  <c r="KM26" i="1"/>
  <c r="KM18" i="1"/>
  <c r="KM10" i="1"/>
  <c r="KM31" i="1"/>
  <c r="KM23" i="1"/>
  <c r="KM15" i="1"/>
  <c r="KM36" i="1"/>
  <c r="KM28" i="1"/>
  <c r="KM20" i="1"/>
  <c r="KM12" i="1"/>
  <c r="KM9" i="1"/>
  <c r="KP35" i="1"/>
  <c r="KP27" i="1"/>
  <c r="KP19" i="1"/>
  <c r="KP11" i="1"/>
  <c r="KP32" i="1"/>
  <c r="KP24" i="1"/>
  <c r="KP16" i="1"/>
  <c r="KP37" i="1"/>
  <c r="KP29" i="1"/>
  <c r="KP21" i="1"/>
  <c r="KP13" i="1"/>
  <c r="KP34" i="1"/>
  <c r="KP26" i="1"/>
  <c r="KP18" i="1"/>
  <c r="KP10" i="1"/>
  <c r="KP31" i="1"/>
  <c r="KP23" i="1"/>
  <c r="KP15" i="1"/>
  <c r="KP36" i="1"/>
  <c r="KP28" i="1"/>
  <c r="KP20" i="1"/>
  <c r="KP12" i="1"/>
  <c r="KP33" i="1"/>
  <c r="KP25" i="1"/>
  <c r="KP17" i="1"/>
  <c r="KP38" i="1"/>
  <c r="KP30" i="1"/>
  <c r="KP22" i="1"/>
  <c r="KP14" i="1"/>
  <c r="JU37" i="1"/>
  <c r="JU29" i="1"/>
  <c r="JU21" i="1"/>
  <c r="JU13" i="1"/>
  <c r="JU34" i="1"/>
  <c r="JU26" i="1"/>
  <c r="JU18" i="1"/>
  <c r="JU31" i="1"/>
  <c r="JU23" i="1"/>
  <c r="JU15" i="1"/>
  <c r="JU41" i="1"/>
  <c r="JU36" i="1"/>
  <c r="JU28" i="1"/>
  <c r="JU20" i="1"/>
  <c r="JU12" i="1"/>
  <c r="JU33" i="1"/>
  <c r="JU25" i="1"/>
  <c r="JU17" i="1"/>
  <c r="JU38" i="1"/>
  <c r="JU30" i="1"/>
  <c r="JU22" i="1"/>
  <c r="JU14" i="1"/>
  <c r="JU35" i="1"/>
  <c r="JU27" i="1"/>
  <c r="JU19" i="1"/>
  <c r="JU32" i="1"/>
  <c r="JU24" i="1"/>
  <c r="JU16" i="1"/>
  <c r="KS37" i="1"/>
  <c r="KS29" i="1"/>
  <c r="KS21" i="1"/>
  <c r="KS34" i="1"/>
  <c r="KS26" i="1"/>
  <c r="KS18" i="1"/>
  <c r="KS31" i="1"/>
  <c r="KS23" i="1"/>
  <c r="KS15" i="1"/>
  <c r="KS41" i="1"/>
  <c r="KS36" i="1"/>
  <c r="KS28" i="1"/>
  <c r="KS20" i="1"/>
  <c r="KS12" i="1"/>
  <c r="KS33" i="1"/>
  <c r="KS25" i="1"/>
  <c r="KS17" i="1"/>
  <c r="KS38" i="1"/>
  <c r="KS30" i="1"/>
  <c r="KS22" i="1"/>
  <c r="KS14" i="1"/>
  <c r="KS35" i="1"/>
  <c r="KS27" i="1"/>
  <c r="KS19" i="1"/>
  <c r="KS32" i="1"/>
  <c r="KS24" i="1"/>
  <c r="KS16" i="1"/>
  <c r="KS13" i="1"/>
  <c r="KM11" i="1"/>
  <c r="JL10" i="1"/>
  <c r="KJ10" i="1"/>
  <c r="JL18" i="1"/>
  <c r="KJ18" i="1"/>
  <c r="JL26" i="1"/>
  <c r="KJ26" i="1"/>
  <c r="JL34" i="1"/>
  <c r="KJ34" i="1"/>
  <c r="M41" i="1"/>
  <c r="AK41" i="1"/>
  <c r="BA41" i="1"/>
  <c r="BI41" i="1"/>
  <c r="CG41" i="1"/>
  <c r="DE41" i="1"/>
  <c r="FA41" i="1"/>
  <c r="FY41" i="1"/>
  <c r="GW41" i="1"/>
  <c r="HU41" i="1"/>
  <c r="IS41" i="1"/>
  <c r="JQ41" i="1"/>
  <c r="KO41" i="1"/>
  <c r="JL21" i="1"/>
  <c r="KJ21" i="1"/>
  <c r="JL29" i="1"/>
  <c r="KJ29" i="1"/>
  <c r="JL37" i="1"/>
  <c r="KJ37" i="1"/>
  <c r="N41" i="1"/>
  <c r="V41" i="1"/>
  <c r="AT41" i="1"/>
  <c r="BR41" i="1"/>
  <c r="CP41" i="1"/>
  <c r="DN41" i="1"/>
  <c r="EL41" i="1"/>
  <c r="FJ41" i="1"/>
  <c r="GH41" i="1"/>
  <c r="HF41" i="1"/>
  <c r="ID41" i="1"/>
  <c r="JB41" i="1"/>
  <c r="JZ41" i="1"/>
  <c r="JL16" i="1"/>
  <c r="KJ16" i="1"/>
  <c r="JL24" i="1"/>
  <c r="KJ24" i="1"/>
  <c r="JL32" i="1"/>
  <c r="KJ32" i="1"/>
  <c r="G41" i="1"/>
  <c r="CA41" i="1"/>
  <c r="CY41" i="1"/>
  <c r="DW41" i="1"/>
  <c r="EU41" i="1"/>
  <c r="FS41" i="1"/>
  <c r="GQ41" i="1"/>
  <c r="HO41" i="1"/>
  <c r="IM41" i="1"/>
  <c r="JK41" i="1"/>
  <c r="KI41" i="1"/>
  <c r="JL19" i="1"/>
  <c r="KJ19" i="1"/>
  <c r="JL27" i="1"/>
  <c r="KJ27" i="1"/>
  <c r="JL35" i="1"/>
  <c r="KJ35" i="1"/>
  <c r="H41" i="1"/>
  <c r="P41" i="1"/>
  <c r="AF41" i="1"/>
  <c r="AN41" i="1"/>
  <c r="BL41" i="1"/>
  <c r="CB41" i="1"/>
  <c r="CJ41" i="1"/>
  <c r="CZ41" i="1"/>
  <c r="DH41" i="1"/>
  <c r="DX41" i="1"/>
  <c r="EF41" i="1"/>
  <c r="EV41" i="1"/>
  <c r="FD41" i="1"/>
  <c r="FT41" i="1"/>
  <c r="GB41" i="1"/>
  <c r="GR41" i="1"/>
  <c r="GZ41" i="1"/>
  <c r="HP41" i="1"/>
  <c r="HX41" i="1"/>
  <c r="IN41" i="1"/>
  <c r="IV41" i="1"/>
  <c r="JL41" i="1"/>
  <c r="JT41" i="1"/>
  <c r="KJ41" i="1"/>
  <c r="KR41" i="1"/>
  <c r="JL14" i="1"/>
  <c r="KJ14" i="1"/>
  <c r="JL22" i="1"/>
  <c r="KJ22" i="1"/>
  <c r="JL30" i="1"/>
  <c r="KJ30" i="1"/>
  <c r="JL38" i="1"/>
  <c r="KJ38" i="1"/>
  <c r="AO41" i="1"/>
  <c r="AW41" i="1"/>
  <c r="BM41" i="1"/>
  <c r="BU41" i="1"/>
  <c r="CK41" i="1"/>
  <c r="CS41" i="1"/>
  <c r="DI41" i="1"/>
  <c r="DQ41" i="1"/>
  <c r="EG41" i="1"/>
  <c r="EO41" i="1"/>
  <c r="FE41" i="1"/>
  <c r="FM41" i="1"/>
  <c r="GC41" i="1"/>
  <c r="GK41" i="1"/>
  <c r="HA41" i="1"/>
  <c r="HI41" i="1"/>
  <c r="HY41" i="1"/>
  <c r="IG41" i="1"/>
  <c r="IW41" i="1"/>
  <c r="JE41" i="1"/>
  <c r="KC41" i="1"/>
  <c r="JL17" i="1"/>
  <c r="KJ17" i="1"/>
  <c r="JL25" i="1"/>
  <c r="KJ25" i="1"/>
  <c r="JL33" i="1"/>
  <c r="KJ33" i="1"/>
  <c r="J41" i="1"/>
  <c r="Z41" i="1"/>
  <c r="AH41" i="1"/>
  <c r="AX41" i="1"/>
  <c r="BF41" i="1"/>
  <c r="BV41" i="1"/>
  <c r="CT41" i="1"/>
  <c r="DR41" i="1"/>
  <c r="DZ41" i="1"/>
  <c r="EP41" i="1"/>
  <c r="EX41" i="1"/>
  <c r="FN41" i="1"/>
  <c r="FV41" i="1"/>
  <c r="GL41" i="1"/>
  <c r="GT41" i="1"/>
  <c r="HJ41" i="1"/>
  <c r="HR41" i="1"/>
  <c r="IH41" i="1"/>
  <c r="IP41" i="1"/>
  <c r="JF41" i="1"/>
  <c r="JN41" i="1"/>
  <c r="KL41" i="1"/>
  <c r="JL20" i="1"/>
  <c r="KJ20" i="1"/>
  <c r="JL28" i="1"/>
  <c r="KJ28" i="1"/>
  <c r="JL36" i="1"/>
  <c r="KJ36" i="1"/>
  <c r="S41" i="1"/>
  <c r="CM41" i="1"/>
  <c r="DK41" i="1"/>
  <c r="EI41" i="1"/>
  <c r="FG41" i="1"/>
  <c r="GE41" i="1"/>
  <c r="JW41" i="1"/>
  <c r="JL23" i="1"/>
  <c r="KJ23" i="1"/>
  <c r="JL31" i="1"/>
  <c r="KJ31" i="1"/>
  <c r="AB41" i="1"/>
  <c r="CV41" i="1"/>
  <c r="DT41" i="1"/>
  <c r="ER41" i="1"/>
  <c r="FP41" i="1"/>
  <c r="GN41" i="1"/>
  <c r="HD41" i="1"/>
  <c r="HL41" i="1"/>
  <c r="IB41" i="1"/>
  <c r="IJ41" i="1"/>
  <c r="IZ41" i="1"/>
  <c r="JH41" i="1"/>
  <c r="KU38" i="1" l="1"/>
  <c r="KU9" i="1"/>
  <c r="KU26" i="1"/>
  <c r="KU27" i="1"/>
  <c r="KU19" i="1"/>
  <c r="KU30" i="1"/>
  <c r="KU35" i="1"/>
  <c r="KU21" i="1"/>
  <c r="KU34" i="1"/>
  <c r="KU20" i="1"/>
  <c r="KU32" i="1"/>
  <c r="KU12" i="1"/>
  <c r="KU31" i="1"/>
  <c r="KU22" i="1"/>
  <c r="KU23" i="1"/>
  <c r="KU41" i="1"/>
  <c r="KU18" i="1"/>
  <c r="KU11" i="1"/>
  <c r="KU13" i="1"/>
  <c r="KU33" i="1"/>
  <c r="KU14" i="1"/>
  <c r="KU37" i="1"/>
  <c r="KU36" i="1"/>
  <c r="KU25" i="1"/>
  <c r="KU16" i="1"/>
  <c r="KU28" i="1"/>
  <c r="KU17" i="1"/>
  <c r="KU29" i="1"/>
  <c r="KU10" i="1"/>
  <c r="KU24" i="1"/>
  <c r="KU15" i="1"/>
  <c r="AZ146" i="46" l="1"/>
  <c r="AY146" i="46"/>
  <c r="AX146" i="46"/>
  <c r="AW146" i="46"/>
  <c r="J8" i="31" l="1"/>
  <c r="J8" i="30" s="1"/>
  <c r="J7" i="32"/>
  <c r="T9" i="48" l="1"/>
  <c r="T146" i="58" l="1"/>
  <c r="P146" i="58"/>
  <c r="O146" i="58" s="1"/>
  <c r="C146" i="58"/>
  <c r="V146" i="58"/>
  <c r="AV146" i="46"/>
  <c r="AU146" i="46"/>
  <c r="AT146" i="46"/>
  <c r="AL146" i="46"/>
  <c r="AQ146" i="46"/>
  <c r="AR8" i="46"/>
  <c r="BA8" i="46" s="1"/>
  <c r="AR7" i="46"/>
  <c r="BA7" i="46" s="1"/>
  <c r="AR6" i="46"/>
  <c r="BA6" i="46" s="1"/>
  <c r="T10" i="54" l="1"/>
  <c r="N39" i="53" s="1"/>
  <c r="AC146" i="58"/>
  <c r="K146" i="58"/>
  <c r="U146" i="58"/>
  <c r="AH41" i="48" l="1"/>
  <c r="AI9" i="48"/>
  <c r="AI10" i="48" s="1"/>
  <c r="AI11" i="48" s="1"/>
  <c r="AI12" i="48" s="1"/>
  <c r="AI13" i="48" s="1"/>
  <c r="AI14" i="48" s="1"/>
  <c r="AI15" i="48" s="1"/>
  <c r="AI16" i="48" s="1"/>
  <c r="AI17" i="48" s="1"/>
  <c r="AI18" i="48" s="1"/>
  <c r="AI19" i="48" s="1"/>
  <c r="AI20" i="48" s="1"/>
  <c r="AI21" i="48" s="1"/>
  <c r="AI22" i="48" s="1"/>
  <c r="AI23" i="48" s="1"/>
  <c r="AI24" i="48" s="1"/>
  <c r="AI25" i="48" s="1"/>
  <c r="AI26" i="48" s="1"/>
  <c r="AI27" i="48" s="1"/>
  <c r="AI28" i="48" s="1"/>
  <c r="AI29" i="48" s="1"/>
  <c r="AI30" i="48" s="1"/>
  <c r="AI31" i="48" s="1"/>
  <c r="AI32" i="48" s="1"/>
  <c r="AI33" i="48" s="1"/>
  <c r="AI34" i="48" s="1"/>
  <c r="AI35" i="48" s="1"/>
  <c r="AI36" i="48" s="1"/>
  <c r="AI37" i="48" s="1"/>
  <c r="AI38" i="48" s="1"/>
  <c r="T5" i="54"/>
  <c r="AC147" i="58"/>
  <c r="X156" i="58" s="1"/>
  <c r="T8" i="54"/>
  <c r="X154" i="58"/>
  <c r="V147" i="58"/>
  <c r="N32" i="53"/>
  <c r="N26" i="53"/>
  <c r="N11" i="53"/>
  <c r="N37" i="53"/>
  <c r="N16" i="53"/>
  <c r="N25" i="53"/>
  <c r="N30" i="53"/>
  <c r="N6" i="53"/>
  <c r="N20" i="53"/>
  <c r="N18" i="53"/>
  <c r="N22" i="53"/>
  <c r="N7" i="53"/>
  <c r="N19" i="53"/>
  <c r="N29" i="53"/>
  <c r="N8" i="53"/>
  <c r="N27" i="53"/>
  <c r="N17" i="53"/>
  <c r="N21" i="53"/>
  <c r="N24" i="53"/>
  <c r="N4" i="53"/>
  <c r="N28" i="53"/>
  <c r="N9" i="53"/>
  <c r="N10" i="53"/>
  <c r="N34" i="53"/>
  <c r="N36" i="53"/>
  <c r="N23" i="53"/>
  <c r="N31" i="53"/>
  <c r="N35" i="53"/>
  <c r="N33" i="53"/>
  <c r="N38" i="53"/>
  <c r="N5" i="53"/>
  <c r="AD6" i="46"/>
  <c r="N15" i="53" l="1"/>
  <c r="U5" i="54"/>
  <c r="O15" i="53" s="1"/>
  <c r="P15" i="53" s="1"/>
  <c r="AK147" i="58"/>
  <c r="X164" i="58" s="1"/>
  <c r="AO147" i="58"/>
  <c r="X167" i="58" s="1"/>
  <c r="AW147" i="58"/>
  <c r="X174" i="58" s="1"/>
  <c r="AJ147" i="58"/>
  <c r="X163" i="58" s="1"/>
  <c r="AR147" i="58"/>
  <c r="AL147" i="58"/>
  <c r="X165" i="58" s="1"/>
  <c r="AU147" i="58"/>
  <c r="X172" i="58" s="1"/>
  <c r="AH147" i="58"/>
  <c r="X161" i="58" s="1"/>
  <c r="AT147" i="58"/>
  <c r="X171" i="58" s="1"/>
  <c r="AZ147" i="58"/>
  <c r="X176" i="58" s="1"/>
  <c r="BA147" i="58"/>
  <c r="AS147" i="58"/>
  <c r="X170" i="58" s="1"/>
  <c r="AI147" i="58"/>
  <c r="X162" i="58" s="1"/>
  <c r="AQ147" i="58"/>
  <c r="X169" i="58" s="1"/>
  <c r="AX147" i="58"/>
  <c r="AM147" i="58"/>
  <c r="AN147" i="58"/>
  <c r="X166" i="58" s="1"/>
  <c r="AF147" i="58"/>
  <c r="X159" i="58" s="1"/>
  <c r="AV147" i="58"/>
  <c r="X173" i="58" s="1"/>
  <c r="AP147" i="58"/>
  <c r="X168" i="58" s="1"/>
  <c r="AY147" i="58"/>
  <c r="AG147" i="58"/>
  <c r="X160" i="58" s="1"/>
  <c r="T11" i="54"/>
  <c r="O39" i="53" s="1"/>
  <c r="A4" i="47"/>
  <c r="X175" i="58" l="1"/>
  <c r="O31" i="53"/>
  <c r="O32" i="53"/>
  <c r="O6" i="53"/>
  <c r="P6" i="53" s="1"/>
  <c r="O26" i="53"/>
  <c r="O20" i="53"/>
  <c r="O17" i="53"/>
  <c r="O27" i="53"/>
  <c r="O37" i="53"/>
  <c r="O22" i="53"/>
  <c r="O9" i="53"/>
  <c r="P9" i="53" s="1"/>
  <c r="O23" i="53"/>
  <c r="O24" i="53"/>
  <c r="O8" i="53"/>
  <c r="P8" i="53" s="1"/>
  <c r="O38" i="53"/>
  <c r="P38" i="53" s="1"/>
  <c r="Q38" i="53" s="1"/>
  <c r="O7" i="53"/>
  <c r="P7" i="53" s="1"/>
  <c r="O36" i="53"/>
  <c r="O10" i="53"/>
  <c r="P10" i="53" s="1"/>
  <c r="O19" i="53"/>
  <c r="O4" i="53"/>
  <c r="O35" i="53"/>
  <c r="O34" i="53"/>
  <c r="O33" i="53"/>
  <c r="O16" i="53"/>
  <c r="O18" i="53"/>
  <c r="P18" i="53" s="1"/>
  <c r="O21" i="53"/>
  <c r="O29" i="53"/>
  <c r="O5" i="53"/>
  <c r="P5" i="53" s="1"/>
  <c r="O25" i="53"/>
  <c r="O28" i="53"/>
  <c r="O30" i="53"/>
  <c r="O11" i="53"/>
  <c r="P11" i="53" s="1"/>
  <c r="P16" i="53" l="1"/>
  <c r="P31" i="53"/>
  <c r="P36" i="53"/>
  <c r="P24" i="53"/>
  <c r="P4" i="53"/>
  <c r="Q4" i="53" s="1"/>
  <c r="P19" i="53"/>
  <c r="P33" i="53"/>
  <c r="Q24" i="53" l="1"/>
  <c r="A9" i="1"/>
  <c r="C45" i="30" l="1"/>
  <c r="F42" i="33" l="1"/>
  <c r="AF39" i="55" l="1"/>
  <c r="AE39" i="55"/>
  <c r="AD39" i="55"/>
  <c r="AC39" i="55"/>
  <c r="AB39" i="55"/>
  <c r="AA39" i="55"/>
  <c r="Z39" i="55"/>
  <c r="Y39" i="55"/>
  <c r="X39" i="55"/>
  <c r="W39" i="55"/>
  <c r="V39" i="55"/>
  <c r="U39" i="55"/>
  <c r="T39" i="55"/>
  <c r="S39" i="55"/>
  <c r="R39" i="55"/>
  <c r="Q39" i="55"/>
  <c r="P39" i="55"/>
  <c r="O39" i="55"/>
  <c r="N39" i="55"/>
  <c r="M39" i="55"/>
  <c r="L39" i="55"/>
  <c r="K39" i="55"/>
  <c r="J39" i="55"/>
  <c r="I39" i="55"/>
  <c r="H39" i="55"/>
  <c r="G39" i="55"/>
  <c r="F39" i="55"/>
  <c r="E39" i="55"/>
  <c r="D39" i="55"/>
  <c r="C39" i="55"/>
  <c r="B39" i="55"/>
  <c r="AG37" i="55"/>
  <c r="AG36" i="55"/>
  <c r="AG35" i="55"/>
  <c r="AG34" i="55"/>
  <c r="AG33" i="55"/>
  <c r="AG32" i="55"/>
  <c r="AG31" i="55"/>
  <c r="AG30" i="55"/>
  <c r="AG29" i="55"/>
  <c r="AG28" i="55"/>
  <c r="AG27" i="55"/>
  <c r="AG26" i="55"/>
  <c r="AG25" i="55"/>
  <c r="AG24" i="55"/>
  <c r="AG23" i="55"/>
  <c r="AG22" i="55"/>
  <c r="AG21" i="55"/>
  <c r="AG20" i="55"/>
  <c r="AG19" i="55"/>
  <c r="AG18" i="55"/>
  <c r="AG17" i="55"/>
  <c r="AG16" i="55"/>
  <c r="AG15" i="55"/>
  <c r="AG14" i="55"/>
  <c r="AG13" i="55"/>
  <c r="AG12" i="55"/>
  <c r="AG11" i="55"/>
  <c r="AG10" i="55"/>
  <c r="AG9" i="55"/>
  <c r="AG8" i="55"/>
  <c r="AG7" i="55"/>
  <c r="AG6" i="55"/>
  <c r="AG39" i="55" l="1"/>
  <c r="AH36" i="55" l="1"/>
  <c r="AH18" i="55"/>
  <c r="AH6" i="55"/>
  <c r="AH32" i="55"/>
  <c r="AH24" i="55"/>
  <c r="AH10" i="55"/>
  <c r="AH35" i="55"/>
  <c r="AH31" i="55"/>
  <c r="AH27" i="55"/>
  <c r="AH23" i="55"/>
  <c r="AH19" i="55"/>
  <c r="AH15" i="55"/>
  <c r="AH11" i="55"/>
  <c r="AH7" i="55"/>
  <c r="AH17" i="55"/>
  <c r="AH9" i="55"/>
  <c r="AH37" i="55"/>
  <c r="AH33" i="55"/>
  <c r="AH29" i="55"/>
  <c r="AH25" i="55"/>
  <c r="AH21" i="55"/>
  <c r="AH13" i="55"/>
  <c r="AH12" i="55"/>
  <c r="AH34" i="55"/>
  <c r="AH22" i="55"/>
  <c r="AH16" i="55"/>
  <c r="AH28" i="55"/>
  <c r="AH8" i="55"/>
  <c r="AH20" i="55"/>
  <c r="AH30" i="55"/>
  <c r="AH26" i="55"/>
  <c r="AH14" i="55"/>
  <c r="AH39" i="55" l="1"/>
  <c r="A10" i="2"/>
  <c r="BW42" i="2" l="1"/>
  <c r="BO42" i="2"/>
  <c r="BG42" i="2"/>
  <c r="AM42" i="2"/>
  <c r="AI42" i="2"/>
  <c r="AA42" i="2"/>
  <c r="BS39" i="2"/>
  <c r="BS38" i="2"/>
  <c r="BS37" i="2"/>
  <c r="BS36" i="2"/>
  <c r="BS35" i="2"/>
  <c r="BS34" i="2"/>
  <c r="BS33" i="2"/>
  <c r="BS32" i="2"/>
  <c r="BS31" i="2"/>
  <c r="BS30" i="2"/>
  <c r="BS29" i="2"/>
  <c r="BS28" i="2"/>
  <c r="BS27" i="2"/>
  <c r="BS26" i="2"/>
  <c r="BS25" i="2"/>
  <c r="BS24" i="2"/>
  <c r="AQ42" i="2"/>
  <c r="BS23" i="2"/>
  <c r="K42" i="2"/>
  <c r="BS22" i="2"/>
  <c r="BS21" i="2"/>
  <c r="BS20" i="2"/>
  <c r="BS19" i="2"/>
  <c r="BS18" i="2"/>
  <c r="BS17" i="2"/>
  <c r="BS16" i="2"/>
  <c r="BS15" i="2"/>
  <c r="BS14" i="2"/>
  <c r="BS13" i="2"/>
  <c r="BS12" i="2"/>
  <c r="BS11" i="2"/>
  <c r="BY10" i="2"/>
  <c r="BQ10" i="2"/>
  <c r="BQ11" i="2" s="1"/>
  <c r="BK42" i="2"/>
  <c r="BI10" i="2"/>
  <c r="BI11" i="2" s="1"/>
  <c r="AY42" i="2"/>
  <c r="AU42" i="2"/>
  <c r="AS10" i="2"/>
  <c r="AO10" i="2"/>
  <c r="AO11" i="2" s="1"/>
  <c r="AK10" i="2"/>
  <c r="AK11" i="2" s="1"/>
  <c r="AC10" i="2"/>
  <c r="AC11" i="2" s="1"/>
  <c r="Y10" i="2"/>
  <c r="Y11" i="2" s="1"/>
  <c r="U10" i="2"/>
  <c r="U11" i="2" s="1"/>
  <c r="Q10" i="2"/>
  <c r="Q11" i="2" s="1"/>
  <c r="M10" i="2"/>
  <c r="M11" i="2" s="1"/>
  <c r="G42" i="2"/>
  <c r="CA37" i="2" l="1"/>
  <c r="AR37" i="2" s="1"/>
  <c r="CA38" i="2"/>
  <c r="U12" i="2"/>
  <c r="BI12" i="2"/>
  <c r="BQ12" i="2"/>
  <c r="M12" i="2"/>
  <c r="AC12" i="2"/>
  <c r="Q12" i="2"/>
  <c r="Y12" i="2"/>
  <c r="AK12" i="2"/>
  <c r="AO12" i="2"/>
  <c r="CA13" i="2"/>
  <c r="CA15" i="2"/>
  <c r="AW10" i="2"/>
  <c r="AW11" i="2" s="1"/>
  <c r="AW12" i="2" s="1"/>
  <c r="AW13" i="2" s="1"/>
  <c r="BA10" i="2"/>
  <c r="BM10" i="2"/>
  <c r="AS11" i="2"/>
  <c r="BY11" i="2"/>
  <c r="CA21" i="2"/>
  <c r="I10" i="2"/>
  <c r="BS10" i="2"/>
  <c r="CA19" i="2"/>
  <c r="CA26" i="2"/>
  <c r="CA30" i="2"/>
  <c r="CA31" i="2"/>
  <c r="CA29" i="2"/>
  <c r="CA27" i="2"/>
  <c r="CA28" i="2"/>
  <c r="CA32" i="2"/>
  <c r="CA35" i="2"/>
  <c r="BP37" i="2"/>
  <c r="BH37" i="2"/>
  <c r="AZ37" i="2"/>
  <c r="T37" i="2"/>
  <c r="L37" i="2"/>
  <c r="BX37" i="2"/>
  <c r="BL37" i="2"/>
  <c r="BD37" i="2"/>
  <c r="AV37" i="2"/>
  <c r="AN37" i="2"/>
  <c r="AJ37" i="2"/>
  <c r="X37" i="2"/>
  <c r="P37" i="2"/>
  <c r="H37" i="2"/>
  <c r="BT37" i="2"/>
  <c r="CA36" i="2"/>
  <c r="AF37" i="2"/>
  <c r="BT38" i="2"/>
  <c r="BP38" i="2"/>
  <c r="BH38" i="2"/>
  <c r="AZ38" i="2"/>
  <c r="AR38" i="2"/>
  <c r="BX38" i="2"/>
  <c r="BL38" i="2"/>
  <c r="AV38" i="2"/>
  <c r="AN38" i="2"/>
  <c r="AJ38" i="2"/>
  <c r="BD38" i="2"/>
  <c r="CA39" i="2"/>
  <c r="AF38" i="2"/>
  <c r="AB37" i="2" l="1"/>
  <c r="BD13" i="2"/>
  <c r="BD15" i="2"/>
  <c r="AF26" i="2"/>
  <c r="AF29" i="2"/>
  <c r="AF35" i="2"/>
  <c r="AF31" i="2"/>
  <c r="AF21" i="2"/>
  <c r="AF30" i="2"/>
  <c r="BD32" i="2"/>
  <c r="AF39" i="2"/>
  <c r="BD36" i="2"/>
  <c r="BD19" i="2"/>
  <c r="AZ35" i="2"/>
  <c r="BD31" i="2"/>
  <c r="H19" i="2"/>
  <c r="BD21" i="2"/>
  <c r="L35" i="2"/>
  <c r="BD35" i="2"/>
  <c r="AZ32" i="2"/>
  <c r="BT35" i="2"/>
  <c r="L30" i="2"/>
  <c r="BT30" i="2"/>
  <c r="H15" i="2"/>
  <c r="H13" i="2"/>
  <c r="AZ21" i="2"/>
  <c r="AZ26" i="2"/>
  <c r="H21" i="2"/>
  <c r="BD26" i="2"/>
  <c r="AB38" i="2"/>
  <c r="T38" i="2"/>
  <c r="L38" i="2"/>
  <c r="X38" i="2"/>
  <c r="P38" i="2"/>
  <c r="H38" i="2"/>
  <c r="BT39" i="2"/>
  <c r="AZ30" i="2"/>
  <c r="BD30" i="2"/>
  <c r="AZ19" i="2"/>
  <c r="BT26" i="2"/>
  <c r="BT19" i="2"/>
  <c r="BT21" i="2"/>
  <c r="L31" i="2"/>
  <c r="AZ29" i="2"/>
  <c r="BT29" i="2"/>
  <c r="BT15" i="2"/>
  <c r="BT13" i="2"/>
  <c r="AF32" i="2"/>
  <c r="AF15" i="2"/>
  <c r="AF19" i="2"/>
  <c r="AF13" i="2"/>
  <c r="BX27" i="2"/>
  <c r="BL27" i="2"/>
  <c r="AN27" i="2"/>
  <c r="AJ27" i="2"/>
  <c r="AB27" i="2"/>
  <c r="T27" i="2"/>
  <c r="H27" i="2"/>
  <c r="BT27" i="2"/>
  <c r="BP27" i="2"/>
  <c r="BH27" i="2"/>
  <c r="AZ27" i="2"/>
  <c r="AV27" i="2"/>
  <c r="X27" i="2"/>
  <c r="P27" i="2"/>
  <c r="AR27" i="2"/>
  <c r="AF27" i="2"/>
  <c r="L27" i="2"/>
  <c r="BX28" i="2"/>
  <c r="BL28" i="2"/>
  <c r="AN28" i="2"/>
  <c r="AJ28" i="2"/>
  <c r="AB28" i="2"/>
  <c r="T28" i="2"/>
  <c r="L28" i="2"/>
  <c r="BT28" i="2"/>
  <c r="BP28" i="2"/>
  <c r="BH28" i="2"/>
  <c r="AZ28" i="2"/>
  <c r="AV28" i="2"/>
  <c r="X28" i="2"/>
  <c r="P28" i="2"/>
  <c r="H28" i="2"/>
  <c r="AF28" i="2"/>
  <c r="AR28" i="2"/>
  <c r="BP39" i="2"/>
  <c r="BH39" i="2"/>
  <c r="AZ39" i="2"/>
  <c r="AR39" i="2"/>
  <c r="BL39" i="2"/>
  <c r="AN39" i="2"/>
  <c r="X39" i="2"/>
  <c r="P39" i="2"/>
  <c r="H39" i="2"/>
  <c r="BX39" i="2"/>
  <c r="BD39" i="2"/>
  <c r="AV39" i="2"/>
  <c r="AJ39" i="2"/>
  <c r="AB39" i="2"/>
  <c r="T39" i="2"/>
  <c r="L39" i="2"/>
  <c r="BX36" i="2"/>
  <c r="BL36" i="2"/>
  <c r="AV36" i="2"/>
  <c r="AN36" i="2"/>
  <c r="AJ36" i="2"/>
  <c r="X36" i="2"/>
  <c r="P36" i="2"/>
  <c r="H36" i="2"/>
  <c r="BT36" i="2"/>
  <c r="BP36" i="2"/>
  <c r="BH36" i="2"/>
  <c r="AZ36" i="2"/>
  <c r="AR36" i="2"/>
  <c r="AF36" i="2"/>
  <c r="AB36" i="2"/>
  <c r="T36" i="2"/>
  <c r="L36" i="2"/>
  <c r="BP35" i="2"/>
  <c r="BH35" i="2"/>
  <c r="AV35" i="2"/>
  <c r="AN35" i="2"/>
  <c r="AJ35" i="2"/>
  <c r="X35" i="2"/>
  <c r="P35" i="2"/>
  <c r="BX35" i="2"/>
  <c r="BL35" i="2"/>
  <c r="AR35" i="2"/>
  <c r="AB35" i="2"/>
  <c r="T35" i="2"/>
  <c r="H35" i="2"/>
  <c r="BT32" i="2"/>
  <c r="BP29" i="2"/>
  <c r="BH29" i="2"/>
  <c r="AV29" i="2"/>
  <c r="AN29" i="2"/>
  <c r="AJ29" i="2"/>
  <c r="AB29" i="2"/>
  <c r="T29" i="2"/>
  <c r="L29" i="2"/>
  <c r="BX29" i="2"/>
  <c r="BL29" i="2"/>
  <c r="AR29" i="2"/>
  <c r="X29" i="2"/>
  <c r="P29" i="2"/>
  <c r="H29" i="2"/>
  <c r="BP30" i="2"/>
  <c r="BH30" i="2"/>
  <c r="AV30" i="2"/>
  <c r="AN30" i="2"/>
  <c r="AJ30" i="2"/>
  <c r="AB30" i="2"/>
  <c r="T30" i="2"/>
  <c r="H30" i="2"/>
  <c r="BX30" i="2"/>
  <c r="BL30" i="2"/>
  <c r="AR30" i="2"/>
  <c r="X30" i="2"/>
  <c r="P30" i="2"/>
  <c r="BP26" i="2"/>
  <c r="BH26" i="2"/>
  <c r="AV26" i="2"/>
  <c r="AN26" i="2"/>
  <c r="AJ26" i="2"/>
  <c r="X26" i="2"/>
  <c r="P26" i="2"/>
  <c r="BX26" i="2"/>
  <c r="BL26" i="2"/>
  <c r="AR26" i="2"/>
  <c r="AB26" i="2"/>
  <c r="T26" i="2"/>
  <c r="L26" i="2"/>
  <c r="H26" i="2"/>
  <c r="CA25" i="2"/>
  <c r="CA20" i="2"/>
  <c r="BC42" i="2"/>
  <c r="BE10" i="2"/>
  <c r="BE11" i="2" s="1"/>
  <c r="CA14" i="2"/>
  <c r="BY12" i="2"/>
  <c r="BM11" i="2"/>
  <c r="BA11" i="2"/>
  <c r="AC13" i="2"/>
  <c r="M13" i="2"/>
  <c r="BQ13" i="2"/>
  <c r="BI13" i="2"/>
  <c r="CA33" i="2"/>
  <c r="BP32" i="2"/>
  <c r="BH32" i="2"/>
  <c r="AV32" i="2"/>
  <c r="AN32" i="2"/>
  <c r="AJ32" i="2"/>
  <c r="X32" i="2"/>
  <c r="P32" i="2"/>
  <c r="BX32" i="2"/>
  <c r="BL32" i="2"/>
  <c r="AR32" i="2"/>
  <c r="AB32" i="2"/>
  <c r="T32" i="2"/>
  <c r="L32" i="2"/>
  <c r="H32" i="2"/>
  <c r="CA34" i="2"/>
  <c r="BD28" i="2"/>
  <c r="BD27" i="2"/>
  <c r="CA24" i="2"/>
  <c r="BX31" i="2"/>
  <c r="BL31" i="2"/>
  <c r="AR31" i="2"/>
  <c r="AB31" i="2"/>
  <c r="T31" i="2"/>
  <c r="BT31" i="2"/>
  <c r="BP31" i="2"/>
  <c r="BH31" i="2"/>
  <c r="AV31" i="2"/>
  <c r="AJ31" i="2"/>
  <c r="P31" i="2"/>
  <c r="H31" i="2"/>
  <c r="AZ31" i="2"/>
  <c r="AN31" i="2"/>
  <c r="X31" i="2"/>
  <c r="BD29" i="2"/>
  <c r="CA23" i="2"/>
  <c r="CA22" i="2"/>
  <c r="CA18" i="2"/>
  <c r="CA17" i="2"/>
  <c r="BP19" i="2"/>
  <c r="BH19" i="2"/>
  <c r="AV19" i="2"/>
  <c r="AN19" i="2"/>
  <c r="AJ19" i="2"/>
  <c r="X19" i="2"/>
  <c r="P19" i="2"/>
  <c r="BX19" i="2"/>
  <c r="BL19" i="2"/>
  <c r="AR19" i="2"/>
  <c r="AB19" i="2"/>
  <c r="T19" i="2"/>
  <c r="L19" i="2"/>
  <c r="BS42" i="2"/>
  <c r="BU10" i="2"/>
  <c r="AE42" i="2"/>
  <c r="AG10" i="2"/>
  <c r="AG11" i="2" s="1"/>
  <c r="AG12" i="2" s="1"/>
  <c r="CA10" i="2"/>
  <c r="BP21" i="2"/>
  <c r="BH21" i="2"/>
  <c r="AV21" i="2"/>
  <c r="AN21" i="2"/>
  <c r="AJ21" i="2"/>
  <c r="X21" i="2"/>
  <c r="P21" i="2"/>
  <c r="BX21" i="2"/>
  <c r="BL21" i="2"/>
  <c r="AR21" i="2"/>
  <c r="AB21" i="2"/>
  <c r="T21" i="2"/>
  <c r="L21" i="2"/>
  <c r="CA16" i="2"/>
  <c r="AW14" i="2"/>
  <c r="CA12" i="2"/>
  <c r="AS12" i="2"/>
  <c r="CA11" i="2"/>
  <c r="I11" i="2"/>
  <c r="BP15" i="2"/>
  <c r="BH15" i="2"/>
  <c r="AZ15" i="2"/>
  <c r="AN15" i="2"/>
  <c r="AJ15" i="2"/>
  <c r="X15" i="2"/>
  <c r="P15" i="2"/>
  <c r="BX15" i="2"/>
  <c r="BL15" i="2"/>
  <c r="AV15" i="2"/>
  <c r="AR15" i="2"/>
  <c r="AB15" i="2"/>
  <c r="T15" i="2"/>
  <c r="L15" i="2"/>
  <c r="BP13" i="2"/>
  <c r="BH13" i="2"/>
  <c r="AZ13" i="2"/>
  <c r="AN13" i="2"/>
  <c r="AJ13" i="2"/>
  <c r="X13" i="2"/>
  <c r="P13" i="2"/>
  <c r="BX13" i="2"/>
  <c r="BL13" i="2"/>
  <c r="AV13" i="2"/>
  <c r="AR13" i="2"/>
  <c r="AB13" i="2"/>
  <c r="T13" i="2"/>
  <c r="L13" i="2"/>
  <c r="AO13" i="2"/>
  <c r="AK13" i="2"/>
  <c r="Y13" i="2"/>
  <c r="Q13" i="2"/>
  <c r="U13" i="2"/>
  <c r="BT10" i="2" l="1"/>
  <c r="AF18" i="2"/>
  <c r="AF14" i="2"/>
  <c r="BD12" i="2"/>
  <c r="AF17" i="2"/>
  <c r="AF23" i="2"/>
  <c r="BD25" i="2"/>
  <c r="AF20" i="2"/>
  <c r="AF12" i="2"/>
  <c r="AF10" i="2"/>
  <c r="BD23" i="2"/>
  <c r="BD14" i="2"/>
  <c r="Q14" i="2"/>
  <c r="I12" i="2"/>
  <c r="BX11" i="2"/>
  <c r="BL11" i="2"/>
  <c r="AR11" i="2"/>
  <c r="X11" i="2"/>
  <c r="P11" i="2"/>
  <c r="BT11" i="2"/>
  <c r="BP11" i="2"/>
  <c r="BH11" i="2"/>
  <c r="AZ11" i="2"/>
  <c r="AN11" i="2"/>
  <c r="AJ11" i="2"/>
  <c r="AB11" i="2"/>
  <c r="T11" i="2"/>
  <c r="L11" i="2"/>
  <c r="AV11" i="2"/>
  <c r="H11" i="2"/>
  <c r="AS13" i="2"/>
  <c r="AG13" i="2"/>
  <c r="BX16" i="2"/>
  <c r="BP16" i="2"/>
  <c r="BH16" i="2"/>
  <c r="AR16" i="2"/>
  <c r="AB16" i="2"/>
  <c r="T16" i="2"/>
  <c r="L16" i="2"/>
  <c r="BL16" i="2"/>
  <c r="AN16" i="2"/>
  <c r="AJ16" i="2"/>
  <c r="X16" i="2"/>
  <c r="P16" i="2"/>
  <c r="H16" i="2"/>
  <c r="BT16" i="2"/>
  <c r="BD16" i="2"/>
  <c r="AZ16" i="2"/>
  <c r="AV16" i="2"/>
  <c r="BX22" i="2"/>
  <c r="BL22" i="2"/>
  <c r="AR22" i="2"/>
  <c r="AB22" i="2"/>
  <c r="T22" i="2"/>
  <c r="L22" i="2"/>
  <c r="BT22" i="2"/>
  <c r="BP22" i="2"/>
  <c r="BH22" i="2"/>
  <c r="AZ22" i="2"/>
  <c r="AV22" i="2"/>
  <c r="AN22" i="2"/>
  <c r="AJ22" i="2"/>
  <c r="X22" i="2"/>
  <c r="P22" i="2"/>
  <c r="H22" i="2"/>
  <c r="BD22" i="2"/>
  <c r="BX34" i="2"/>
  <c r="BP34" i="2"/>
  <c r="BH34" i="2"/>
  <c r="AV34" i="2"/>
  <c r="AN34" i="2"/>
  <c r="AJ34" i="2"/>
  <c r="X34" i="2"/>
  <c r="P34" i="2"/>
  <c r="BL34" i="2"/>
  <c r="AR34" i="2"/>
  <c r="AB34" i="2"/>
  <c r="T34" i="2"/>
  <c r="L34" i="2"/>
  <c r="H34" i="2"/>
  <c r="AF34" i="2"/>
  <c r="AZ34" i="2"/>
  <c r="BT34" i="2"/>
  <c r="BX33" i="2"/>
  <c r="BL33" i="2"/>
  <c r="AR33" i="2"/>
  <c r="AB33" i="2"/>
  <c r="T33" i="2"/>
  <c r="H33" i="2"/>
  <c r="BT33" i="2"/>
  <c r="BP33" i="2"/>
  <c r="BH33" i="2"/>
  <c r="AZ33" i="2"/>
  <c r="AV33" i="2"/>
  <c r="AN33" i="2"/>
  <c r="AJ33" i="2"/>
  <c r="X33" i="2"/>
  <c r="P33" i="2"/>
  <c r="L33" i="2"/>
  <c r="BD33" i="2"/>
  <c r="BA12" i="2"/>
  <c r="Y14" i="2"/>
  <c r="U14" i="2"/>
  <c r="AK14" i="2"/>
  <c r="AO14" i="2"/>
  <c r="AF11" i="2"/>
  <c r="BD11" i="2"/>
  <c r="BX12" i="2"/>
  <c r="BL12" i="2"/>
  <c r="AR12" i="2"/>
  <c r="X12" i="2"/>
  <c r="P12" i="2"/>
  <c r="BT12" i="2"/>
  <c r="BP12" i="2"/>
  <c r="BH12" i="2"/>
  <c r="AZ12" i="2"/>
  <c r="AN12" i="2"/>
  <c r="AJ12" i="2"/>
  <c r="AB12" i="2"/>
  <c r="T12" i="2"/>
  <c r="L12" i="2"/>
  <c r="AV12" i="2"/>
  <c r="H12" i="2"/>
  <c r="BE12" i="2"/>
  <c r="AW15" i="2"/>
  <c r="AF16" i="2"/>
  <c r="CA42" i="2"/>
  <c r="CB10" i="2"/>
  <c r="BX10" i="2"/>
  <c r="BH10" i="2"/>
  <c r="AR10" i="2"/>
  <c r="AB10" i="2"/>
  <c r="T10" i="2"/>
  <c r="L10" i="2"/>
  <c r="P10" i="2"/>
  <c r="BP10" i="2"/>
  <c r="AN10" i="2"/>
  <c r="AJ10" i="2"/>
  <c r="X10" i="2"/>
  <c r="H10" i="2"/>
  <c r="AZ10" i="2"/>
  <c r="AV10" i="2"/>
  <c r="BL10" i="2"/>
  <c r="BU11" i="2"/>
  <c r="BP17" i="2"/>
  <c r="BH17" i="2"/>
  <c r="AR17" i="2"/>
  <c r="AB17" i="2"/>
  <c r="T17" i="2"/>
  <c r="L17" i="2"/>
  <c r="BX17" i="2"/>
  <c r="BL17" i="2"/>
  <c r="AN17" i="2"/>
  <c r="AJ17" i="2"/>
  <c r="X17" i="2"/>
  <c r="P17" i="2"/>
  <c r="H17" i="2"/>
  <c r="BD17" i="2"/>
  <c r="AV17" i="2"/>
  <c r="AZ17" i="2"/>
  <c r="BT17" i="2"/>
  <c r="BX18" i="2"/>
  <c r="BL18" i="2"/>
  <c r="AR18" i="2"/>
  <c r="AB18" i="2"/>
  <c r="T18" i="2"/>
  <c r="L18" i="2"/>
  <c r="BT18" i="2"/>
  <c r="BP18" i="2"/>
  <c r="BH18" i="2"/>
  <c r="AZ18" i="2"/>
  <c r="AV18" i="2"/>
  <c r="AN18" i="2"/>
  <c r="AJ18" i="2"/>
  <c r="X18" i="2"/>
  <c r="P18" i="2"/>
  <c r="H18" i="2"/>
  <c r="AF22" i="2"/>
  <c r="BX23" i="2"/>
  <c r="BL23" i="2"/>
  <c r="AR23" i="2"/>
  <c r="AB23" i="2"/>
  <c r="T23" i="2"/>
  <c r="BP23" i="2"/>
  <c r="BH23" i="2"/>
  <c r="AV23" i="2"/>
  <c r="AN23" i="2"/>
  <c r="AJ23" i="2"/>
  <c r="X23" i="2"/>
  <c r="P23" i="2"/>
  <c r="H23" i="2"/>
  <c r="AZ23" i="2"/>
  <c r="BT23" i="2"/>
  <c r="L23" i="2"/>
  <c r="BT24" i="2"/>
  <c r="BP24" i="2"/>
  <c r="BH24" i="2"/>
  <c r="AZ24" i="2"/>
  <c r="AN24" i="2"/>
  <c r="AJ24" i="2"/>
  <c r="X24" i="2"/>
  <c r="P24" i="2"/>
  <c r="BX24" i="2"/>
  <c r="BL24" i="2"/>
  <c r="AB24" i="2"/>
  <c r="T24" i="2"/>
  <c r="L24" i="2"/>
  <c r="H24" i="2"/>
  <c r="AV24" i="2"/>
  <c r="AF24" i="2"/>
  <c r="AR24" i="2"/>
  <c r="BD24" i="2"/>
  <c r="AF33" i="2"/>
  <c r="BI14" i="2"/>
  <c r="BQ14" i="2"/>
  <c r="M14" i="2"/>
  <c r="AC14" i="2"/>
  <c r="BM12" i="2"/>
  <c r="BY13" i="2"/>
  <c r="BX14" i="2"/>
  <c r="BL14" i="2"/>
  <c r="AR14" i="2"/>
  <c r="AB14" i="2"/>
  <c r="T14" i="2"/>
  <c r="L14" i="2"/>
  <c r="BT14" i="2"/>
  <c r="BP14" i="2"/>
  <c r="BH14" i="2"/>
  <c r="AZ14" i="2"/>
  <c r="AN14" i="2"/>
  <c r="AJ14" i="2"/>
  <c r="X14" i="2"/>
  <c r="P14" i="2"/>
  <c r="H14" i="2"/>
  <c r="AV14" i="2"/>
  <c r="BD10" i="2"/>
  <c r="BD18" i="2"/>
  <c r="BX20" i="2"/>
  <c r="BL20" i="2"/>
  <c r="AR20" i="2"/>
  <c r="AB20" i="2"/>
  <c r="T20" i="2"/>
  <c r="L20" i="2"/>
  <c r="BT20" i="2"/>
  <c r="BP20" i="2"/>
  <c r="BH20" i="2"/>
  <c r="AZ20" i="2"/>
  <c r="AV20" i="2"/>
  <c r="AN20" i="2"/>
  <c r="AJ20" i="2"/>
  <c r="X20" i="2"/>
  <c r="P20" i="2"/>
  <c r="H20" i="2"/>
  <c r="BD20" i="2"/>
  <c r="BX25" i="2"/>
  <c r="BL25" i="2"/>
  <c r="AN25" i="2"/>
  <c r="AJ25" i="2"/>
  <c r="X25" i="2"/>
  <c r="P25" i="2"/>
  <c r="BT25" i="2"/>
  <c r="BP25" i="2"/>
  <c r="BH25" i="2"/>
  <c r="AZ25" i="2"/>
  <c r="AV25" i="2"/>
  <c r="AB25" i="2"/>
  <c r="T25" i="2"/>
  <c r="L25" i="2"/>
  <c r="AF25" i="2"/>
  <c r="AR25" i="2"/>
  <c r="H25" i="2"/>
  <c r="BD34" i="2"/>
  <c r="BF10" i="2" l="1"/>
  <c r="AF42" i="2"/>
  <c r="BD42" i="2"/>
  <c r="BV10" i="2"/>
  <c r="BM13" i="2"/>
  <c r="CB42" i="2"/>
  <c r="BP42" i="2"/>
  <c r="AN42" i="2"/>
  <c r="AJ42" i="2"/>
  <c r="AB42" i="2"/>
  <c r="BX42" i="2"/>
  <c r="BH42" i="2"/>
  <c r="AV42" i="2"/>
  <c r="AZ42" i="2"/>
  <c r="BL42" i="2"/>
  <c r="H42" i="2"/>
  <c r="AR42" i="2"/>
  <c r="AW16" i="2"/>
  <c r="BE13" i="2"/>
  <c r="BA13" i="2"/>
  <c r="BT42" i="2"/>
  <c r="I13" i="2"/>
  <c r="BY14" i="2"/>
  <c r="AC15" i="2"/>
  <c r="M15" i="2"/>
  <c r="BQ15" i="2"/>
  <c r="BI15" i="2"/>
  <c r="BU12" i="2"/>
  <c r="BR10" i="2"/>
  <c r="AP10" i="2"/>
  <c r="AL10" i="2"/>
  <c r="Z10" i="2"/>
  <c r="R10" i="2"/>
  <c r="AT10" i="2"/>
  <c r="BZ10" i="2"/>
  <c r="N10" i="2"/>
  <c r="AD10" i="2"/>
  <c r="BJ10" i="2"/>
  <c r="V10" i="2"/>
  <c r="J10" i="2"/>
  <c r="BB10" i="2"/>
  <c r="BN10" i="2"/>
  <c r="AX10" i="2"/>
  <c r="AO15" i="2"/>
  <c r="AK15" i="2"/>
  <c r="U15" i="2"/>
  <c r="Y15" i="2"/>
  <c r="AH10" i="2"/>
  <c r="AG14" i="2"/>
  <c r="AS14" i="2"/>
  <c r="CB11" i="2"/>
  <c r="Q15" i="2"/>
  <c r="AG15" i="2" l="1"/>
  <c r="BJ11" i="2"/>
  <c r="BR11" i="2"/>
  <c r="N11" i="2"/>
  <c r="AD11" i="2"/>
  <c r="V11" i="2"/>
  <c r="R11" i="2"/>
  <c r="Z11" i="2"/>
  <c r="AL11" i="2"/>
  <c r="AP11" i="2"/>
  <c r="AT11" i="2"/>
  <c r="BZ11" i="2"/>
  <c r="AX11" i="2"/>
  <c r="J11" i="2"/>
  <c r="BF11" i="2"/>
  <c r="BB11" i="2"/>
  <c r="AH11" i="2"/>
  <c r="BN11" i="2"/>
  <c r="CB12" i="2"/>
  <c r="AS15" i="2"/>
  <c r="BU13" i="2"/>
  <c r="I14" i="2"/>
  <c r="BA14" i="2"/>
  <c r="Q16" i="2"/>
  <c r="Y16" i="2"/>
  <c r="U16" i="2"/>
  <c r="AK16" i="2"/>
  <c r="AO16" i="2"/>
  <c r="BV11" i="2"/>
  <c r="BI16" i="2"/>
  <c r="BQ16" i="2"/>
  <c r="M16" i="2"/>
  <c r="AC16" i="2"/>
  <c r="BY15" i="2"/>
  <c r="BE14" i="2"/>
  <c r="AW17" i="2"/>
  <c r="BM14" i="2"/>
  <c r="BV12" i="2" l="1"/>
  <c r="AW18" i="2"/>
  <c r="BE15" i="2"/>
  <c r="BQ17" i="2"/>
  <c r="BI17" i="2"/>
  <c r="AO17" i="2"/>
  <c r="AK17" i="2"/>
  <c r="U17" i="2"/>
  <c r="Y17" i="2"/>
  <c r="Q17" i="2"/>
  <c r="BA15" i="2"/>
  <c r="AS16" i="2"/>
  <c r="AG16" i="2"/>
  <c r="BM15" i="2"/>
  <c r="BY16" i="2"/>
  <c r="AC17" i="2"/>
  <c r="M17" i="2"/>
  <c r="I15" i="2"/>
  <c r="BU14" i="2"/>
  <c r="AX12" i="2"/>
  <c r="CB13" i="2"/>
  <c r="Z12" i="2"/>
  <c r="R12" i="2"/>
  <c r="AP12" i="2"/>
  <c r="AL12" i="2"/>
  <c r="AD12" i="2"/>
  <c r="N12" i="2"/>
  <c r="BR12" i="2"/>
  <c r="BJ12" i="2"/>
  <c r="V12" i="2"/>
  <c r="AT12" i="2"/>
  <c r="AH12" i="2"/>
  <c r="BZ12" i="2"/>
  <c r="BB12" i="2"/>
  <c r="J12" i="2"/>
  <c r="BN12" i="2"/>
  <c r="BF12" i="2"/>
  <c r="BU15" i="2" l="1"/>
  <c r="I16" i="2"/>
  <c r="AG17" i="2"/>
  <c r="BE16" i="2"/>
  <c r="AX13" i="2"/>
  <c r="CB14" i="2"/>
  <c r="R13" i="2"/>
  <c r="Z13" i="2"/>
  <c r="V13" i="2"/>
  <c r="AL13" i="2"/>
  <c r="AP13" i="2"/>
  <c r="BJ13" i="2"/>
  <c r="BR13" i="2"/>
  <c r="N13" i="2"/>
  <c r="AD13" i="2"/>
  <c r="AT13" i="2"/>
  <c r="BZ13" i="2"/>
  <c r="AH13" i="2"/>
  <c r="BB13" i="2"/>
  <c r="BF13" i="2"/>
  <c r="BN13" i="2"/>
  <c r="J13" i="2"/>
  <c r="BV13" i="2"/>
  <c r="M18" i="2"/>
  <c r="AC18" i="2"/>
  <c r="BY17" i="2"/>
  <c r="BM16" i="2"/>
  <c r="AS17" i="2"/>
  <c r="BA16" i="2"/>
  <c r="Q18" i="2"/>
  <c r="Y18" i="2"/>
  <c r="U18" i="2"/>
  <c r="AK18" i="2"/>
  <c r="AO18" i="2"/>
  <c r="BI18" i="2"/>
  <c r="BQ18" i="2"/>
  <c r="AW19" i="2"/>
  <c r="U19" i="2" l="1"/>
  <c r="BA17" i="2"/>
  <c r="AC19" i="2"/>
  <c r="M19" i="2"/>
  <c r="BE17" i="2"/>
  <c r="AG18" i="2"/>
  <c r="I17" i="2"/>
  <c r="BU16" i="2"/>
  <c r="AW20" i="2"/>
  <c r="BQ19" i="2"/>
  <c r="BI19" i="2"/>
  <c r="AO19" i="2"/>
  <c r="AK19" i="2"/>
  <c r="Y19" i="2"/>
  <c r="Q19" i="2"/>
  <c r="AS18" i="2"/>
  <c r="BM17" i="2"/>
  <c r="BY18" i="2"/>
  <c r="CB15" i="2"/>
  <c r="AX14" i="2"/>
  <c r="AD14" i="2"/>
  <c r="N14" i="2"/>
  <c r="BR14" i="2"/>
  <c r="BJ14" i="2"/>
  <c r="AP14" i="2"/>
  <c r="AL14" i="2"/>
  <c r="V14" i="2"/>
  <c r="Z14" i="2"/>
  <c r="R14" i="2"/>
  <c r="AH14" i="2"/>
  <c r="AT14" i="2"/>
  <c r="BZ14" i="2"/>
  <c r="BF14" i="2"/>
  <c r="J14" i="2"/>
  <c r="BB14" i="2"/>
  <c r="BN14" i="2"/>
  <c r="BV14" i="2"/>
  <c r="CB16" i="2" l="1"/>
  <c r="AX15" i="2"/>
  <c r="R15" i="2"/>
  <c r="Z15" i="2"/>
  <c r="V15" i="2"/>
  <c r="AL15" i="2"/>
  <c r="AP15" i="2"/>
  <c r="BJ15" i="2"/>
  <c r="BR15" i="2"/>
  <c r="N15" i="2"/>
  <c r="AD15" i="2"/>
  <c r="AH15" i="2"/>
  <c r="AT15" i="2"/>
  <c r="BZ15" i="2"/>
  <c r="J15" i="2"/>
  <c r="BF15" i="2"/>
  <c r="BB15" i="2"/>
  <c r="BN15" i="2"/>
  <c r="AS19" i="2"/>
  <c r="BU17" i="2"/>
  <c r="I18" i="2"/>
  <c r="AG19" i="2"/>
  <c r="BE18" i="2"/>
  <c r="BA18" i="2"/>
  <c r="BY19" i="2"/>
  <c r="BM18" i="2"/>
  <c r="Q20" i="2"/>
  <c r="Y20" i="2"/>
  <c r="AK20" i="2"/>
  <c r="AO20" i="2"/>
  <c r="BI20" i="2"/>
  <c r="BQ20" i="2"/>
  <c r="AW21" i="2"/>
  <c r="BV15" i="2"/>
  <c r="M20" i="2"/>
  <c r="AC20" i="2"/>
  <c r="U20" i="2"/>
  <c r="BV16" i="2" l="1"/>
  <c r="AW22" i="2"/>
  <c r="BQ21" i="2"/>
  <c r="BI21" i="2"/>
  <c r="AO21" i="2"/>
  <c r="AK21" i="2"/>
  <c r="Y21" i="2"/>
  <c r="Q21" i="2"/>
  <c r="BM19" i="2"/>
  <c r="BY20" i="2"/>
  <c r="AS20" i="2"/>
  <c r="CB17" i="2"/>
  <c r="AX16" i="2"/>
  <c r="BR16" i="2"/>
  <c r="BJ16" i="2"/>
  <c r="AP16" i="2"/>
  <c r="AL16" i="2"/>
  <c r="V16" i="2"/>
  <c r="Z16" i="2"/>
  <c r="R16" i="2"/>
  <c r="AD16" i="2"/>
  <c r="N16" i="2"/>
  <c r="AH16" i="2"/>
  <c r="BZ16" i="2"/>
  <c r="AT16" i="2"/>
  <c r="BB16" i="2"/>
  <c r="BF16" i="2"/>
  <c r="J16" i="2"/>
  <c r="BN16" i="2"/>
  <c r="U21" i="2"/>
  <c r="AC21" i="2"/>
  <c r="M21" i="2"/>
  <c r="BA19" i="2"/>
  <c r="BE19" i="2"/>
  <c r="AG20" i="2"/>
  <c r="I19" i="2"/>
  <c r="BU18" i="2"/>
  <c r="BV17" i="2" l="1"/>
  <c r="M22" i="2"/>
  <c r="AC22" i="2"/>
  <c r="U22" i="2"/>
  <c r="CB18" i="2"/>
  <c r="AX17" i="2"/>
  <c r="N17" i="2"/>
  <c r="AD17" i="2"/>
  <c r="V17" i="2"/>
  <c r="AP17" i="2"/>
  <c r="BR17" i="2"/>
  <c r="R17" i="2"/>
  <c r="Z17" i="2"/>
  <c r="AL17" i="2"/>
  <c r="BJ17" i="2"/>
  <c r="AH17" i="2"/>
  <c r="AT17" i="2"/>
  <c r="BZ17" i="2"/>
  <c r="BN17" i="2"/>
  <c r="J17" i="2"/>
  <c r="BF17" i="2"/>
  <c r="BB17" i="2"/>
  <c r="BU19" i="2"/>
  <c r="I20" i="2"/>
  <c r="AG21" i="2"/>
  <c r="BE20" i="2"/>
  <c r="BA20" i="2"/>
  <c r="AS21" i="2"/>
  <c r="BY21" i="2"/>
  <c r="BM20" i="2"/>
  <c r="Q22" i="2"/>
  <c r="Y22" i="2"/>
  <c r="AK22" i="2"/>
  <c r="AO22" i="2"/>
  <c r="BI22" i="2"/>
  <c r="BQ22" i="2"/>
  <c r="AW23" i="2"/>
  <c r="BV18" i="2" l="1"/>
  <c r="AW24" i="2"/>
  <c r="BQ23" i="2"/>
  <c r="BI23" i="2"/>
  <c r="AO23" i="2"/>
  <c r="AK23" i="2"/>
  <c r="Y23" i="2"/>
  <c r="Q23" i="2"/>
  <c r="BM21" i="2"/>
  <c r="BY22" i="2"/>
  <c r="AS22" i="2"/>
  <c r="CB19" i="2"/>
  <c r="AX18" i="2"/>
  <c r="V18" i="2"/>
  <c r="AD18" i="2"/>
  <c r="N18" i="2"/>
  <c r="BR18" i="2"/>
  <c r="BJ18" i="2"/>
  <c r="AP18" i="2"/>
  <c r="AL18" i="2"/>
  <c r="Z18" i="2"/>
  <c r="R18" i="2"/>
  <c r="AT18" i="2"/>
  <c r="BZ18" i="2"/>
  <c r="AH18" i="2"/>
  <c r="BN18" i="2"/>
  <c r="BB18" i="2"/>
  <c r="BF18" i="2"/>
  <c r="J18" i="2"/>
  <c r="BA21" i="2"/>
  <c r="BE21" i="2"/>
  <c r="AG22" i="2"/>
  <c r="I21" i="2"/>
  <c r="BU20" i="2"/>
  <c r="U23" i="2"/>
  <c r="AC23" i="2"/>
  <c r="M23" i="2"/>
  <c r="BV19" i="2" l="1"/>
  <c r="CB20" i="2"/>
  <c r="AX19" i="2"/>
  <c r="R19" i="2"/>
  <c r="Z19" i="2"/>
  <c r="AL19" i="2"/>
  <c r="AP19" i="2"/>
  <c r="BJ19" i="2"/>
  <c r="BR19" i="2"/>
  <c r="AD19" i="2"/>
  <c r="N19" i="2"/>
  <c r="V19" i="2"/>
  <c r="BZ19" i="2"/>
  <c r="AT19" i="2"/>
  <c r="AH19" i="2"/>
  <c r="BN19" i="2"/>
  <c r="J19" i="2"/>
  <c r="BF19" i="2"/>
  <c r="BB19" i="2"/>
  <c r="AW25" i="2"/>
  <c r="M24" i="2"/>
  <c r="AC24" i="2"/>
  <c r="U24" i="2"/>
  <c r="BV20" i="2"/>
  <c r="BU21" i="2"/>
  <c r="I22" i="2"/>
  <c r="AG23" i="2"/>
  <c r="BE22" i="2"/>
  <c r="BA22" i="2"/>
  <c r="AS23" i="2"/>
  <c r="BY23" i="2"/>
  <c r="BM22" i="2"/>
  <c r="Q24" i="2"/>
  <c r="Y24" i="2"/>
  <c r="AK24" i="2"/>
  <c r="AO24" i="2"/>
  <c r="BI24" i="2"/>
  <c r="BQ24" i="2"/>
  <c r="BQ25" i="2" l="1"/>
  <c r="AO25" i="2"/>
  <c r="Y25" i="2"/>
  <c r="Q25" i="2"/>
  <c r="BM23" i="2"/>
  <c r="U25" i="2"/>
  <c r="AC25" i="2"/>
  <c r="AW26" i="2"/>
  <c r="CB21" i="2"/>
  <c r="AX20" i="2"/>
  <c r="V20" i="2"/>
  <c r="AD20" i="2"/>
  <c r="N20" i="2"/>
  <c r="BR20" i="2"/>
  <c r="BJ20" i="2"/>
  <c r="AP20" i="2"/>
  <c r="AL20" i="2"/>
  <c r="Z20" i="2"/>
  <c r="R20" i="2"/>
  <c r="AT20" i="2"/>
  <c r="BZ20" i="2"/>
  <c r="AH20" i="2"/>
  <c r="BN20" i="2"/>
  <c r="BB20" i="2"/>
  <c r="BF20" i="2"/>
  <c r="J20" i="2"/>
  <c r="BI25" i="2"/>
  <c r="AK25" i="2"/>
  <c r="BY24" i="2"/>
  <c r="AS24" i="2"/>
  <c r="BA23" i="2"/>
  <c r="BE23" i="2"/>
  <c r="AG24" i="2"/>
  <c r="I23" i="2"/>
  <c r="BU22" i="2"/>
  <c r="M25" i="2"/>
  <c r="BV21" i="2" l="1"/>
  <c r="BY25" i="2"/>
  <c r="BI26" i="2"/>
  <c r="CB22" i="2"/>
  <c r="AX21" i="2"/>
  <c r="R21" i="2"/>
  <c r="Z21" i="2"/>
  <c r="AL21" i="2"/>
  <c r="AP21" i="2"/>
  <c r="BJ21" i="2"/>
  <c r="BR21" i="2"/>
  <c r="N21" i="2"/>
  <c r="AD21" i="2"/>
  <c r="V21" i="2"/>
  <c r="BZ21" i="2"/>
  <c r="AT21" i="2"/>
  <c r="AH21" i="2"/>
  <c r="BN21" i="2"/>
  <c r="J21" i="2"/>
  <c r="BF21" i="2"/>
  <c r="BB21" i="2"/>
  <c r="BM24" i="2"/>
  <c r="Q26" i="2"/>
  <c r="Y26" i="2"/>
  <c r="AO26" i="2"/>
  <c r="M26" i="2"/>
  <c r="BU23" i="2"/>
  <c r="I24" i="2"/>
  <c r="AG25" i="2"/>
  <c r="BE24" i="2"/>
  <c r="BA24" i="2"/>
  <c r="AS25" i="2"/>
  <c r="AK26" i="2"/>
  <c r="AW27" i="2"/>
  <c r="AC26" i="2"/>
  <c r="U26" i="2"/>
  <c r="BQ26" i="2"/>
  <c r="BV22" i="2" l="1"/>
  <c r="BQ27" i="2"/>
  <c r="U27" i="2"/>
  <c r="AC27" i="2"/>
  <c r="AW28" i="2"/>
  <c r="I25" i="2"/>
  <c r="BM25" i="2"/>
  <c r="CB23" i="2"/>
  <c r="AX22" i="2"/>
  <c r="BR22" i="2"/>
  <c r="BJ22" i="2"/>
  <c r="AP22" i="2"/>
  <c r="AL22" i="2"/>
  <c r="Z22" i="2"/>
  <c r="R22" i="2"/>
  <c r="V22" i="2"/>
  <c r="AD22" i="2"/>
  <c r="N22" i="2"/>
  <c r="AH22" i="2"/>
  <c r="AT22" i="2"/>
  <c r="BZ22" i="2"/>
  <c r="BN22" i="2"/>
  <c r="BB22" i="2"/>
  <c r="BF22" i="2"/>
  <c r="J22" i="2"/>
  <c r="AK27" i="2"/>
  <c r="AS26" i="2"/>
  <c r="BA25" i="2"/>
  <c r="BE25" i="2"/>
  <c r="AG26" i="2"/>
  <c r="BU24" i="2"/>
  <c r="M27" i="2"/>
  <c r="AO27" i="2"/>
  <c r="Y27" i="2"/>
  <c r="Q27" i="2"/>
  <c r="BI27" i="2"/>
  <c r="BY26" i="2"/>
  <c r="BV23" i="2" l="1"/>
  <c r="BY27" i="2"/>
  <c r="BI28" i="2"/>
  <c r="Q28" i="2"/>
  <c r="Y28" i="2"/>
  <c r="AS27" i="2"/>
  <c r="CB24" i="2"/>
  <c r="AX23" i="2"/>
  <c r="AD23" i="2"/>
  <c r="V23" i="2"/>
  <c r="R23" i="2"/>
  <c r="Z23" i="2"/>
  <c r="AL23" i="2"/>
  <c r="AP23" i="2"/>
  <c r="BJ23" i="2"/>
  <c r="BR23" i="2"/>
  <c r="N23" i="2"/>
  <c r="BZ23" i="2"/>
  <c r="AT23" i="2"/>
  <c r="AH23" i="2"/>
  <c r="BN23" i="2"/>
  <c r="J23" i="2"/>
  <c r="BF23" i="2"/>
  <c r="BB23" i="2"/>
  <c r="I26" i="2"/>
  <c r="AO28" i="2"/>
  <c r="M28" i="2"/>
  <c r="BU25" i="2"/>
  <c r="AG27" i="2"/>
  <c r="BE26" i="2"/>
  <c r="BA26" i="2"/>
  <c r="AK28" i="2"/>
  <c r="BM26" i="2"/>
  <c r="AW29" i="2"/>
  <c r="AC28" i="2"/>
  <c r="U28" i="2"/>
  <c r="BQ28" i="2"/>
  <c r="BV24" i="2" l="1"/>
  <c r="BQ29" i="2"/>
  <c r="AW30" i="2"/>
  <c r="BM27" i="2"/>
  <c r="I27" i="2"/>
  <c r="CB25" i="2"/>
  <c r="AX24" i="2"/>
  <c r="AP24" i="2"/>
  <c r="Z24" i="2"/>
  <c r="R24" i="2"/>
  <c r="BJ24" i="2"/>
  <c r="BR24" i="2"/>
  <c r="V24" i="2"/>
  <c r="AD24" i="2"/>
  <c r="AL24" i="2"/>
  <c r="N24" i="2"/>
  <c r="BZ24" i="2"/>
  <c r="AH24" i="2"/>
  <c r="AT24" i="2"/>
  <c r="J24" i="2"/>
  <c r="BN24" i="2"/>
  <c r="BB24" i="2"/>
  <c r="BF24" i="2"/>
  <c r="AS28" i="2"/>
  <c r="U29" i="2"/>
  <c r="AC29" i="2"/>
  <c r="AK29" i="2"/>
  <c r="BA27" i="2"/>
  <c r="BE27" i="2"/>
  <c r="AG28" i="2"/>
  <c r="BU26" i="2"/>
  <c r="M29" i="2"/>
  <c r="AO29" i="2"/>
  <c r="Y29" i="2"/>
  <c r="Q29" i="2"/>
  <c r="BI29" i="2"/>
  <c r="BY28" i="2"/>
  <c r="BV25" i="2" l="1"/>
  <c r="BI30" i="2"/>
  <c r="Q30" i="2"/>
  <c r="Y30" i="2"/>
  <c r="CB26" i="2"/>
  <c r="AX25" i="2"/>
  <c r="AD25" i="2"/>
  <c r="V25" i="2"/>
  <c r="BR25" i="2"/>
  <c r="BJ25" i="2"/>
  <c r="R25" i="2"/>
  <c r="Z25" i="2"/>
  <c r="AP25" i="2"/>
  <c r="N25" i="2"/>
  <c r="AL25" i="2"/>
  <c r="AT25" i="2"/>
  <c r="BZ25" i="2"/>
  <c r="AH25" i="2"/>
  <c r="J25" i="2"/>
  <c r="BN25" i="2"/>
  <c r="BF25" i="2"/>
  <c r="BB25" i="2"/>
  <c r="AW31" i="2"/>
  <c r="BY29" i="2"/>
  <c r="AO30" i="2"/>
  <c r="M30" i="2"/>
  <c r="BU27" i="2"/>
  <c r="AG29" i="2"/>
  <c r="BE28" i="2"/>
  <c r="BA28" i="2"/>
  <c r="AK30" i="2"/>
  <c r="AC30" i="2"/>
  <c r="U30" i="2"/>
  <c r="AS29" i="2"/>
  <c r="I28" i="2"/>
  <c r="BM28" i="2"/>
  <c r="BQ30" i="2"/>
  <c r="BV26" i="2" l="1"/>
  <c r="I29" i="2"/>
  <c r="AW32" i="2"/>
  <c r="CB27" i="2"/>
  <c r="AX26" i="2"/>
  <c r="Z26" i="2"/>
  <c r="R26" i="2"/>
  <c r="BJ26" i="2"/>
  <c r="BR26" i="2"/>
  <c r="V26" i="2"/>
  <c r="AD26" i="2"/>
  <c r="AL26" i="2"/>
  <c r="N26" i="2"/>
  <c r="AP26" i="2"/>
  <c r="AT26" i="2"/>
  <c r="BZ26" i="2"/>
  <c r="AH26" i="2"/>
  <c r="BN26" i="2"/>
  <c r="J26" i="2"/>
  <c r="BB26" i="2"/>
  <c r="BF26" i="2"/>
  <c r="BI31" i="2"/>
  <c r="AS30" i="2"/>
  <c r="BY30" i="2"/>
  <c r="BQ31" i="2"/>
  <c r="BM29" i="2"/>
  <c r="U31" i="2"/>
  <c r="AC31" i="2"/>
  <c r="AK31" i="2"/>
  <c r="BA29" i="2"/>
  <c r="BE29" i="2"/>
  <c r="AG30" i="2"/>
  <c r="BU28" i="2"/>
  <c r="M31" i="2"/>
  <c r="AO31" i="2"/>
  <c r="Y31" i="2"/>
  <c r="Q31" i="2"/>
  <c r="BV27" i="2" l="1"/>
  <c r="Y32" i="2"/>
  <c r="AO32" i="2"/>
  <c r="AK32" i="2"/>
  <c r="U32" i="2"/>
  <c r="BM30" i="2"/>
  <c r="BQ32" i="2"/>
  <c r="BY31" i="2"/>
  <c r="AS31" i="2"/>
  <c r="BI32" i="2"/>
  <c r="CB28" i="2"/>
  <c r="AX27" i="2"/>
  <c r="BR27" i="2"/>
  <c r="BJ27" i="2"/>
  <c r="R27" i="2"/>
  <c r="Z27" i="2"/>
  <c r="AP27" i="2"/>
  <c r="N27" i="2"/>
  <c r="AL27" i="2"/>
  <c r="AD27" i="2"/>
  <c r="V27" i="2"/>
  <c r="AT27" i="2"/>
  <c r="AH27" i="2"/>
  <c r="BZ27" i="2"/>
  <c r="J27" i="2"/>
  <c r="BB27" i="2"/>
  <c r="BN27" i="2"/>
  <c r="BF27" i="2"/>
  <c r="Q32" i="2"/>
  <c r="M32" i="2"/>
  <c r="BU29" i="2"/>
  <c r="AG31" i="2"/>
  <c r="BE30" i="2"/>
  <c r="BA30" i="2"/>
  <c r="AC32" i="2"/>
  <c r="AW33" i="2"/>
  <c r="I30" i="2"/>
  <c r="BV28" i="2" l="1"/>
  <c r="I31" i="2"/>
  <c r="AW34" i="2"/>
  <c r="AC33" i="2"/>
  <c r="Q33" i="2"/>
  <c r="CB29" i="2"/>
  <c r="AX28" i="2"/>
  <c r="Z28" i="2"/>
  <c r="R28" i="2"/>
  <c r="BJ28" i="2"/>
  <c r="BR28" i="2"/>
  <c r="V28" i="2"/>
  <c r="AD28" i="2"/>
  <c r="AL28" i="2"/>
  <c r="N28" i="2"/>
  <c r="AP28" i="2"/>
  <c r="BZ28" i="2"/>
  <c r="AT28" i="2"/>
  <c r="AH28" i="2"/>
  <c r="BN28" i="2"/>
  <c r="J28" i="2"/>
  <c r="BB28" i="2"/>
  <c r="BF28" i="2"/>
  <c r="BA31" i="2"/>
  <c r="BE31" i="2"/>
  <c r="AG32" i="2"/>
  <c r="BU30" i="2"/>
  <c r="M33" i="2"/>
  <c r="BI33" i="2"/>
  <c r="AS32" i="2"/>
  <c r="BY32" i="2"/>
  <c r="BQ33" i="2"/>
  <c r="BM31" i="2"/>
  <c r="U33" i="2"/>
  <c r="AK33" i="2"/>
  <c r="AO33" i="2"/>
  <c r="Y33" i="2"/>
  <c r="BV29" i="2" l="1"/>
  <c r="Y34" i="2"/>
  <c r="AO34" i="2"/>
  <c r="AK34" i="2"/>
  <c r="U34" i="2"/>
  <c r="BM32" i="2"/>
  <c r="BQ34" i="2"/>
  <c r="BY33" i="2"/>
  <c r="AS33" i="2"/>
  <c r="BI34" i="2"/>
  <c r="BE32" i="2"/>
  <c r="CB30" i="2"/>
  <c r="AX29" i="2"/>
  <c r="BJ29" i="2"/>
  <c r="AP29" i="2"/>
  <c r="AL29" i="2"/>
  <c r="AD29" i="2"/>
  <c r="V29" i="2"/>
  <c r="BR29" i="2"/>
  <c r="R29" i="2"/>
  <c r="Z29" i="2"/>
  <c r="N29" i="2"/>
  <c r="AT29" i="2"/>
  <c r="BZ29" i="2"/>
  <c r="AH29" i="2"/>
  <c r="J29" i="2"/>
  <c r="BN29" i="2"/>
  <c r="BF29" i="2"/>
  <c r="BB29" i="2"/>
  <c r="I32" i="2"/>
  <c r="M34" i="2"/>
  <c r="BU31" i="2"/>
  <c r="AG33" i="2"/>
  <c r="BA32" i="2"/>
  <c r="Q34" i="2"/>
  <c r="AC34" i="2"/>
  <c r="AW35" i="2"/>
  <c r="BV30" i="2" l="1"/>
  <c r="AW36" i="2"/>
  <c r="AC35" i="2"/>
  <c r="Q35" i="2"/>
  <c r="I33" i="2"/>
  <c r="CB31" i="2"/>
  <c r="AX30" i="2"/>
  <c r="BJ30" i="2"/>
  <c r="BR30" i="2"/>
  <c r="V30" i="2"/>
  <c r="AL30" i="2"/>
  <c r="AP30" i="2"/>
  <c r="Z30" i="2"/>
  <c r="R30" i="2"/>
  <c r="AD30" i="2"/>
  <c r="N30" i="2"/>
  <c r="BZ30" i="2"/>
  <c r="AT30" i="2"/>
  <c r="AH30" i="2"/>
  <c r="J30" i="2"/>
  <c r="BF30" i="2"/>
  <c r="BN30" i="2"/>
  <c r="BB30" i="2"/>
  <c r="BE33" i="2"/>
  <c r="BA33" i="2"/>
  <c r="AG34" i="2"/>
  <c r="BU32" i="2"/>
  <c r="M35" i="2"/>
  <c r="BI35" i="2"/>
  <c r="AS34" i="2"/>
  <c r="BY34" i="2"/>
  <c r="BQ35" i="2"/>
  <c r="BM33" i="2"/>
  <c r="U35" i="2"/>
  <c r="AK35" i="2"/>
  <c r="AO35" i="2"/>
  <c r="Y35" i="2"/>
  <c r="BV31" i="2" l="1"/>
  <c r="AO36" i="2"/>
  <c r="AK36" i="2"/>
  <c r="U36" i="2"/>
  <c r="BM34" i="2"/>
  <c r="BQ36" i="2"/>
  <c r="BY35" i="2"/>
  <c r="AS35" i="2"/>
  <c r="BI36" i="2"/>
  <c r="CB32" i="2"/>
  <c r="AX31" i="2"/>
  <c r="R31" i="2"/>
  <c r="AD31" i="2"/>
  <c r="Z31" i="2"/>
  <c r="AP31" i="2"/>
  <c r="AL31" i="2"/>
  <c r="V31" i="2"/>
  <c r="BR31" i="2"/>
  <c r="BJ31" i="2"/>
  <c r="N31" i="2"/>
  <c r="AT31" i="2"/>
  <c r="BZ31" i="2"/>
  <c r="AH31" i="2"/>
  <c r="BF31" i="2"/>
  <c r="J31" i="2"/>
  <c r="BN31" i="2"/>
  <c r="BB31" i="2"/>
  <c r="AW37" i="2"/>
  <c r="Y36" i="2"/>
  <c r="M36" i="2"/>
  <c r="BU33" i="2"/>
  <c r="AG35" i="2"/>
  <c r="BA34" i="2"/>
  <c r="BE34" i="2"/>
  <c r="I34" i="2"/>
  <c r="Q36" i="2"/>
  <c r="AC36" i="2"/>
  <c r="BV32" i="2" l="1"/>
  <c r="I35" i="2"/>
  <c r="BA35" i="2"/>
  <c r="M37" i="2"/>
  <c r="AW38" i="2"/>
  <c r="CB33" i="2"/>
  <c r="AX32" i="2"/>
  <c r="BJ32" i="2"/>
  <c r="BR32" i="2"/>
  <c r="V32" i="2"/>
  <c r="AL32" i="2"/>
  <c r="AP32" i="2"/>
  <c r="Z32" i="2"/>
  <c r="AD32" i="2"/>
  <c r="R32" i="2"/>
  <c r="N32" i="2"/>
  <c r="BZ32" i="2"/>
  <c r="AT32" i="2"/>
  <c r="AH32" i="2"/>
  <c r="BN32" i="2"/>
  <c r="J32" i="2"/>
  <c r="BF32" i="2"/>
  <c r="BB32" i="2"/>
  <c r="AK37" i="2"/>
  <c r="AO37" i="2"/>
  <c r="AC37" i="2"/>
  <c r="Q37" i="2"/>
  <c r="BE35" i="2"/>
  <c r="AG36" i="2"/>
  <c r="BU34" i="2"/>
  <c r="Y37" i="2"/>
  <c r="BI37" i="2"/>
  <c r="AS36" i="2"/>
  <c r="BY36" i="2"/>
  <c r="BQ37" i="2"/>
  <c r="BM35" i="2"/>
  <c r="U37" i="2"/>
  <c r="BV33" i="2" l="1"/>
  <c r="BM36" i="2"/>
  <c r="BY37" i="2"/>
  <c r="BI38" i="2"/>
  <c r="Y38" i="2"/>
  <c r="Q38" i="2"/>
  <c r="AC38" i="2"/>
  <c r="AO38" i="2"/>
  <c r="AK38" i="2"/>
  <c r="CB34" i="2"/>
  <c r="AX33" i="2"/>
  <c r="R33" i="2"/>
  <c r="AD33" i="2"/>
  <c r="Z33" i="2"/>
  <c r="AP33" i="2"/>
  <c r="AL33" i="2"/>
  <c r="V33" i="2"/>
  <c r="BR33" i="2"/>
  <c r="BJ33" i="2"/>
  <c r="N33" i="2"/>
  <c r="AT33" i="2"/>
  <c r="BZ33" i="2"/>
  <c r="AH33" i="2"/>
  <c r="BB33" i="2"/>
  <c r="J33" i="2"/>
  <c r="BN33" i="2"/>
  <c r="BF33" i="2"/>
  <c r="BA36" i="2"/>
  <c r="U38" i="2"/>
  <c r="BQ38" i="2"/>
  <c r="AS37" i="2"/>
  <c r="BU35" i="2"/>
  <c r="AG37" i="2"/>
  <c r="BE36" i="2"/>
  <c r="AW39" i="2"/>
  <c r="M38" i="2"/>
  <c r="I36" i="2"/>
  <c r="BV34" i="2" l="1"/>
  <c r="I37" i="2"/>
  <c r="M39" i="2"/>
  <c r="AS38" i="2"/>
  <c r="BQ39" i="2"/>
  <c r="U39" i="2"/>
  <c r="BA37" i="2"/>
  <c r="CB35" i="2"/>
  <c r="AX34" i="2"/>
  <c r="BJ34" i="2"/>
  <c r="BR34" i="2"/>
  <c r="V34" i="2"/>
  <c r="AL34" i="2"/>
  <c r="AP34" i="2"/>
  <c r="Z34" i="2"/>
  <c r="AD34" i="2"/>
  <c r="R34" i="2"/>
  <c r="N34" i="2"/>
  <c r="BZ34" i="2"/>
  <c r="AT34" i="2"/>
  <c r="AH34" i="2"/>
  <c r="BB34" i="2"/>
  <c r="BN34" i="2"/>
  <c r="J34" i="2"/>
  <c r="BF34" i="2"/>
  <c r="BE37" i="2"/>
  <c r="AG38" i="2"/>
  <c r="BU36" i="2"/>
  <c r="AK39" i="2"/>
  <c r="AO39" i="2"/>
  <c r="AC39" i="2"/>
  <c r="Q39" i="2"/>
  <c r="Y39" i="2"/>
  <c r="BI39" i="2"/>
  <c r="BY38" i="2"/>
  <c r="BM37" i="2"/>
  <c r="BV35" i="2" l="1"/>
  <c r="BM38" i="2"/>
  <c r="CB36" i="2"/>
  <c r="AX35" i="2"/>
  <c r="AP35" i="2"/>
  <c r="AL35" i="2"/>
  <c r="N35" i="2"/>
  <c r="AD35" i="2"/>
  <c r="V35" i="2"/>
  <c r="BR35" i="2"/>
  <c r="BJ35" i="2"/>
  <c r="Z35" i="2"/>
  <c r="R35" i="2"/>
  <c r="AT35" i="2"/>
  <c r="BZ35" i="2"/>
  <c r="AH35" i="2"/>
  <c r="BB35" i="2"/>
  <c r="J35" i="2"/>
  <c r="BN35" i="2"/>
  <c r="BF35" i="2"/>
  <c r="BY39" i="2"/>
  <c r="BU37" i="2"/>
  <c r="AG39" i="2"/>
  <c r="BE38" i="2"/>
  <c r="BA38" i="2"/>
  <c r="AS39" i="2"/>
  <c r="I38" i="2"/>
  <c r="BV36" i="2" l="1"/>
  <c r="BE39" i="2"/>
  <c r="BU38" i="2"/>
  <c r="CB37" i="2"/>
  <c r="AX36" i="2"/>
  <c r="AL36" i="2"/>
  <c r="AP36" i="2"/>
  <c r="AD36" i="2"/>
  <c r="R36" i="2"/>
  <c r="Z36" i="2"/>
  <c r="BJ36" i="2"/>
  <c r="BR36" i="2"/>
  <c r="V36" i="2"/>
  <c r="N36" i="2"/>
  <c r="AT36" i="2"/>
  <c r="BZ36" i="2"/>
  <c r="AH36" i="2"/>
  <c r="BN36" i="2"/>
  <c r="J36" i="2"/>
  <c r="BB36" i="2"/>
  <c r="BF36" i="2"/>
  <c r="I39" i="2"/>
  <c r="BA39" i="2"/>
  <c r="BM39" i="2"/>
  <c r="CB38" i="2" l="1"/>
  <c r="AX37" i="2"/>
  <c r="V37" i="2"/>
  <c r="BR37" i="2"/>
  <c r="N37" i="2"/>
  <c r="BJ37" i="2"/>
  <c r="Z37" i="2"/>
  <c r="R37" i="2"/>
  <c r="AD37" i="2"/>
  <c r="AP37" i="2"/>
  <c r="AL37" i="2"/>
  <c r="BZ37" i="2"/>
  <c r="AT37" i="2"/>
  <c r="AH37" i="2"/>
  <c r="BF37" i="2"/>
  <c r="BN37" i="2"/>
  <c r="BB37" i="2"/>
  <c r="J37" i="2"/>
  <c r="BU39" i="2"/>
  <c r="BV37" i="2"/>
  <c r="BV38" i="2" l="1"/>
  <c r="CB39" i="2"/>
  <c r="AX38" i="2"/>
  <c r="AL38" i="2"/>
  <c r="AP38" i="2"/>
  <c r="AD38" i="2"/>
  <c r="R38" i="2"/>
  <c r="Z38" i="2"/>
  <c r="N38" i="2"/>
  <c r="BR38" i="2"/>
  <c r="V38" i="2"/>
  <c r="BJ38" i="2"/>
  <c r="BZ38" i="2"/>
  <c r="AH38" i="2"/>
  <c r="AT38" i="2"/>
  <c r="BF38" i="2"/>
  <c r="BN38" i="2"/>
  <c r="J38" i="2"/>
  <c r="BB38" i="2"/>
  <c r="AX39" i="2" l="1"/>
  <c r="Z39" i="2"/>
  <c r="AL39" i="2"/>
  <c r="R39" i="2"/>
  <c r="AD39" i="2"/>
  <c r="AP39" i="2"/>
  <c r="BJ39" i="2"/>
  <c r="V39" i="2"/>
  <c r="BR39" i="2"/>
  <c r="N39" i="2"/>
  <c r="BZ39" i="2"/>
  <c r="AT39" i="2"/>
  <c r="AH39" i="2"/>
  <c r="BB39" i="2"/>
  <c r="BN39" i="2"/>
  <c r="BF39" i="2"/>
  <c r="J39" i="2"/>
  <c r="BV39" i="2"/>
  <c r="C43" i="11" l="1"/>
  <c r="C43" i="12" l="1"/>
  <c r="G42" i="13" l="1"/>
  <c r="I37" i="13" s="1"/>
  <c r="F42" i="13"/>
  <c r="C43" i="13"/>
  <c r="F42" i="16" l="1"/>
  <c r="G42" i="16"/>
  <c r="I37" i="16" s="1"/>
  <c r="C43" i="16"/>
  <c r="C43" i="17" l="1"/>
  <c r="C43" i="26" l="1"/>
  <c r="C43" i="25" l="1"/>
  <c r="C43" i="31" l="1"/>
  <c r="AI146" i="46" l="1"/>
  <c r="AH146" i="46"/>
  <c r="AG146" i="46"/>
  <c r="C51" i="24" l="1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E40" i="1" l="1"/>
  <c r="G42" i="43" l="1"/>
  <c r="I37" i="43" s="1"/>
  <c r="D38" i="48"/>
  <c r="E35" i="48"/>
  <c r="D35" i="48"/>
  <c r="D37" i="48"/>
  <c r="D36" i="48"/>
  <c r="D34" i="48"/>
  <c r="G42" i="9"/>
  <c r="I37" i="9" s="1"/>
  <c r="F42" i="9"/>
  <c r="D33" i="48" s="1"/>
  <c r="G42" i="10"/>
  <c r="I37" i="10" s="1"/>
  <c r="F42" i="10"/>
  <c r="D32" i="48" s="1"/>
  <c r="D31" i="48"/>
  <c r="D29" i="48"/>
  <c r="G42" i="12"/>
  <c r="I37" i="12" s="1"/>
  <c r="F42" i="12"/>
  <c r="D30" i="48" s="1"/>
  <c r="D12" i="48"/>
  <c r="E12" i="48"/>
  <c r="D13" i="48"/>
  <c r="D17" i="48"/>
  <c r="E17" i="48"/>
  <c r="D25" i="48"/>
  <c r="E25" i="48"/>
  <c r="D28" i="48"/>
  <c r="D27" i="48"/>
  <c r="D26" i="48"/>
  <c r="G42" i="18"/>
  <c r="I37" i="18" s="1"/>
  <c r="F42" i="18"/>
  <c r="D24" i="48" s="1"/>
  <c r="D23" i="48"/>
  <c r="D22" i="48"/>
  <c r="D21" i="48"/>
  <c r="H8" i="45"/>
  <c r="H9" i="45" s="1"/>
  <c r="H10" i="45" s="1"/>
  <c r="H11" i="45" s="1"/>
  <c r="H12" i="45" s="1"/>
  <c r="H13" i="45" s="1"/>
  <c r="H14" i="45" s="1"/>
  <c r="H15" i="45" s="1"/>
  <c r="H16" i="45" s="1"/>
  <c r="H17" i="45" s="1"/>
  <c r="H18" i="45" s="1"/>
  <c r="H19" i="45" s="1"/>
  <c r="H20" i="45" s="1"/>
  <c r="H21" i="45" s="1"/>
  <c r="H22" i="45" s="1"/>
  <c r="H23" i="45" s="1"/>
  <c r="H24" i="45" s="1"/>
  <c r="H25" i="45" s="1"/>
  <c r="H26" i="45" s="1"/>
  <c r="H27" i="45" s="1"/>
  <c r="H28" i="45" s="1"/>
  <c r="H29" i="45" s="1"/>
  <c r="H30" i="45" s="1"/>
  <c r="H31" i="45" s="1"/>
  <c r="H32" i="45" s="1"/>
  <c r="H33" i="45" s="1"/>
  <c r="H34" i="45" s="1"/>
  <c r="H35" i="45" s="1"/>
  <c r="H36" i="45" s="1"/>
  <c r="H37" i="45" s="1"/>
  <c r="L8" i="45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L36" i="45" s="1"/>
  <c r="L37" i="45" s="1"/>
  <c r="P8" i="45"/>
  <c r="P9" i="45" s="1"/>
  <c r="P10" i="45" s="1"/>
  <c r="P11" i="45" s="1"/>
  <c r="P12" i="45" s="1"/>
  <c r="P13" i="45" s="1"/>
  <c r="P14" i="45" s="1"/>
  <c r="P15" i="45" s="1"/>
  <c r="P16" i="45" s="1"/>
  <c r="P17" i="45" s="1"/>
  <c r="P18" i="45" s="1"/>
  <c r="P19" i="45" s="1"/>
  <c r="P20" i="45" s="1"/>
  <c r="P21" i="45" s="1"/>
  <c r="P22" i="45" s="1"/>
  <c r="P23" i="45" s="1"/>
  <c r="P24" i="45" s="1"/>
  <c r="P25" i="45" s="1"/>
  <c r="P26" i="45" s="1"/>
  <c r="P27" i="45" s="1"/>
  <c r="P28" i="45" s="1"/>
  <c r="P29" i="45" s="1"/>
  <c r="P30" i="45" s="1"/>
  <c r="P31" i="45" s="1"/>
  <c r="P32" i="45" s="1"/>
  <c r="P33" i="45" s="1"/>
  <c r="P34" i="45" s="1"/>
  <c r="P35" i="45" s="1"/>
  <c r="P36" i="45" s="1"/>
  <c r="P37" i="45" s="1"/>
  <c r="T8" i="45"/>
  <c r="T9" i="45" s="1"/>
  <c r="T10" i="45" s="1"/>
  <c r="T11" i="45" s="1"/>
  <c r="T12" i="45" s="1"/>
  <c r="T13" i="45" s="1"/>
  <c r="T14" i="45" s="1"/>
  <c r="T15" i="45" s="1"/>
  <c r="T16" i="45" s="1"/>
  <c r="T17" i="45" s="1"/>
  <c r="T18" i="45" s="1"/>
  <c r="T19" i="45" s="1"/>
  <c r="T20" i="45" s="1"/>
  <c r="T21" i="45" s="1"/>
  <c r="T22" i="45" s="1"/>
  <c r="T23" i="45" s="1"/>
  <c r="T24" i="45" s="1"/>
  <c r="T25" i="45" s="1"/>
  <c r="T26" i="45" s="1"/>
  <c r="T27" i="45" s="1"/>
  <c r="T28" i="45" s="1"/>
  <c r="T29" i="45" s="1"/>
  <c r="T30" i="45" s="1"/>
  <c r="T31" i="45" s="1"/>
  <c r="T32" i="45" s="1"/>
  <c r="T33" i="45" s="1"/>
  <c r="T34" i="45" s="1"/>
  <c r="T35" i="45" s="1"/>
  <c r="T36" i="45" s="1"/>
  <c r="T37" i="45" s="1"/>
  <c r="X8" i="45"/>
  <c r="X9" i="45" s="1"/>
  <c r="X10" i="45" s="1"/>
  <c r="X11" i="45" s="1"/>
  <c r="X12" i="45" s="1"/>
  <c r="X13" i="45" s="1"/>
  <c r="X14" i="45" s="1"/>
  <c r="X15" i="45" s="1"/>
  <c r="X16" i="45" s="1"/>
  <c r="X17" i="45" s="1"/>
  <c r="X18" i="45" s="1"/>
  <c r="X19" i="45" s="1"/>
  <c r="X20" i="45" s="1"/>
  <c r="X21" i="45" s="1"/>
  <c r="X22" i="45" s="1"/>
  <c r="X23" i="45" s="1"/>
  <c r="X24" i="45" s="1"/>
  <c r="X25" i="45" s="1"/>
  <c r="X26" i="45" s="1"/>
  <c r="X27" i="45" s="1"/>
  <c r="X28" i="45" s="1"/>
  <c r="X29" i="45" s="1"/>
  <c r="X30" i="45" s="1"/>
  <c r="X31" i="45" s="1"/>
  <c r="X32" i="45" s="1"/>
  <c r="X33" i="45" s="1"/>
  <c r="X34" i="45" s="1"/>
  <c r="X35" i="45" s="1"/>
  <c r="X36" i="45" s="1"/>
  <c r="X37" i="45" s="1"/>
  <c r="D20" i="48"/>
  <c r="I43" i="43"/>
  <c r="I44" i="43" s="1"/>
  <c r="I43" i="4"/>
  <c r="I44" i="4" s="1"/>
  <c r="I43" i="37"/>
  <c r="I44" i="37" s="1"/>
  <c r="I43" i="6"/>
  <c r="I44" i="6" s="1"/>
  <c r="I43" i="7"/>
  <c r="I44" i="7" s="1"/>
  <c r="I43" i="8"/>
  <c r="I44" i="8" s="1"/>
  <c r="I43" i="9"/>
  <c r="I44" i="9" s="1"/>
  <c r="I43" i="10"/>
  <c r="I44" i="10" s="1"/>
  <c r="I43" i="11"/>
  <c r="I44" i="11" s="1"/>
  <c r="I43" i="12"/>
  <c r="I44" i="12" s="1"/>
  <c r="I43" i="13"/>
  <c r="I44" i="13" s="1"/>
  <c r="I43" i="14"/>
  <c r="I43" i="15"/>
  <c r="I44" i="15" s="1"/>
  <c r="I43" i="16"/>
  <c r="I44" i="16" s="1"/>
  <c r="I43" i="17"/>
  <c r="I44" i="17" s="1"/>
  <c r="I43" i="18"/>
  <c r="I44" i="18" s="1"/>
  <c r="I43" i="19"/>
  <c r="I44" i="19" s="1"/>
  <c r="I43" i="20"/>
  <c r="I44" i="20" s="1"/>
  <c r="I43" i="22"/>
  <c r="I44" i="22" s="1"/>
  <c r="I43" i="21"/>
  <c r="I43" i="23"/>
  <c r="I44" i="23" s="1"/>
  <c r="I43" i="24"/>
  <c r="I44" i="24" s="1"/>
  <c r="I43" i="25"/>
  <c r="I44" i="25" s="1"/>
  <c r="I43" i="26"/>
  <c r="I44" i="26" s="1"/>
  <c r="I43" i="28"/>
  <c r="I44" i="28" s="1"/>
  <c r="I43" i="27"/>
  <c r="I44" i="27" s="1"/>
  <c r="I43" i="29"/>
  <c r="I44" i="29" s="1"/>
  <c r="I44" i="30"/>
  <c r="I43" i="30"/>
  <c r="I43" i="31"/>
  <c r="I44" i="31" s="1"/>
  <c r="I50" i="31"/>
  <c r="I43" i="32"/>
  <c r="I44" i="32" s="1"/>
  <c r="I43" i="33"/>
  <c r="J43" i="33" s="1"/>
  <c r="C10" i="1"/>
  <c r="C11" i="2" s="1"/>
  <c r="C11" i="1"/>
  <c r="C12" i="2" s="1"/>
  <c r="C12" i="1"/>
  <c r="C13" i="2" s="1"/>
  <c r="C13" i="1"/>
  <c r="C14" i="2" s="1"/>
  <c r="C14" i="1"/>
  <c r="C15" i="2" s="1"/>
  <c r="C15" i="1"/>
  <c r="C16" i="2" s="1"/>
  <c r="C16" i="1"/>
  <c r="C17" i="2" s="1"/>
  <c r="C17" i="1"/>
  <c r="C18" i="2" s="1"/>
  <c r="C18" i="1"/>
  <c r="C19" i="2" s="1"/>
  <c r="C19" i="1"/>
  <c r="C20" i="2" s="1"/>
  <c r="C20" i="1"/>
  <c r="C21" i="2" s="1"/>
  <c r="C21" i="1"/>
  <c r="C22" i="2" s="1"/>
  <c r="C22" i="1"/>
  <c r="C23" i="2" s="1"/>
  <c r="C23" i="1"/>
  <c r="C24" i="2" s="1"/>
  <c r="C24" i="1"/>
  <c r="C25" i="2" s="1"/>
  <c r="C25" i="1"/>
  <c r="C26" i="2" s="1"/>
  <c r="C26" i="1"/>
  <c r="C27" i="2" s="1"/>
  <c r="C27" i="1"/>
  <c r="C28" i="2" s="1"/>
  <c r="C28" i="1"/>
  <c r="C29" i="2" s="1"/>
  <c r="C29" i="1"/>
  <c r="C30" i="2" s="1"/>
  <c r="C30" i="1"/>
  <c r="C31" i="2" s="1"/>
  <c r="C31" i="1"/>
  <c r="C32" i="2" s="1"/>
  <c r="C32" i="1"/>
  <c r="C33" i="2" s="1"/>
  <c r="C33" i="1"/>
  <c r="C34" i="2" s="1"/>
  <c r="C34" i="1"/>
  <c r="C35" i="2" s="1"/>
  <c r="C35" i="1"/>
  <c r="C36" i="2" s="1"/>
  <c r="C36" i="1"/>
  <c r="C37" i="2" s="1"/>
  <c r="C37" i="1"/>
  <c r="C38" i="2" s="1"/>
  <c r="C38" i="1"/>
  <c r="C39" i="2" s="1"/>
  <c r="C9" i="1"/>
  <c r="C10" i="2" s="1"/>
  <c r="B10" i="1"/>
  <c r="B11" i="1"/>
  <c r="B12" i="2" s="1"/>
  <c r="B12" i="1"/>
  <c r="B13" i="1"/>
  <c r="B14" i="2" s="1"/>
  <c r="B14" i="1"/>
  <c r="B15" i="1"/>
  <c r="B16" i="2" s="1"/>
  <c r="B16" i="1"/>
  <c r="B17" i="1"/>
  <c r="B18" i="2" s="1"/>
  <c r="B18" i="1"/>
  <c r="B19" i="1"/>
  <c r="B20" i="2" s="1"/>
  <c r="B20" i="1"/>
  <c r="B21" i="1"/>
  <c r="B22" i="2" s="1"/>
  <c r="B22" i="1"/>
  <c r="B23" i="1"/>
  <c r="B24" i="2" s="1"/>
  <c r="B24" i="1"/>
  <c r="B25" i="1"/>
  <c r="B26" i="1"/>
  <c r="B27" i="1"/>
  <c r="B28" i="2" s="1"/>
  <c r="B28" i="1"/>
  <c r="B29" i="1"/>
  <c r="B30" i="2" s="1"/>
  <c r="B30" i="1"/>
  <c r="B31" i="1"/>
  <c r="B32" i="2" s="1"/>
  <c r="B32" i="1"/>
  <c r="B33" i="1"/>
  <c r="B34" i="2" s="1"/>
  <c r="B34" i="1"/>
  <c r="B35" i="1"/>
  <c r="B36" i="2" s="1"/>
  <c r="B36" i="1"/>
  <c r="B37" i="1"/>
  <c r="B38" i="2" s="1"/>
  <c r="B38" i="1"/>
  <c r="B9" i="1"/>
  <c r="D38" i="1"/>
  <c r="D39" i="2" s="1"/>
  <c r="D37" i="1"/>
  <c r="D38" i="2" s="1"/>
  <c r="D36" i="1"/>
  <c r="D37" i="2" s="1"/>
  <c r="D35" i="1"/>
  <c r="D36" i="2" s="1"/>
  <c r="D34" i="1"/>
  <c r="D35" i="2" s="1"/>
  <c r="D33" i="1"/>
  <c r="D34" i="2" s="1"/>
  <c r="D32" i="1"/>
  <c r="D33" i="2" s="1"/>
  <c r="D31" i="1"/>
  <c r="D32" i="2" s="1"/>
  <c r="D30" i="1"/>
  <c r="D31" i="2" s="1"/>
  <c r="D28" i="1"/>
  <c r="D29" i="2" s="1"/>
  <c r="D26" i="1"/>
  <c r="D27" i="2" s="1"/>
  <c r="D25" i="1"/>
  <c r="D26" i="2" s="1"/>
  <c r="G24" i="48"/>
  <c r="D23" i="1"/>
  <c r="D24" i="2" s="1"/>
  <c r="D22" i="1"/>
  <c r="D23" i="2" s="1"/>
  <c r="D18" i="1"/>
  <c r="D19" i="2" s="1"/>
  <c r="D16" i="1"/>
  <c r="D17" i="2" s="1"/>
  <c r="V15" i="48"/>
  <c r="V14" i="48"/>
  <c r="V11" i="48"/>
  <c r="D10" i="1"/>
  <c r="D11" i="2" s="1"/>
  <c r="U9" i="48"/>
  <c r="U10" i="48" s="1"/>
  <c r="U11" i="48" s="1"/>
  <c r="U12" i="48" s="1"/>
  <c r="U13" i="48" s="1"/>
  <c r="U14" i="48" s="1"/>
  <c r="U15" i="48" s="1"/>
  <c r="U16" i="48" s="1"/>
  <c r="U17" i="48" s="1"/>
  <c r="U18" i="48" s="1"/>
  <c r="U19" i="48" s="1"/>
  <c r="U20" i="48" s="1"/>
  <c r="U21" i="48" s="1"/>
  <c r="U22" i="48" s="1"/>
  <c r="U23" i="48" s="1"/>
  <c r="U24" i="48" s="1"/>
  <c r="U25" i="48" s="1"/>
  <c r="U26" i="48" s="1"/>
  <c r="U27" i="48" s="1"/>
  <c r="U28" i="48" s="1"/>
  <c r="U29" i="48" s="1"/>
  <c r="U30" i="48" s="1"/>
  <c r="U31" i="48" s="1"/>
  <c r="U32" i="48" s="1"/>
  <c r="U33" i="48" s="1"/>
  <c r="U34" i="48" s="1"/>
  <c r="U35" i="48" s="1"/>
  <c r="U36" i="48" s="1"/>
  <c r="U37" i="48" s="1"/>
  <c r="U38" i="48" s="1"/>
  <c r="A10" i="48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D19" i="48"/>
  <c r="G42" i="24"/>
  <c r="I37" i="24" s="1"/>
  <c r="F42" i="24"/>
  <c r="D18" i="48" s="1"/>
  <c r="G42" i="26"/>
  <c r="I37" i="26" s="1"/>
  <c r="F42" i="26"/>
  <c r="D16" i="48" s="1"/>
  <c r="G42" i="28"/>
  <c r="I37" i="28" s="1"/>
  <c r="F42" i="28"/>
  <c r="D15" i="48" s="1"/>
  <c r="G42" i="27"/>
  <c r="I37" i="27" s="1"/>
  <c r="F42" i="27"/>
  <c r="D14" i="48" s="1"/>
  <c r="E13" i="48"/>
  <c r="D11" i="48"/>
  <c r="G42" i="33"/>
  <c r="I37" i="33" s="1"/>
  <c r="L34" i="26"/>
  <c r="K34" i="26"/>
  <c r="D10" i="48"/>
  <c r="D9" i="48"/>
  <c r="AY21" i="45"/>
  <c r="AX21" i="45"/>
  <c r="AY20" i="45"/>
  <c r="AX20" i="45"/>
  <c r="AY18" i="45"/>
  <c r="AX18" i="45"/>
  <c r="AY17" i="45"/>
  <c r="AX17" i="45"/>
  <c r="AY15" i="45"/>
  <c r="AX15" i="45"/>
  <c r="AY14" i="45"/>
  <c r="AX14" i="45"/>
  <c r="AY13" i="45"/>
  <c r="AX13" i="45"/>
  <c r="AY12" i="45"/>
  <c r="AX12" i="45"/>
  <c r="AY11" i="45"/>
  <c r="AX11" i="45"/>
  <c r="AY10" i="45"/>
  <c r="AX10" i="45"/>
  <c r="AD8" i="46"/>
  <c r="AN8" i="45"/>
  <c r="AN9" i="45" s="1"/>
  <c r="AN10" i="45" s="1"/>
  <c r="AN11" i="45" s="1"/>
  <c r="AN12" i="45" s="1"/>
  <c r="AN13" i="45" s="1"/>
  <c r="AN14" i="45" s="1"/>
  <c r="AN15" i="45" s="1"/>
  <c r="AN16" i="45" s="1"/>
  <c r="AN17" i="45" s="1"/>
  <c r="AN18" i="45" s="1"/>
  <c r="AN19" i="45" s="1"/>
  <c r="AN20" i="45" s="1"/>
  <c r="AN21" i="45" s="1"/>
  <c r="AN22" i="45" s="1"/>
  <c r="AN23" i="45" s="1"/>
  <c r="AN24" i="45" s="1"/>
  <c r="AN25" i="45" s="1"/>
  <c r="AN26" i="45" s="1"/>
  <c r="AN27" i="45" s="1"/>
  <c r="AN28" i="45" s="1"/>
  <c r="AN29" i="45" s="1"/>
  <c r="AN30" i="45" s="1"/>
  <c r="AN31" i="45" s="1"/>
  <c r="AN32" i="45" s="1"/>
  <c r="AN33" i="45" s="1"/>
  <c r="AN34" i="45" s="1"/>
  <c r="AN35" i="45" s="1"/>
  <c r="AN36" i="45" s="1"/>
  <c r="AN37" i="45" s="1"/>
  <c r="AJ8" i="45"/>
  <c r="AJ9" i="45" s="1"/>
  <c r="AJ10" i="45" s="1"/>
  <c r="AJ11" i="45" s="1"/>
  <c r="AJ12" i="45" s="1"/>
  <c r="AJ13" i="45" s="1"/>
  <c r="AJ14" i="45" s="1"/>
  <c r="AJ15" i="45" s="1"/>
  <c r="AJ16" i="45" s="1"/>
  <c r="AJ17" i="45" s="1"/>
  <c r="AJ18" i="45" s="1"/>
  <c r="AJ19" i="45" s="1"/>
  <c r="AJ20" i="45" s="1"/>
  <c r="AJ21" i="45" s="1"/>
  <c r="AJ22" i="45" s="1"/>
  <c r="AJ23" i="45" s="1"/>
  <c r="AJ24" i="45" s="1"/>
  <c r="AJ25" i="45" s="1"/>
  <c r="AJ26" i="45" s="1"/>
  <c r="AJ27" i="45" s="1"/>
  <c r="AJ28" i="45" s="1"/>
  <c r="AJ29" i="45" s="1"/>
  <c r="AJ30" i="45" s="1"/>
  <c r="AJ31" i="45" s="1"/>
  <c r="AJ32" i="45" s="1"/>
  <c r="AJ33" i="45" s="1"/>
  <c r="AJ34" i="45" s="1"/>
  <c r="AJ35" i="45" s="1"/>
  <c r="AJ36" i="45" s="1"/>
  <c r="AJ37" i="45" s="1"/>
  <c r="AF8" i="45"/>
  <c r="AF9" i="45" s="1"/>
  <c r="AF10" i="45" s="1"/>
  <c r="AF11" i="45" s="1"/>
  <c r="AF12" i="45" s="1"/>
  <c r="AF13" i="45" s="1"/>
  <c r="AF14" i="45" s="1"/>
  <c r="AF15" i="45" s="1"/>
  <c r="AF16" i="45" s="1"/>
  <c r="AF17" i="45" s="1"/>
  <c r="AF18" i="45" s="1"/>
  <c r="AF19" i="45" s="1"/>
  <c r="AF20" i="45" s="1"/>
  <c r="AF21" i="45" s="1"/>
  <c r="AF22" i="45" s="1"/>
  <c r="AF23" i="45" s="1"/>
  <c r="AF24" i="45" s="1"/>
  <c r="AF25" i="45" s="1"/>
  <c r="AF26" i="45" s="1"/>
  <c r="AF27" i="45" s="1"/>
  <c r="AF28" i="45" s="1"/>
  <c r="AF29" i="45" s="1"/>
  <c r="AF30" i="45" s="1"/>
  <c r="AF31" i="45" s="1"/>
  <c r="AF32" i="45" s="1"/>
  <c r="AF33" i="45" s="1"/>
  <c r="AF34" i="45" s="1"/>
  <c r="AF35" i="45" s="1"/>
  <c r="AF36" i="45" s="1"/>
  <c r="AF37" i="45" s="1"/>
  <c r="AB8" i="45"/>
  <c r="AB9" i="45" s="1"/>
  <c r="AB10" i="45" s="1"/>
  <c r="AB11" i="45" s="1"/>
  <c r="AB12" i="45" s="1"/>
  <c r="AB13" i="45" s="1"/>
  <c r="AB14" i="45" s="1"/>
  <c r="AB15" i="45" s="1"/>
  <c r="AB16" i="45" s="1"/>
  <c r="AB17" i="45" s="1"/>
  <c r="AB18" i="45" s="1"/>
  <c r="AB19" i="45" s="1"/>
  <c r="AB20" i="45" s="1"/>
  <c r="AB21" i="45" s="1"/>
  <c r="AB22" i="45" s="1"/>
  <c r="AB23" i="45" s="1"/>
  <c r="AB24" i="45" s="1"/>
  <c r="AB25" i="45" s="1"/>
  <c r="AB26" i="45" s="1"/>
  <c r="AB27" i="45" s="1"/>
  <c r="AB28" i="45" s="1"/>
  <c r="AB29" i="45" s="1"/>
  <c r="AB30" i="45" s="1"/>
  <c r="AB31" i="45" s="1"/>
  <c r="AB32" i="45" s="1"/>
  <c r="AB33" i="45" s="1"/>
  <c r="AB34" i="45" s="1"/>
  <c r="AB35" i="45" s="1"/>
  <c r="AB36" i="45" s="1"/>
  <c r="AB37" i="45" s="1"/>
  <c r="I40" i="45"/>
  <c r="H4" i="43"/>
  <c r="K34" i="43"/>
  <c r="L34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H4" i="4"/>
  <c r="C14" i="4"/>
  <c r="D14" i="4"/>
  <c r="E14" i="4"/>
  <c r="F14" i="4"/>
  <c r="C23" i="4"/>
  <c r="D23" i="4"/>
  <c r="E23" i="4"/>
  <c r="F23" i="4"/>
  <c r="C32" i="4"/>
  <c r="D32" i="4"/>
  <c r="E32" i="4"/>
  <c r="F32" i="4"/>
  <c r="L34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I50" i="4"/>
  <c r="C51" i="4"/>
  <c r="H4" i="37"/>
  <c r="L34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H4" i="6"/>
  <c r="K34" i="6"/>
  <c r="L34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I50" i="6"/>
  <c r="C51" i="6"/>
  <c r="H4" i="7"/>
  <c r="L34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H4" i="8"/>
  <c r="K34" i="8"/>
  <c r="L34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H4" i="9"/>
  <c r="L34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H4" i="10"/>
  <c r="L34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H4" i="11"/>
  <c r="L34" i="11"/>
  <c r="C38" i="11"/>
  <c r="C39" i="11"/>
  <c r="C40" i="11"/>
  <c r="C41" i="11"/>
  <c r="C42" i="11"/>
  <c r="C44" i="11"/>
  <c r="C45" i="11"/>
  <c r="C46" i="11"/>
  <c r="C47" i="11"/>
  <c r="C48" i="11"/>
  <c r="C49" i="11"/>
  <c r="C50" i="11"/>
  <c r="I50" i="11"/>
  <c r="C51" i="11"/>
  <c r="H4" i="12"/>
  <c r="L34" i="12"/>
  <c r="C38" i="12"/>
  <c r="C39" i="12"/>
  <c r="C40" i="12"/>
  <c r="C41" i="12"/>
  <c r="C42" i="12"/>
  <c r="C44" i="12"/>
  <c r="C45" i="12"/>
  <c r="C46" i="12"/>
  <c r="C47" i="12"/>
  <c r="C48" i="12"/>
  <c r="C49" i="12"/>
  <c r="C50" i="12"/>
  <c r="C51" i="12"/>
  <c r="H4" i="13"/>
  <c r="K34" i="13"/>
  <c r="L34" i="13"/>
  <c r="C38" i="13"/>
  <c r="C39" i="13"/>
  <c r="C40" i="13"/>
  <c r="C41" i="13"/>
  <c r="C42" i="13"/>
  <c r="C44" i="13"/>
  <c r="C45" i="13"/>
  <c r="C46" i="13"/>
  <c r="C47" i="13"/>
  <c r="C48" i="13"/>
  <c r="C49" i="13"/>
  <c r="C50" i="13"/>
  <c r="I50" i="13"/>
  <c r="C51" i="13"/>
  <c r="H4" i="14"/>
  <c r="L34" i="14"/>
  <c r="C38" i="14"/>
  <c r="C39" i="14"/>
  <c r="C40" i="14"/>
  <c r="C41" i="14"/>
  <c r="C42" i="14"/>
  <c r="C43" i="14"/>
  <c r="C44" i="14"/>
  <c r="I44" i="14"/>
  <c r="C45" i="14"/>
  <c r="C46" i="14"/>
  <c r="C47" i="14"/>
  <c r="C48" i="14"/>
  <c r="C49" i="14"/>
  <c r="C50" i="14"/>
  <c r="I50" i="14"/>
  <c r="C51" i="14"/>
  <c r="H4" i="15"/>
  <c r="L34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I50" i="15"/>
  <c r="C51" i="15"/>
  <c r="H4" i="16"/>
  <c r="L34" i="16"/>
  <c r="C38" i="16"/>
  <c r="C39" i="16"/>
  <c r="C40" i="16"/>
  <c r="C41" i="16"/>
  <c r="C42" i="16"/>
  <c r="C44" i="16"/>
  <c r="C45" i="16"/>
  <c r="C46" i="16"/>
  <c r="C47" i="16"/>
  <c r="C48" i="16"/>
  <c r="C49" i="16"/>
  <c r="C50" i="16"/>
  <c r="I50" i="16"/>
  <c r="C51" i="16"/>
  <c r="H4" i="17"/>
  <c r="L34" i="17"/>
  <c r="C38" i="17"/>
  <c r="C39" i="17"/>
  <c r="C40" i="17"/>
  <c r="C41" i="17"/>
  <c r="C42" i="17"/>
  <c r="C44" i="17"/>
  <c r="C45" i="17"/>
  <c r="C46" i="17"/>
  <c r="C47" i="17"/>
  <c r="C48" i="17"/>
  <c r="C49" i="17"/>
  <c r="C50" i="17"/>
  <c r="I50" i="17"/>
  <c r="C51" i="17"/>
  <c r="H4" i="18"/>
  <c r="L34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I50" i="18"/>
  <c r="C51" i="18"/>
  <c r="H4" i="19"/>
  <c r="L34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I50" i="19"/>
  <c r="C51" i="19"/>
  <c r="H4" i="20"/>
  <c r="L34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I50" i="20"/>
  <c r="C51" i="20"/>
  <c r="H4" i="22"/>
  <c r="L34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I50" i="22"/>
  <c r="C51" i="22"/>
  <c r="H4" i="21"/>
  <c r="J32" i="21"/>
  <c r="J32" i="22" s="1"/>
  <c r="J32" i="20" s="1"/>
  <c r="J32" i="19" s="1"/>
  <c r="J32" i="18" s="1"/>
  <c r="J32" i="17" s="1"/>
  <c r="J32" i="16" s="1"/>
  <c r="J32" i="15" s="1"/>
  <c r="J32" i="14" s="1"/>
  <c r="J32" i="13" s="1"/>
  <c r="J32" i="12" s="1"/>
  <c r="J32" i="11" s="1"/>
  <c r="J32" i="10" s="1"/>
  <c r="L34" i="21"/>
  <c r="C38" i="21"/>
  <c r="C39" i="21"/>
  <c r="C40" i="21"/>
  <c r="C41" i="21"/>
  <c r="C42" i="21"/>
  <c r="C43" i="21"/>
  <c r="C44" i="21"/>
  <c r="I44" i="21"/>
  <c r="C45" i="21"/>
  <c r="C46" i="21"/>
  <c r="C47" i="21"/>
  <c r="C48" i="21"/>
  <c r="C49" i="21"/>
  <c r="C50" i="21"/>
  <c r="C51" i="21"/>
  <c r="H4" i="23"/>
  <c r="L34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H4" i="24"/>
  <c r="L34" i="24"/>
  <c r="H4" i="25"/>
  <c r="K34" i="25"/>
  <c r="L34" i="25"/>
  <c r="C38" i="25"/>
  <c r="C39" i="25"/>
  <c r="C40" i="25"/>
  <c r="C41" i="25"/>
  <c r="C42" i="25"/>
  <c r="C44" i="25"/>
  <c r="C45" i="25"/>
  <c r="C46" i="25"/>
  <c r="C47" i="25"/>
  <c r="C48" i="25"/>
  <c r="C49" i="25"/>
  <c r="C50" i="25"/>
  <c r="C51" i="25"/>
  <c r="H4" i="26"/>
  <c r="C38" i="26"/>
  <c r="C39" i="26"/>
  <c r="C40" i="26"/>
  <c r="C41" i="26"/>
  <c r="C42" i="26"/>
  <c r="C44" i="26"/>
  <c r="C45" i="26"/>
  <c r="C46" i="26"/>
  <c r="C47" i="26"/>
  <c r="C48" i="26"/>
  <c r="C49" i="26"/>
  <c r="C50" i="26"/>
  <c r="I50" i="26"/>
  <c r="C51" i="26"/>
  <c r="H4" i="28"/>
  <c r="L34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I50" i="28"/>
  <c r="C51" i="28"/>
  <c r="H4" i="27"/>
  <c r="L34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H4" i="29"/>
  <c r="L34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H4" i="30"/>
  <c r="L34" i="30"/>
  <c r="C38" i="30"/>
  <c r="C39" i="30"/>
  <c r="C40" i="30"/>
  <c r="C41" i="30"/>
  <c r="C42" i="30"/>
  <c r="C43" i="30"/>
  <c r="C44" i="30"/>
  <c r="C46" i="30"/>
  <c r="C47" i="30"/>
  <c r="C48" i="30"/>
  <c r="C49" i="30"/>
  <c r="C50" i="30"/>
  <c r="C51" i="30"/>
  <c r="H4" i="31"/>
  <c r="L34" i="31"/>
  <c r="C38" i="31"/>
  <c r="C39" i="31"/>
  <c r="C40" i="31"/>
  <c r="C41" i="31"/>
  <c r="C42" i="31"/>
  <c r="C44" i="31"/>
  <c r="C45" i="31"/>
  <c r="C46" i="31"/>
  <c r="C47" i="31"/>
  <c r="C48" i="31"/>
  <c r="C49" i="31"/>
  <c r="C50" i="31"/>
  <c r="C51" i="31"/>
  <c r="H4" i="32"/>
  <c r="J7" i="31"/>
  <c r="J7" i="30" s="1"/>
  <c r="J7" i="29" s="1"/>
  <c r="J7" i="27" s="1"/>
  <c r="J7" i="28" s="1"/>
  <c r="J7" i="26" s="1"/>
  <c r="J7" i="25" s="1"/>
  <c r="J7" i="24" s="1"/>
  <c r="J7" i="23" s="1"/>
  <c r="J7" i="21" s="1"/>
  <c r="J7" i="22" s="1"/>
  <c r="J7" i="20" s="1"/>
  <c r="J7" i="19" s="1"/>
  <c r="J7" i="18" s="1"/>
  <c r="J7" i="17" s="1"/>
  <c r="J7" i="16" s="1"/>
  <c r="J7" i="15" s="1"/>
  <c r="J7" i="14" s="1"/>
  <c r="J7" i="13" s="1"/>
  <c r="J7" i="12" s="1"/>
  <c r="J7" i="11" s="1"/>
  <c r="J7" i="10" s="1"/>
  <c r="J7" i="9" s="1"/>
  <c r="J7" i="8" s="1"/>
  <c r="J7" i="7" s="1"/>
  <c r="J7" i="6" s="1"/>
  <c r="J7" i="37" s="1"/>
  <c r="J7" i="4" s="1"/>
  <c r="J7" i="43" s="1"/>
  <c r="J8" i="29"/>
  <c r="J8" i="27" s="1"/>
  <c r="J10" i="32"/>
  <c r="J10" i="31" s="1"/>
  <c r="J10" i="29" s="1"/>
  <c r="J10" i="27" s="1"/>
  <c r="J10" i="28" s="1"/>
  <c r="J10" i="26" s="1"/>
  <c r="J10" i="25" s="1"/>
  <c r="J10" i="24" s="1"/>
  <c r="J10" i="23" s="1"/>
  <c r="J10" i="21" s="1"/>
  <c r="J10" i="22" s="1"/>
  <c r="J10" i="20" s="1"/>
  <c r="J10" i="19" s="1"/>
  <c r="J10" i="18" s="1"/>
  <c r="J10" i="17" s="1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L34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M9" i="33"/>
  <c r="M9" i="32" s="1"/>
  <c r="M9" i="31" s="1"/>
  <c r="M9" i="30" s="1"/>
  <c r="M10" i="33"/>
  <c r="M10" i="32" s="1"/>
  <c r="M10" i="31" s="1"/>
  <c r="M10" i="30" s="1"/>
  <c r="M10" i="29" s="1"/>
  <c r="M10" i="27" s="1"/>
  <c r="M10" i="28" s="1"/>
  <c r="M10" i="26" s="1"/>
  <c r="M10" i="25" s="1"/>
  <c r="M10" i="24" s="1"/>
  <c r="M10" i="23" s="1"/>
  <c r="M10" i="21" s="1"/>
  <c r="M10" i="22" s="1"/>
  <c r="M10" i="20" s="1"/>
  <c r="M10" i="19" s="1"/>
  <c r="M10" i="18" s="1"/>
  <c r="M10" i="17" s="1"/>
  <c r="M10" i="16" s="1"/>
  <c r="M10" i="15" s="1"/>
  <c r="M10" i="14" s="1"/>
  <c r="M10" i="13" s="1"/>
  <c r="M10" i="12" s="1"/>
  <c r="M10" i="11" s="1"/>
  <c r="M10" i="10" s="1"/>
  <c r="M10" i="9" s="1"/>
  <c r="M10" i="8" s="1"/>
  <c r="M10" i="7" s="1"/>
  <c r="M10" i="6" s="1"/>
  <c r="M11" i="33"/>
  <c r="M11" i="32" s="1"/>
  <c r="M11" i="31" s="1"/>
  <c r="M12" i="33"/>
  <c r="M12" i="32" s="1"/>
  <c r="M12" i="31" s="1"/>
  <c r="M12" i="30" s="1"/>
  <c r="M12" i="29" s="1"/>
  <c r="M12" i="27" s="1"/>
  <c r="M12" i="28" s="1"/>
  <c r="M12" i="26" s="1"/>
  <c r="M12" i="25" s="1"/>
  <c r="M12" i="24" s="1"/>
  <c r="M12" i="23" s="1"/>
  <c r="M12" i="21" s="1"/>
  <c r="M12" i="22" s="1"/>
  <c r="M12" i="20" s="1"/>
  <c r="M12" i="19" s="1"/>
  <c r="M12" i="18" s="1"/>
  <c r="M13" i="33"/>
  <c r="M13" i="32" s="1"/>
  <c r="M13" i="31" s="1"/>
  <c r="M13" i="30" s="1"/>
  <c r="M13" i="29" s="1"/>
  <c r="M13" i="27" s="1"/>
  <c r="M13" i="28" s="1"/>
  <c r="M13" i="26" s="1"/>
  <c r="M13" i="25" s="1"/>
  <c r="M13" i="24" s="1"/>
  <c r="M13" i="23" s="1"/>
  <c r="M13" i="21" s="1"/>
  <c r="M13" i="22" s="1"/>
  <c r="M13" i="20" s="1"/>
  <c r="M13" i="19" s="1"/>
  <c r="M13" i="18" s="1"/>
  <c r="M13" i="17" s="1"/>
  <c r="M13" i="16" s="1"/>
  <c r="M13" i="15" s="1"/>
  <c r="C14" i="33"/>
  <c r="D14" i="33"/>
  <c r="E14" i="33"/>
  <c r="M14" i="33"/>
  <c r="M14" i="32" s="1"/>
  <c r="M14" i="31" s="1"/>
  <c r="M14" i="30" s="1"/>
  <c r="M14" i="29" s="1"/>
  <c r="M14" i="27" s="1"/>
  <c r="M14" i="28" s="1"/>
  <c r="M14" i="26" s="1"/>
  <c r="M14" i="25" s="1"/>
  <c r="M14" i="24" s="1"/>
  <c r="M14" i="23" s="1"/>
  <c r="M14" i="21" s="1"/>
  <c r="M14" i="22" s="1"/>
  <c r="M14" i="20" s="1"/>
  <c r="M14" i="19" s="1"/>
  <c r="M14" i="18" s="1"/>
  <c r="M14" i="17" s="1"/>
  <c r="M14" i="16" s="1"/>
  <c r="M14" i="15" s="1"/>
  <c r="M14" i="14" s="1"/>
  <c r="M14" i="13" s="1"/>
  <c r="M14" i="12" s="1"/>
  <c r="M14" i="11" s="1"/>
  <c r="M14" i="10" s="1"/>
  <c r="M14" i="9" s="1"/>
  <c r="M14" i="8" s="1"/>
  <c r="M14" i="7" s="1"/>
  <c r="M14" i="6" s="1"/>
  <c r="M14" i="37" s="1"/>
  <c r="M14" i="4" s="1"/>
  <c r="M14" i="43" s="1"/>
  <c r="M15" i="33"/>
  <c r="M15" i="32" s="1"/>
  <c r="M15" i="31" s="1"/>
  <c r="M15" i="30" s="1"/>
  <c r="M15" i="29" s="1"/>
  <c r="M15" i="27" s="1"/>
  <c r="M15" i="28" s="1"/>
  <c r="M15" i="26" s="1"/>
  <c r="M15" i="25" s="1"/>
  <c r="M15" i="24" s="1"/>
  <c r="M15" i="23" s="1"/>
  <c r="M15" i="21" s="1"/>
  <c r="M15" i="22" s="1"/>
  <c r="M15" i="20" s="1"/>
  <c r="M15" i="19" s="1"/>
  <c r="M15" i="18" s="1"/>
  <c r="M15" i="17" s="1"/>
  <c r="M15" i="16" s="1"/>
  <c r="M15" i="15" s="1"/>
  <c r="M15" i="14" s="1"/>
  <c r="M15" i="13" s="1"/>
  <c r="M15" i="12" s="1"/>
  <c r="M15" i="11" s="1"/>
  <c r="M15" i="10" s="1"/>
  <c r="M15" i="9" s="1"/>
  <c r="M15" i="8" s="1"/>
  <c r="M15" i="7" s="1"/>
  <c r="M15" i="6" s="1"/>
  <c r="M15" i="37" s="1"/>
  <c r="M15" i="4" s="1"/>
  <c r="M15" i="43" s="1"/>
  <c r="M16" i="33"/>
  <c r="M16" i="32" s="1"/>
  <c r="M16" i="31" s="1"/>
  <c r="M16" i="30" s="1"/>
  <c r="M16" i="29" s="1"/>
  <c r="M16" i="27" s="1"/>
  <c r="M16" i="28" s="1"/>
  <c r="M16" i="26" s="1"/>
  <c r="M16" i="25" s="1"/>
  <c r="M16" i="24" s="1"/>
  <c r="M16" i="23" s="1"/>
  <c r="M16" i="21" s="1"/>
  <c r="M16" i="22" s="1"/>
  <c r="M16" i="20" s="1"/>
  <c r="M16" i="19" s="1"/>
  <c r="M16" i="18" s="1"/>
  <c r="M16" i="17" s="1"/>
  <c r="M16" i="16" s="1"/>
  <c r="M16" i="15" s="1"/>
  <c r="M16" i="14" s="1"/>
  <c r="M16" i="13" s="1"/>
  <c r="M16" i="12" s="1"/>
  <c r="M16" i="11" s="1"/>
  <c r="M17" i="33"/>
  <c r="M17" i="32" s="1"/>
  <c r="M17" i="31" s="1"/>
  <c r="M17" i="30" s="1"/>
  <c r="M17" i="29" s="1"/>
  <c r="M17" i="27" s="1"/>
  <c r="M17" i="28" s="1"/>
  <c r="M17" i="26" s="1"/>
  <c r="M17" i="25" s="1"/>
  <c r="M18" i="33"/>
  <c r="M18" i="32" s="1"/>
  <c r="M18" i="31" s="1"/>
  <c r="M18" i="30" s="1"/>
  <c r="M18" i="29" s="1"/>
  <c r="M18" i="27" s="1"/>
  <c r="M18" i="28" s="1"/>
  <c r="M18" i="26" s="1"/>
  <c r="M18" i="25" s="1"/>
  <c r="M18" i="24" s="1"/>
  <c r="M18" i="23" s="1"/>
  <c r="M18" i="21" s="1"/>
  <c r="M18" i="22" s="1"/>
  <c r="M18" i="20" s="1"/>
  <c r="M18" i="19" s="1"/>
  <c r="M18" i="18" s="1"/>
  <c r="M18" i="17" s="1"/>
  <c r="M18" i="16" s="1"/>
  <c r="M18" i="15" s="1"/>
  <c r="M18" i="14" s="1"/>
  <c r="M18" i="13" s="1"/>
  <c r="M18" i="12" s="1"/>
  <c r="M18" i="11" s="1"/>
  <c r="M18" i="10" s="1"/>
  <c r="M18" i="9" s="1"/>
  <c r="M18" i="8" s="1"/>
  <c r="M18" i="7" s="1"/>
  <c r="M18" i="6" s="1"/>
  <c r="M18" i="37" s="1"/>
  <c r="M18" i="4" s="1"/>
  <c r="M18" i="43" s="1"/>
  <c r="M19" i="33"/>
  <c r="M19" i="32" s="1"/>
  <c r="M19" i="31" s="1"/>
  <c r="M19" i="30" s="1"/>
  <c r="M19" i="29" s="1"/>
  <c r="M19" i="27" s="1"/>
  <c r="M19" i="28" s="1"/>
  <c r="M19" i="26" s="1"/>
  <c r="M19" i="25" s="1"/>
  <c r="M19" i="24" s="1"/>
  <c r="M19" i="23" s="1"/>
  <c r="M19" i="21" s="1"/>
  <c r="M19" i="22" s="1"/>
  <c r="M19" i="20" s="1"/>
  <c r="M19" i="19" s="1"/>
  <c r="M19" i="18" s="1"/>
  <c r="M19" i="17" s="1"/>
  <c r="M19" i="16" s="1"/>
  <c r="M19" i="15" s="1"/>
  <c r="M19" i="14" s="1"/>
  <c r="M19" i="13" s="1"/>
  <c r="M19" i="12" s="1"/>
  <c r="M19" i="11" s="1"/>
  <c r="M19" i="10" s="1"/>
  <c r="M19" i="9" s="1"/>
  <c r="M19" i="8" s="1"/>
  <c r="M19" i="7" s="1"/>
  <c r="M19" i="6" s="1"/>
  <c r="M19" i="37" s="1"/>
  <c r="M19" i="4" s="1"/>
  <c r="M19" i="43" s="1"/>
  <c r="M20" i="33"/>
  <c r="M20" i="32" s="1"/>
  <c r="M20" i="31" s="1"/>
  <c r="M20" i="30" s="1"/>
  <c r="M20" i="29" s="1"/>
  <c r="M20" i="27" s="1"/>
  <c r="M20" i="28" s="1"/>
  <c r="M20" i="26" s="1"/>
  <c r="M20" i="25" s="1"/>
  <c r="M20" i="24" s="1"/>
  <c r="M20" i="23" s="1"/>
  <c r="M20" i="21" s="1"/>
  <c r="M20" i="22" s="1"/>
  <c r="M20" i="20" s="1"/>
  <c r="M20" i="19" s="1"/>
  <c r="M20" i="18" s="1"/>
  <c r="M20" i="17" s="1"/>
  <c r="M20" i="16" s="1"/>
  <c r="M20" i="15" s="1"/>
  <c r="M20" i="14" s="1"/>
  <c r="M20" i="13" s="1"/>
  <c r="M20" i="12" s="1"/>
  <c r="M21" i="33"/>
  <c r="M21" i="32" s="1"/>
  <c r="M21" i="31" s="1"/>
  <c r="M21" i="30" s="1"/>
  <c r="M21" i="29" s="1"/>
  <c r="M21" i="27" s="1"/>
  <c r="M21" i="28" s="1"/>
  <c r="M21" i="26" s="1"/>
  <c r="M21" i="25" s="1"/>
  <c r="M21" i="24" s="1"/>
  <c r="M21" i="23" s="1"/>
  <c r="M21" i="21" s="1"/>
  <c r="M21" i="22" s="1"/>
  <c r="M21" i="20" s="1"/>
  <c r="M21" i="19" s="1"/>
  <c r="M21" i="18" s="1"/>
  <c r="M21" i="17" s="1"/>
  <c r="M21" i="16" s="1"/>
  <c r="M21" i="15" s="1"/>
  <c r="M21" i="14" s="1"/>
  <c r="M21" i="13" s="1"/>
  <c r="M21" i="12" s="1"/>
  <c r="M21" i="11" s="1"/>
  <c r="M21" i="10" s="1"/>
  <c r="M21" i="9" s="1"/>
  <c r="M21" i="8" s="1"/>
  <c r="M21" i="7" s="1"/>
  <c r="M21" i="6" s="1"/>
  <c r="M21" i="37" s="1"/>
  <c r="M21" i="4" s="1"/>
  <c r="M21" i="43" s="1"/>
  <c r="M22" i="33"/>
  <c r="M22" i="32" s="1"/>
  <c r="M22" i="31" s="1"/>
  <c r="M22" i="30" s="1"/>
  <c r="M22" i="29" s="1"/>
  <c r="M22" i="27" s="1"/>
  <c r="M22" i="28" s="1"/>
  <c r="M22" i="26" s="1"/>
  <c r="M22" i="25" s="1"/>
  <c r="M22" i="24" s="1"/>
  <c r="M22" i="23" s="1"/>
  <c r="M22" i="21" s="1"/>
  <c r="M22" i="22" s="1"/>
  <c r="M22" i="20" s="1"/>
  <c r="M22" i="19" s="1"/>
  <c r="M22" i="18" s="1"/>
  <c r="M22" i="17" s="1"/>
  <c r="M22" i="16" s="1"/>
  <c r="M22" i="15" s="1"/>
  <c r="M22" i="14" s="1"/>
  <c r="M22" i="13" s="1"/>
  <c r="M22" i="12" s="1"/>
  <c r="M22" i="11" s="1"/>
  <c r="M22" i="10" s="1"/>
  <c r="M22" i="9" s="1"/>
  <c r="M22" i="8" s="1"/>
  <c r="C23" i="33"/>
  <c r="D23" i="33"/>
  <c r="E23" i="33"/>
  <c r="M23" i="33"/>
  <c r="M23" i="32" s="1"/>
  <c r="M23" i="31" s="1"/>
  <c r="M23" i="30" s="1"/>
  <c r="M23" i="29" s="1"/>
  <c r="M23" i="27" s="1"/>
  <c r="M23" i="28" s="1"/>
  <c r="M23" i="26" s="1"/>
  <c r="M23" i="25" s="1"/>
  <c r="M23" i="24" s="1"/>
  <c r="M23" i="23" s="1"/>
  <c r="M23" i="21" s="1"/>
  <c r="M23" i="22" s="1"/>
  <c r="M23" i="20" s="1"/>
  <c r="M23" i="19" s="1"/>
  <c r="M23" i="18" s="1"/>
  <c r="M23" i="17" s="1"/>
  <c r="M23" i="16" s="1"/>
  <c r="M23" i="15" s="1"/>
  <c r="M23" i="14" s="1"/>
  <c r="M23" i="13" s="1"/>
  <c r="M23" i="12" s="1"/>
  <c r="M23" i="11" s="1"/>
  <c r="M23" i="10" s="1"/>
  <c r="M23" i="9" s="1"/>
  <c r="M23" i="8" s="1"/>
  <c r="M23" i="7" s="1"/>
  <c r="M23" i="6" s="1"/>
  <c r="M23" i="37" s="1"/>
  <c r="M23" i="4" s="1"/>
  <c r="M23" i="43" s="1"/>
  <c r="M24" i="33"/>
  <c r="M24" i="32" s="1"/>
  <c r="M24" i="31" s="1"/>
  <c r="M24" i="30" s="1"/>
  <c r="M24" i="29" s="1"/>
  <c r="M24" i="27" s="1"/>
  <c r="M24" i="28" s="1"/>
  <c r="M24" i="26" s="1"/>
  <c r="M24" i="25" s="1"/>
  <c r="M24" i="24" s="1"/>
  <c r="M24" i="23" s="1"/>
  <c r="M24" i="21" s="1"/>
  <c r="M24" i="22" s="1"/>
  <c r="M24" i="20" s="1"/>
  <c r="M24" i="19" s="1"/>
  <c r="M24" i="18" s="1"/>
  <c r="M24" i="17" s="1"/>
  <c r="M24" i="16" s="1"/>
  <c r="M24" i="15" s="1"/>
  <c r="M24" i="14" s="1"/>
  <c r="M24" i="13" s="1"/>
  <c r="M24" i="12" s="1"/>
  <c r="M24" i="11" s="1"/>
  <c r="M24" i="10" s="1"/>
  <c r="M24" i="9" s="1"/>
  <c r="M24" i="8" s="1"/>
  <c r="M24" i="7" s="1"/>
  <c r="M24" i="6" s="1"/>
  <c r="M24" i="37" s="1"/>
  <c r="M24" i="4" s="1"/>
  <c r="M24" i="43" s="1"/>
  <c r="M25" i="33"/>
  <c r="M25" i="32" s="1"/>
  <c r="M25" i="31" s="1"/>
  <c r="M25" i="30" s="1"/>
  <c r="M25" i="29" s="1"/>
  <c r="M25" i="27" s="1"/>
  <c r="M25" i="28" s="1"/>
  <c r="M25" i="26" s="1"/>
  <c r="M25" i="25" s="1"/>
  <c r="M25" i="24" s="1"/>
  <c r="M25" i="23" s="1"/>
  <c r="M25" i="21" s="1"/>
  <c r="M25" i="22" s="1"/>
  <c r="M25" i="20" s="1"/>
  <c r="M25" i="19" s="1"/>
  <c r="M25" i="18" s="1"/>
  <c r="M25" i="17" s="1"/>
  <c r="M25" i="16" s="1"/>
  <c r="M25" i="15" s="1"/>
  <c r="M25" i="14" s="1"/>
  <c r="M25" i="13" s="1"/>
  <c r="M25" i="12" s="1"/>
  <c r="M25" i="11" s="1"/>
  <c r="M25" i="10" s="1"/>
  <c r="M25" i="9" s="1"/>
  <c r="M25" i="8" s="1"/>
  <c r="M25" i="7" s="1"/>
  <c r="M25" i="6" s="1"/>
  <c r="M25" i="37" s="1"/>
  <c r="M26" i="33"/>
  <c r="M26" i="32" s="1"/>
  <c r="M26" i="31" s="1"/>
  <c r="M26" i="30" s="1"/>
  <c r="M26" i="29" s="1"/>
  <c r="M26" i="27" s="1"/>
  <c r="M26" i="28" s="1"/>
  <c r="M26" i="26" s="1"/>
  <c r="M26" i="25" s="1"/>
  <c r="M26" i="24" s="1"/>
  <c r="M26" i="23" s="1"/>
  <c r="M26" i="21" s="1"/>
  <c r="M26" i="22" s="1"/>
  <c r="M26" i="20" s="1"/>
  <c r="M26" i="19" s="1"/>
  <c r="M26" i="18" s="1"/>
  <c r="M26" i="17" s="1"/>
  <c r="M26" i="16" s="1"/>
  <c r="M26" i="15" s="1"/>
  <c r="M26" i="14" s="1"/>
  <c r="M26" i="13" s="1"/>
  <c r="M26" i="12" s="1"/>
  <c r="M26" i="11" s="1"/>
  <c r="M26" i="10" s="1"/>
  <c r="M26" i="9" s="1"/>
  <c r="M26" i="8" s="1"/>
  <c r="M26" i="7" s="1"/>
  <c r="M26" i="6" s="1"/>
  <c r="M26" i="37" s="1"/>
  <c r="M26" i="4" s="1"/>
  <c r="M26" i="43" s="1"/>
  <c r="M27" i="33"/>
  <c r="M27" i="32" s="1"/>
  <c r="M27" i="31" s="1"/>
  <c r="M27" i="30" s="1"/>
  <c r="M27" i="29" s="1"/>
  <c r="M27" i="27" s="1"/>
  <c r="M27" i="28" s="1"/>
  <c r="M27" i="26" s="1"/>
  <c r="M27" i="25" s="1"/>
  <c r="M27" i="24" s="1"/>
  <c r="M27" i="23" s="1"/>
  <c r="M27" i="21" s="1"/>
  <c r="M27" i="22" s="1"/>
  <c r="M27" i="20" s="1"/>
  <c r="M27" i="19" s="1"/>
  <c r="M27" i="18" s="1"/>
  <c r="M27" i="17" s="1"/>
  <c r="M27" i="16" s="1"/>
  <c r="M27" i="15" s="1"/>
  <c r="M27" i="14" s="1"/>
  <c r="M27" i="13" s="1"/>
  <c r="M27" i="12" s="1"/>
  <c r="M27" i="11" s="1"/>
  <c r="M27" i="10" s="1"/>
  <c r="M27" i="9" s="1"/>
  <c r="M27" i="8" s="1"/>
  <c r="M27" i="7" s="1"/>
  <c r="M27" i="6" s="1"/>
  <c r="M27" i="37" s="1"/>
  <c r="M27" i="4" s="1"/>
  <c r="M27" i="43" s="1"/>
  <c r="M28" i="33"/>
  <c r="M28" i="32" s="1"/>
  <c r="M28" i="31" s="1"/>
  <c r="M28" i="30" s="1"/>
  <c r="M28" i="29" s="1"/>
  <c r="M28" i="27" s="1"/>
  <c r="M28" i="28" s="1"/>
  <c r="M28" i="26" s="1"/>
  <c r="M28" i="25" s="1"/>
  <c r="M28" i="24" s="1"/>
  <c r="M28" i="23" s="1"/>
  <c r="M28" i="21" s="1"/>
  <c r="M28" i="22" s="1"/>
  <c r="M28" i="20" s="1"/>
  <c r="M28" i="19" s="1"/>
  <c r="M28" i="18" s="1"/>
  <c r="M28" i="17" s="1"/>
  <c r="M28" i="16" s="1"/>
  <c r="M28" i="15" s="1"/>
  <c r="M28" i="14" s="1"/>
  <c r="M28" i="13" s="1"/>
  <c r="M28" i="12" s="1"/>
  <c r="M28" i="11" s="1"/>
  <c r="M28" i="10" s="1"/>
  <c r="M28" i="9" s="1"/>
  <c r="M28" i="8" s="1"/>
  <c r="M28" i="7" s="1"/>
  <c r="M28" i="6" s="1"/>
  <c r="M28" i="37" s="1"/>
  <c r="M28" i="4" s="1"/>
  <c r="M28" i="43" s="1"/>
  <c r="M29" i="33"/>
  <c r="M29" i="32" s="1"/>
  <c r="M29" i="31" s="1"/>
  <c r="M29" i="30" s="1"/>
  <c r="M29" i="29" s="1"/>
  <c r="M29" i="27" s="1"/>
  <c r="M29" i="28" s="1"/>
  <c r="M29" i="26" s="1"/>
  <c r="M29" i="25" s="1"/>
  <c r="M29" i="24" s="1"/>
  <c r="M29" i="23" s="1"/>
  <c r="M29" i="21" s="1"/>
  <c r="M29" i="22" s="1"/>
  <c r="M29" i="20" s="1"/>
  <c r="M29" i="19" s="1"/>
  <c r="M29" i="18" s="1"/>
  <c r="M29" i="17" s="1"/>
  <c r="M29" i="16" s="1"/>
  <c r="M29" i="15" s="1"/>
  <c r="M29" i="14" s="1"/>
  <c r="M29" i="13" s="1"/>
  <c r="M29" i="12" s="1"/>
  <c r="M29" i="11" s="1"/>
  <c r="M29" i="10" s="1"/>
  <c r="M29" i="9" s="1"/>
  <c r="M29" i="8" s="1"/>
  <c r="M29" i="7" s="1"/>
  <c r="M29" i="6" s="1"/>
  <c r="M29" i="37" s="1"/>
  <c r="M29" i="4" s="1"/>
  <c r="M29" i="43" s="1"/>
  <c r="M30" i="33"/>
  <c r="M30" i="32" s="1"/>
  <c r="M30" i="31" s="1"/>
  <c r="M30" i="30" s="1"/>
  <c r="M30" i="29" s="1"/>
  <c r="M30" i="27" s="1"/>
  <c r="M30" i="28" s="1"/>
  <c r="M30" i="26" s="1"/>
  <c r="M30" i="25" s="1"/>
  <c r="M30" i="24" s="1"/>
  <c r="M30" i="23" s="1"/>
  <c r="M30" i="21" s="1"/>
  <c r="M30" i="22" s="1"/>
  <c r="M30" i="20" s="1"/>
  <c r="M30" i="19" s="1"/>
  <c r="M30" i="18" s="1"/>
  <c r="M30" i="17" s="1"/>
  <c r="M30" i="16" s="1"/>
  <c r="M30" i="15" s="1"/>
  <c r="M30" i="14" s="1"/>
  <c r="M30" i="13" s="1"/>
  <c r="M30" i="12" s="1"/>
  <c r="M30" i="11" s="1"/>
  <c r="M30" i="10" s="1"/>
  <c r="M30" i="9" s="1"/>
  <c r="M30" i="8" s="1"/>
  <c r="M30" i="7" s="1"/>
  <c r="M30" i="6" s="1"/>
  <c r="M30" i="37" s="1"/>
  <c r="M30" i="4" s="1"/>
  <c r="M30" i="43" s="1"/>
  <c r="M31" i="33"/>
  <c r="M31" i="32" s="1"/>
  <c r="M31" i="31" s="1"/>
  <c r="M31" i="30" s="1"/>
  <c r="M31" i="29" s="1"/>
  <c r="M31" i="27" s="1"/>
  <c r="M31" i="28" s="1"/>
  <c r="M31" i="26" s="1"/>
  <c r="M31" i="25" s="1"/>
  <c r="M31" i="24" s="1"/>
  <c r="M31" i="23" s="1"/>
  <c r="M31" i="21" s="1"/>
  <c r="M31" i="22" s="1"/>
  <c r="M31" i="20" s="1"/>
  <c r="M31" i="19" s="1"/>
  <c r="M31" i="18" s="1"/>
  <c r="M31" i="17" s="1"/>
  <c r="M31" i="16" s="1"/>
  <c r="M31" i="15" s="1"/>
  <c r="M31" i="14" s="1"/>
  <c r="M31" i="13" s="1"/>
  <c r="M31" i="12" s="1"/>
  <c r="M31" i="11" s="1"/>
  <c r="M31" i="10" s="1"/>
  <c r="M31" i="9" s="1"/>
  <c r="M31" i="8" s="1"/>
  <c r="M31" i="7" s="1"/>
  <c r="M31" i="6" s="1"/>
  <c r="M31" i="37" s="1"/>
  <c r="M31" i="4" s="1"/>
  <c r="M31" i="43" s="1"/>
  <c r="C32" i="33"/>
  <c r="D32" i="33"/>
  <c r="E32" i="33"/>
  <c r="F32" i="33"/>
  <c r="F34" i="33" s="1"/>
  <c r="M32" i="33"/>
  <c r="M32" i="32" s="1"/>
  <c r="M32" i="31" s="1"/>
  <c r="M32" i="30" s="1"/>
  <c r="M32" i="29" s="1"/>
  <c r="M32" i="27" s="1"/>
  <c r="M32" i="28" s="1"/>
  <c r="M32" i="26" s="1"/>
  <c r="M32" i="25" s="1"/>
  <c r="M32" i="24" s="1"/>
  <c r="M32" i="23" s="1"/>
  <c r="M32" i="21" s="1"/>
  <c r="M32" i="22" s="1"/>
  <c r="M32" i="20" s="1"/>
  <c r="M32" i="19" s="1"/>
  <c r="M32" i="18" s="1"/>
  <c r="M32" i="17" s="1"/>
  <c r="M32" i="16" s="1"/>
  <c r="M32" i="15" s="1"/>
  <c r="M32" i="14" s="1"/>
  <c r="M32" i="13" s="1"/>
  <c r="M32" i="12" s="1"/>
  <c r="M32" i="11" s="1"/>
  <c r="M32" i="10" s="1"/>
  <c r="M32" i="9" s="1"/>
  <c r="M32" i="8" s="1"/>
  <c r="M32" i="7" s="1"/>
  <c r="M32" i="6" s="1"/>
  <c r="M32" i="37" s="1"/>
  <c r="M32" i="4" s="1"/>
  <c r="M32" i="43" s="1"/>
  <c r="L34" i="33"/>
  <c r="C38" i="33"/>
  <c r="D38" i="33" s="1"/>
  <c r="J38" i="33"/>
  <c r="J38" i="32" s="1"/>
  <c r="C39" i="33"/>
  <c r="D39" i="33" s="1"/>
  <c r="E39" i="33" s="1"/>
  <c r="C40" i="33"/>
  <c r="D40" i="33" s="1"/>
  <c r="C41" i="33"/>
  <c r="D41" i="33" s="1"/>
  <c r="E41" i="33" s="1"/>
  <c r="C42" i="33"/>
  <c r="D42" i="33" s="1"/>
  <c r="E42" i="33" s="1"/>
  <c r="C43" i="33"/>
  <c r="D43" i="33" s="1"/>
  <c r="E43" i="33" s="1"/>
  <c r="C44" i="33"/>
  <c r="D44" i="33" s="1"/>
  <c r="E44" i="33" s="1"/>
  <c r="C45" i="33"/>
  <c r="D45" i="33" s="1"/>
  <c r="E45" i="33" s="1"/>
  <c r="C46" i="33"/>
  <c r="D46" i="33" s="1"/>
  <c r="E46" i="33" s="1"/>
  <c r="C47" i="33"/>
  <c r="D47" i="33" s="1"/>
  <c r="E47" i="33" s="1"/>
  <c r="C48" i="33"/>
  <c r="D48" i="33" s="1"/>
  <c r="E48" i="33" s="1"/>
  <c r="C49" i="33"/>
  <c r="D49" i="33" s="1"/>
  <c r="E49" i="33" s="1"/>
  <c r="J49" i="33"/>
  <c r="J49" i="32" s="1"/>
  <c r="C50" i="33"/>
  <c r="D50" i="33" s="1"/>
  <c r="E50" i="33" s="1"/>
  <c r="I50" i="33"/>
  <c r="C51" i="33"/>
  <c r="D51" i="33" s="1"/>
  <c r="E51" i="33" s="1"/>
  <c r="AD7" i="46"/>
  <c r="AA145" i="46"/>
  <c r="AC145" i="46"/>
  <c r="Q146" i="46"/>
  <c r="Q147" i="46" s="1"/>
  <c r="R146" i="46"/>
  <c r="Y146" i="46"/>
  <c r="Y148" i="46" s="1"/>
  <c r="AJ146" i="46"/>
  <c r="AK146" i="46"/>
  <c r="AO146" i="46"/>
  <c r="AP146" i="46"/>
  <c r="AS146" i="46"/>
  <c r="BB146" i="46"/>
  <c r="BC146" i="46"/>
  <c r="M40" i="45"/>
  <c r="Q40" i="45"/>
  <c r="U40" i="45"/>
  <c r="Y40" i="45"/>
  <c r="AC40" i="45"/>
  <c r="AG40" i="45"/>
  <c r="AK40" i="45"/>
  <c r="AO40" i="45"/>
  <c r="I50" i="29"/>
  <c r="I50" i="27"/>
  <c r="AN146" i="46"/>
  <c r="AF146" i="46"/>
  <c r="I50" i="30"/>
  <c r="I50" i="12"/>
  <c r="I50" i="25"/>
  <c r="I50" i="24"/>
  <c r="I50" i="23"/>
  <c r="I50" i="21"/>
  <c r="I50" i="8"/>
  <c r="I50" i="37"/>
  <c r="I50" i="43"/>
  <c r="I50" i="10"/>
  <c r="I50" i="9"/>
  <c r="I50" i="7"/>
  <c r="A10" i="1"/>
  <c r="V12" i="48"/>
  <c r="V13" i="48"/>
  <c r="Q9" i="48"/>
  <c r="T41" i="48"/>
  <c r="V9" i="48"/>
  <c r="V25" i="48"/>
  <c r="V17" i="48"/>
  <c r="V19" i="48"/>
  <c r="V21" i="48"/>
  <c r="H21" i="48"/>
  <c r="V27" i="48"/>
  <c r="V28" i="48"/>
  <c r="G19" i="48"/>
  <c r="G25" i="48"/>
  <c r="V33" i="48"/>
  <c r="H17" i="48"/>
  <c r="H22" i="48"/>
  <c r="V34" i="48"/>
  <c r="G33" i="48"/>
  <c r="V35" i="48"/>
  <c r="V37" i="48"/>
  <c r="V36" i="48"/>
  <c r="G36" i="48"/>
  <c r="G37" i="48"/>
  <c r="G17" i="48"/>
  <c r="G27" i="48"/>
  <c r="E28" i="48"/>
  <c r="E23" i="48"/>
  <c r="G20" i="48"/>
  <c r="V20" i="48"/>
  <c r="H27" i="48"/>
  <c r="H13" i="48"/>
  <c r="H36" i="48"/>
  <c r="AA41" i="58" l="1"/>
  <c r="W41" i="46"/>
  <c r="F23" i="48"/>
  <c r="E36" i="48"/>
  <c r="F36" i="48" s="1"/>
  <c r="J26" i="31"/>
  <c r="J26" i="30" s="1"/>
  <c r="J26" i="29" s="1"/>
  <c r="J26" i="27" s="1"/>
  <c r="J26" i="28" s="1"/>
  <c r="J26" i="26" s="1"/>
  <c r="J18" i="31"/>
  <c r="J18" i="30" s="1"/>
  <c r="J18" i="29" s="1"/>
  <c r="J18" i="27" s="1"/>
  <c r="J18" i="28" s="1"/>
  <c r="J25" i="31"/>
  <c r="J25" i="30" s="1"/>
  <c r="J25" i="29" s="1"/>
  <c r="J25" i="27" s="1"/>
  <c r="J25" i="28" s="1"/>
  <c r="J25" i="26" s="1"/>
  <c r="J17" i="31"/>
  <c r="J17" i="30" s="1"/>
  <c r="J17" i="29" s="1"/>
  <c r="J17" i="27" s="1"/>
  <c r="J17" i="28" s="1"/>
  <c r="J32" i="31"/>
  <c r="J32" i="30" s="1"/>
  <c r="J32" i="29" s="1"/>
  <c r="J32" i="27" s="1"/>
  <c r="J32" i="28" s="1"/>
  <c r="J32" i="26" s="1"/>
  <c r="J24" i="31"/>
  <c r="J24" i="30" s="1"/>
  <c r="J24" i="29" s="1"/>
  <c r="J24" i="27" s="1"/>
  <c r="J24" i="28" s="1"/>
  <c r="J24" i="26" s="1"/>
  <c r="J16" i="31"/>
  <c r="J16" i="30" s="1"/>
  <c r="J16" i="29" s="1"/>
  <c r="J16" i="27" s="1"/>
  <c r="J16" i="28" s="1"/>
  <c r="J16" i="26" s="1"/>
  <c r="J16" i="25" s="1"/>
  <c r="J31" i="31"/>
  <c r="J31" i="30" s="1"/>
  <c r="J31" i="29" s="1"/>
  <c r="J31" i="27" s="1"/>
  <c r="J31" i="28" s="1"/>
  <c r="J31" i="26" s="1"/>
  <c r="J23" i="31"/>
  <c r="J23" i="30" s="1"/>
  <c r="J23" i="29" s="1"/>
  <c r="J23" i="27" s="1"/>
  <c r="J23" i="28" s="1"/>
  <c r="J23" i="26" s="1"/>
  <c r="J23" i="25" s="1"/>
  <c r="J23" i="24" s="1"/>
  <c r="J15" i="31"/>
  <c r="J15" i="30" s="1"/>
  <c r="J15" i="29" s="1"/>
  <c r="J15" i="27" s="1"/>
  <c r="J30" i="31"/>
  <c r="J30" i="30" s="1"/>
  <c r="J30" i="29" s="1"/>
  <c r="J30" i="27" s="1"/>
  <c r="J30" i="28" s="1"/>
  <c r="J30" i="26" s="1"/>
  <c r="J22" i="31"/>
  <c r="J22" i="30" s="1"/>
  <c r="J22" i="29" s="1"/>
  <c r="J22" i="27" s="1"/>
  <c r="J22" i="28" s="1"/>
  <c r="J22" i="26" s="1"/>
  <c r="J14" i="31"/>
  <c r="J14" i="30" s="1"/>
  <c r="J14" i="29" s="1"/>
  <c r="J14" i="27" s="1"/>
  <c r="J29" i="31"/>
  <c r="J29" i="30" s="1"/>
  <c r="J29" i="29" s="1"/>
  <c r="J29" i="27" s="1"/>
  <c r="J29" i="28" s="1"/>
  <c r="J29" i="26" s="1"/>
  <c r="J21" i="31"/>
  <c r="J21" i="30" s="1"/>
  <c r="J21" i="29" s="1"/>
  <c r="J21" i="27" s="1"/>
  <c r="J21" i="28" s="1"/>
  <c r="J13" i="31"/>
  <c r="J13" i="30" s="1"/>
  <c r="J13" i="29" s="1"/>
  <c r="J13" i="27" s="1"/>
  <c r="J28" i="31"/>
  <c r="J28" i="30" s="1"/>
  <c r="J28" i="29" s="1"/>
  <c r="J28" i="27" s="1"/>
  <c r="J28" i="28" s="1"/>
  <c r="J28" i="26" s="1"/>
  <c r="J20" i="31"/>
  <c r="J20" i="30" s="1"/>
  <c r="J20" i="29" s="1"/>
  <c r="J20" i="27" s="1"/>
  <c r="J20" i="28" s="1"/>
  <c r="J12" i="31"/>
  <c r="J12" i="30" s="1"/>
  <c r="J12" i="29" s="1"/>
  <c r="J12" i="28" s="1"/>
  <c r="J12" i="26" s="1"/>
  <c r="J12" i="25" s="1"/>
  <c r="J12" i="24" s="1"/>
  <c r="J12" i="23" s="1"/>
  <c r="J12" i="21" s="1"/>
  <c r="J12" i="22" s="1"/>
  <c r="J12" i="20" s="1"/>
  <c r="J12" i="19" s="1"/>
  <c r="J12" i="18" s="1"/>
  <c r="J12" i="17" s="1"/>
  <c r="J27" i="31"/>
  <c r="J27" i="30" s="1"/>
  <c r="J27" i="29" s="1"/>
  <c r="J27" i="27" s="1"/>
  <c r="J27" i="28" s="1"/>
  <c r="J27" i="26" s="1"/>
  <c r="J19" i="31"/>
  <c r="J19" i="30" s="1"/>
  <c r="J19" i="29" s="1"/>
  <c r="J19" i="27" s="1"/>
  <c r="J19" i="28" s="1"/>
  <c r="J11" i="31"/>
  <c r="J11" i="30" s="1"/>
  <c r="J11" i="27" s="1"/>
  <c r="J11" i="28" s="1"/>
  <c r="J11" i="26" s="1"/>
  <c r="J11" i="25" s="1"/>
  <c r="J11" i="24" s="1"/>
  <c r="J11" i="23" s="1"/>
  <c r="J11" i="21" s="1"/>
  <c r="J11" i="22" s="1"/>
  <c r="J11" i="20" s="1"/>
  <c r="J11" i="19" s="1"/>
  <c r="J11" i="18" s="1"/>
  <c r="J11" i="17" s="1"/>
  <c r="E30" i="48"/>
  <c r="F30" i="48" s="1"/>
  <c r="F25" i="48"/>
  <c r="J32" i="9"/>
  <c r="J32" i="8" s="1"/>
  <c r="J32" i="7" s="1"/>
  <c r="J32" i="6" s="1"/>
  <c r="J32" i="37" s="1"/>
  <c r="J32" i="4" s="1"/>
  <c r="J32" i="43" s="1"/>
  <c r="AR146" i="46"/>
  <c r="BA146" i="46"/>
  <c r="R148" i="46" s="1"/>
  <c r="F17" i="48"/>
  <c r="I40" i="43"/>
  <c r="E15" i="48"/>
  <c r="F15" i="48" s="1"/>
  <c r="K34" i="19"/>
  <c r="F34" i="4"/>
  <c r="BD148" i="46"/>
  <c r="BF148" i="46"/>
  <c r="BE148" i="46"/>
  <c r="D24" i="4"/>
  <c r="K34" i="10"/>
  <c r="V24" i="48"/>
  <c r="J8" i="28"/>
  <c r="J8" i="26" s="1"/>
  <c r="J8" i="25" s="1"/>
  <c r="J8" i="24" s="1"/>
  <c r="J8" i="23" s="1"/>
  <c r="J8" i="21" s="1"/>
  <c r="J8" i="22" s="1"/>
  <c r="J8" i="20" s="1"/>
  <c r="K34" i="28"/>
  <c r="I40" i="28" s="1"/>
  <c r="R15" i="48" s="1"/>
  <c r="F10" i="59" s="1"/>
  <c r="K34" i="14"/>
  <c r="I40" i="8"/>
  <c r="V22" i="48"/>
  <c r="V30" i="48"/>
  <c r="C24" i="4"/>
  <c r="G22" i="48"/>
  <c r="G30" i="48"/>
  <c r="F13" i="48"/>
  <c r="K34" i="7"/>
  <c r="I40" i="7" s="1"/>
  <c r="E15" i="4"/>
  <c r="H32" i="48"/>
  <c r="G32" i="48"/>
  <c r="E27" i="48"/>
  <c r="F27" i="48" s="1"/>
  <c r="V32" i="48"/>
  <c r="D34" i="4"/>
  <c r="C33" i="33"/>
  <c r="D15" i="4"/>
  <c r="C52" i="14"/>
  <c r="C53" i="14" s="1"/>
  <c r="AY19" i="45"/>
  <c r="K34" i="20"/>
  <c r="H38" i="48"/>
  <c r="V38" i="48"/>
  <c r="H30" i="48"/>
  <c r="J57" i="23"/>
  <c r="C52" i="6"/>
  <c r="C53" i="6" s="1"/>
  <c r="C33" i="4"/>
  <c r="AX19" i="45"/>
  <c r="C52" i="37"/>
  <c r="C53" i="37" s="1"/>
  <c r="C52" i="4"/>
  <c r="C53" i="4" s="1"/>
  <c r="C34" i="4"/>
  <c r="K25" i="4" s="1"/>
  <c r="K34" i="4" s="1"/>
  <c r="C52" i="43"/>
  <c r="C53" i="43" s="1"/>
  <c r="C52" i="16"/>
  <c r="C53" i="16" s="1"/>
  <c r="C52" i="13"/>
  <c r="C53" i="13" s="1"/>
  <c r="C52" i="25"/>
  <c r="C53" i="25" s="1"/>
  <c r="K34" i="21"/>
  <c r="C52" i="22"/>
  <c r="C53" i="22" s="1"/>
  <c r="E33" i="33"/>
  <c r="V31" i="48"/>
  <c r="J50" i="32"/>
  <c r="E33" i="4"/>
  <c r="H23" i="48"/>
  <c r="G15" i="48"/>
  <c r="K34" i="24"/>
  <c r="I40" i="24" s="1"/>
  <c r="R18" i="48" s="1"/>
  <c r="F13" i="59" s="1"/>
  <c r="AY16" i="45"/>
  <c r="H31" i="48"/>
  <c r="V23" i="48"/>
  <c r="I44" i="33"/>
  <c r="AD146" i="46"/>
  <c r="E34" i="33"/>
  <c r="J57" i="33" s="1"/>
  <c r="C52" i="18"/>
  <c r="C53" i="18" s="1"/>
  <c r="D33" i="4"/>
  <c r="C52" i="15"/>
  <c r="C53" i="15" s="1"/>
  <c r="I40" i="6"/>
  <c r="J38" i="31"/>
  <c r="J38" i="30" s="1"/>
  <c r="J38" i="29" s="1"/>
  <c r="J38" i="27" s="1"/>
  <c r="J38" i="28" s="1"/>
  <c r="J38" i="26" s="1"/>
  <c r="J38" i="25" s="1"/>
  <c r="J38" i="24" s="1"/>
  <c r="J38" i="23" s="1"/>
  <c r="J38" i="21" s="1"/>
  <c r="J38" i="22" s="1"/>
  <c r="J38" i="20" s="1"/>
  <c r="J38" i="19" s="1"/>
  <c r="J38" i="18" s="1"/>
  <c r="J38" i="17" s="1"/>
  <c r="J38" i="16" s="1"/>
  <c r="J38" i="15" s="1"/>
  <c r="J38" i="14" s="1"/>
  <c r="J38" i="13" s="1"/>
  <c r="J38" i="12" s="1"/>
  <c r="J38" i="11" s="1"/>
  <c r="J38" i="10" s="1"/>
  <c r="J38" i="9" s="1"/>
  <c r="J38" i="8" s="1"/>
  <c r="J38" i="7" s="1"/>
  <c r="J38" i="6" s="1"/>
  <c r="J38" i="37" s="1"/>
  <c r="J38" i="4" s="1"/>
  <c r="J38" i="43" s="1"/>
  <c r="L9" i="48"/>
  <c r="W9" i="48"/>
  <c r="J43" i="32"/>
  <c r="J43" i="31" s="1"/>
  <c r="B39" i="2"/>
  <c r="B37" i="2"/>
  <c r="B35" i="2"/>
  <c r="B33" i="2"/>
  <c r="B31" i="2"/>
  <c r="B29" i="2"/>
  <c r="B27" i="2"/>
  <c r="B25" i="2"/>
  <c r="B23" i="2"/>
  <c r="B21" i="2"/>
  <c r="B19" i="2"/>
  <c r="B17" i="2"/>
  <c r="B15" i="2"/>
  <c r="B13" i="2"/>
  <c r="B26" i="2"/>
  <c r="B10" i="2"/>
  <c r="B11" i="2"/>
  <c r="A11" i="1"/>
  <c r="A12" i="2" s="1"/>
  <c r="A11" i="2"/>
  <c r="C52" i="12"/>
  <c r="C53" i="12" s="1"/>
  <c r="C52" i="9"/>
  <c r="C53" i="9" s="1"/>
  <c r="C52" i="7"/>
  <c r="C53" i="7" s="1"/>
  <c r="C52" i="8"/>
  <c r="C53" i="8" s="1"/>
  <c r="K34" i="9"/>
  <c r="C52" i="10"/>
  <c r="C53" i="10" s="1"/>
  <c r="S146" i="46"/>
  <c r="F28" i="48"/>
  <c r="K34" i="16"/>
  <c r="K34" i="17"/>
  <c r="C52" i="17"/>
  <c r="C53" i="17" s="1"/>
  <c r="E24" i="48"/>
  <c r="C52" i="19"/>
  <c r="C53" i="19" s="1"/>
  <c r="C52" i="20"/>
  <c r="C53" i="20" s="1"/>
  <c r="C52" i="21"/>
  <c r="C53" i="21" s="1"/>
  <c r="C52" i="23"/>
  <c r="C53" i="23" s="1"/>
  <c r="I40" i="25"/>
  <c r="R17" i="48" s="1"/>
  <c r="F12" i="59" s="1"/>
  <c r="B17" i="45"/>
  <c r="V18" i="48"/>
  <c r="H18" i="48"/>
  <c r="E18" i="48"/>
  <c r="I40" i="26"/>
  <c r="R16" i="48" s="1"/>
  <c r="F11" i="59" s="1"/>
  <c r="C52" i="28"/>
  <c r="C53" i="28" s="1"/>
  <c r="C52" i="27"/>
  <c r="C53" i="27" s="1"/>
  <c r="D34" i="33"/>
  <c r="I40" i="13"/>
  <c r="R29" i="48" s="1"/>
  <c r="C28" i="45" s="1"/>
  <c r="E14" i="48"/>
  <c r="E19" i="48"/>
  <c r="J50" i="33"/>
  <c r="E32" i="48"/>
  <c r="C52" i="29"/>
  <c r="C53" i="29" s="1"/>
  <c r="G11" i="48"/>
  <c r="BC148" i="46"/>
  <c r="C52" i="30"/>
  <c r="C53" i="30" s="1"/>
  <c r="M8" i="33"/>
  <c r="C34" i="33"/>
  <c r="G10" i="48"/>
  <c r="H24" i="48"/>
  <c r="G12" i="48"/>
  <c r="H20" i="48"/>
  <c r="G34" i="48"/>
  <c r="G29" i="48"/>
  <c r="G14" i="48"/>
  <c r="H15" i="48"/>
  <c r="H14" i="48"/>
  <c r="G21" i="48"/>
  <c r="H28" i="48"/>
  <c r="G23" i="48"/>
  <c r="H19" i="48"/>
  <c r="AM146" i="46"/>
  <c r="G18" i="48"/>
  <c r="H35" i="48"/>
  <c r="H34" i="48"/>
  <c r="BB148" i="46"/>
  <c r="R147" i="46"/>
  <c r="J44" i="33"/>
  <c r="C52" i="33"/>
  <c r="C53" i="33" s="1"/>
  <c r="E40" i="33"/>
  <c r="D40" i="32"/>
  <c r="E40" i="32" s="1"/>
  <c r="D52" i="33"/>
  <c r="D53" i="33" s="1"/>
  <c r="E38" i="33"/>
  <c r="D50" i="32"/>
  <c r="D50" i="31" s="1"/>
  <c r="D50" i="30" s="1"/>
  <c r="E50" i="30" s="1"/>
  <c r="D48" i="32"/>
  <c r="E48" i="32" s="1"/>
  <c r="D46" i="32"/>
  <c r="E46" i="32" s="1"/>
  <c r="D43" i="32"/>
  <c r="E43" i="32" s="1"/>
  <c r="D41" i="32"/>
  <c r="E41" i="32" s="1"/>
  <c r="D39" i="32"/>
  <c r="D39" i="31" s="1"/>
  <c r="D51" i="32"/>
  <c r="E51" i="32" s="1"/>
  <c r="D49" i="32"/>
  <c r="E49" i="32" s="1"/>
  <c r="D47" i="32"/>
  <c r="E47" i="32" s="1"/>
  <c r="D45" i="32"/>
  <c r="E45" i="32" s="1"/>
  <c r="D44" i="32"/>
  <c r="E44" i="32" s="1"/>
  <c r="D42" i="32"/>
  <c r="E42" i="32" s="1"/>
  <c r="D38" i="32"/>
  <c r="E38" i="32" s="1"/>
  <c r="Q10" i="48"/>
  <c r="W10" i="48" s="1"/>
  <c r="V10" i="48"/>
  <c r="C52" i="32"/>
  <c r="C53" i="32" s="1"/>
  <c r="C52" i="31"/>
  <c r="C53" i="31" s="1"/>
  <c r="H10" i="48"/>
  <c r="D33" i="33"/>
  <c r="E10" i="48"/>
  <c r="D9" i="1"/>
  <c r="D10" i="2" s="1"/>
  <c r="B10" i="45"/>
  <c r="D11" i="1"/>
  <c r="D12" i="2" s="1"/>
  <c r="B12" i="45"/>
  <c r="D13" i="1"/>
  <c r="D14" i="2" s="1"/>
  <c r="B14" i="45"/>
  <c r="D15" i="1"/>
  <c r="D16" i="2" s="1"/>
  <c r="B16" i="45"/>
  <c r="D17" i="1"/>
  <c r="D18" i="2" s="1"/>
  <c r="B18" i="45"/>
  <c r="Z18" i="45" s="1"/>
  <c r="D19" i="1"/>
  <c r="D20" i="2" s="1"/>
  <c r="B20" i="45"/>
  <c r="D21" i="1"/>
  <c r="D22" i="2" s="1"/>
  <c r="D27" i="1"/>
  <c r="D28" i="2" s="1"/>
  <c r="V29" i="48"/>
  <c r="D29" i="1"/>
  <c r="D30" i="2" s="1"/>
  <c r="E20" i="48"/>
  <c r="E31" i="48"/>
  <c r="E33" i="48"/>
  <c r="I40" i="4"/>
  <c r="R38" i="48" s="1"/>
  <c r="C37" i="45" s="1"/>
  <c r="AX16" i="45"/>
  <c r="B11" i="45"/>
  <c r="D12" i="1"/>
  <c r="D13" i="2" s="1"/>
  <c r="B13" i="45"/>
  <c r="D14" i="1"/>
  <c r="D15" i="2" s="1"/>
  <c r="B19" i="45"/>
  <c r="AP19" i="45" s="1"/>
  <c r="D20" i="1"/>
  <c r="D21" i="2" s="1"/>
  <c r="D24" i="1"/>
  <c r="D25" i="2" s="1"/>
  <c r="E21" i="48"/>
  <c r="E22" i="48"/>
  <c r="C52" i="26"/>
  <c r="C53" i="26" s="1"/>
  <c r="C52" i="24"/>
  <c r="C53" i="24" s="1"/>
  <c r="C52" i="11"/>
  <c r="C53" i="11" s="1"/>
  <c r="E24" i="4"/>
  <c r="E34" i="4"/>
  <c r="C15" i="4"/>
  <c r="E11" i="48"/>
  <c r="E16" i="48"/>
  <c r="B9" i="45"/>
  <c r="E26" i="48"/>
  <c r="J37" i="33"/>
  <c r="E9" i="48"/>
  <c r="E29" i="48"/>
  <c r="E34" i="48"/>
  <c r="E38" i="48"/>
  <c r="F12" i="48"/>
  <c r="E37" i="48"/>
  <c r="B8" i="45"/>
  <c r="N8" i="45" s="1"/>
  <c r="F35" i="48"/>
  <c r="G38" i="48"/>
  <c r="H33" i="48"/>
  <c r="A7" i="45"/>
  <c r="A9" i="45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A36" i="45" s="1"/>
  <c r="A37" i="45" s="1"/>
  <c r="B15" i="45"/>
  <c r="V16" i="48"/>
  <c r="P41" i="48"/>
  <c r="H16" i="48"/>
  <c r="G16" i="48"/>
  <c r="H26" i="48"/>
  <c r="G26" i="48"/>
  <c r="H37" i="48"/>
  <c r="G28" i="48"/>
  <c r="H11" i="48"/>
  <c r="H12" i="48"/>
  <c r="G31" i="48"/>
  <c r="J49" i="31"/>
  <c r="V26" i="48"/>
  <c r="G35" i="48"/>
  <c r="G13" i="48"/>
  <c r="H25" i="48"/>
  <c r="H29" i="48"/>
  <c r="Z140" i="46" l="1"/>
  <c r="W140" i="46"/>
  <c r="M25" i="4"/>
  <c r="M25" i="43" s="1"/>
  <c r="X140" i="46"/>
  <c r="AA140" i="46"/>
  <c r="AB140" i="46" s="1"/>
  <c r="AA140" i="58"/>
  <c r="AB140" i="58" s="1"/>
  <c r="AA67" i="58"/>
  <c r="AA63" i="58"/>
  <c r="W63" i="46"/>
  <c r="W67" i="46"/>
  <c r="X41" i="46"/>
  <c r="AA41" i="46"/>
  <c r="AB41" i="46" s="1"/>
  <c r="I45" i="43"/>
  <c r="AE28" i="45"/>
  <c r="O28" i="45"/>
  <c r="AA28" i="45"/>
  <c r="S28" i="45"/>
  <c r="AM28" i="45"/>
  <c r="G28" i="45"/>
  <c r="AI28" i="45"/>
  <c r="W28" i="45"/>
  <c r="AQ28" i="45"/>
  <c r="K28" i="45"/>
  <c r="AT28" i="45"/>
  <c r="AA37" i="45"/>
  <c r="S37" i="45"/>
  <c r="AE37" i="45"/>
  <c r="AQ37" i="45"/>
  <c r="AM37" i="45"/>
  <c r="W37" i="45"/>
  <c r="AI37" i="45"/>
  <c r="G37" i="45"/>
  <c r="K37" i="45"/>
  <c r="O37" i="45"/>
  <c r="AT37" i="45"/>
  <c r="I40" i="19"/>
  <c r="R23" i="48" s="1"/>
  <c r="C22" i="45" s="1"/>
  <c r="Z20" i="45"/>
  <c r="F24" i="59"/>
  <c r="F33" i="59"/>
  <c r="AB41" i="58"/>
  <c r="I51" i="43"/>
  <c r="J32" i="24"/>
  <c r="J32" i="23" s="1"/>
  <c r="J32" i="25"/>
  <c r="I45" i="6"/>
  <c r="R36" i="48"/>
  <c r="C35" i="45" s="1"/>
  <c r="I45" i="7"/>
  <c r="R35" i="48"/>
  <c r="C34" i="45" s="1"/>
  <c r="R34" i="48"/>
  <c r="C33" i="45" s="1"/>
  <c r="K34" i="37"/>
  <c r="M10" i="37"/>
  <c r="M10" i="4" s="1"/>
  <c r="M10" i="43" s="1"/>
  <c r="I40" i="9"/>
  <c r="R33" i="48" s="1"/>
  <c r="C32" i="45" s="1"/>
  <c r="I40" i="21"/>
  <c r="R20" i="48" s="1"/>
  <c r="F15" i="59" s="1"/>
  <c r="I40" i="14"/>
  <c r="R28" i="48" s="1"/>
  <c r="C27" i="45" s="1"/>
  <c r="I40" i="10"/>
  <c r="I51" i="10" s="1"/>
  <c r="M16" i="10"/>
  <c r="M16" i="9" s="1"/>
  <c r="M16" i="8" s="1"/>
  <c r="M16" i="7" s="1"/>
  <c r="M16" i="6" s="1"/>
  <c r="M16" i="37" s="1"/>
  <c r="M16" i="4" s="1"/>
  <c r="M16" i="43" s="1"/>
  <c r="K34" i="12"/>
  <c r="S147" i="46"/>
  <c r="S148" i="46"/>
  <c r="M13" i="14"/>
  <c r="M13" i="13" s="1"/>
  <c r="M13" i="12" s="1"/>
  <c r="M13" i="11" s="1"/>
  <c r="M13" i="10" s="1"/>
  <c r="M13" i="9" s="1"/>
  <c r="M13" i="8" s="1"/>
  <c r="M13" i="7" s="1"/>
  <c r="M13" i="6" s="1"/>
  <c r="M13" i="37" s="1"/>
  <c r="M13" i="4" s="1"/>
  <c r="M13" i="43" s="1"/>
  <c r="K34" i="15"/>
  <c r="I40" i="15" s="1"/>
  <c r="R27" i="48" s="1"/>
  <c r="C26" i="45" s="1"/>
  <c r="I40" i="16"/>
  <c r="R26" i="48" s="1"/>
  <c r="C25" i="45" s="1"/>
  <c r="I40" i="17"/>
  <c r="M12" i="17"/>
  <c r="M12" i="16" s="1"/>
  <c r="M12" i="15" s="1"/>
  <c r="M12" i="14" s="1"/>
  <c r="M12" i="13" s="1"/>
  <c r="M12" i="12" s="1"/>
  <c r="M12" i="11" s="1"/>
  <c r="M12" i="10" s="1"/>
  <c r="M12" i="9" s="1"/>
  <c r="M12" i="8" s="1"/>
  <c r="M12" i="7" s="1"/>
  <c r="M12" i="6" s="1"/>
  <c r="M12" i="37" s="1"/>
  <c r="M12" i="4" s="1"/>
  <c r="M12" i="43" s="1"/>
  <c r="E34" i="1"/>
  <c r="ID34" i="1" s="1"/>
  <c r="I40" i="20"/>
  <c r="I51" i="20" s="1"/>
  <c r="K34" i="18"/>
  <c r="I45" i="8"/>
  <c r="AP18" i="45"/>
  <c r="I51" i="8"/>
  <c r="J18" i="45"/>
  <c r="J8" i="19"/>
  <c r="J8" i="18" s="1"/>
  <c r="K34" i="22"/>
  <c r="J23" i="23"/>
  <c r="J23" i="21" s="1"/>
  <c r="J23" i="22" s="1"/>
  <c r="I51" i="26"/>
  <c r="J19" i="26"/>
  <c r="J19" i="25" s="1"/>
  <c r="J19" i="24" s="1"/>
  <c r="J21" i="26"/>
  <c r="J21" i="25" s="1"/>
  <c r="J21" i="24" s="1"/>
  <c r="J17" i="26"/>
  <c r="J17" i="25" s="1"/>
  <c r="J17" i="24" s="1"/>
  <c r="J20" i="26"/>
  <c r="J20" i="25" s="1"/>
  <c r="J20" i="24" s="1"/>
  <c r="J9" i="25"/>
  <c r="J9" i="24" s="1"/>
  <c r="J22" i="25"/>
  <c r="J22" i="24" s="1"/>
  <c r="V18" i="45"/>
  <c r="J18" i="26"/>
  <c r="J18" i="25" s="1"/>
  <c r="J31" i="24"/>
  <c r="J31" i="23" s="1"/>
  <c r="J31" i="21" s="1"/>
  <c r="J31" i="22" s="1"/>
  <c r="J31" i="25"/>
  <c r="J24" i="24"/>
  <c r="J24" i="25"/>
  <c r="J26" i="25"/>
  <c r="J26" i="24"/>
  <c r="J26" i="23" s="1"/>
  <c r="J26" i="21" s="1"/>
  <c r="J26" i="22" s="1"/>
  <c r="J29" i="25"/>
  <c r="J29" i="24"/>
  <c r="J29" i="23" s="1"/>
  <c r="J29" i="21" s="1"/>
  <c r="J29" i="22" s="1"/>
  <c r="J28" i="24"/>
  <c r="J28" i="23" s="1"/>
  <c r="J28" i="21" s="1"/>
  <c r="J28" i="22" s="1"/>
  <c r="J28" i="25"/>
  <c r="J30" i="25"/>
  <c r="J30" i="24"/>
  <c r="J30" i="23" s="1"/>
  <c r="J30" i="21" s="1"/>
  <c r="J30" i="22" s="1"/>
  <c r="J25" i="24"/>
  <c r="J25" i="23" s="1"/>
  <c r="J25" i="21" s="1"/>
  <c r="J25" i="22" s="1"/>
  <c r="J25" i="25"/>
  <c r="J27" i="24"/>
  <c r="J27" i="23" s="1"/>
  <c r="J27" i="21" s="1"/>
  <c r="J27" i="22" s="1"/>
  <c r="J27" i="25"/>
  <c r="J15" i="28"/>
  <c r="J15" i="26" s="1"/>
  <c r="J15" i="25" s="1"/>
  <c r="J15" i="23" s="1"/>
  <c r="J15" i="21" s="1"/>
  <c r="J15" i="22" s="1"/>
  <c r="J15" i="20" s="1"/>
  <c r="J15" i="19" s="1"/>
  <c r="J15" i="18" s="1"/>
  <c r="J15" i="17" s="1"/>
  <c r="J13" i="26"/>
  <c r="J13" i="25" s="1"/>
  <c r="J13" i="24" s="1"/>
  <c r="J13" i="23" s="1"/>
  <c r="J13" i="21" s="1"/>
  <c r="J13" i="22" s="1"/>
  <c r="J13" i="20" s="1"/>
  <c r="J13" i="19" s="1"/>
  <c r="J13" i="18" s="1"/>
  <c r="J13" i="17" s="1"/>
  <c r="J19" i="45"/>
  <c r="J14" i="26"/>
  <c r="J14" i="25" s="1"/>
  <c r="J14" i="24" s="1"/>
  <c r="J14" i="23" s="1"/>
  <c r="J14" i="21" s="1"/>
  <c r="J14" i="22" s="1"/>
  <c r="J14" i="20" s="1"/>
  <c r="J14" i="19" s="1"/>
  <c r="J14" i="18" s="1"/>
  <c r="J14" i="17" s="1"/>
  <c r="N18" i="45"/>
  <c r="AD20" i="45"/>
  <c r="M22" i="7"/>
  <c r="M22" i="6" s="1"/>
  <c r="M22" i="37" s="1"/>
  <c r="M22" i="4" s="1"/>
  <c r="M22" i="43" s="1"/>
  <c r="K34" i="27"/>
  <c r="J57" i="32"/>
  <c r="J57" i="31" s="1"/>
  <c r="J57" i="30" s="1"/>
  <c r="J57" i="29" s="1"/>
  <c r="J57" i="27" s="1"/>
  <c r="M9" i="29"/>
  <c r="C35" i="24"/>
  <c r="J20" i="45"/>
  <c r="R18" i="45"/>
  <c r="R20" i="45"/>
  <c r="AD18" i="45"/>
  <c r="I51" i="6"/>
  <c r="E35" i="32"/>
  <c r="AH18" i="45"/>
  <c r="AL18" i="45"/>
  <c r="V19" i="45"/>
  <c r="K34" i="23"/>
  <c r="K34" i="31"/>
  <c r="AH20" i="45"/>
  <c r="D35" i="32"/>
  <c r="J56" i="33"/>
  <c r="J56" i="32" s="1"/>
  <c r="J56" i="31" s="1"/>
  <c r="J56" i="30" s="1"/>
  <c r="J56" i="29" s="1"/>
  <c r="J56" i="27" s="1"/>
  <c r="J56" i="28" s="1"/>
  <c r="J56" i="26" s="1"/>
  <c r="J56" i="25" s="1"/>
  <c r="J56" i="24" s="1"/>
  <c r="J56" i="23" s="1"/>
  <c r="A12" i="1"/>
  <c r="A13" i="2" s="1"/>
  <c r="M7" i="33"/>
  <c r="AJ16" i="48"/>
  <c r="D11" i="59" s="1"/>
  <c r="D43" i="31"/>
  <c r="E43" i="31" s="1"/>
  <c r="AJ17" i="48"/>
  <c r="D12" i="59" s="1"/>
  <c r="I9" i="54"/>
  <c r="C35" i="32"/>
  <c r="N20" i="45"/>
  <c r="V20" i="45"/>
  <c r="N17" i="45"/>
  <c r="AL20" i="45"/>
  <c r="AP20" i="45"/>
  <c r="AP17" i="45"/>
  <c r="M17" i="24"/>
  <c r="C35" i="17"/>
  <c r="D44" i="31"/>
  <c r="D44" i="30" s="1"/>
  <c r="E44" i="30" s="1"/>
  <c r="D40" i="31"/>
  <c r="D40" i="30" s="1"/>
  <c r="E40" i="30" s="1"/>
  <c r="J44" i="32"/>
  <c r="AL17" i="45"/>
  <c r="V17" i="45"/>
  <c r="R19" i="45"/>
  <c r="AL19" i="45"/>
  <c r="E50" i="32"/>
  <c r="D41" i="31"/>
  <c r="E41" i="31" s="1"/>
  <c r="I45" i="24"/>
  <c r="D42" i="2"/>
  <c r="I51" i="7"/>
  <c r="Q11" i="48"/>
  <c r="Q12" i="48" s="1"/>
  <c r="N19" i="45"/>
  <c r="Z19" i="45"/>
  <c r="AH19" i="45"/>
  <c r="AD19" i="45"/>
  <c r="I51" i="28"/>
  <c r="I45" i="25"/>
  <c r="F24" i="48"/>
  <c r="E35" i="24"/>
  <c r="I51" i="25"/>
  <c r="AH17" i="45"/>
  <c r="Z17" i="45"/>
  <c r="J17" i="45"/>
  <c r="R17" i="45"/>
  <c r="AD17" i="45"/>
  <c r="F18" i="48"/>
  <c r="I16" i="48"/>
  <c r="I45" i="26"/>
  <c r="I45" i="28"/>
  <c r="F32" i="48"/>
  <c r="F19" i="48"/>
  <c r="F14" i="48"/>
  <c r="D35" i="24"/>
  <c r="I51" i="13"/>
  <c r="I45" i="13"/>
  <c r="I51" i="24"/>
  <c r="P146" i="46"/>
  <c r="O146" i="46" s="1"/>
  <c r="AP8" i="45"/>
  <c r="D35" i="33"/>
  <c r="C35" i="33"/>
  <c r="E35" i="33"/>
  <c r="D47" i="31"/>
  <c r="D47" i="30" s="1"/>
  <c r="D46" i="31"/>
  <c r="D46" i="30" s="1"/>
  <c r="E39" i="32"/>
  <c r="D48" i="31"/>
  <c r="D48" i="30" s="1"/>
  <c r="D48" i="29" s="1"/>
  <c r="D48" i="27" s="1"/>
  <c r="D48" i="28" s="1"/>
  <c r="E48" i="28" s="1"/>
  <c r="D38" i="31"/>
  <c r="D38" i="30" s="1"/>
  <c r="D51" i="31"/>
  <c r="E51" i="31" s="1"/>
  <c r="E52" i="33"/>
  <c r="E53" i="33" s="1"/>
  <c r="D52" i="32"/>
  <c r="D42" i="31"/>
  <c r="D42" i="30" s="1"/>
  <c r="D45" i="31"/>
  <c r="D45" i="30" s="1"/>
  <c r="D45" i="29" s="1"/>
  <c r="D49" i="31"/>
  <c r="E49" i="31" s="1"/>
  <c r="D50" i="29"/>
  <c r="E50" i="29" s="1"/>
  <c r="E50" i="31"/>
  <c r="D39" i="30"/>
  <c r="E39" i="31"/>
  <c r="F22" i="48"/>
  <c r="C35" i="7"/>
  <c r="E35" i="7"/>
  <c r="F31" i="48"/>
  <c r="F20" i="48"/>
  <c r="D41" i="1"/>
  <c r="F10" i="48"/>
  <c r="E35" i="17"/>
  <c r="D35" i="7"/>
  <c r="E16" i="1"/>
  <c r="F21" i="48"/>
  <c r="Z13" i="45"/>
  <c r="AL13" i="45"/>
  <c r="AP13" i="45"/>
  <c r="V13" i="45"/>
  <c r="J13" i="45"/>
  <c r="AD13" i="45"/>
  <c r="N13" i="45"/>
  <c r="R13" i="45"/>
  <c r="AH13" i="45"/>
  <c r="AD11" i="45"/>
  <c r="AH11" i="45"/>
  <c r="Z11" i="45"/>
  <c r="AL11" i="45"/>
  <c r="N11" i="45"/>
  <c r="R11" i="45"/>
  <c r="V11" i="45"/>
  <c r="AP11" i="45"/>
  <c r="J11" i="45"/>
  <c r="I45" i="4"/>
  <c r="I51" i="4"/>
  <c r="F33" i="48"/>
  <c r="AH16" i="45"/>
  <c r="R16" i="45"/>
  <c r="AL16" i="45"/>
  <c r="Z16" i="45"/>
  <c r="V16" i="45"/>
  <c r="N16" i="45"/>
  <c r="AD16" i="45"/>
  <c r="AP16" i="45"/>
  <c r="J16" i="45"/>
  <c r="Z14" i="45"/>
  <c r="AL14" i="45"/>
  <c r="AH14" i="45"/>
  <c r="N14" i="45"/>
  <c r="J14" i="45"/>
  <c r="AD14" i="45"/>
  <c r="V14" i="45"/>
  <c r="R14" i="45"/>
  <c r="AP14" i="45"/>
  <c r="AP12" i="45"/>
  <c r="Z12" i="45"/>
  <c r="V12" i="45"/>
  <c r="AL12" i="45"/>
  <c r="R12" i="45"/>
  <c r="AH12" i="45"/>
  <c r="J12" i="45"/>
  <c r="AD12" i="45"/>
  <c r="N12" i="45"/>
  <c r="R10" i="45"/>
  <c r="N10" i="45"/>
  <c r="AH10" i="45"/>
  <c r="Z10" i="45"/>
  <c r="AL10" i="45"/>
  <c r="J10" i="45"/>
  <c r="AP10" i="45"/>
  <c r="V10" i="45"/>
  <c r="AD10" i="45"/>
  <c r="D35" i="17"/>
  <c r="E17" i="1"/>
  <c r="I17" i="48"/>
  <c r="X17" i="48"/>
  <c r="H12" i="59" s="1"/>
  <c r="C16" i="45"/>
  <c r="J17" i="48"/>
  <c r="B12" i="59" s="1"/>
  <c r="F9" i="48"/>
  <c r="F26" i="48"/>
  <c r="AP9" i="45"/>
  <c r="R9" i="45"/>
  <c r="J9" i="45"/>
  <c r="AD9" i="45"/>
  <c r="N9" i="45"/>
  <c r="Z9" i="45"/>
  <c r="AH9" i="45"/>
  <c r="V9" i="45"/>
  <c r="AL9" i="45"/>
  <c r="F16" i="48"/>
  <c r="F11" i="48"/>
  <c r="I45" i="19"/>
  <c r="I51" i="19"/>
  <c r="J57" i="21"/>
  <c r="J57" i="22" s="1"/>
  <c r="J57" i="20" s="1"/>
  <c r="J57" i="19" s="1"/>
  <c r="J57" i="18" s="1"/>
  <c r="J57" i="17" s="1"/>
  <c r="C15" i="45"/>
  <c r="J16" i="48"/>
  <c r="B11" i="59" s="1"/>
  <c r="X16" i="48"/>
  <c r="H11" i="59" s="1"/>
  <c r="E35" i="15"/>
  <c r="D35" i="15"/>
  <c r="C35" i="15"/>
  <c r="F37" i="48"/>
  <c r="F38" i="48"/>
  <c r="F34" i="48"/>
  <c r="F29" i="48"/>
  <c r="J39" i="33"/>
  <c r="J37" i="32"/>
  <c r="D35" i="4"/>
  <c r="C35" i="4"/>
  <c r="E35" i="4"/>
  <c r="E35" i="18"/>
  <c r="D35" i="18"/>
  <c r="C35" i="18"/>
  <c r="AD8" i="45"/>
  <c r="AL8" i="45"/>
  <c r="Z8" i="45"/>
  <c r="V8" i="45"/>
  <c r="AH8" i="45"/>
  <c r="R8" i="45"/>
  <c r="J8" i="45"/>
  <c r="J44" i="31"/>
  <c r="J43" i="30"/>
  <c r="J50" i="31"/>
  <c r="J49" i="30"/>
  <c r="V41" i="48"/>
  <c r="AL15" i="45"/>
  <c r="R15" i="45"/>
  <c r="AH15" i="45"/>
  <c r="AD15" i="45"/>
  <c r="V15" i="45"/>
  <c r="B40" i="45"/>
  <c r="J15" i="45"/>
  <c r="Z15" i="45"/>
  <c r="AP15" i="45"/>
  <c r="N15" i="45"/>
  <c r="AA135" i="58" l="1"/>
  <c r="AB135" i="58" s="1"/>
  <c r="I40" i="37"/>
  <c r="R37" i="48" s="1"/>
  <c r="C36" i="45" s="1"/>
  <c r="AA36" i="45" s="1"/>
  <c r="W135" i="46"/>
  <c r="I51" i="9"/>
  <c r="AA15" i="58"/>
  <c r="AA58" i="58"/>
  <c r="AB58" i="58" s="1"/>
  <c r="AA50" i="58"/>
  <c r="AA71" i="58"/>
  <c r="W71" i="46"/>
  <c r="W58" i="46"/>
  <c r="W50" i="46"/>
  <c r="W15" i="46"/>
  <c r="X67" i="46"/>
  <c r="AA67" i="46"/>
  <c r="AB67" i="46" s="1"/>
  <c r="X63" i="46"/>
  <c r="AA63" i="46"/>
  <c r="AB63" i="46" s="1"/>
  <c r="I51" i="21"/>
  <c r="I40" i="18"/>
  <c r="R24" i="48" s="1"/>
  <c r="C23" i="45" s="1"/>
  <c r="AA23" i="45" s="1"/>
  <c r="AI36" i="45"/>
  <c r="AI33" i="45"/>
  <c r="AM33" i="45"/>
  <c r="S33" i="45"/>
  <c r="AA33" i="45"/>
  <c r="G33" i="45"/>
  <c r="W33" i="45"/>
  <c r="K33" i="45"/>
  <c r="AQ33" i="45"/>
  <c r="AE33" i="45"/>
  <c r="O33" i="45"/>
  <c r="AT33" i="45"/>
  <c r="AM23" i="45"/>
  <c r="W34" i="45"/>
  <c r="O34" i="45"/>
  <c r="AI34" i="45"/>
  <c r="AA34" i="45"/>
  <c r="AM34" i="45"/>
  <c r="G34" i="45"/>
  <c r="K34" i="45"/>
  <c r="AE34" i="45"/>
  <c r="S34" i="45"/>
  <c r="AQ34" i="45"/>
  <c r="AT34" i="45"/>
  <c r="AI25" i="45"/>
  <c r="AA25" i="45"/>
  <c r="W25" i="45"/>
  <c r="K25" i="45"/>
  <c r="AQ25" i="45"/>
  <c r="O25" i="45"/>
  <c r="AE25" i="45"/>
  <c r="AM25" i="45"/>
  <c r="G25" i="45"/>
  <c r="S25" i="45"/>
  <c r="AT25" i="45"/>
  <c r="S27" i="45"/>
  <c r="G27" i="45"/>
  <c r="AI27" i="45"/>
  <c r="AA27" i="45"/>
  <c r="K27" i="45"/>
  <c r="AQ27" i="45"/>
  <c r="O27" i="45"/>
  <c r="AM27" i="45"/>
  <c r="AE27" i="45"/>
  <c r="W27" i="45"/>
  <c r="AT27" i="45"/>
  <c r="G35" i="45"/>
  <c r="K35" i="45"/>
  <c r="AI35" i="45"/>
  <c r="AQ35" i="45"/>
  <c r="S35" i="45"/>
  <c r="W35" i="45"/>
  <c r="AM35" i="45"/>
  <c r="AA35" i="45"/>
  <c r="AE35" i="45"/>
  <c r="O35" i="45"/>
  <c r="AT35" i="45"/>
  <c r="W26" i="45"/>
  <c r="AA26" i="45"/>
  <c r="AQ26" i="45"/>
  <c r="AM26" i="45"/>
  <c r="S26" i="45"/>
  <c r="AE26" i="45"/>
  <c r="K26" i="45"/>
  <c r="G26" i="45"/>
  <c r="AI26" i="45"/>
  <c r="O26" i="45"/>
  <c r="AT26" i="45"/>
  <c r="AM32" i="45"/>
  <c r="AI32" i="45"/>
  <c r="S32" i="45"/>
  <c r="O32" i="45"/>
  <c r="G32" i="45"/>
  <c r="W32" i="45"/>
  <c r="AE32" i="45"/>
  <c r="AQ32" i="45"/>
  <c r="K32" i="45"/>
  <c r="AA32" i="45"/>
  <c r="AT32" i="45"/>
  <c r="F18" i="59"/>
  <c r="AB67" i="58"/>
  <c r="W22" i="45"/>
  <c r="K22" i="45"/>
  <c r="AA22" i="45"/>
  <c r="AM22" i="45"/>
  <c r="AE22" i="45"/>
  <c r="AQ22" i="45"/>
  <c r="S22" i="45"/>
  <c r="O22" i="45"/>
  <c r="G22" i="45"/>
  <c r="AI22" i="45"/>
  <c r="AT22" i="45"/>
  <c r="AB63" i="58"/>
  <c r="I45" i="21"/>
  <c r="F28" i="59"/>
  <c r="F29" i="59"/>
  <c r="F30" i="59"/>
  <c r="F21" i="59"/>
  <c r="F23" i="59"/>
  <c r="F31" i="59"/>
  <c r="F22" i="59"/>
  <c r="J34" i="48"/>
  <c r="B29" i="59" s="1"/>
  <c r="I45" i="9"/>
  <c r="I45" i="14"/>
  <c r="I51" i="14"/>
  <c r="J36" i="48"/>
  <c r="B31" i="59" s="1"/>
  <c r="ER34" i="1"/>
  <c r="AJ34" i="48"/>
  <c r="D29" i="59" s="1"/>
  <c r="Y34" i="1"/>
  <c r="E35" i="2"/>
  <c r="CC35" i="2" s="1"/>
  <c r="HL34" i="1"/>
  <c r="IY34" i="1"/>
  <c r="I34" i="48"/>
  <c r="X34" i="48"/>
  <c r="H29" i="59" s="1"/>
  <c r="J9" i="23"/>
  <c r="J9" i="21" s="1"/>
  <c r="J9" i="22" s="1"/>
  <c r="J9" i="20" s="1"/>
  <c r="J9" i="19" s="1"/>
  <c r="J9" i="18" s="1"/>
  <c r="I45" i="10"/>
  <c r="R32" i="48"/>
  <c r="C31" i="45" s="1"/>
  <c r="R25" i="48"/>
  <c r="C24" i="45" s="1"/>
  <c r="I45" i="20"/>
  <c r="R22" i="48"/>
  <c r="C21" i="45" s="1"/>
  <c r="I40" i="31"/>
  <c r="FP34" i="1"/>
  <c r="GB34" i="1"/>
  <c r="HU34" i="1"/>
  <c r="IM34" i="1"/>
  <c r="IP34" i="1"/>
  <c r="BF34" i="1"/>
  <c r="AK34" i="1"/>
  <c r="BL34" i="1"/>
  <c r="CS34" i="1"/>
  <c r="IV34" i="1"/>
  <c r="CD34" i="1"/>
  <c r="CA34" i="1"/>
  <c r="DQ34" i="1"/>
  <c r="DW34" i="1"/>
  <c r="CP34" i="1"/>
  <c r="P34" i="1"/>
  <c r="AZ34" i="1"/>
  <c r="EC34" i="1"/>
  <c r="EU34" i="1"/>
  <c r="EX34" i="1"/>
  <c r="FD34" i="1"/>
  <c r="GK34" i="1"/>
  <c r="FG34" i="1"/>
  <c r="FV34" i="1"/>
  <c r="IJ34" i="1"/>
  <c r="DT34" i="1"/>
  <c r="HI34" i="1"/>
  <c r="HO34" i="1"/>
  <c r="GH34" i="1"/>
  <c r="AE34" i="1"/>
  <c r="BO34" i="1"/>
  <c r="M34" i="1"/>
  <c r="DE34" i="1"/>
  <c r="GW34" i="1"/>
  <c r="HX34" i="1"/>
  <c r="EI34" i="1"/>
  <c r="IA34" i="1"/>
  <c r="BR34" i="1"/>
  <c r="FJ34" i="1"/>
  <c r="JB34" i="1"/>
  <c r="I45" i="16"/>
  <c r="AB34" i="1"/>
  <c r="EF34" i="1"/>
  <c r="G34" i="1"/>
  <c r="AW34" i="1"/>
  <c r="EO34" i="1"/>
  <c r="IG34" i="1"/>
  <c r="JH34" i="1"/>
  <c r="FS34" i="1"/>
  <c r="J34" i="1"/>
  <c r="DB34" i="1"/>
  <c r="GT34" i="1"/>
  <c r="I51" i="18"/>
  <c r="AQ34" i="1"/>
  <c r="CV34" i="1"/>
  <c r="AN34" i="1"/>
  <c r="BI34" i="1"/>
  <c r="FA34" i="1"/>
  <c r="IS34" i="1"/>
  <c r="CM34" i="1"/>
  <c r="GE34" i="1"/>
  <c r="V34" i="1"/>
  <c r="DN34" i="1"/>
  <c r="HF34" i="1"/>
  <c r="BX34" i="1"/>
  <c r="GN34" i="1"/>
  <c r="BC34" i="1"/>
  <c r="BU34" i="1"/>
  <c r="FM34" i="1"/>
  <c r="JE34" i="1"/>
  <c r="CY34" i="1"/>
  <c r="GQ34" i="1"/>
  <c r="AH34" i="1"/>
  <c r="DZ34" i="1"/>
  <c r="HR34" i="1"/>
  <c r="DH34" i="1"/>
  <c r="S34" i="1"/>
  <c r="CJ34" i="1"/>
  <c r="CG34" i="1"/>
  <c r="FY34" i="1"/>
  <c r="GZ34" i="1"/>
  <c r="DK34" i="1"/>
  <c r="HC34" i="1"/>
  <c r="AT34" i="1"/>
  <c r="EL34" i="1"/>
  <c r="I40" i="12"/>
  <c r="R30" i="48" s="1"/>
  <c r="C29" i="45" s="1"/>
  <c r="I45" i="17"/>
  <c r="I51" i="17"/>
  <c r="I45" i="15"/>
  <c r="I51" i="15"/>
  <c r="I51" i="16"/>
  <c r="J10" i="16"/>
  <c r="J10" i="15" s="1"/>
  <c r="J10" i="14" s="1"/>
  <c r="J10" i="13" s="1"/>
  <c r="J8" i="17"/>
  <c r="J8" i="16" s="1"/>
  <c r="J8" i="15" s="1"/>
  <c r="J8" i="14" s="1"/>
  <c r="J8" i="13" s="1"/>
  <c r="J29" i="20"/>
  <c r="J29" i="19" s="1"/>
  <c r="J29" i="18" s="1"/>
  <c r="J27" i="20"/>
  <c r="J27" i="19" s="1"/>
  <c r="J27" i="18" s="1"/>
  <c r="J23" i="20"/>
  <c r="J23" i="19" s="1"/>
  <c r="J23" i="18" s="1"/>
  <c r="J26" i="20"/>
  <c r="J26" i="19" s="1"/>
  <c r="J26" i="18" s="1"/>
  <c r="J25" i="20"/>
  <c r="J25" i="19" s="1"/>
  <c r="J25" i="18" s="1"/>
  <c r="J30" i="20"/>
  <c r="J30" i="19" s="1"/>
  <c r="J30" i="18" s="1"/>
  <c r="J28" i="20"/>
  <c r="J28" i="19" s="1"/>
  <c r="J28" i="18" s="1"/>
  <c r="J31" i="20"/>
  <c r="J31" i="19" s="1"/>
  <c r="J31" i="18" s="1"/>
  <c r="I40" i="22"/>
  <c r="R21" i="48" s="1"/>
  <c r="F16" i="59" s="1"/>
  <c r="J19" i="23"/>
  <c r="J19" i="21" s="1"/>
  <c r="J19" i="22" s="1"/>
  <c r="A13" i="1"/>
  <c r="A14" i="2" s="1"/>
  <c r="J22" i="23"/>
  <c r="J22" i="21" s="1"/>
  <c r="J22" i="22" s="1"/>
  <c r="J24" i="23"/>
  <c r="J24" i="21" s="1"/>
  <c r="J24" i="22" s="1"/>
  <c r="J20" i="23"/>
  <c r="J20" i="21" s="1"/>
  <c r="J20" i="22" s="1"/>
  <c r="J16" i="22"/>
  <c r="J16" i="20" s="1"/>
  <c r="J16" i="19" s="1"/>
  <c r="J16" i="18" s="1"/>
  <c r="J16" i="17" s="1"/>
  <c r="J17" i="23"/>
  <c r="J17" i="22" s="1"/>
  <c r="J17" i="20" s="1"/>
  <c r="J17" i="19" s="1"/>
  <c r="J17" i="18" s="1"/>
  <c r="J17" i="17" s="1"/>
  <c r="J21" i="23"/>
  <c r="J21" i="21" s="1"/>
  <c r="J21" i="22" s="1"/>
  <c r="I40" i="23"/>
  <c r="M17" i="23"/>
  <c r="M17" i="21" s="1"/>
  <c r="M17" i="22" s="1"/>
  <c r="M17" i="20" s="1"/>
  <c r="M17" i="19" s="1"/>
  <c r="M17" i="18" s="1"/>
  <c r="M17" i="17" s="1"/>
  <c r="M17" i="16" s="1"/>
  <c r="M17" i="15" s="1"/>
  <c r="M17" i="14" s="1"/>
  <c r="M17" i="13" s="1"/>
  <c r="M17" i="12" s="1"/>
  <c r="M17" i="11" s="1"/>
  <c r="M17" i="10" s="1"/>
  <c r="M17" i="9" s="1"/>
  <c r="M17" i="8" s="1"/>
  <c r="M17" i="7" s="1"/>
  <c r="M17" i="6" s="1"/>
  <c r="M17" i="37" s="1"/>
  <c r="M17" i="4" s="1"/>
  <c r="M17" i="43" s="1"/>
  <c r="J18" i="24"/>
  <c r="I36" i="48"/>
  <c r="E44" i="31"/>
  <c r="K34" i="29"/>
  <c r="I40" i="27"/>
  <c r="R14" i="48" s="1"/>
  <c r="F9" i="59" s="1"/>
  <c r="M9" i="27"/>
  <c r="M9" i="28" s="1"/>
  <c r="M9" i="26" s="1"/>
  <c r="M9" i="25" s="1"/>
  <c r="M9" i="24" s="1"/>
  <c r="M9" i="23" s="1"/>
  <c r="M9" i="21" s="1"/>
  <c r="M9" i="22" s="1"/>
  <c r="M9" i="20" s="1"/>
  <c r="M9" i="19" s="1"/>
  <c r="M9" i="18" s="1"/>
  <c r="M9" i="17" s="1"/>
  <c r="M9" i="16" s="1"/>
  <c r="M9" i="15" s="1"/>
  <c r="M9" i="14" s="1"/>
  <c r="M9" i="13" s="1"/>
  <c r="M9" i="12" s="1"/>
  <c r="M9" i="11" s="1"/>
  <c r="M9" i="10" s="1"/>
  <c r="M9" i="9" s="1"/>
  <c r="M9" i="8" s="1"/>
  <c r="M9" i="7" s="1"/>
  <c r="M9" i="6" s="1"/>
  <c r="M9" i="37" s="1"/>
  <c r="M9" i="4" s="1"/>
  <c r="M9" i="43" s="1"/>
  <c r="AJ36" i="48"/>
  <c r="D31" i="59" s="1"/>
  <c r="E36" i="1"/>
  <c r="HF36" i="1" s="1"/>
  <c r="X36" i="48"/>
  <c r="H31" i="59" s="1"/>
  <c r="K34" i="33"/>
  <c r="D43" i="30"/>
  <c r="E43" i="30" s="1"/>
  <c r="D44" i="29"/>
  <c r="D44" i="27" s="1"/>
  <c r="D44" i="28" s="1"/>
  <c r="D44" i="26" s="1"/>
  <c r="E44" i="26" s="1"/>
  <c r="M34" i="33"/>
  <c r="J40" i="33" s="1"/>
  <c r="J45" i="33" s="1"/>
  <c r="M7" i="32"/>
  <c r="M7" i="31" s="1"/>
  <c r="M7" i="30" s="1"/>
  <c r="M7" i="29" s="1"/>
  <c r="M7" i="27" s="1"/>
  <c r="M7" i="28" s="1"/>
  <c r="E40" i="31"/>
  <c r="D40" i="29"/>
  <c r="D40" i="27" s="1"/>
  <c r="E40" i="27" s="1"/>
  <c r="AJ33" i="48"/>
  <c r="D28" i="59" s="1"/>
  <c r="AJ15" i="48"/>
  <c r="D10" i="59" s="1"/>
  <c r="AJ35" i="48"/>
  <c r="D30" i="59" s="1"/>
  <c r="AJ23" i="48"/>
  <c r="D18" i="59" s="1"/>
  <c r="AJ28" i="48"/>
  <c r="D23" i="59" s="1"/>
  <c r="AJ38" i="48"/>
  <c r="D33" i="59" s="1"/>
  <c r="AJ18" i="48"/>
  <c r="D13" i="59" s="1"/>
  <c r="AJ27" i="48"/>
  <c r="D22" i="59" s="1"/>
  <c r="AJ29" i="48"/>
  <c r="D24" i="59" s="1"/>
  <c r="AJ26" i="48"/>
  <c r="D21" i="59" s="1"/>
  <c r="IY17" i="1"/>
  <c r="IM17" i="1"/>
  <c r="IA17" i="1"/>
  <c r="HO17" i="1"/>
  <c r="HC17" i="1"/>
  <c r="GQ17" i="1"/>
  <c r="GE17" i="1"/>
  <c r="FS17" i="1"/>
  <c r="FG17" i="1"/>
  <c r="EU17" i="1"/>
  <c r="EI17" i="1"/>
  <c r="DW17" i="1"/>
  <c r="DK17" i="1"/>
  <c r="CY17" i="1"/>
  <c r="CM17" i="1"/>
  <c r="CA17" i="1"/>
  <c r="BO17" i="1"/>
  <c r="BC17" i="1"/>
  <c r="AQ17" i="1"/>
  <c r="AE17" i="1"/>
  <c r="S17" i="1"/>
  <c r="G17" i="1"/>
  <c r="JH17" i="1"/>
  <c r="IV17" i="1"/>
  <c r="IJ17" i="1"/>
  <c r="HX17" i="1"/>
  <c r="HL17" i="1"/>
  <c r="GZ17" i="1"/>
  <c r="GN17" i="1"/>
  <c r="GB17" i="1"/>
  <c r="FP17" i="1"/>
  <c r="FD17" i="1"/>
  <c r="ER17" i="1"/>
  <c r="EF17" i="1"/>
  <c r="DT17" i="1"/>
  <c r="DH17" i="1"/>
  <c r="CV17" i="1"/>
  <c r="CJ17" i="1"/>
  <c r="BX17" i="1"/>
  <c r="BL17" i="1"/>
  <c r="AZ17" i="1"/>
  <c r="AN17" i="1"/>
  <c r="AB17" i="1"/>
  <c r="P17" i="1"/>
  <c r="JE17" i="1"/>
  <c r="IS17" i="1"/>
  <c r="IG17" i="1"/>
  <c r="HU17" i="1"/>
  <c r="HI17" i="1"/>
  <c r="GW17" i="1"/>
  <c r="GK17" i="1"/>
  <c r="FY17" i="1"/>
  <c r="FM17" i="1"/>
  <c r="FA17" i="1"/>
  <c r="EO17" i="1"/>
  <c r="EC17" i="1"/>
  <c r="DQ17" i="1"/>
  <c r="DE17" i="1"/>
  <c r="CS17" i="1"/>
  <c r="CG17" i="1"/>
  <c r="BU17" i="1"/>
  <c r="BI17" i="1"/>
  <c r="AW17" i="1"/>
  <c r="AK17" i="1"/>
  <c r="Y17" i="1"/>
  <c r="M17" i="1"/>
  <c r="JB17" i="1"/>
  <c r="IP17" i="1"/>
  <c r="ID17" i="1"/>
  <c r="HR17" i="1"/>
  <c r="HF17" i="1"/>
  <c r="GT17" i="1"/>
  <c r="GH17" i="1"/>
  <c r="FV17" i="1"/>
  <c r="FJ17" i="1"/>
  <c r="EX17" i="1"/>
  <c r="EL17" i="1"/>
  <c r="DZ17" i="1"/>
  <c r="DN17" i="1"/>
  <c r="DB17" i="1"/>
  <c r="CP17" i="1"/>
  <c r="CD17" i="1"/>
  <c r="BR17" i="1"/>
  <c r="BF17" i="1"/>
  <c r="AT17" i="1"/>
  <c r="AH17" i="1"/>
  <c r="V17" i="1"/>
  <c r="J17" i="1"/>
  <c r="E17" i="2"/>
  <c r="CC17" i="2" s="1"/>
  <c r="JE16" i="1"/>
  <c r="IS16" i="1"/>
  <c r="IG16" i="1"/>
  <c r="HU16" i="1"/>
  <c r="HI16" i="1"/>
  <c r="GW16" i="1"/>
  <c r="GK16" i="1"/>
  <c r="FY16" i="1"/>
  <c r="FM16" i="1"/>
  <c r="FA16" i="1"/>
  <c r="EO16" i="1"/>
  <c r="EC16" i="1"/>
  <c r="DQ16" i="1"/>
  <c r="DE16" i="1"/>
  <c r="CS16" i="1"/>
  <c r="CG16" i="1"/>
  <c r="BU16" i="1"/>
  <c r="BI16" i="1"/>
  <c r="AW16" i="1"/>
  <c r="AK16" i="1"/>
  <c r="Y16" i="1"/>
  <c r="M16" i="1"/>
  <c r="JB16" i="1"/>
  <c r="IP16" i="1"/>
  <c r="ID16" i="1"/>
  <c r="HR16" i="1"/>
  <c r="HF16" i="1"/>
  <c r="GT16" i="1"/>
  <c r="GH16" i="1"/>
  <c r="FV16" i="1"/>
  <c r="FJ16" i="1"/>
  <c r="EX16" i="1"/>
  <c r="EL16" i="1"/>
  <c r="DZ16" i="1"/>
  <c r="DN16" i="1"/>
  <c r="DB16" i="1"/>
  <c r="CP16" i="1"/>
  <c r="CD16" i="1"/>
  <c r="BR16" i="1"/>
  <c r="BF16" i="1"/>
  <c r="AT16" i="1"/>
  <c r="AH16" i="1"/>
  <c r="V16" i="1"/>
  <c r="J16" i="1"/>
  <c r="IY16" i="1"/>
  <c r="IM16" i="1"/>
  <c r="IA16" i="1"/>
  <c r="HO16" i="1"/>
  <c r="HC16" i="1"/>
  <c r="GQ16" i="1"/>
  <c r="GE16" i="1"/>
  <c r="FS16" i="1"/>
  <c r="FG16" i="1"/>
  <c r="EU16" i="1"/>
  <c r="EI16" i="1"/>
  <c r="DW16" i="1"/>
  <c r="DK16" i="1"/>
  <c r="CY16" i="1"/>
  <c r="CM16" i="1"/>
  <c r="CA16" i="1"/>
  <c r="BO16" i="1"/>
  <c r="BC16" i="1"/>
  <c r="AQ16" i="1"/>
  <c r="AE16" i="1"/>
  <c r="S16" i="1"/>
  <c r="G16" i="1"/>
  <c r="JH16" i="1"/>
  <c r="IV16" i="1"/>
  <c r="IJ16" i="1"/>
  <c r="HX16" i="1"/>
  <c r="HL16" i="1"/>
  <c r="GZ16" i="1"/>
  <c r="GN16" i="1"/>
  <c r="GB16" i="1"/>
  <c r="FP16" i="1"/>
  <c r="FD16" i="1"/>
  <c r="ER16" i="1"/>
  <c r="EF16" i="1"/>
  <c r="DT16" i="1"/>
  <c r="DH16" i="1"/>
  <c r="CV16" i="1"/>
  <c r="CJ16" i="1"/>
  <c r="BX16" i="1"/>
  <c r="BL16" i="1"/>
  <c r="AZ16" i="1"/>
  <c r="AN16" i="1"/>
  <c r="AB16" i="1"/>
  <c r="P16" i="1"/>
  <c r="M8" i="32"/>
  <c r="M8" i="31" s="1"/>
  <c r="M8" i="30" s="1"/>
  <c r="M8" i="29" s="1"/>
  <c r="M8" i="27" s="1"/>
  <c r="M8" i="28" s="1"/>
  <c r="M8" i="26" s="1"/>
  <c r="M8" i="25" s="1"/>
  <c r="M8" i="24" s="1"/>
  <c r="M8" i="23" s="1"/>
  <c r="M8" i="21" s="1"/>
  <c r="M8" i="22" s="1"/>
  <c r="M8" i="20" s="1"/>
  <c r="M8" i="19" s="1"/>
  <c r="M8" i="18" s="1"/>
  <c r="M8" i="17" s="1"/>
  <c r="M8" i="16" s="1"/>
  <c r="M8" i="15" s="1"/>
  <c r="M8" i="14" s="1"/>
  <c r="M8" i="13" s="1"/>
  <c r="M8" i="12" s="1"/>
  <c r="M8" i="11" s="1"/>
  <c r="M8" i="10" s="1"/>
  <c r="M8" i="9" s="1"/>
  <c r="M8" i="8" s="1"/>
  <c r="M8" i="7" s="1"/>
  <c r="M8" i="6" s="1"/>
  <c r="M8" i="37" s="1"/>
  <c r="M8" i="4" s="1"/>
  <c r="M8" i="43" s="1"/>
  <c r="D53" i="32"/>
  <c r="K34" i="32"/>
  <c r="E52" i="32"/>
  <c r="E53" i="32" s="1"/>
  <c r="W11" i="48"/>
  <c r="D41" i="30"/>
  <c r="D41" i="29" s="1"/>
  <c r="D41" i="27" s="1"/>
  <c r="E48" i="30"/>
  <c r="E45" i="30"/>
  <c r="D49" i="30"/>
  <c r="D49" i="29" s="1"/>
  <c r="E49" i="29" s="1"/>
  <c r="E18" i="2"/>
  <c r="X35" i="48"/>
  <c r="H30" i="59" s="1"/>
  <c r="I35" i="48"/>
  <c r="E35" i="1"/>
  <c r="J35" i="48"/>
  <c r="B30" i="59" s="1"/>
  <c r="K34" i="11"/>
  <c r="M20" i="11"/>
  <c r="M20" i="10" s="1"/>
  <c r="M20" i="9" s="1"/>
  <c r="M20" i="8" s="1"/>
  <c r="M20" i="7" s="1"/>
  <c r="M20" i="6" s="1"/>
  <c r="M20" i="37" s="1"/>
  <c r="M20" i="4" s="1"/>
  <c r="M20" i="43" s="1"/>
  <c r="V146" i="46"/>
  <c r="I10" i="54" s="1"/>
  <c r="E39" i="53" s="1"/>
  <c r="X27" i="48"/>
  <c r="H22" i="59" s="1"/>
  <c r="I27" i="48"/>
  <c r="E27" i="1"/>
  <c r="J27" i="48"/>
  <c r="B22" i="59" s="1"/>
  <c r="X26" i="48"/>
  <c r="H21" i="59" s="1"/>
  <c r="J26" i="48"/>
  <c r="B21" i="59" s="1"/>
  <c r="E26" i="1"/>
  <c r="I26" i="48"/>
  <c r="I15" i="48"/>
  <c r="E15" i="1"/>
  <c r="C14" i="45"/>
  <c r="X15" i="48"/>
  <c r="H10" i="59" s="1"/>
  <c r="J15" i="48"/>
  <c r="B10" i="59" s="1"/>
  <c r="K34" i="30"/>
  <c r="M11" i="30"/>
  <c r="M11" i="29" s="1"/>
  <c r="M11" i="27" s="1"/>
  <c r="M11" i="28" s="1"/>
  <c r="M11" i="26" s="1"/>
  <c r="M11" i="25" s="1"/>
  <c r="M11" i="24" s="1"/>
  <c r="M11" i="23" s="1"/>
  <c r="M11" i="21" s="1"/>
  <c r="M11" i="22" s="1"/>
  <c r="M11" i="20" s="1"/>
  <c r="M11" i="19" s="1"/>
  <c r="M11" i="18" s="1"/>
  <c r="M11" i="17" s="1"/>
  <c r="M11" i="16" s="1"/>
  <c r="M11" i="15" s="1"/>
  <c r="M11" i="14" s="1"/>
  <c r="M11" i="13" s="1"/>
  <c r="M11" i="12" s="1"/>
  <c r="M11" i="11" s="1"/>
  <c r="M11" i="10" s="1"/>
  <c r="M11" i="9" s="1"/>
  <c r="M11" i="8" s="1"/>
  <c r="M11" i="7" s="1"/>
  <c r="M11" i="6" s="1"/>
  <c r="M11" i="37" s="1"/>
  <c r="M11" i="4" s="1"/>
  <c r="M11" i="43" s="1"/>
  <c r="E33" i="1"/>
  <c r="X33" i="48"/>
  <c r="H28" i="59" s="1"/>
  <c r="J33" i="48"/>
  <c r="B28" i="59" s="1"/>
  <c r="I33" i="48"/>
  <c r="J18" i="48"/>
  <c r="B13" i="59" s="1"/>
  <c r="C17" i="45"/>
  <c r="X18" i="48"/>
  <c r="H13" i="59" s="1"/>
  <c r="I18" i="48"/>
  <c r="E18" i="1"/>
  <c r="I29" i="48"/>
  <c r="X29" i="48"/>
  <c r="H24" i="59" s="1"/>
  <c r="J29" i="48"/>
  <c r="B24" i="59" s="1"/>
  <c r="E29" i="1"/>
  <c r="E47" i="31"/>
  <c r="E46" i="31"/>
  <c r="E38" i="31"/>
  <c r="D48" i="26"/>
  <c r="D48" i="25" s="1"/>
  <c r="E48" i="31"/>
  <c r="E48" i="27"/>
  <c r="E48" i="29"/>
  <c r="E42" i="31"/>
  <c r="D52" i="31"/>
  <c r="D53" i="31" s="1"/>
  <c r="D51" i="30"/>
  <c r="D51" i="29" s="1"/>
  <c r="E51" i="29" s="1"/>
  <c r="E45" i="31"/>
  <c r="E45" i="29"/>
  <c r="D45" i="27"/>
  <c r="D50" i="27"/>
  <c r="D50" i="28" s="1"/>
  <c r="D42" i="29"/>
  <c r="E42" i="30"/>
  <c r="D46" i="29"/>
  <c r="E46" i="30"/>
  <c r="D39" i="29"/>
  <c r="E39" i="30"/>
  <c r="E47" i="30"/>
  <c r="D47" i="29"/>
  <c r="E37" i="1"/>
  <c r="E23" i="1"/>
  <c r="W16" i="45"/>
  <c r="AA16" i="45"/>
  <c r="O16" i="45"/>
  <c r="K16" i="45"/>
  <c r="AE16" i="45"/>
  <c r="AM16" i="45"/>
  <c r="S16" i="45"/>
  <c r="AQ16" i="45"/>
  <c r="AI16" i="45"/>
  <c r="E28" i="1"/>
  <c r="E38" i="1"/>
  <c r="J38" i="48"/>
  <c r="B33" i="59" s="1"/>
  <c r="I38" i="48"/>
  <c r="X38" i="48"/>
  <c r="H33" i="59" s="1"/>
  <c r="J37" i="31"/>
  <c r="J39" i="32"/>
  <c r="AI15" i="45"/>
  <c r="K15" i="45"/>
  <c r="AE15" i="45"/>
  <c r="AA15" i="45"/>
  <c r="S15" i="45"/>
  <c r="O15" i="45"/>
  <c r="AQ15" i="45"/>
  <c r="AM15" i="45"/>
  <c r="W15" i="45"/>
  <c r="I28" i="48"/>
  <c r="J28" i="48"/>
  <c r="B23" i="59" s="1"/>
  <c r="X28" i="48"/>
  <c r="H23" i="59" s="1"/>
  <c r="I22" i="48"/>
  <c r="J22" i="48"/>
  <c r="B17" i="59" s="1"/>
  <c r="J37" i="48"/>
  <c r="B32" i="59" s="1"/>
  <c r="I37" i="48"/>
  <c r="X37" i="48"/>
  <c r="H32" i="59" s="1"/>
  <c r="X23" i="48"/>
  <c r="H18" i="59" s="1"/>
  <c r="I23" i="48"/>
  <c r="J23" i="48"/>
  <c r="B18" i="59" s="1"/>
  <c r="AD40" i="45"/>
  <c r="AP40" i="45"/>
  <c r="AX22" i="45" s="1"/>
  <c r="AX24" i="45" s="1"/>
  <c r="AH40" i="45"/>
  <c r="Z40" i="45"/>
  <c r="R40" i="45"/>
  <c r="N40" i="45"/>
  <c r="J40" i="45"/>
  <c r="V40" i="45"/>
  <c r="AL40" i="45"/>
  <c r="D38" i="29"/>
  <c r="E38" i="30"/>
  <c r="J49" i="29"/>
  <c r="J50" i="30"/>
  <c r="J57" i="16"/>
  <c r="J57" i="28"/>
  <c r="J56" i="21"/>
  <c r="J43" i="29"/>
  <c r="J44" i="30"/>
  <c r="W12" i="48"/>
  <c r="Q13" i="48"/>
  <c r="AE36" i="45" l="1"/>
  <c r="I45" i="37"/>
  <c r="G36" i="45"/>
  <c r="W36" i="45"/>
  <c r="K36" i="45"/>
  <c r="AJ37" i="48"/>
  <c r="D32" i="59" s="1"/>
  <c r="AT36" i="45"/>
  <c r="O36" i="45"/>
  <c r="F32" i="59"/>
  <c r="AM36" i="45"/>
  <c r="AQ36" i="45"/>
  <c r="I51" i="37"/>
  <c r="S36" i="45"/>
  <c r="X135" i="46"/>
  <c r="AA135" i="46"/>
  <c r="AB135" i="46" s="1"/>
  <c r="AI23" i="45"/>
  <c r="X24" i="48"/>
  <c r="H19" i="59" s="1"/>
  <c r="F19" i="59"/>
  <c r="J24" i="48"/>
  <c r="B19" i="59" s="1"/>
  <c r="I45" i="18"/>
  <c r="I24" i="48"/>
  <c r="AT23" i="45"/>
  <c r="O23" i="45"/>
  <c r="E24" i="1"/>
  <c r="AJ24" i="48"/>
  <c r="D19" i="59" s="1"/>
  <c r="W23" i="45"/>
  <c r="K23" i="45"/>
  <c r="AB50" i="58"/>
  <c r="X15" i="46"/>
  <c r="AA15" i="46"/>
  <c r="AB15" i="46" s="1"/>
  <c r="X50" i="46"/>
  <c r="AA50" i="46"/>
  <c r="AB50" i="46" s="1"/>
  <c r="X58" i="46"/>
  <c r="AA58" i="46"/>
  <c r="AB58" i="46" s="1"/>
  <c r="AE23" i="45"/>
  <c r="X71" i="46"/>
  <c r="AA71" i="46"/>
  <c r="AB71" i="46" s="1"/>
  <c r="S23" i="45"/>
  <c r="AQ23" i="45"/>
  <c r="G23" i="45"/>
  <c r="E22" i="1"/>
  <c r="AB71" i="58"/>
  <c r="AQ29" i="45"/>
  <c r="AA29" i="45"/>
  <c r="O29" i="45"/>
  <c r="K29" i="45"/>
  <c r="W29" i="45"/>
  <c r="AI29" i="45"/>
  <c r="AM29" i="45"/>
  <c r="AE29" i="45"/>
  <c r="G29" i="45"/>
  <c r="S29" i="45"/>
  <c r="AT29" i="45"/>
  <c r="AM21" i="45"/>
  <c r="W21" i="45"/>
  <c r="G21" i="45"/>
  <c r="AQ21" i="45"/>
  <c r="AI21" i="45"/>
  <c r="AA21" i="45"/>
  <c r="K21" i="45"/>
  <c r="AE21" i="45"/>
  <c r="O21" i="45"/>
  <c r="S21" i="45"/>
  <c r="AT21" i="45"/>
  <c r="W24" i="45"/>
  <c r="AA24" i="45"/>
  <c r="AE24" i="45"/>
  <c r="AI24" i="45"/>
  <c r="AQ24" i="45"/>
  <c r="G24" i="45"/>
  <c r="O24" i="45"/>
  <c r="AM24" i="45"/>
  <c r="K24" i="45"/>
  <c r="S24" i="45"/>
  <c r="AT24" i="45"/>
  <c r="AE31" i="45"/>
  <c r="O31" i="45"/>
  <c r="S31" i="45"/>
  <c r="AQ31" i="45"/>
  <c r="AI31" i="45"/>
  <c r="K31" i="45"/>
  <c r="AM31" i="45"/>
  <c r="AA31" i="45"/>
  <c r="G31" i="45"/>
  <c r="W31" i="45"/>
  <c r="AT31" i="45"/>
  <c r="F25" i="59"/>
  <c r="F17" i="59"/>
  <c r="F27" i="59"/>
  <c r="X22" i="48"/>
  <c r="H17" i="59" s="1"/>
  <c r="AJ22" i="48"/>
  <c r="D17" i="59" s="1"/>
  <c r="AB15" i="58"/>
  <c r="J32" i="48"/>
  <c r="B27" i="59" s="1"/>
  <c r="AJ32" i="48"/>
  <c r="D27" i="59" s="1"/>
  <c r="E32" i="1"/>
  <c r="GE32" i="1" s="1"/>
  <c r="E25" i="1"/>
  <c r="EF25" i="1" s="1"/>
  <c r="F20" i="59"/>
  <c r="X25" i="48"/>
  <c r="H20" i="59" s="1"/>
  <c r="J25" i="48"/>
  <c r="B20" i="59" s="1"/>
  <c r="I25" i="48"/>
  <c r="X32" i="48"/>
  <c r="H27" i="59" s="1"/>
  <c r="AJ25" i="48"/>
  <c r="D20" i="59" s="1"/>
  <c r="R19" i="48"/>
  <c r="E19" i="1" s="1"/>
  <c r="GZ19" i="1" s="1"/>
  <c r="I45" i="31"/>
  <c r="R11" i="48"/>
  <c r="F6" i="59" s="1"/>
  <c r="I51" i="31"/>
  <c r="I32" i="48"/>
  <c r="I45" i="12"/>
  <c r="I51" i="12"/>
  <c r="J10" i="12"/>
  <c r="J10" i="11" s="1"/>
  <c r="J8" i="12"/>
  <c r="J8" i="11" s="1"/>
  <c r="J8" i="10" s="1"/>
  <c r="A14" i="1"/>
  <c r="A15" i="2" s="1"/>
  <c r="J41" i="33"/>
  <c r="J51" i="33"/>
  <c r="K56" i="33"/>
  <c r="K57" i="33"/>
  <c r="J31" i="17"/>
  <c r="J31" i="16" s="1"/>
  <c r="J31" i="15" s="1"/>
  <c r="J31" i="14" s="1"/>
  <c r="J31" i="13" s="1"/>
  <c r="J31" i="12" s="1"/>
  <c r="J31" i="11" s="1"/>
  <c r="J31" i="10" s="1"/>
  <c r="J23" i="17"/>
  <c r="J23" i="16" s="1"/>
  <c r="J28" i="17"/>
  <c r="J28" i="16" s="1"/>
  <c r="J28" i="15" s="1"/>
  <c r="J28" i="14" s="1"/>
  <c r="J28" i="13" s="1"/>
  <c r="J27" i="17"/>
  <c r="J27" i="16" s="1"/>
  <c r="J27" i="15" s="1"/>
  <c r="J27" i="14" s="1"/>
  <c r="J27" i="13" s="1"/>
  <c r="J29" i="17"/>
  <c r="J29" i="16" s="1"/>
  <c r="J29" i="15" s="1"/>
  <c r="J29" i="14" s="1"/>
  <c r="J29" i="13" s="1"/>
  <c r="J11" i="16"/>
  <c r="J9" i="17"/>
  <c r="J9" i="16" s="1"/>
  <c r="J9" i="15" s="1"/>
  <c r="J9" i="14" s="1"/>
  <c r="J9" i="13" s="1"/>
  <c r="J30" i="17"/>
  <c r="J30" i="16" s="1"/>
  <c r="J30" i="15" s="1"/>
  <c r="J30" i="14" s="1"/>
  <c r="J30" i="13" s="1"/>
  <c r="J30" i="12" s="1"/>
  <c r="J30" i="11" s="1"/>
  <c r="J30" i="10" s="1"/>
  <c r="J26" i="17"/>
  <c r="J26" i="16" s="1"/>
  <c r="J26" i="15" s="1"/>
  <c r="J25" i="17"/>
  <c r="J25" i="16" s="1"/>
  <c r="J25" i="15" s="1"/>
  <c r="I45" i="22"/>
  <c r="I51" i="22"/>
  <c r="J21" i="20"/>
  <c r="J21" i="19" s="1"/>
  <c r="J21" i="18" s="1"/>
  <c r="J12" i="16"/>
  <c r="J12" i="15" s="1"/>
  <c r="J12" i="14" s="1"/>
  <c r="J12" i="13" s="1"/>
  <c r="J12" i="12" s="1"/>
  <c r="J12" i="11" s="1"/>
  <c r="J22" i="20"/>
  <c r="J22" i="19" s="1"/>
  <c r="J22" i="18" s="1"/>
  <c r="J20" i="20"/>
  <c r="J20" i="19" s="1"/>
  <c r="J20" i="18" s="1"/>
  <c r="J24" i="20"/>
  <c r="J24" i="19" s="1"/>
  <c r="J24" i="18" s="1"/>
  <c r="J19" i="20"/>
  <c r="J19" i="19" s="1"/>
  <c r="J19" i="18" s="1"/>
  <c r="I21" i="48"/>
  <c r="C20" i="45"/>
  <c r="E21" i="1"/>
  <c r="AJ21" i="48"/>
  <c r="D16" i="59" s="1"/>
  <c r="X21" i="48"/>
  <c r="H16" i="59" s="1"/>
  <c r="J21" i="48"/>
  <c r="B16" i="59" s="1"/>
  <c r="J18" i="23"/>
  <c r="J18" i="21" s="1"/>
  <c r="J18" i="22" s="1"/>
  <c r="I45" i="23"/>
  <c r="I51" i="23"/>
  <c r="P36" i="1"/>
  <c r="E44" i="29"/>
  <c r="BL36" i="1"/>
  <c r="FG36" i="1"/>
  <c r="GH36" i="1"/>
  <c r="GW36" i="1"/>
  <c r="AQ36" i="1"/>
  <c r="BR36" i="1"/>
  <c r="FP36" i="1"/>
  <c r="I40" i="33"/>
  <c r="I40" i="29"/>
  <c r="R13" i="48" s="1"/>
  <c r="F8" i="59" s="1"/>
  <c r="HU36" i="1"/>
  <c r="BO36" i="1"/>
  <c r="FY36" i="1"/>
  <c r="IV36" i="1"/>
  <c r="J36" i="1"/>
  <c r="DQ36" i="1"/>
  <c r="EF36" i="1"/>
  <c r="IA36" i="1"/>
  <c r="JB36" i="1"/>
  <c r="GZ36" i="1"/>
  <c r="CM36" i="1"/>
  <c r="DN36" i="1"/>
  <c r="I45" i="27"/>
  <c r="I51" i="27"/>
  <c r="FD36" i="1"/>
  <c r="IY36" i="1"/>
  <c r="Y36" i="1"/>
  <c r="AN36" i="1"/>
  <c r="EI36" i="1"/>
  <c r="FJ36" i="1"/>
  <c r="DH36" i="1"/>
  <c r="JH36" i="1"/>
  <c r="V36" i="1"/>
  <c r="EC36" i="1"/>
  <c r="IJ36" i="1"/>
  <c r="IM36" i="1"/>
  <c r="M36" i="1"/>
  <c r="DT36" i="1"/>
  <c r="CG36" i="1"/>
  <c r="IG36" i="1"/>
  <c r="DE36" i="1"/>
  <c r="BX36" i="1"/>
  <c r="AK36" i="1"/>
  <c r="ER36" i="1"/>
  <c r="EU36" i="1"/>
  <c r="FV36" i="1"/>
  <c r="AB36" i="1"/>
  <c r="HO36" i="1"/>
  <c r="IP36" i="1"/>
  <c r="EO36" i="1"/>
  <c r="CP36" i="1"/>
  <c r="GT36" i="1"/>
  <c r="AZ36" i="1"/>
  <c r="BC36" i="1"/>
  <c r="CD36" i="1"/>
  <c r="GK36" i="1"/>
  <c r="DW36" i="1"/>
  <c r="EX36" i="1"/>
  <c r="AW36" i="1"/>
  <c r="HL36" i="1"/>
  <c r="CA36" i="1"/>
  <c r="DB36" i="1"/>
  <c r="HI36" i="1"/>
  <c r="HX36" i="1"/>
  <c r="CS36" i="1"/>
  <c r="AE36" i="1"/>
  <c r="BF36" i="1"/>
  <c r="GE36" i="1"/>
  <c r="E44" i="28"/>
  <c r="FS36" i="1"/>
  <c r="S36" i="1"/>
  <c r="FM36" i="1"/>
  <c r="AT36" i="1"/>
  <c r="G36" i="1"/>
  <c r="FA36" i="1"/>
  <c r="AH36" i="1"/>
  <c r="ID36" i="1"/>
  <c r="GN36" i="1"/>
  <c r="BU36" i="1"/>
  <c r="E37" i="2"/>
  <c r="CC37" i="2" s="1"/>
  <c r="GB36" i="1"/>
  <c r="BI36" i="1"/>
  <c r="HC36" i="1"/>
  <c r="CV36" i="1"/>
  <c r="GQ36" i="1"/>
  <c r="CJ36" i="1"/>
  <c r="HR36" i="1"/>
  <c r="CY36" i="1"/>
  <c r="DZ36" i="1"/>
  <c r="DK36" i="1"/>
  <c r="JE36" i="1"/>
  <c r="EL36" i="1"/>
  <c r="IS36" i="1"/>
  <c r="T2" i="54"/>
  <c r="X155" i="58"/>
  <c r="D44" i="25"/>
  <c r="D44" i="24" s="1"/>
  <c r="D44" i="23" s="1"/>
  <c r="D44" i="21" s="1"/>
  <c r="E44" i="27"/>
  <c r="D43" i="29"/>
  <c r="D43" i="27" s="1"/>
  <c r="D43" i="28" s="1"/>
  <c r="E43" i="28" s="1"/>
  <c r="D40" i="28"/>
  <c r="E40" i="28" s="1"/>
  <c r="E40" i="29"/>
  <c r="E35" i="53"/>
  <c r="E32" i="53"/>
  <c r="E36" i="53"/>
  <c r="E4" i="53"/>
  <c r="E24" i="53"/>
  <c r="E16" i="53"/>
  <c r="E8" i="53"/>
  <c r="E37" i="53"/>
  <c r="E31" i="53"/>
  <c r="E28" i="53"/>
  <c r="E20" i="53"/>
  <c r="E26" i="53"/>
  <c r="E25" i="53"/>
  <c r="E21" i="53"/>
  <c r="E19" i="53"/>
  <c r="E30" i="53"/>
  <c r="E29" i="53"/>
  <c r="E34" i="53"/>
  <c r="E33" i="53"/>
  <c r="E7" i="53"/>
  <c r="E23" i="53"/>
  <c r="E38" i="53"/>
  <c r="E22" i="53"/>
  <c r="E11" i="53"/>
  <c r="E27" i="53"/>
  <c r="E6" i="53"/>
  <c r="E5" i="53"/>
  <c r="E10" i="53"/>
  <c r="E9" i="53"/>
  <c r="E18" i="53"/>
  <c r="E17" i="53"/>
  <c r="E19" i="2"/>
  <c r="CC19" i="2" s="1"/>
  <c r="JB18" i="1"/>
  <c r="IP18" i="1"/>
  <c r="ID18" i="1"/>
  <c r="HR18" i="1"/>
  <c r="HF18" i="1"/>
  <c r="GT18" i="1"/>
  <c r="GH18" i="1"/>
  <c r="FV18" i="1"/>
  <c r="FJ18" i="1"/>
  <c r="EX18" i="1"/>
  <c r="EL18" i="1"/>
  <c r="DZ18" i="1"/>
  <c r="DN18" i="1"/>
  <c r="DB18" i="1"/>
  <c r="CP18" i="1"/>
  <c r="BR18" i="1"/>
  <c r="BF18" i="1"/>
  <c r="AT18" i="1"/>
  <c r="AH18" i="1"/>
  <c r="V18" i="1"/>
  <c r="J18" i="1"/>
  <c r="IY18" i="1"/>
  <c r="IM18" i="1"/>
  <c r="IA18" i="1"/>
  <c r="HO18" i="1"/>
  <c r="HC18" i="1"/>
  <c r="GQ18" i="1"/>
  <c r="GE18" i="1"/>
  <c r="FS18" i="1"/>
  <c r="FG18" i="1"/>
  <c r="EU18" i="1"/>
  <c r="EI18" i="1"/>
  <c r="DW18" i="1"/>
  <c r="DK18" i="1"/>
  <c r="CY18" i="1"/>
  <c r="CM18" i="1"/>
  <c r="CA18" i="1"/>
  <c r="BO18" i="1"/>
  <c r="BC18" i="1"/>
  <c r="AQ18" i="1"/>
  <c r="AE18" i="1"/>
  <c r="S18" i="1"/>
  <c r="G18" i="1"/>
  <c r="JH18" i="1"/>
  <c r="IV18" i="1"/>
  <c r="IJ18" i="1"/>
  <c r="HX18" i="1"/>
  <c r="HL18" i="1"/>
  <c r="GZ18" i="1"/>
  <c r="GN18" i="1"/>
  <c r="GB18" i="1"/>
  <c r="FP18" i="1"/>
  <c r="FD18" i="1"/>
  <c r="ER18" i="1"/>
  <c r="EF18" i="1"/>
  <c r="DT18" i="1"/>
  <c r="DH18" i="1"/>
  <c r="CV18" i="1"/>
  <c r="CJ18" i="1"/>
  <c r="BX18" i="1"/>
  <c r="BL18" i="1"/>
  <c r="AZ18" i="1"/>
  <c r="AN18" i="1"/>
  <c r="AB18" i="1"/>
  <c r="P18" i="1"/>
  <c r="JE18" i="1"/>
  <c r="IS18" i="1"/>
  <c r="IG18" i="1"/>
  <c r="HU18" i="1"/>
  <c r="HI18" i="1"/>
  <c r="GW18" i="1"/>
  <c r="GK18" i="1"/>
  <c r="FY18" i="1"/>
  <c r="FM18" i="1"/>
  <c r="FA18" i="1"/>
  <c r="EO18" i="1"/>
  <c r="EC18" i="1"/>
  <c r="DQ18" i="1"/>
  <c r="DE18" i="1"/>
  <c r="CS18" i="1"/>
  <c r="CG18" i="1"/>
  <c r="BU18" i="1"/>
  <c r="BI18" i="1"/>
  <c r="AW18" i="1"/>
  <c r="AK18" i="1"/>
  <c r="Y18" i="1"/>
  <c r="M18" i="1"/>
  <c r="E24" i="2"/>
  <c r="CC24" i="2" s="1"/>
  <c r="JB23" i="1"/>
  <c r="IP23" i="1"/>
  <c r="ID23" i="1"/>
  <c r="HR23" i="1"/>
  <c r="HF23" i="1"/>
  <c r="GT23" i="1"/>
  <c r="GH23" i="1"/>
  <c r="FV23" i="1"/>
  <c r="FJ23" i="1"/>
  <c r="EX23" i="1"/>
  <c r="EL23" i="1"/>
  <c r="DZ23" i="1"/>
  <c r="DN23" i="1"/>
  <c r="DB23" i="1"/>
  <c r="CP23" i="1"/>
  <c r="CD23" i="1"/>
  <c r="BR23" i="1"/>
  <c r="BF23" i="1"/>
  <c r="AT23" i="1"/>
  <c r="AH23" i="1"/>
  <c r="V23" i="1"/>
  <c r="J23" i="1"/>
  <c r="IY23" i="1"/>
  <c r="IM23" i="1"/>
  <c r="IA23" i="1"/>
  <c r="HO23" i="1"/>
  <c r="HC23" i="1"/>
  <c r="GQ23" i="1"/>
  <c r="GE23" i="1"/>
  <c r="FS23" i="1"/>
  <c r="FG23" i="1"/>
  <c r="EU23" i="1"/>
  <c r="EI23" i="1"/>
  <c r="DW23" i="1"/>
  <c r="DK23" i="1"/>
  <c r="CY23" i="1"/>
  <c r="CM23" i="1"/>
  <c r="CA23" i="1"/>
  <c r="BO23" i="1"/>
  <c r="BC23" i="1"/>
  <c r="AQ23" i="1"/>
  <c r="AE23" i="1"/>
  <c r="S23" i="1"/>
  <c r="G23" i="1"/>
  <c r="JH23" i="1"/>
  <c r="IV23" i="1"/>
  <c r="IJ23" i="1"/>
  <c r="HX23" i="1"/>
  <c r="HL23" i="1"/>
  <c r="GZ23" i="1"/>
  <c r="GN23" i="1"/>
  <c r="GB23" i="1"/>
  <c r="FP23" i="1"/>
  <c r="FD23" i="1"/>
  <c r="ER23" i="1"/>
  <c r="EF23" i="1"/>
  <c r="DT23" i="1"/>
  <c r="DH23" i="1"/>
  <c r="CV23" i="1"/>
  <c r="CJ23" i="1"/>
  <c r="BX23" i="1"/>
  <c r="BL23" i="1"/>
  <c r="AZ23" i="1"/>
  <c r="AN23" i="1"/>
  <c r="AB23" i="1"/>
  <c r="P23" i="1"/>
  <c r="JE23" i="1"/>
  <c r="IS23" i="1"/>
  <c r="IG23" i="1"/>
  <c r="HU23" i="1"/>
  <c r="HI23" i="1"/>
  <c r="GW23" i="1"/>
  <c r="GK23" i="1"/>
  <c r="FY23" i="1"/>
  <c r="FM23" i="1"/>
  <c r="FA23" i="1"/>
  <c r="EO23" i="1"/>
  <c r="EC23" i="1"/>
  <c r="DQ23" i="1"/>
  <c r="DE23" i="1"/>
  <c r="CS23" i="1"/>
  <c r="CG23" i="1"/>
  <c r="BU23" i="1"/>
  <c r="BI23" i="1"/>
  <c r="AW23" i="1"/>
  <c r="AK23" i="1"/>
  <c r="Y23" i="1"/>
  <c r="M23" i="1"/>
  <c r="E39" i="2"/>
  <c r="CC39" i="2" s="1"/>
  <c r="JH38" i="1"/>
  <c r="IV38" i="1"/>
  <c r="IJ38" i="1"/>
  <c r="HX38" i="1"/>
  <c r="HL38" i="1"/>
  <c r="GZ38" i="1"/>
  <c r="GN38" i="1"/>
  <c r="GB38" i="1"/>
  <c r="FP38" i="1"/>
  <c r="FD38" i="1"/>
  <c r="ER38" i="1"/>
  <c r="EF38" i="1"/>
  <c r="DT38" i="1"/>
  <c r="DH38" i="1"/>
  <c r="CV38" i="1"/>
  <c r="CJ38" i="1"/>
  <c r="BX38" i="1"/>
  <c r="BL38" i="1"/>
  <c r="AZ38" i="1"/>
  <c r="AN38" i="1"/>
  <c r="AB38" i="1"/>
  <c r="P38" i="1"/>
  <c r="JE38" i="1"/>
  <c r="IS38" i="1"/>
  <c r="IG38" i="1"/>
  <c r="HU38" i="1"/>
  <c r="HI38" i="1"/>
  <c r="GW38" i="1"/>
  <c r="GK38" i="1"/>
  <c r="FY38" i="1"/>
  <c r="FM38" i="1"/>
  <c r="FA38" i="1"/>
  <c r="EO38" i="1"/>
  <c r="EC38" i="1"/>
  <c r="DQ38" i="1"/>
  <c r="DE38" i="1"/>
  <c r="CS38" i="1"/>
  <c r="CG38" i="1"/>
  <c r="BU38" i="1"/>
  <c r="BI38" i="1"/>
  <c r="AW38" i="1"/>
  <c r="AK38" i="1"/>
  <c r="Y38" i="1"/>
  <c r="M38" i="1"/>
  <c r="JB38" i="1"/>
  <c r="IP38" i="1"/>
  <c r="ID38" i="1"/>
  <c r="HR38" i="1"/>
  <c r="HF38" i="1"/>
  <c r="GT38" i="1"/>
  <c r="GH38" i="1"/>
  <c r="FV38" i="1"/>
  <c r="FJ38" i="1"/>
  <c r="EX38" i="1"/>
  <c r="EL38" i="1"/>
  <c r="DZ38" i="1"/>
  <c r="DN38" i="1"/>
  <c r="CP38" i="1"/>
  <c r="CD38" i="1"/>
  <c r="BR38" i="1"/>
  <c r="BF38" i="1"/>
  <c r="AT38" i="1"/>
  <c r="AH38" i="1"/>
  <c r="V38" i="1"/>
  <c r="J38" i="1"/>
  <c r="IY38" i="1"/>
  <c r="IM38" i="1"/>
  <c r="IA38" i="1"/>
  <c r="HO38" i="1"/>
  <c r="HC38" i="1"/>
  <c r="GQ38" i="1"/>
  <c r="GE38" i="1"/>
  <c r="FS38" i="1"/>
  <c r="FG38" i="1"/>
  <c r="EU38" i="1"/>
  <c r="EI38" i="1"/>
  <c r="DW38" i="1"/>
  <c r="DK38" i="1"/>
  <c r="CY38" i="1"/>
  <c r="CM38" i="1"/>
  <c r="CA38" i="1"/>
  <c r="BO38" i="1"/>
  <c r="BC38" i="1"/>
  <c r="AE38" i="1"/>
  <c r="S38" i="1"/>
  <c r="G38" i="1"/>
  <c r="E34" i="2"/>
  <c r="CC34" i="2" s="1"/>
  <c r="IY33" i="1"/>
  <c r="IM33" i="1"/>
  <c r="IA33" i="1"/>
  <c r="HO33" i="1"/>
  <c r="HC33" i="1"/>
  <c r="GQ33" i="1"/>
  <c r="GE33" i="1"/>
  <c r="FS33" i="1"/>
  <c r="FG33" i="1"/>
  <c r="EU33" i="1"/>
  <c r="EI33" i="1"/>
  <c r="DW33" i="1"/>
  <c r="DK33" i="1"/>
  <c r="CY33" i="1"/>
  <c r="CM33" i="1"/>
  <c r="CA33" i="1"/>
  <c r="BO33" i="1"/>
  <c r="IS33" i="1"/>
  <c r="HR33" i="1"/>
  <c r="GB33" i="1"/>
  <c r="FA33" i="1"/>
  <c r="DZ33" i="1"/>
  <c r="CJ33" i="1"/>
  <c r="BI33" i="1"/>
  <c r="AW33" i="1"/>
  <c r="AK33" i="1"/>
  <c r="Y33" i="1"/>
  <c r="M33" i="1"/>
  <c r="JE33" i="1"/>
  <c r="ID33" i="1"/>
  <c r="GN33" i="1"/>
  <c r="FM33" i="1"/>
  <c r="EL33" i="1"/>
  <c r="CV33" i="1"/>
  <c r="BU33" i="1"/>
  <c r="IP33" i="1"/>
  <c r="GZ33" i="1"/>
  <c r="FY33" i="1"/>
  <c r="EX33" i="1"/>
  <c r="DH33" i="1"/>
  <c r="CG33" i="1"/>
  <c r="BF33" i="1"/>
  <c r="AT33" i="1"/>
  <c r="AH33" i="1"/>
  <c r="V33" i="1"/>
  <c r="J33" i="1"/>
  <c r="JB33" i="1"/>
  <c r="HL33" i="1"/>
  <c r="GK33" i="1"/>
  <c r="FJ33" i="1"/>
  <c r="DT33" i="1"/>
  <c r="CS33" i="1"/>
  <c r="BR33" i="1"/>
  <c r="HX33" i="1"/>
  <c r="GW33" i="1"/>
  <c r="FV33" i="1"/>
  <c r="EF33" i="1"/>
  <c r="DE33" i="1"/>
  <c r="CD33" i="1"/>
  <c r="BC33" i="1"/>
  <c r="AQ33" i="1"/>
  <c r="AE33" i="1"/>
  <c r="S33" i="1"/>
  <c r="G33" i="1"/>
  <c r="IV33" i="1"/>
  <c r="HU33" i="1"/>
  <c r="GT33" i="1"/>
  <c r="FD33" i="1"/>
  <c r="EC33" i="1"/>
  <c r="DB33" i="1"/>
  <c r="BL33" i="1"/>
  <c r="AZ33" i="1"/>
  <c r="AN33" i="1"/>
  <c r="AB33" i="1"/>
  <c r="P33" i="1"/>
  <c r="JH33" i="1"/>
  <c r="IG33" i="1"/>
  <c r="HF33" i="1"/>
  <c r="FP33" i="1"/>
  <c r="EO33" i="1"/>
  <c r="DN33" i="1"/>
  <c r="BX33" i="1"/>
  <c r="CP33" i="1"/>
  <c r="IJ33" i="1"/>
  <c r="HI33" i="1"/>
  <c r="ER33" i="1"/>
  <c r="GH33" i="1"/>
  <c r="DQ33" i="1"/>
  <c r="E25" i="2"/>
  <c r="CC25" i="2" s="1"/>
  <c r="JH24" i="1"/>
  <c r="IV24" i="1"/>
  <c r="IJ24" i="1"/>
  <c r="HX24" i="1"/>
  <c r="HL24" i="1"/>
  <c r="GZ24" i="1"/>
  <c r="GN24" i="1"/>
  <c r="GB24" i="1"/>
  <c r="FP24" i="1"/>
  <c r="FD24" i="1"/>
  <c r="ER24" i="1"/>
  <c r="EF24" i="1"/>
  <c r="DT24" i="1"/>
  <c r="DH24" i="1"/>
  <c r="CV24" i="1"/>
  <c r="CJ24" i="1"/>
  <c r="BX24" i="1"/>
  <c r="BL24" i="1"/>
  <c r="AZ24" i="1"/>
  <c r="AN24" i="1"/>
  <c r="AB24" i="1"/>
  <c r="P24" i="1"/>
  <c r="JE24" i="1"/>
  <c r="IS24" i="1"/>
  <c r="IG24" i="1"/>
  <c r="HU24" i="1"/>
  <c r="HI24" i="1"/>
  <c r="GW24" i="1"/>
  <c r="GK24" i="1"/>
  <c r="FY24" i="1"/>
  <c r="FM24" i="1"/>
  <c r="FA24" i="1"/>
  <c r="EO24" i="1"/>
  <c r="EC24" i="1"/>
  <c r="DQ24" i="1"/>
  <c r="DE24" i="1"/>
  <c r="CS24" i="1"/>
  <c r="CG24" i="1"/>
  <c r="BU24" i="1"/>
  <c r="BI24" i="1"/>
  <c r="AW24" i="1"/>
  <c r="AK24" i="1"/>
  <c r="Y24" i="1"/>
  <c r="M24" i="1"/>
  <c r="JB24" i="1"/>
  <c r="IP24" i="1"/>
  <c r="ID24" i="1"/>
  <c r="HR24" i="1"/>
  <c r="HF24" i="1"/>
  <c r="GT24" i="1"/>
  <c r="GH24" i="1"/>
  <c r="FV24" i="1"/>
  <c r="FJ24" i="1"/>
  <c r="EX24" i="1"/>
  <c r="EL24" i="1"/>
  <c r="DZ24" i="1"/>
  <c r="DN24" i="1"/>
  <c r="DB24" i="1"/>
  <c r="CP24" i="1"/>
  <c r="CD24" i="1"/>
  <c r="BR24" i="1"/>
  <c r="BF24" i="1"/>
  <c r="AT24" i="1"/>
  <c r="AH24" i="1"/>
  <c r="V24" i="1"/>
  <c r="J24" i="1"/>
  <c r="IY24" i="1"/>
  <c r="IM24" i="1"/>
  <c r="IA24" i="1"/>
  <c r="HO24" i="1"/>
  <c r="HC24" i="1"/>
  <c r="GQ24" i="1"/>
  <c r="GE24" i="1"/>
  <c r="FS24" i="1"/>
  <c r="FG24" i="1"/>
  <c r="EU24" i="1"/>
  <c r="EI24" i="1"/>
  <c r="DW24" i="1"/>
  <c r="DK24" i="1"/>
  <c r="CY24" i="1"/>
  <c r="CM24" i="1"/>
  <c r="CA24" i="1"/>
  <c r="BO24" i="1"/>
  <c r="BC24" i="1"/>
  <c r="AQ24" i="1"/>
  <c r="AE24" i="1"/>
  <c r="S24" i="1"/>
  <c r="G24" i="1"/>
  <c r="E16" i="2"/>
  <c r="CC16" i="2" s="1"/>
  <c r="JE15" i="1"/>
  <c r="IS15" i="1"/>
  <c r="IG15" i="1"/>
  <c r="HU15" i="1"/>
  <c r="HI15" i="1"/>
  <c r="GW15" i="1"/>
  <c r="GK15" i="1"/>
  <c r="FY15" i="1"/>
  <c r="FM15" i="1"/>
  <c r="FA15" i="1"/>
  <c r="EO15" i="1"/>
  <c r="EC15" i="1"/>
  <c r="DQ15" i="1"/>
  <c r="DE15" i="1"/>
  <c r="CS15" i="1"/>
  <c r="CG15" i="1"/>
  <c r="BU15" i="1"/>
  <c r="BI15" i="1"/>
  <c r="AW15" i="1"/>
  <c r="AK15" i="1"/>
  <c r="Y15" i="1"/>
  <c r="M15" i="1"/>
  <c r="JB15" i="1"/>
  <c r="IP15" i="1"/>
  <c r="ID15" i="1"/>
  <c r="HR15" i="1"/>
  <c r="HF15" i="1"/>
  <c r="GT15" i="1"/>
  <c r="GH15" i="1"/>
  <c r="FV15" i="1"/>
  <c r="FJ15" i="1"/>
  <c r="EX15" i="1"/>
  <c r="EL15" i="1"/>
  <c r="DZ15" i="1"/>
  <c r="DN15" i="1"/>
  <c r="DB15" i="1"/>
  <c r="CP15" i="1"/>
  <c r="CD15" i="1"/>
  <c r="BR15" i="1"/>
  <c r="BF15" i="1"/>
  <c r="AT15" i="1"/>
  <c r="IY15" i="1"/>
  <c r="IM15" i="1"/>
  <c r="IA15" i="1"/>
  <c r="HO15" i="1"/>
  <c r="HC15" i="1"/>
  <c r="GQ15" i="1"/>
  <c r="GE15" i="1"/>
  <c r="FS15" i="1"/>
  <c r="FG15" i="1"/>
  <c r="EU15" i="1"/>
  <c r="EI15" i="1"/>
  <c r="DW15" i="1"/>
  <c r="DK15" i="1"/>
  <c r="CY15" i="1"/>
  <c r="CM15" i="1"/>
  <c r="CA15" i="1"/>
  <c r="BO15" i="1"/>
  <c r="BC15" i="1"/>
  <c r="AQ15" i="1"/>
  <c r="AE15" i="1"/>
  <c r="S15" i="1"/>
  <c r="G15" i="1"/>
  <c r="JH15" i="1"/>
  <c r="IV15" i="1"/>
  <c r="IJ15" i="1"/>
  <c r="HX15" i="1"/>
  <c r="HL15" i="1"/>
  <c r="GZ15" i="1"/>
  <c r="GN15" i="1"/>
  <c r="GB15" i="1"/>
  <c r="FP15" i="1"/>
  <c r="FD15" i="1"/>
  <c r="ER15" i="1"/>
  <c r="EF15" i="1"/>
  <c r="DT15" i="1"/>
  <c r="DH15" i="1"/>
  <c r="CV15" i="1"/>
  <c r="CJ15" i="1"/>
  <c r="BX15" i="1"/>
  <c r="BL15" i="1"/>
  <c r="AZ15" i="1"/>
  <c r="AN15" i="1"/>
  <c r="AB15" i="1"/>
  <c r="P15" i="1"/>
  <c r="AH15" i="1"/>
  <c r="J15" i="1"/>
  <c r="V15" i="1"/>
  <c r="E29" i="2"/>
  <c r="CC29" i="2" s="1"/>
  <c r="JE28" i="1"/>
  <c r="IS28" i="1"/>
  <c r="IG28" i="1"/>
  <c r="HU28" i="1"/>
  <c r="HI28" i="1"/>
  <c r="GW28" i="1"/>
  <c r="GK28" i="1"/>
  <c r="FY28" i="1"/>
  <c r="FM28" i="1"/>
  <c r="FA28" i="1"/>
  <c r="EO28" i="1"/>
  <c r="EC28" i="1"/>
  <c r="DQ28" i="1"/>
  <c r="DE28" i="1"/>
  <c r="CS28" i="1"/>
  <c r="CG28" i="1"/>
  <c r="BU28" i="1"/>
  <c r="BI28" i="1"/>
  <c r="AW28" i="1"/>
  <c r="AK28" i="1"/>
  <c r="Y28" i="1"/>
  <c r="M28" i="1"/>
  <c r="JH28" i="1"/>
  <c r="IV28" i="1"/>
  <c r="IJ28" i="1"/>
  <c r="HX28" i="1"/>
  <c r="HL28" i="1"/>
  <c r="GZ28" i="1"/>
  <c r="GN28" i="1"/>
  <c r="GB28" i="1"/>
  <c r="FP28" i="1"/>
  <c r="FD28" i="1"/>
  <c r="ER28" i="1"/>
  <c r="EF28" i="1"/>
  <c r="DT28" i="1"/>
  <c r="DH28" i="1"/>
  <c r="CV28" i="1"/>
  <c r="CJ28" i="1"/>
  <c r="BX28" i="1"/>
  <c r="BL28" i="1"/>
  <c r="AZ28" i="1"/>
  <c r="AN28" i="1"/>
  <c r="AB28" i="1"/>
  <c r="P28" i="1"/>
  <c r="IP28" i="1"/>
  <c r="IA28" i="1"/>
  <c r="GT28" i="1"/>
  <c r="GE28" i="1"/>
  <c r="EX28" i="1"/>
  <c r="EI28" i="1"/>
  <c r="DB28" i="1"/>
  <c r="CM28" i="1"/>
  <c r="BF28" i="1"/>
  <c r="AQ28" i="1"/>
  <c r="J28" i="1"/>
  <c r="JB28" i="1"/>
  <c r="IM28" i="1"/>
  <c r="HF28" i="1"/>
  <c r="GQ28" i="1"/>
  <c r="FJ28" i="1"/>
  <c r="EU28" i="1"/>
  <c r="DN28" i="1"/>
  <c r="CY28" i="1"/>
  <c r="BR28" i="1"/>
  <c r="BC28" i="1"/>
  <c r="V28" i="1"/>
  <c r="G28" i="1"/>
  <c r="IY28" i="1"/>
  <c r="HR28" i="1"/>
  <c r="HC28" i="1"/>
  <c r="FV28" i="1"/>
  <c r="FG28" i="1"/>
  <c r="DZ28" i="1"/>
  <c r="DK28" i="1"/>
  <c r="CD28" i="1"/>
  <c r="BO28" i="1"/>
  <c r="AH28" i="1"/>
  <c r="S28" i="1"/>
  <c r="ID28" i="1"/>
  <c r="HO28" i="1"/>
  <c r="GH28" i="1"/>
  <c r="FS28" i="1"/>
  <c r="EL28" i="1"/>
  <c r="DW28" i="1"/>
  <c r="CP28" i="1"/>
  <c r="CA28" i="1"/>
  <c r="AT28" i="1"/>
  <c r="AE28" i="1"/>
  <c r="E38" i="2"/>
  <c r="CC38" i="2" s="1"/>
  <c r="JE37" i="1"/>
  <c r="IS37" i="1"/>
  <c r="IG37" i="1"/>
  <c r="HU37" i="1"/>
  <c r="HI37" i="1"/>
  <c r="GW37" i="1"/>
  <c r="GK37" i="1"/>
  <c r="FY37" i="1"/>
  <c r="FM37" i="1"/>
  <c r="FA37" i="1"/>
  <c r="EO37" i="1"/>
  <c r="EC37" i="1"/>
  <c r="DQ37" i="1"/>
  <c r="DE37" i="1"/>
  <c r="CS37" i="1"/>
  <c r="CG37" i="1"/>
  <c r="BU37" i="1"/>
  <c r="BI37" i="1"/>
  <c r="AW37" i="1"/>
  <c r="AK37" i="1"/>
  <c r="Y37" i="1"/>
  <c r="M37" i="1"/>
  <c r="JB37" i="1"/>
  <c r="IP37" i="1"/>
  <c r="ID37" i="1"/>
  <c r="HR37" i="1"/>
  <c r="HF37" i="1"/>
  <c r="GT37" i="1"/>
  <c r="GH37" i="1"/>
  <c r="FV37" i="1"/>
  <c r="FJ37" i="1"/>
  <c r="EX37" i="1"/>
  <c r="EL37" i="1"/>
  <c r="DZ37" i="1"/>
  <c r="DN37" i="1"/>
  <c r="DB37" i="1"/>
  <c r="CP37" i="1"/>
  <c r="CD37" i="1"/>
  <c r="BR37" i="1"/>
  <c r="BF37" i="1"/>
  <c r="AT37" i="1"/>
  <c r="AH37" i="1"/>
  <c r="V37" i="1"/>
  <c r="J37" i="1"/>
  <c r="IY37" i="1"/>
  <c r="IM37" i="1"/>
  <c r="IA37" i="1"/>
  <c r="HO37" i="1"/>
  <c r="HC37" i="1"/>
  <c r="GQ37" i="1"/>
  <c r="GE37" i="1"/>
  <c r="FS37" i="1"/>
  <c r="FG37" i="1"/>
  <c r="EU37" i="1"/>
  <c r="EI37" i="1"/>
  <c r="DW37" i="1"/>
  <c r="DK37" i="1"/>
  <c r="CY37" i="1"/>
  <c r="CM37" i="1"/>
  <c r="CA37" i="1"/>
  <c r="BO37" i="1"/>
  <c r="BC37" i="1"/>
  <c r="AQ37" i="1"/>
  <c r="AE37" i="1"/>
  <c r="S37" i="1"/>
  <c r="G37" i="1"/>
  <c r="JH37" i="1"/>
  <c r="IV37" i="1"/>
  <c r="IJ37" i="1"/>
  <c r="HX37" i="1"/>
  <c r="HL37" i="1"/>
  <c r="GZ37" i="1"/>
  <c r="GN37" i="1"/>
  <c r="GB37" i="1"/>
  <c r="FP37" i="1"/>
  <c r="FD37" i="1"/>
  <c r="ER37" i="1"/>
  <c r="EF37" i="1"/>
  <c r="DT37" i="1"/>
  <c r="DH37" i="1"/>
  <c r="CV37" i="1"/>
  <c r="CJ37" i="1"/>
  <c r="BX37" i="1"/>
  <c r="BL37" i="1"/>
  <c r="AZ37" i="1"/>
  <c r="AN37" i="1"/>
  <c r="AB37" i="1"/>
  <c r="P37" i="1"/>
  <c r="E27" i="2"/>
  <c r="CC27" i="2" s="1"/>
  <c r="JH26" i="1"/>
  <c r="IV26" i="1"/>
  <c r="IJ26" i="1"/>
  <c r="HX26" i="1"/>
  <c r="HL26" i="1"/>
  <c r="GZ26" i="1"/>
  <c r="GN26" i="1"/>
  <c r="GB26" i="1"/>
  <c r="FP26" i="1"/>
  <c r="FD26" i="1"/>
  <c r="IY26" i="1"/>
  <c r="IM26" i="1"/>
  <c r="IA26" i="1"/>
  <c r="HO26" i="1"/>
  <c r="HC26" i="1"/>
  <c r="GQ26" i="1"/>
  <c r="GE26" i="1"/>
  <c r="FS26" i="1"/>
  <c r="FG26" i="1"/>
  <c r="EU26" i="1"/>
  <c r="IS26" i="1"/>
  <c r="ID26" i="1"/>
  <c r="GW26" i="1"/>
  <c r="GH26" i="1"/>
  <c r="FA26" i="1"/>
  <c r="EL26" i="1"/>
  <c r="DZ26" i="1"/>
  <c r="DN26" i="1"/>
  <c r="DB26" i="1"/>
  <c r="CP26" i="1"/>
  <c r="CD26" i="1"/>
  <c r="BR26" i="1"/>
  <c r="BF26" i="1"/>
  <c r="AT26" i="1"/>
  <c r="AH26" i="1"/>
  <c r="V26" i="1"/>
  <c r="J26" i="1"/>
  <c r="JE26" i="1"/>
  <c r="IP26" i="1"/>
  <c r="HI26" i="1"/>
  <c r="GT26" i="1"/>
  <c r="FM26" i="1"/>
  <c r="EX26" i="1"/>
  <c r="EI26" i="1"/>
  <c r="DW26" i="1"/>
  <c r="DK26" i="1"/>
  <c r="CY26" i="1"/>
  <c r="CM26" i="1"/>
  <c r="CA26" i="1"/>
  <c r="BO26" i="1"/>
  <c r="BC26" i="1"/>
  <c r="AQ26" i="1"/>
  <c r="AE26" i="1"/>
  <c r="S26" i="1"/>
  <c r="G26" i="1"/>
  <c r="JB26" i="1"/>
  <c r="HU26" i="1"/>
  <c r="HF26" i="1"/>
  <c r="FY26" i="1"/>
  <c r="FJ26" i="1"/>
  <c r="ER26" i="1"/>
  <c r="EF26" i="1"/>
  <c r="DT26" i="1"/>
  <c r="DH26" i="1"/>
  <c r="CV26" i="1"/>
  <c r="CJ26" i="1"/>
  <c r="BX26" i="1"/>
  <c r="BL26" i="1"/>
  <c r="AZ26" i="1"/>
  <c r="AN26" i="1"/>
  <c r="AB26" i="1"/>
  <c r="P26" i="1"/>
  <c r="IG26" i="1"/>
  <c r="HR26" i="1"/>
  <c r="GK26" i="1"/>
  <c r="FV26" i="1"/>
  <c r="EO26" i="1"/>
  <c r="EC26" i="1"/>
  <c r="DQ26" i="1"/>
  <c r="DE26" i="1"/>
  <c r="CS26" i="1"/>
  <c r="CG26" i="1"/>
  <c r="BU26" i="1"/>
  <c r="BI26" i="1"/>
  <c r="AW26" i="1"/>
  <c r="AK26" i="1"/>
  <c r="Y26" i="1"/>
  <c r="M26" i="1"/>
  <c r="E36" i="2"/>
  <c r="CC36" i="2" s="1"/>
  <c r="JH35" i="1"/>
  <c r="IV35" i="1"/>
  <c r="IJ35" i="1"/>
  <c r="HX35" i="1"/>
  <c r="HL35" i="1"/>
  <c r="GZ35" i="1"/>
  <c r="GN35" i="1"/>
  <c r="GB35" i="1"/>
  <c r="FP35" i="1"/>
  <c r="FD35" i="1"/>
  <c r="ER35" i="1"/>
  <c r="EF35" i="1"/>
  <c r="DT35" i="1"/>
  <c r="DH35" i="1"/>
  <c r="CV35" i="1"/>
  <c r="CJ35" i="1"/>
  <c r="BX35" i="1"/>
  <c r="BL35" i="1"/>
  <c r="AZ35" i="1"/>
  <c r="AN35" i="1"/>
  <c r="AB35" i="1"/>
  <c r="P35" i="1"/>
  <c r="JE35" i="1"/>
  <c r="IS35" i="1"/>
  <c r="IG35" i="1"/>
  <c r="HU35" i="1"/>
  <c r="HI35" i="1"/>
  <c r="GW35" i="1"/>
  <c r="GK35" i="1"/>
  <c r="FY35" i="1"/>
  <c r="FM35" i="1"/>
  <c r="FA35" i="1"/>
  <c r="EO35" i="1"/>
  <c r="EC35" i="1"/>
  <c r="DQ35" i="1"/>
  <c r="DE35" i="1"/>
  <c r="CS35" i="1"/>
  <c r="CG35" i="1"/>
  <c r="BU35" i="1"/>
  <c r="BI35" i="1"/>
  <c r="AW35" i="1"/>
  <c r="AK35" i="1"/>
  <c r="Y35" i="1"/>
  <c r="M35" i="1"/>
  <c r="JB35" i="1"/>
  <c r="IP35" i="1"/>
  <c r="ID35" i="1"/>
  <c r="HR35" i="1"/>
  <c r="HF35" i="1"/>
  <c r="GT35" i="1"/>
  <c r="GH35" i="1"/>
  <c r="FV35" i="1"/>
  <c r="FJ35" i="1"/>
  <c r="EX35" i="1"/>
  <c r="EL35" i="1"/>
  <c r="DZ35" i="1"/>
  <c r="DN35" i="1"/>
  <c r="DB35" i="1"/>
  <c r="CP35" i="1"/>
  <c r="CD35" i="1"/>
  <c r="BR35" i="1"/>
  <c r="BF35" i="1"/>
  <c r="AT35" i="1"/>
  <c r="AH35" i="1"/>
  <c r="V35" i="1"/>
  <c r="J35" i="1"/>
  <c r="IY35" i="1"/>
  <c r="IM35" i="1"/>
  <c r="IA35" i="1"/>
  <c r="HO35" i="1"/>
  <c r="HC35" i="1"/>
  <c r="GQ35" i="1"/>
  <c r="GE35" i="1"/>
  <c r="FS35" i="1"/>
  <c r="FG35" i="1"/>
  <c r="EU35" i="1"/>
  <c r="EI35" i="1"/>
  <c r="DW35" i="1"/>
  <c r="DK35" i="1"/>
  <c r="CY35" i="1"/>
  <c r="CM35" i="1"/>
  <c r="CA35" i="1"/>
  <c r="BO35" i="1"/>
  <c r="BC35" i="1"/>
  <c r="AQ35" i="1"/>
  <c r="AE35" i="1"/>
  <c r="S35" i="1"/>
  <c r="G35" i="1"/>
  <c r="E28" i="2"/>
  <c r="CC28" i="2" s="1"/>
  <c r="JB27" i="1"/>
  <c r="IP27" i="1"/>
  <c r="ID27" i="1"/>
  <c r="HR27" i="1"/>
  <c r="HF27" i="1"/>
  <c r="GT27" i="1"/>
  <c r="GH27" i="1"/>
  <c r="FV27" i="1"/>
  <c r="FJ27" i="1"/>
  <c r="EX27" i="1"/>
  <c r="EL27" i="1"/>
  <c r="DZ27" i="1"/>
  <c r="DN27" i="1"/>
  <c r="DB27" i="1"/>
  <c r="CP27" i="1"/>
  <c r="CD27" i="1"/>
  <c r="BR27" i="1"/>
  <c r="BF27" i="1"/>
  <c r="AT27" i="1"/>
  <c r="AH27" i="1"/>
  <c r="V27" i="1"/>
  <c r="J27" i="1"/>
  <c r="IY27" i="1"/>
  <c r="IM27" i="1"/>
  <c r="IA27" i="1"/>
  <c r="HO27" i="1"/>
  <c r="HC27" i="1"/>
  <c r="GQ27" i="1"/>
  <c r="GE27" i="1"/>
  <c r="FS27" i="1"/>
  <c r="FG27" i="1"/>
  <c r="EU27" i="1"/>
  <c r="EI27" i="1"/>
  <c r="DW27" i="1"/>
  <c r="DK27" i="1"/>
  <c r="CY27" i="1"/>
  <c r="CM27" i="1"/>
  <c r="CA27" i="1"/>
  <c r="BC27" i="1"/>
  <c r="AQ27" i="1"/>
  <c r="JH27" i="1"/>
  <c r="IV27" i="1"/>
  <c r="IJ27" i="1"/>
  <c r="HX27" i="1"/>
  <c r="HL27" i="1"/>
  <c r="GZ27" i="1"/>
  <c r="GN27" i="1"/>
  <c r="GB27" i="1"/>
  <c r="FP27" i="1"/>
  <c r="FD27" i="1"/>
  <c r="ER27" i="1"/>
  <c r="EF27" i="1"/>
  <c r="DT27" i="1"/>
  <c r="DH27" i="1"/>
  <c r="CV27" i="1"/>
  <c r="CJ27" i="1"/>
  <c r="BL27" i="1"/>
  <c r="AZ27" i="1"/>
  <c r="AN27" i="1"/>
  <c r="AB27" i="1"/>
  <c r="P27" i="1"/>
  <c r="JE27" i="1"/>
  <c r="IS27" i="1"/>
  <c r="IG27" i="1"/>
  <c r="HU27" i="1"/>
  <c r="HI27" i="1"/>
  <c r="GW27" i="1"/>
  <c r="GK27" i="1"/>
  <c r="FY27" i="1"/>
  <c r="FM27" i="1"/>
  <c r="FA27" i="1"/>
  <c r="EO27" i="1"/>
  <c r="EC27" i="1"/>
  <c r="DQ27" i="1"/>
  <c r="DE27" i="1"/>
  <c r="CS27" i="1"/>
  <c r="CG27" i="1"/>
  <c r="BU27" i="1"/>
  <c r="BI27" i="1"/>
  <c r="AW27" i="1"/>
  <c r="AK27" i="1"/>
  <c r="Y27" i="1"/>
  <c r="M27" i="1"/>
  <c r="AE27" i="1"/>
  <c r="G27" i="1"/>
  <c r="S27" i="1"/>
  <c r="E23" i="2"/>
  <c r="CC23" i="2" s="1"/>
  <c r="IY22" i="1"/>
  <c r="IM22" i="1"/>
  <c r="IA22" i="1"/>
  <c r="HO22" i="1"/>
  <c r="HC22" i="1"/>
  <c r="GQ22" i="1"/>
  <c r="GE22" i="1"/>
  <c r="FS22" i="1"/>
  <c r="FG22" i="1"/>
  <c r="EU22" i="1"/>
  <c r="EI22" i="1"/>
  <c r="DW22" i="1"/>
  <c r="DK22" i="1"/>
  <c r="CY22" i="1"/>
  <c r="CM22" i="1"/>
  <c r="CA22" i="1"/>
  <c r="BO22" i="1"/>
  <c r="BC22" i="1"/>
  <c r="AQ22" i="1"/>
  <c r="AE22" i="1"/>
  <c r="S22" i="1"/>
  <c r="G22" i="1"/>
  <c r="JH22" i="1"/>
  <c r="IV22" i="1"/>
  <c r="IJ22" i="1"/>
  <c r="HX22" i="1"/>
  <c r="HL22" i="1"/>
  <c r="JE22" i="1"/>
  <c r="IS22" i="1"/>
  <c r="IG22" i="1"/>
  <c r="HU22" i="1"/>
  <c r="HI22" i="1"/>
  <c r="GW22" i="1"/>
  <c r="GK22" i="1"/>
  <c r="FY22" i="1"/>
  <c r="FM22" i="1"/>
  <c r="FA22" i="1"/>
  <c r="EO22" i="1"/>
  <c r="EC22" i="1"/>
  <c r="DQ22" i="1"/>
  <c r="DE22" i="1"/>
  <c r="CS22" i="1"/>
  <c r="CG22" i="1"/>
  <c r="BU22" i="1"/>
  <c r="BI22" i="1"/>
  <c r="AW22" i="1"/>
  <c r="AK22" i="1"/>
  <c r="Y22" i="1"/>
  <c r="M22" i="1"/>
  <c r="JB22" i="1"/>
  <c r="IP22" i="1"/>
  <c r="ID22" i="1"/>
  <c r="HR22" i="1"/>
  <c r="HF22" i="1"/>
  <c r="GT22" i="1"/>
  <c r="GH22" i="1"/>
  <c r="FV22" i="1"/>
  <c r="FJ22" i="1"/>
  <c r="EX22" i="1"/>
  <c r="EL22" i="1"/>
  <c r="DZ22" i="1"/>
  <c r="DN22" i="1"/>
  <c r="DB22" i="1"/>
  <c r="CP22" i="1"/>
  <c r="CD22" i="1"/>
  <c r="BR22" i="1"/>
  <c r="BF22" i="1"/>
  <c r="AT22" i="1"/>
  <c r="AH22" i="1"/>
  <c r="V22" i="1"/>
  <c r="J22" i="1"/>
  <c r="GN22" i="1"/>
  <c r="CV22" i="1"/>
  <c r="EF22" i="1"/>
  <c r="AN22" i="1"/>
  <c r="FP22" i="1"/>
  <c r="BX22" i="1"/>
  <c r="GZ22" i="1"/>
  <c r="DH22" i="1"/>
  <c r="P22" i="1"/>
  <c r="ER22" i="1"/>
  <c r="AZ22" i="1"/>
  <c r="GB22" i="1"/>
  <c r="CJ22" i="1"/>
  <c r="DT22" i="1"/>
  <c r="AB22" i="1"/>
  <c r="FD22" i="1"/>
  <c r="BL22" i="1"/>
  <c r="E30" i="2"/>
  <c r="CC30" i="2" s="1"/>
  <c r="IY29" i="1"/>
  <c r="IM29" i="1"/>
  <c r="IA29" i="1"/>
  <c r="HO29" i="1"/>
  <c r="HC29" i="1"/>
  <c r="GQ29" i="1"/>
  <c r="GE29" i="1"/>
  <c r="FS29" i="1"/>
  <c r="FG29" i="1"/>
  <c r="EU29" i="1"/>
  <c r="EI29" i="1"/>
  <c r="DW29" i="1"/>
  <c r="DK29" i="1"/>
  <c r="CY29" i="1"/>
  <c r="CM29" i="1"/>
  <c r="CA29" i="1"/>
  <c r="BO29" i="1"/>
  <c r="BC29" i="1"/>
  <c r="AQ29" i="1"/>
  <c r="AE29" i="1"/>
  <c r="S29" i="1"/>
  <c r="G29" i="1"/>
  <c r="JH29" i="1"/>
  <c r="IV29" i="1"/>
  <c r="IJ29" i="1"/>
  <c r="HX29" i="1"/>
  <c r="HL29" i="1"/>
  <c r="GZ29" i="1"/>
  <c r="GN29" i="1"/>
  <c r="GB29" i="1"/>
  <c r="FP29" i="1"/>
  <c r="FD29" i="1"/>
  <c r="ER29" i="1"/>
  <c r="EF29" i="1"/>
  <c r="DT29" i="1"/>
  <c r="DH29" i="1"/>
  <c r="CV29" i="1"/>
  <c r="CJ29" i="1"/>
  <c r="BX29" i="1"/>
  <c r="BL29" i="1"/>
  <c r="AZ29" i="1"/>
  <c r="AN29" i="1"/>
  <c r="AB29" i="1"/>
  <c r="P29" i="1"/>
  <c r="JE29" i="1"/>
  <c r="IS29" i="1"/>
  <c r="IG29" i="1"/>
  <c r="HU29" i="1"/>
  <c r="HI29" i="1"/>
  <c r="GW29" i="1"/>
  <c r="GK29" i="1"/>
  <c r="FY29" i="1"/>
  <c r="FM29" i="1"/>
  <c r="FA29" i="1"/>
  <c r="EO29" i="1"/>
  <c r="EC29" i="1"/>
  <c r="DQ29" i="1"/>
  <c r="DE29" i="1"/>
  <c r="CS29" i="1"/>
  <c r="CG29" i="1"/>
  <c r="BU29" i="1"/>
  <c r="BI29" i="1"/>
  <c r="AW29" i="1"/>
  <c r="AK29" i="1"/>
  <c r="Y29" i="1"/>
  <c r="M29" i="1"/>
  <c r="JB29" i="1"/>
  <c r="IP29" i="1"/>
  <c r="ID29" i="1"/>
  <c r="HR29" i="1"/>
  <c r="HF29" i="1"/>
  <c r="GT29" i="1"/>
  <c r="GH29" i="1"/>
  <c r="FV29" i="1"/>
  <c r="FJ29" i="1"/>
  <c r="EX29" i="1"/>
  <c r="EL29" i="1"/>
  <c r="DZ29" i="1"/>
  <c r="DN29" i="1"/>
  <c r="DB29" i="1"/>
  <c r="CP29" i="1"/>
  <c r="CD29" i="1"/>
  <c r="BR29" i="1"/>
  <c r="BF29" i="1"/>
  <c r="AT29" i="1"/>
  <c r="AH29" i="1"/>
  <c r="V29" i="1"/>
  <c r="J29" i="1"/>
  <c r="M34" i="31"/>
  <c r="M34" i="32"/>
  <c r="I40" i="32"/>
  <c r="R10" i="48" s="1"/>
  <c r="F5" i="59" s="1"/>
  <c r="O9" i="48"/>
  <c r="O10" i="48" s="1"/>
  <c r="O11" i="48" s="1"/>
  <c r="O12" i="48" s="1"/>
  <c r="O13" i="48" s="1"/>
  <c r="O14" i="48" s="1"/>
  <c r="O15" i="48" s="1"/>
  <c r="O16" i="48" s="1"/>
  <c r="O17" i="48" s="1"/>
  <c r="O18" i="48" s="1"/>
  <c r="O19" i="48" s="1"/>
  <c r="O20" i="48" s="1"/>
  <c r="O21" i="48" s="1"/>
  <c r="O22" i="48" s="1"/>
  <c r="O23" i="48" s="1"/>
  <c r="O24" i="48" s="1"/>
  <c r="O25" i="48" s="1"/>
  <c r="O26" i="48" s="1"/>
  <c r="O27" i="48" s="1"/>
  <c r="O28" i="48" s="1"/>
  <c r="O29" i="48" s="1"/>
  <c r="O30" i="48" s="1"/>
  <c r="O31" i="48" s="1"/>
  <c r="O32" i="48" s="1"/>
  <c r="O33" i="48" s="1"/>
  <c r="O34" i="48" s="1"/>
  <c r="O35" i="48" s="1"/>
  <c r="O36" i="48" s="1"/>
  <c r="O37" i="48" s="1"/>
  <c r="O38" i="48" s="1"/>
  <c r="U146" i="46"/>
  <c r="M34" i="30"/>
  <c r="E41" i="29"/>
  <c r="C146" i="46"/>
  <c r="M34" i="29"/>
  <c r="E41" i="30"/>
  <c r="E51" i="30"/>
  <c r="E49" i="30"/>
  <c r="D49" i="27"/>
  <c r="E49" i="27" s="1"/>
  <c r="M34" i="27"/>
  <c r="CC18" i="2"/>
  <c r="I40" i="11"/>
  <c r="R31" i="48" s="1"/>
  <c r="C30" i="45" s="1"/>
  <c r="K146" i="46"/>
  <c r="T146" i="46"/>
  <c r="AQ14" i="45"/>
  <c r="AM14" i="45"/>
  <c r="AI14" i="45"/>
  <c r="AE14" i="45"/>
  <c r="W14" i="45"/>
  <c r="S14" i="45"/>
  <c r="K14" i="45"/>
  <c r="O14" i="45"/>
  <c r="AA14" i="45"/>
  <c r="S17" i="45"/>
  <c r="AI17" i="45"/>
  <c r="AA17" i="45"/>
  <c r="K17" i="45"/>
  <c r="O17" i="45"/>
  <c r="W17" i="45"/>
  <c r="AE17" i="45"/>
  <c r="AM17" i="45"/>
  <c r="AQ17" i="45"/>
  <c r="C10" i="45"/>
  <c r="W10" i="45" s="1"/>
  <c r="I40" i="30"/>
  <c r="R12" i="48" s="1"/>
  <c r="F7" i="59" s="1"/>
  <c r="D51" i="27"/>
  <c r="D51" i="28" s="1"/>
  <c r="E48" i="26"/>
  <c r="D52" i="30"/>
  <c r="D53" i="30" s="1"/>
  <c r="E52" i="31"/>
  <c r="E53" i="31" s="1"/>
  <c r="E45" i="27"/>
  <c r="D45" i="28"/>
  <c r="E50" i="27"/>
  <c r="E42" i="29"/>
  <c r="D42" i="27"/>
  <c r="D39" i="27"/>
  <c r="E39" i="29"/>
  <c r="D48" i="24"/>
  <c r="E48" i="25"/>
  <c r="D47" i="27"/>
  <c r="E47" i="29"/>
  <c r="E46" i="29"/>
  <c r="D46" i="27"/>
  <c r="D50" i="26"/>
  <c r="E50" i="28"/>
  <c r="J37" i="30"/>
  <c r="J39" i="31"/>
  <c r="Q14" i="48"/>
  <c r="W13" i="48"/>
  <c r="J43" i="27"/>
  <c r="J44" i="29"/>
  <c r="M7" i="26"/>
  <c r="M34" i="28"/>
  <c r="D38" i="27"/>
  <c r="E38" i="29"/>
  <c r="E41" i="27"/>
  <c r="D41" i="28"/>
  <c r="J56" i="22"/>
  <c r="J57" i="26"/>
  <c r="J57" i="15"/>
  <c r="J49" i="27"/>
  <c r="J50" i="29"/>
  <c r="EL32" i="1" l="1"/>
  <c r="BX32" i="1"/>
  <c r="DQ32" i="1"/>
  <c r="JB32" i="1"/>
  <c r="FJ32" i="1"/>
  <c r="CA32" i="1"/>
  <c r="IP32" i="1"/>
  <c r="ID32" i="1"/>
  <c r="HF32" i="1"/>
  <c r="BR32" i="1"/>
  <c r="EX32" i="1"/>
  <c r="AT32" i="1"/>
  <c r="CV32" i="1"/>
  <c r="CP32" i="1"/>
  <c r="GN32" i="1"/>
  <c r="IG32" i="1"/>
  <c r="GZ32" i="1"/>
  <c r="FD32" i="1"/>
  <c r="AZ32" i="1"/>
  <c r="IV32" i="1"/>
  <c r="AW32" i="1"/>
  <c r="P32" i="1"/>
  <c r="EF32" i="1"/>
  <c r="BL32" i="1"/>
  <c r="DT32" i="1"/>
  <c r="DZ32" i="1"/>
  <c r="CG32" i="1"/>
  <c r="AN32" i="1"/>
  <c r="Y32" i="1"/>
  <c r="AH32" i="1"/>
  <c r="EO32" i="1"/>
  <c r="FS32" i="1"/>
  <c r="IY32" i="1"/>
  <c r="JH32" i="1"/>
  <c r="HL32" i="1"/>
  <c r="FD25" i="1"/>
  <c r="AW25" i="1"/>
  <c r="CP25" i="1"/>
  <c r="E33" i="2"/>
  <c r="CC33" i="2" s="1"/>
  <c r="HI32" i="1"/>
  <c r="BI32" i="1"/>
  <c r="IJ32" i="1"/>
  <c r="JE32" i="1"/>
  <c r="S30" i="45"/>
  <c r="AI30" i="45"/>
  <c r="G30" i="45"/>
  <c r="O30" i="45"/>
  <c r="AA30" i="45"/>
  <c r="AE30" i="45"/>
  <c r="AM30" i="45"/>
  <c r="W30" i="45"/>
  <c r="AQ30" i="45"/>
  <c r="K30" i="45"/>
  <c r="AT30" i="45"/>
  <c r="AJ11" i="48"/>
  <c r="D6" i="59" s="1"/>
  <c r="I11" i="48"/>
  <c r="AB32" i="1"/>
  <c r="DH32" i="1"/>
  <c r="FV32" i="1"/>
  <c r="IS25" i="1"/>
  <c r="GN25" i="1"/>
  <c r="GB32" i="1"/>
  <c r="FM32" i="1"/>
  <c r="HO32" i="1"/>
  <c r="AE25" i="1"/>
  <c r="FA32" i="1"/>
  <c r="BF32" i="1"/>
  <c r="FG32" i="1"/>
  <c r="IM32" i="1"/>
  <c r="EI32" i="1"/>
  <c r="DW32" i="1"/>
  <c r="S32" i="1"/>
  <c r="CD25" i="1"/>
  <c r="CM32" i="1"/>
  <c r="HX32" i="1"/>
  <c r="FY32" i="1"/>
  <c r="BO32" i="1"/>
  <c r="EU32" i="1"/>
  <c r="AQ32" i="1"/>
  <c r="DB32" i="1"/>
  <c r="GH32" i="1"/>
  <c r="GQ32" i="1"/>
  <c r="EC32" i="1"/>
  <c r="DN32" i="1"/>
  <c r="AE32" i="1"/>
  <c r="CJ32" i="1"/>
  <c r="G32" i="1"/>
  <c r="ER25" i="1"/>
  <c r="DE32" i="1"/>
  <c r="GK32" i="1"/>
  <c r="V32" i="1"/>
  <c r="GT32" i="1"/>
  <c r="HC32" i="1"/>
  <c r="BU32" i="1"/>
  <c r="F26" i="59"/>
  <c r="CD32" i="1"/>
  <c r="CS32" i="1"/>
  <c r="HU32" i="1"/>
  <c r="FP32" i="1"/>
  <c r="GW32" i="1"/>
  <c r="AK32" i="1"/>
  <c r="ER32" i="1"/>
  <c r="HR32" i="1"/>
  <c r="IA32" i="1"/>
  <c r="IS32" i="1"/>
  <c r="J32" i="1"/>
  <c r="DK32" i="1"/>
  <c r="M32" i="1"/>
  <c r="CY32" i="1"/>
  <c r="GT25" i="1"/>
  <c r="FS25" i="1"/>
  <c r="BX25" i="1"/>
  <c r="AH25" i="1"/>
  <c r="GQ25" i="1"/>
  <c r="CV25" i="1"/>
  <c r="ID25" i="1"/>
  <c r="HX25" i="1"/>
  <c r="AK25" i="1"/>
  <c r="E26" i="2"/>
  <c r="CC26" i="2" s="1"/>
  <c r="FP25" i="1"/>
  <c r="DZ25" i="1"/>
  <c r="GH25" i="1"/>
  <c r="DK25" i="1"/>
  <c r="BR25" i="1"/>
  <c r="IM25" i="1"/>
  <c r="EC25" i="1"/>
  <c r="V25" i="1"/>
  <c r="JH25" i="1"/>
  <c r="HR25" i="1"/>
  <c r="FG25" i="1"/>
  <c r="BF25" i="1"/>
  <c r="AB25" i="1"/>
  <c r="HU25" i="1"/>
  <c r="DN25" i="1"/>
  <c r="CM25" i="1"/>
  <c r="BI25" i="1"/>
  <c r="EL25" i="1"/>
  <c r="CG25" i="1"/>
  <c r="DT25" i="1"/>
  <c r="C18" i="45"/>
  <c r="AE18" i="45" s="1"/>
  <c r="BL25" i="1"/>
  <c r="HF25" i="1"/>
  <c r="GE25" i="1"/>
  <c r="FA25" i="1"/>
  <c r="FM25" i="1"/>
  <c r="GZ25" i="1"/>
  <c r="HL25" i="1"/>
  <c r="J25" i="1"/>
  <c r="IV25" i="1"/>
  <c r="EO25" i="1"/>
  <c r="HI25" i="1"/>
  <c r="CJ25" i="1"/>
  <c r="AT25" i="1"/>
  <c r="DQ25" i="1"/>
  <c r="FV25" i="1"/>
  <c r="DB25" i="1"/>
  <c r="CA25" i="1"/>
  <c r="IG25" i="1"/>
  <c r="BO25" i="1"/>
  <c r="GB25" i="1"/>
  <c r="BU25" i="1"/>
  <c r="IJ25" i="1"/>
  <c r="M25" i="1"/>
  <c r="G25" i="1"/>
  <c r="AZ25" i="1"/>
  <c r="FY25" i="1"/>
  <c r="CS25" i="1"/>
  <c r="DE25" i="1"/>
  <c r="CY25" i="1"/>
  <c r="IY25" i="1"/>
  <c r="DH25" i="1"/>
  <c r="GK25" i="1"/>
  <c r="GW25" i="1"/>
  <c r="AJ19" i="48"/>
  <c r="D14" i="59" s="1"/>
  <c r="JE25" i="1"/>
  <c r="AQ25" i="1"/>
  <c r="BC25" i="1"/>
  <c r="P25" i="1"/>
  <c r="S25" i="1"/>
  <c r="Y25" i="1"/>
  <c r="EU25" i="1"/>
  <c r="E11" i="1"/>
  <c r="JE11" i="1" s="1"/>
  <c r="J11" i="48"/>
  <c r="B6" i="59" s="1"/>
  <c r="X11" i="48"/>
  <c r="H6" i="59" s="1"/>
  <c r="J19" i="48"/>
  <c r="B14" i="59" s="1"/>
  <c r="F14" i="59"/>
  <c r="HC25" i="1"/>
  <c r="EX25" i="1"/>
  <c r="DW25" i="1"/>
  <c r="FJ25" i="1"/>
  <c r="EI25" i="1"/>
  <c r="AN25" i="1"/>
  <c r="IP25" i="1"/>
  <c r="HO25" i="1"/>
  <c r="JB25" i="1"/>
  <c r="IA25" i="1"/>
  <c r="I19" i="48"/>
  <c r="A15" i="1"/>
  <c r="A16" i="2" s="1"/>
  <c r="X19" i="48"/>
  <c r="H14" i="59" s="1"/>
  <c r="J11" i="15"/>
  <c r="J11" i="14" s="1"/>
  <c r="J11" i="13" s="1"/>
  <c r="J11" i="12" s="1"/>
  <c r="J11" i="11" s="1"/>
  <c r="IA19" i="1"/>
  <c r="AJ20" i="48"/>
  <c r="D15" i="59" s="1"/>
  <c r="J20" i="48"/>
  <c r="B15" i="59" s="1"/>
  <c r="I20" i="48"/>
  <c r="X20" i="48"/>
  <c r="H15" i="59" s="1"/>
  <c r="C19" i="45"/>
  <c r="E20" i="1"/>
  <c r="I45" i="33"/>
  <c r="R9" i="48"/>
  <c r="F4" i="59" s="1"/>
  <c r="J30" i="9"/>
  <c r="J30" i="8" s="1"/>
  <c r="J30" i="7" s="1"/>
  <c r="J30" i="6" s="1"/>
  <c r="J30" i="37" s="1"/>
  <c r="J30" i="4" s="1"/>
  <c r="J30" i="43" s="1"/>
  <c r="J8" i="9"/>
  <c r="J8" i="8" s="1"/>
  <c r="J8" i="7" s="1"/>
  <c r="J8" i="6" s="1"/>
  <c r="J8" i="37" s="1"/>
  <c r="J8" i="4" s="1"/>
  <c r="J8" i="43" s="1"/>
  <c r="J31" i="9"/>
  <c r="J31" i="8" s="1"/>
  <c r="J31" i="7" s="1"/>
  <c r="J31" i="6" s="1"/>
  <c r="J31" i="37" s="1"/>
  <c r="J31" i="4" s="1"/>
  <c r="J31" i="43" s="1"/>
  <c r="J10" i="10"/>
  <c r="AK19" i="1"/>
  <c r="AJ30" i="48"/>
  <c r="D25" i="59" s="1"/>
  <c r="X30" i="48"/>
  <c r="H25" i="59" s="1"/>
  <c r="I30" i="48"/>
  <c r="E30" i="1"/>
  <c r="J30" i="48"/>
  <c r="B25" i="59" s="1"/>
  <c r="CV19" i="1"/>
  <c r="AZ19" i="1"/>
  <c r="AT19" i="1"/>
  <c r="BO19" i="1"/>
  <c r="DK19" i="1"/>
  <c r="CD19" i="1"/>
  <c r="J9" i="12"/>
  <c r="J9" i="11" s="1"/>
  <c r="J9" i="10" s="1"/>
  <c r="EU19" i="1"/>
  <c r="CS19" i="1"/>
  <c r="JH19" i="1"/>
  <c r="J29" i="12"/>
  <c r="J29" i="11" s="1"/>
  <c r="J29" i="10" s="1"/>
  <c r="DN19" i="1"/>
  <c r="J27" i="12"/>
  <c r="J27" i="11" s="1"/>
  <c r="J27" i="10" s="1"/>
  <c r="JE19" i="1"/>
  <c r="GE19" i="1"/>
  <c r="AB19" i="1"/>
  <c r="J28" i="12"/>
  <c r="J28" i="11" s="1"/>
  <c r="J28" i="10" s="1"/>
  <c r="J25" i="14"/>
  <c r="J25" i="13" s="1"/>
  <c r="J26" i="14"/>
  <c r="J26" i="13" s="1"/>
  <c r="G19" i="1"/>
  <c r="J23" i="15"/>
  <c r="DB19" i="1"/>
  <c r="IS19" i="1"/>
  <c r="AI18" i="45"/>
  <c r="FY19" i="1"/>
  <c r="BI19" i="1"/>
  <c r="DQ19" i="1"/>
  <c r="FP19" i="1"/>
  <c r="EF19" i="1"/>
  <c r="J17" i="16"/>
  <c r="J17" i="15" s="1"/>
  <c r="J17" i="14" s="1"/>
  <c r="J17" i="13" s="1"/>
  <c r="J19" i="17"/>
  <c r="J19" i="16" s="1"/>
  <c r="J21" i="17"/>
  <c r="J21" i="16" s="1"/>
  <c r="J24" i="17"/>
  <c r="J24" i="16" s="1"/>
  <c r="J13" i="16"/>
  <c r="J13" i="15" s="1"/>
  <c r="J13" i="14" s="1"/>
  <c r="J13" i="13" s="1"/>
  <c r="J13" i="12" s="1"/>
  <c r="J13" i="11" s="1"/>
  <c r="J13" i="10" s="1"/>
  <c r="J13" i="9" s="1"/>
  <c r="J13" i="8" s="1"/>
  <c r="J13" i="7" s="1"/>
  <c r="J15" i="15"/>
  <c r="J15" i="14" s="1"/>
  <c r="J15" i="13" s="1"/>
  <c r="J15" i="12" s="1"/>
  <c r="J15" i="11" s="1"/>
  <c r="J15" i="10" s="1"/>
  <c r="J15" i="9" s="1"/>
  <c r="J15" i="8" s="1"/>
  <c r="J15" i="7" s="1"/>
  <c r="J20" i="17"/>
  <c r="J20" i="16" s="1"/>
  <c r="J22" i="17"/>
  <c r="J22" i="16" s="1"/>
  <c r="J22" i="15" s="1"/>
  <c r="J16" i="16"/>
  <c r="J16" i="15" s="1"/>
  <c r="J16" i="14" s="1"/>
  <c r="J16" i="13" s="1"/>
  <c r="J16" i="12" s="1"/>
  <c r="J16" i="11" s="1"/>
  <c r="J16" i="10" s="1"/>
  <c r="J16" i="9" s="1"/>
  <c r="J16" i="8" s="1"/>
  <c r="J16" i="7" s="1"/>
  <c r="CG19" i="1"/>
  <c r="GN19" i="1"/>
  <c r="HC19" i="1"/>
  <c r="FA19" i="1"/>
  <c r="IY19" i="1"/>
  <c r="V19" i="1"/>
  <c r="GT19" i="1"/>
  <c r="HI19" i="1"/>
  <c r="HX19" i="1"/>
  <c r="JB19" i="1"/>
  <c r="CM19" i="1"/>
  <c r="S18" i="45"/>
  <c r="EX19" i="1"/>
  <c r="IV19" i="1"/>
  <c r="S19" i="1"/>
  <c r="HR19" i="1"/>
  <c r="BX19" i="1"/>
  <c r="IM19" i="1"/>
  <c r="J19" i="1"/>
  <c r="Y19" i="1"/>
  <c r="AN19" i="1"/>
  <c r="BC19" i="1"/>
  <c r="BF19" i="1"/>
  <c r="FM19" i="1"/>
  <c r="DZ19" i="1"/>
  <c r="IG19" i="1"/>
  <c r="FD19" i="1"/>
  <c r="FS19" i="1"/>
  <c r="GH19" i="1"/>
  <c r="GW19" i="1"/>
  <c r="GK19" i="1"/>
  <c r="BR19" i="1"/>
  <c r="HO19" i="1"/>
  <c r="BU19" i="1"/>
  <c r="E20" i="2"/>
  <c r="CC20" i="2" s="1"/>
  <c r="AH19" i="1"/>
  <c r="EO19" i="1"/>
  <c r="BL19" i="1"/>
  <c r="CA19" i="1"/>
  <c r="CP19" i="1"/>
  <c r="DE19" i="1"/>
  <c r="DT19" i="1"/>
  <c r="AQ19" i="1"/>
  <c r="DH19" i="1"/>
  <c r="DW19" i="1"/>
  <c r="ID19" i="1"/>
  <c r="GB19" i="1"/>
  <c r="GQ19" i="1"/>
  <c r="AW19" i="1"/>
  <c r="HU19" i="1"/>
  <c r="IJ19" i="1"/>
  <c r="IP19" i="1"/>
  <c r="M19" i="1"/>
  <c r="EI19" i="1"/>
  <c r="HL19" i="1"/>
  <c r="O18" i="45"/>
  <c r="P19" i="1"/>
  <c r="AE19" i="1"/>
  <c r="EL19" i="1"/>
  <c r="CJ19" i="1"/>
  <c r="CY19" i="1"/>
  <c r="HF19" i="1"/>
  <c r="EC19" i="1"/>
  <c r="ER19" i="1"/>
  <c r="FG19" i="1"/>
  <c r="FV19" i="1"/>
  <c r="FJ19" i="1"/>
  <c r="J18" i="20"/>
  <c r="J18" i="19" s="1"/>
  <c r="J18" i="18" s="1"/>
  <c r="J18" i="17" s="1"/>
  <c r="FY21" i="1"/>
  <c r="JB21" i="1"/>
  <c r="FV21" i="1"/>
  <c r="GN21" i="1"/>
  <c r="DH21" i="1"/>
  <c r="AQ21" i="1"/>
  <c r="CS21" i="1"/>
  <c r="AB21" i="1"/>
  <c r="HI21" i="1"/>
  <c r="DB21" i="1"/>
  <c r="AZ21" i="1"/>
  <c r="E22" i="2"/>
  <c r="CC22" i="2" s="1"/>
  <c r="HR21" i="1"/>
  <c r="S21" i="1"/>
  <c r="FM21" i="1"/>
  <c r="BF21" i="1"/>
  <c r="IG21" i="1"/>
  <c r="GZ21" i="1"/>
  <c r="HC21" i="1"/>
  <c r="DT21" i="1"/>
  <c r="GT21" i="1"/>
  <c r="ER21" i="1"/>
  <c r="GQ21" i="1"/>
  <c r="BI21" i="1"/>
  <c r="BX21" i="1"/>
  <c r="JE21" i="1"/>
  <c r="EX21" i="1"/>
  <c r="CY21" i="1"/>
  <c r="M21" i="1"/>
  <c r="BR21" i="1"/>
  <c r="HL21" i="1"/>
  <c r="G21" i="1"/>
  <c r="AK21" i="1"/>
  <c r="IJ21" i="1"/>
  <c r="EU21" i="1"/>
  <c r="FA21" i="1"/>
  <c r="FP21" i="1"/>
  <c r="CA21" i="1"/>
  <c r="IP21" i="1"/>
  <c r="GK21" i="1"/>
  <c r="HX21" i="1"/>
  <c r="ID21" i="1"/>
  <c r="AE21" i="1"/>
  <c r="DE21" i="1"/>
  <c r="IY21" i="1"/>
  <c r="GE21" i="1"/>
  <c r="EC21" i="1"/>
  <c r="V21" i="1"/>
  <c r="BL21" i="1"/>
  <c r="IS21" i="1"/>
  <c r="JH21" i="1"/>
  <c r="FG21" i="1"/>
  <c r="CG21" i="1"/>
  <c r="IA21" i="1"/>
  <c r="P21" i="1"/>
  <c r="CP21" i="1"/>
  <c r="AN21" i="1"/>
  <c r="HU21" i="1"/>
  <c r="DN21" i="1"/>
  <c r="FD21" i="1"/>
  <c r="AT21" i="1"/>
  <c r="DK21" i="1"/>
  <c r="EI21" i="1"/>
  <c r="AH21" i="1"/>
  <c r="CV21" i="1"/>
  <c r="AW21" i="1"/>
  <c r="CD21" i="1"/>
  <c r="GH21" i="1"/>
  <c r="EF21" i="1"/>
  <c r="HF21" i="1"/>
  <c r="IV21" i="1"/>
  <c r="EL21" i="1"/>
  <c r="CJ21" i="1"/>
  <c r="DW21" i="1"/>
  <c r="FS21" i="1"/>
  <c r="GW21" i="1"/>
  <c r="IM21" i="1"/>
  <c r="CM21" i="1"/>
  <c r="DQ21" i="1"/>
  <c r="J21" i="1"/>
  <c r="BC21" i="1"/>
  <c r="DZ21" i="1"/>
  <c r="BO21" i="1"/>
  <c r="BU21" i="1"/>
  <c r="HO21" i="1"/>
  <c r="FJ21" i="1"/>
  <c r="Y21" i="1"/>
  <c r="EO21" i="1"/>
  <c r="GB21" i="1"/>
  <c r="AQ20" i="45"/>
  <c r="S20" i="45"/>
  <c r="K20" i="45"/>
  <c r="W20" i="45"/>
  <c r="O20" i="45"/>
  <c r="AM20" i="45"/>
  <c r="AI20" i="45"/>
  <c r="AA20" i="45"/>
  <c r="AE20" i="45"/>
  <c r="E43" i="29"/>
  <c r="E52" i="29" s="1"/>
  <c r="E53" i="29" s="1"/>
  <c r="D43" i="26"/>
  <c r="E43" i="26" s="1"/>
  <c r="X151" i="58"/>
  <c r="I51" i="33"/>
  <c r="I51" i="29"/>
  <c r="I45" i="29"/>
  <c r="C13" i="45"/>
  <c r="E14" i="1"/>
  <c r="X14" i="48"/>
  <c r="H9" i="59" s="1"/>
  <c r="AJ14" i="48"/>
  <c r="D9" i="59" s="1"/>
  <c r="I14" i="48"/>
  <c r="J14" i="48"/>
  <c r="B9" i="59" s="1"/>
  <c r="E44" i="25"/>
  <c r="E44" i="23"/>
  <c r="E44" i="24"/>
  <c r="N12" i="53"/>
  <c r="U2" i="54"/>
  <c r="O12" i="53" s="1"/>
  <c r="D40" i="26"/>
  <c r="E40" i="26" s="1"/>
  <c r="E43" i="27"/>
  <c r="D52" i="29"/>
  <c r="D53" i="29" s="1"/>
  <c r="I8" i="54"/>
  <c r="I11" i="54" s="1"/>
  <c r="F39" i="53" s="1"/>
  <c r="AH3" i="55"/>
  <c r="AH4" i="55"/>
  <c r="AH38" i="55"/>
  <c r="HL11" i="1"/>
  <c r="EF11" i="1"/>
  <c r="AZ11" i="1"/>
  <c r="GW11" i="1"/>
  <c r="GK11" i="1"/>
  <c r="FY11" i="1"/>
  <c r="DE11" i="1"/>
  <c r="CS11" i="1"/>
  <c r="CG11" i="1"/>
  <c r="M11" i="1"/>
  <c r="GN11" i="1"/>
  <c r="ER11" i="1"/>
  <c r="JB11" i="1"/>
  <c r="IP11" i="1"/>
  <c r="ID11" i="1"/>
  <c r="FJ11" i="1"/>
  <c r="EX11" i="1"/>
  <c r="EL11" i="1"/>
  <c r="BR11" i="1"/>
  <c r="BF11" i="1"/>
  <c r="AT11" i="1"/>
  <c r="AN11" i="1"/>
  <c r="GZ11" i="1"/>
  <c r="DT11" i="1"/>
  <c r="HC11" i="1"/>
  <c r="GQ11" i="1"/>
  <c r="GE11" i="1"/>
  <c r="DK11" i="1"/>
  <c r="CY11" i="1"/>
  <c r="CM11" i="1"/>
  <c r="S11" i="1"/>
  <c r="G11" i="1"/>
  <c r="DH11" i="1"/>
  <c r="N41" i="48"/>
  <c r="G41" i="48" s="1"/>
  <c r="G9" i="48"/>
  <c r="I51" i="32"/>
  <c r="I45" i="32"/>
  <c r="J40" i="32"/>
  <c r="S10" i="45"/>
  <c r="O10" i="45"/>
  <c r="AI10" i="45"/>
  <c r="K10" i="45"/>
  <c r="M9" i="48"/>
  <c r="M10" i="48" s="1"/>
  <c r="M11" i="48" s="1"/>
  <c r="M12" i="48" s="1"/>
  <c r="M13" i="48" s="1"/>
  <c r="M14" i="48" s="1"/>
  <c r="L41" i="48"/>
  <c r="H41" i="48" s="1"/>
  <c r="H9" i="48"/>
  <c r="AE10" i="45"/>
  <c r="AA10" i="45"/>
  <c r="AM10" i="45"/>
  <c r="AQ10" i="45"/>
  <c r="E52" i="30"/>
  <c r="E53" i="30" s="1"/>
  <c r="D49" i="28"/>
  <c r="E49" i="28" s="1"/>
  <c r="E12" i="2"/>
  <c r="Y147" i="46"/>
  <c r="X154" i="46" s="1"/>
  <c r="I51" i="11"/>
  <c r="I45" i="11"/>
  <c r="V147" i="46"/>
  <c r="AR147" i="46" s="1"/>
  <c r="Z146" i="46"/>
  <c r="AC146" i="46"/>
  <c r="I5" i="54" s="1"/>
  <c r="E15" i="53" s="1"/>
  <c r="I51" i="30"/>
  <c r="I45" i="30"/>
  <c r="W146" i="46"/>
  <c r="E51" i="27"/>
  <c r="E45" i="28"/>
  <c r="D45" i="26"/>
  <c r="D42" i="28"/>
  <c r="E42" i="27"/>
  <c r="E46" i="27"/>
  <c r="D46" i="28"/>
  <c r="E47" i="27"/>
  <c r="D47" i="28"/>
  <c r="E48" i="24"/>
  <c r="D48" i="23"/>
  <c r="E39" i="27"/>
  <c r="D39" i="28"/>
  <c r="E51" i="28"/>
  <c r="D51" i="26"/>
  <c r="J37" i="29"/>
  <c r="J39" i="30"/>
  <c r="D50" i="25"/>
  <c r="E50" i="26"/>
  <c r="J57" i="25"/>
  <c r="M7" i="25"/>
  <c r="M34" i="26"/>
  <c r="J43" i="28"/>
  <c r="J44" i="27"/>
  <c r="Q15" i="48"/>
  <c r="W14" i="48"/>
  <c r="J50" i="27"/>
  <c r="J49" i="28"/>
  <c r="D44" i="22"/>
  <c r="E44" i="21"/>
  <c r="J57" i="14"/>
  <c r="A16" i="1"/>
  <c r="A17" i="2" s="1"/>
  <c r="J56" i="20"/>
  <c r="D41" i="26"/>
  <c r="E41" i="28"/>
  <c r="E38" i="27"/>
  <c r="D52" i="27"/>
  <c r="D53" i="27" s="1"/>
  <c r="D38" i="28"/>
  <c r="AE11" i="1" l="1"/>
  <c r="DW11" i="1"/>
  <c r="HO11" i="1"/>
  <c r="GB11" i="1"/>
  <c r="CD11" i="1"/>
  <c r="FV11" i="1"/>
  <c r="P11" i="1"/>
  <c r="Y11" i="1"/>
  <c r="DQ11" i="1"/>
  <c r="HI11" i="1"/>
  <c r="IV11" i="1"/>
  <c r="AQ18" i="45"/>
  <c r="AB11" i="1"/>
  <c r="EI11" i="1"/>
  <c r="IA11" i="1"/>
  <c r="JH11" i="1"/>
  <c r="GH11" i="1"/>
  <c r="CJ11" i="1"/>
  <c r="AK11" i="1"/>
  <c r="EC11" i="1"/>
  <c r="HU11" i="1"/>
  <c r="CV11" i="1"/>
  <c r="BC11" i="1"/>
  <c r="EU11" i="1"/>
  <c r="IM11" i="1"/>
  <c r="J11" i="1"/>
  <c r="DB11" i="1"/>
  <c r="GT11" i="1"/>
  <c r="FD11" i="1"/>
  <c r="AW11" i="1"/>
  <c r="EO11" i="1"/>
  <c r="IG11" i="1"/>
  <c r="AM18" i="45"/>
  <c r="AQ11" i="1"/>
  <c r="CP11" i="1"/>
  <c r="FP11" i="1"/>
  <c r="BO11" i="1"/>
  <c r="FG11" i="1"/>
  <c r="IY11" i="1"/>
  <c r="V11" i="1"/>
  <c r="DN11" i="1"/>
  <c r="HF11" i="1"/>
  <c r="IJ11" i="1"/>
  <c r="BI11" i="1"/>
  <c r="FA11" i="1"/>
  <c r="IS11" i="1"/>
  <c r="W18" i="45"/>
  <c r="HX11" i="1"/>
  <c r="CA11" i="1"/>
  <c r="FS11" i="1"/>
  <c r="BL11" i="1"/>
  <c r="AH11" i="1"/>
  <c r="DZ11" i="1"/>
  <c r="HR11" i="1"/>
  <c r="BX11" i="1"/>
  <c r="BU11" i="1"/>
  <c r="FM11" i="1"/>
  <c r="K18" i="45"/>
  <c r="AA18" i="45"/>
  <c r="J9" i="48"/>
  <c r="B4" i="59" s="1"/>
  <c r="IP20" i="1"/>
  <c r="EX20" i="1"/>
  <c r="BF20" i="1"/>
  <c r="GW20" i="1"/>
  <c r="HI20" i="1"/>
  <c r="HU20" i="1"/>
  <c r="GQ20" i="1"/>
  <c r="HC20" i="1"/>
  <c r="HO20" i="1"/>
  <c r="GZ20" i="1"/>
  <c r="HL20" i="1"/>
  <c r="ID20" i="1"/>
  <c r="EL20" i="1"/>
  <c r="AT20" i="1"/>
  <c r="FG20" i="1"/>
  <c r="FS20" i="1"/>
  <c r="GE20" i="1"/>
  <c r="FP20" i="1"/>
  <c r="GB20" i="1"/>
  <c r="GN20" i="1"/>
  <c r="FY20" i="1"/>
  <c r="GK20" i="1"/>
  <c r="HR20" i="1"/>
  <c r="DZ20" i="1"/>
  <c r="AH20" i="1"/>
  <c r="EF20" i="1"/>
  <c r="ER20" i="1"/>
  <c r="FD20" i="1"/>
  <c r="EO20" i="1"/>
  <c r="FA20" i="1"/>
  <c r="FM20" i="1"/>
  <c r="EI20" i="1"/>
  <c r="EU20" i="1"/>
  <c r="HF20" i="1"/>
  <c r="DN20" i="1"/>
  <c r="V20" i="1"/>
  <c r="DE20" i="1"/>
  <c r="DQ20" i="1"/>
  <c r="EC20" i="1"/>
  <c r="CY20" i="1"/>
  <c r="DK20" i="1"/>
  <c r="DW20" i="1"/>
  <c r="DH20" i="1"/>
  <c r="DT20" i="1"/>
  <c r="GT20" i="1"/>
  <c r="DB20" i="1"/>
  <c r="J20" i="1"/>
  <c r="BO20" i="1"/>
  <c r="CA20" i="1"/>
  <c r="CM20" i="1"/>
  <c r="BX20" i="1"/>
  <c r="CJ20" i="1"/>
  <c r="CV20" i="1"/>
  <c r="CG20" i="1"/>
  <c r="CS20" i="1"/>
  <c r="GH20" i="1"/>
  <c r="CP20" i="1"/>
  <c r="JH20" i="1"/>
  <c r="AN20" i="1"/>
  <c r="AZ20" i="1"/>
  <c r="BL20" i="1"/>
  <c r="AW20" i="1"/>
  <c r="BI20" i="1"/>
  <c r="BU20" i="1"/>
  <c r="AQ20" i="1"/>
  <c r="BC20" i="1"/>
  <c r="E21" i="2"/>
  <c r="CC21" i="2" s="1"/>
  <c r="FV20" i="1"/>
  <c r="CD20" i="1"/>
  <c r="IY20" i="1"/>
  <c r="M20" i="1"/>
  <c r="Y20" i="1"/>
  <c r="AK20" i="1"/>
  <c r="G20" i="1"/>
  <c r="S20" i="1"/>
  <c r="AE20" i="1"/>
  <c r="P20" i="1"/>
  <c r="AB20" i="1"/>
  <c r="JB20" i="1"/>
  <c r="FJ20" i="1"/>
  <c r="BR20" i="1"/>
  <c r="HX20" i="1"/>
  <c r="IJ20" i="1"/>
  <c r="IV20" i="1"/>
  <c r="IG20" i="1"/>
  <c r="IS20" i="1"/>
  <c r="JE20" i="1"/>
  <c r="IA20" i="1"/>
  <c r="IM20" i="1"/>
  <c r="AQ19" i="45"/>
  <c r="AE19" i="45"/>
  <c r="W19" i="45"/>
  <c r="S19" i="45"/>
  <c r="AI19" i="45"/>
  <c r="O19" i="45"/>
  <c r="AM19" i="45"/>
  <c r="K19" i="45"/>
  <c r="AA19" i="45"/>
  <c r="J27" i="9"/>
  <c r="J27" i="8" s="1"/>
  <c r="J27" i="7" s="1"/>
  <c r="J27" i="6" s="1"/>
  <c r="J27" i="37" s="1"/>
  <c r="J27" i="4" s="1"/>
  <c r="J27" i="43" s="1"/>
  <c r="J29" i="9"/>
  <c r="J29" i="8" s="1"/>
  <c r="J29" i="7" s="1"/>
  <c r="J29" i="6" s="1"/>
  <c r="J29" i="37" s="1"/>
  <c r="J29" i="4" s="1"/>
  <c r="J29" i="43" s="1"/>
  <c r="J28" i="9"/>
  <c r="J28" i="8" s="1"/>
  <c r="J28" i="7" s="1"/>
  <c r="J28" i="6" s="1"/>
  <c r="J28" i="37" s="1"/>
  <c r="J28" i="4" s="1"/>
  <c r="J28" i="43" s="1"/>
  <c r="J9" i="9"/>
  <c r="J9" i="8" s="1"/>
  <c r="J9" i="7" s="1"/>
  <c r="J9" i="6" s="1"/>
  <c r="J9" i="37" s="1"/>
  <c r="J9" i="4" s="1"/>
  <c r="J9" i="43" s="1"/>
  <c r="J10" i="9"/>
  <c r="J10" i="8" s="1"/>
  <c r="J11" i="10"/>
  <c r="IP30" i="1"/>
  <c r="EX30" i="1"/>
  <c r="BF30" i="1"/>
  <c r="HU30" i="1"/>
  <c r="AK30" i="1"/>
  <c r="DW30" i="1"/>
  <c r="HL30" i="1"/>
  <c r="AB30" i="1"/>
  <c r="CJ30" i="1"/>
  <c r="FG30" i="1"/>
  <c r="ID30" i="1"/>
  <c r="EL30" i="1"/>
  <c r="AT30" i="1"/>
  <c r="HI30" i="1"/>
  <c r="DQ30" i="1"/>
  <c r="Y30" i="1"/>
  <c r="DH30" i="1"/>
  <c r="GE30" i="1"/>
  <c r="IM30" i="1"/>
  <c r="BC30" i="1"/>
  <c r="ER30" i="1"/>
  <c r="HR30" i="1"/>
  <c r="DZ30" i="1"/>
  <c r="AH30" i="1"/>
  <c r="GW30" i="1"/>
  <c r="DE30" i="1"/>
  <c r="M30" i="1"/>
  <c r="CA30" i="1"/>
  <c r="FP30" i="1"/>
  <c r="HX30" i="1"/>
  <c r="AN30" i="1"/>
  <c r="DK30" i="1"/>
  <c r="HF30" i="1"/>
  <c r="DN30" i="1"/>
  <c r="V30" i="1"/>
  <c r="GK30" i="1"/>
  <c r="CS30" i="1"/>
  <c r="IV30" i="1"/>
  <c r="BL30" i="1"/>
  <c r="EI30" i="1"/>
  <c r="GQ30" i="1"/>
  <c r="G30" i="1"/>
  <c r="CV30" i="1"/>
  <c r="GT30" i="1"/>
  <c r="DB30" i="1"/>
  <c r="J30" i="1"/>
  <c r="FY30" i="1"/>
  <c r="CG30" i="1"/>
  <c r="HO30" i="1"/>
  <c r="AE30" i="1"/>
  <c r="DT30" i="1"/>
  <c r="GB30" i="1"/>
  <c r="IY30" i="1"/>
  <c r="BO30" i="1"/>
  <c r="GH30" i="1"/>
  <c r="CP30" i="1"/>
  <c r="JE30" i="1"/>
  <c r="FM30" i="1"/>
  <c r="BU30" i="1"/>
  <c r="GZ30" i="1"/>
  <c r="P30" i="1"/>
  <c r="CM30" i="1"/>
  <c r="EU30" i="1"/>
  <c r="IJ30" i="1"/>
  <c r="AZ30" i="1"/>
  <c r="E31" i="2"/>
  <c r="CC31" i="2" s="1"/>
  <c r="FV30" i="1"/>
  <c r="CD30" i="1"/>
  <c r="IS30" i="1"/>
  <c r="FA30" i="1"/>
  <c r="BI30" i="1"/>
  <c r="FS30" i="1"/>
  <c r="JH30" i="1"/>
  <c r="BX30" i="1"/>
  <c r="EF30" i="1"/>
  <c r="HC30" i="1"/>
  <c r="S30" i="1"/>
  <c r="JB30" i="1"/>
  <c r="FJ30" i="1"/>
  <c r="BR30" i="1"/>
  <c r="IG30" i="1"/>
  <c r="EO30" i="1"/>
  <c r="AW30" i="1"/>
  <c r="FD30" i="1"/>
  <c r="IA30" i="1"/>
  <c r="AQ30" i="1"/>
  <c r="CY30" i="1"/>
  <c r="GN30" i="1"/>
  <c r="J26" i="12"/>
  <c r="J26" i="11" s="1"/>
  <c r="J25" i="12"/>
  <c r="J25" i="11" s="1"/>
  <c r="J23" i="14"/>
  <c r="J22" i="14"/>
  <c r="J22" i="13" s="1"/>
  <c r="J20" i="15"/>
  <c r="J20" i="13" s="1"/>
  <c r="J15" i="6"/>
  <c r="J15" i="37" s="1"/>
  <c r="J15" i="4" s="1"/>
  <c r="J15" i="43" s="1"/>
  <c r="D43" i="25"/>
  <c r="D43" i="24" s="1"/>
  <c r="J13" i="6"/>
  <c r="J13" i="37" s="1"/>
  <c r="J13" i="4" s="1"/>
  <c r="J13" i="43" s="1"/>
  <c r="J19" i="15"/>
  <c r="J19" i="13" s="1"/>
  <c r="J24" i="15"/>
  <c r="J21" i="15"/>
  <c r="J18" i="16"/>
  <c r="J14" i="16"/>
  <c r="J14" i="15" s="1"/>
  <c r="J14" i="14" s="1"/>
  <c r="J14" i="13" s="1"/>
  <c r="J14" i="12" s="1"/>
  <c r="J14" i="11" s="1"/>
  <c r="J14" i="10" s="1"/>
  <c r="J14" i="9" s="1"/>
  <c r="J14" i="8" s="1"/>
  <c r="J14" i="7" s="1"/>
  <c r="F15" i="53"/>
  <c r="G15" i="53" s="1"/>
  <c r="P12" i="53"/>
  <c r="X149" i="58"/>
  <c r="O41" i="53"/>
  <c r="P41" i="53" s="1"/>
  <c r="Q41" i="53" s="1"/>
  <c r="AJ9" i="48"/>
  <c r="D4" i="59" s="1"/>
  <c r="C8" i="45"/>
  <c r="I9" i="48"/>
  <c r="S9" i="48"/>
  <c r="G4" i="59" s="1"/>
  <c r="E9" i="1"/>
  <c r="X9" i="48"/>
  <c r="H4" i="59" s="1"/>
  <c r="J13" i="48"/>
  <c r="B8" i="59" s="1"/>
  <c r="E13" i="1"/>
  <c r="I13" i="48"/>
  <c r="X13" i="48"/>
  <c r="H8" i="59" s="1"/>
  <c r="C12" i="45"/>
  <c r="AJ13" i="48"/>
  <c r="D8" i="59" s="1"/>
  <c r="IA14" i="1"/>
  <c r="EI14" i="1"/>
  <c r="AQ14" i="1"/>
  <c r="HL14" i="1"/>
  <c r="DT14" i="1"/>
  <c r="AB14" i="1"/>
  <c r="GH14" i="1"/>
  <c r="CP14" i="1"/>
  <c r="IS14" i="1"/>
  <c r="AK14" i="1"/>
  <c r="IG14" i="1"/>
  <c r="FP14" i="1"/>
  <c r="AT14" i="1"/>
  <c r="BL14" i="1"/>
  <c r="HO14" i="1"/>
  <c r="DW14" i="1"/>
  <c r="AE14" i="1"/>
  <c r="GZ14" i="1"/>
  <c r="DH14" i="1"/>
  <c r="P14" i="1"/>
  <c r="FV14" i="1"/>
  <c r="CD14" i="1"/>
  <c r="FA14" i="1"/>
  <c r="HI14" i="1"/>
  <c r="EO14" i="1"/>
  <c r="FS14" i="1"/>
  <c r="GW14" i="1"/>
  <c r="HC14" i="1"/>
  <c r="DK14" i="1"/>
  <c r="S14" i="1"/>
  <c r="GN14" i="1"/>
  <c r="CV14" i="1"/>
  <c r="JB14" i="1"/>
  <c r="FJ14" i="1"/>
  <c r="BR14" i="1"/>
  <c r="BI14" i="1"/>
  <c r="JE14" i="1"/>
  <c r="AW14" i="1"/>
  <c r="CM14" i="1"/>
  <c r="ID14" i="1"/>
  <c r="CG14" i="1"/>
  <c r="E15" i="2"/>
  <c r="CC15" i="2" s="1"/>
  <c r="HR14" i="1"/>
  <c r="AH14" i="1"/>
  <c r="GQ14" i="1"/>
  <c r="CY14" i="1"/>
  <c r="G14" i="1"/>
  <c r="GB14" i="1"/>
  <c r="CJ14" i="1"/>
  <c r="IP14" i="1"/>
  <c r="EX14" i="1"/>
  <c r="BF14" i="1"/>
  <c r="GK14" i="1"/>
  <c r="FM14" i="1"/>
  <c r="FY14" i="1"/>
  <c r="EL14" i="1"/>
  <c r="CA14" i="1"/>
  <c r="Y14" i="1"/>
  <c r="IY14" i="1"/>
  <c r="FG14" i="1"/>
  <c r="BO14" i="1"/>
  <c r="IJ14" i="1"/>
  <c r="ER14" i="1"/>
  <c r="AZ14" i="1"/>
  <c r="HF14" i="1"/>
  <c r="DN14" i="1"/>
  <c r="V14" i="1"/>
  <c r="HU14" i="1"/>
  <c r="DE14" i="1"/>
  <c r="GE14" i="1"/>
  <c r="BX14" i="1"/>
  <c r="BU14" i="1"/>
  <c r="IV14" i="1"/>
  <c r="DZ14" i="1"/>
  <c r="DQ14" i="1"/>
  <c r="IM14" i="1"/>
  <c r="EU14" i="1"/>
  <c r="BC14" i="1"/>
  <c r="HX14" i="1"/>
  <c r="EF14" i="1"/>
  <c r="AN14" i="1"/>
  <c r="GT14" i="1"/>
  <c r="DB14" i="1"/>
  <c r="J14" i="1"/>
  <c r="EC14" i="1"/>
  <c r="M14" i="1"/>
  <c r="JH14" i="1"/>
  <c r="CS14" i="1"/>
  <c r="FD14" i="1"/>
  <c r="O13" i="45"/>
  <c r="K13" i="45"/>
  <c r="W13" i="45"/>
  <c r="AM13" i="45"/>
  <c r="AQ13" i="45"/>
  <c r="AE13" i="45"/>
  <c r="AI13" i="45"/>
  <c r="AA13" i="45"/>
  <c r="S13" i="45"/>
  <c r="D40" i="25"/>
  <c r="D40" i="24" s="1"/>
  <c r="E40" i="24" s="1"/>
  <c r="AA146" i="58"/>
  <c r="T3" i="54" s="1"/>
  <c r="AB146" i="58"/>
  <c r="AB147" i="58" s="1"/>
  <c r="X158" i="58" s="1"/>
  <c r="I2" i="54"/>
  <c r="E12" i="53" s="1"/>
  <c r="AJ31" i="48"/>
  <c r="D26" i="59" s="1"/>
  <c r="AJ12" i="48"/>
  <c r="D7" i="59" s="1"/>
  <c r="AJ10" i="48"/>
  <c r="D5" i="59" s="1"/>
  <c r="AI3" i="55"/>
  <c r="F7" i="53"/>
  <c r="G7" i="53" s="1"/>
  <c r="F27" i="53"/>
  <c r="F19" i="53"/>
  <c r="F31" i="53"/>
  <c r="F11" i="53"/>
  <c r="G11" i="53" s="1"/>
  <c r="F35" i="53"/>
  <c r="F23" i="53"/>
  <c r="F5" i="53"/>
  <c r="G5" i="53" s="1"/>
  <c r="F16" i="53"/>
  <c r="F29" i="53"/>
  <c r="F10" i="53"/>
  <c r="G10" i="53" s="1"/>
  <c r="F28" i="53"/>
  <c r="F34" i="53"/>
  <c r="F17" i="53"/>
  <c r="F37" i="53"/>
  <c r="F21" i="53"/>
  <c r="F36" i="53"/>
  <c r="F20" i="53"/>
  <c r="F4" i="53"/>
  <c r="F8" i="53"/>
  <c r="G8" i="53" s="1"/>
  <c r="F24" i="53"/>
  <c r="F9" i="53"/>
  <c r="G9" i="53" s="1"/>
  <c r="F25" i="53"/>
  <c r="F18" i="53"/>
  <c r="G18" i="53" s="1"/>
  <c r="F38" i="53"/>
  <c r="G38" i="53" s="1"/>
  <c r="H38" i="53" s="1"/>
  <c r="F22" i="53"/>
  <c r="F32" i="53"/>
  <c r="F26" i="53"/>
  <c r="F6" i="53"/>
  <c r="G6" i="53" s="1"/>
  <c r="F30" i="53"/>
  <c r="F33" i="53"/>
  <c r="AW147" i="46"/>
  <c r="X174" i="46" s="1"/>
  <c r="AZ147" i="46"/>
  <c r="X176" i="46" s="1"/>
  <c r="AV147" i="46"/>
  <c r="X173" i="46" s="1"/>
  <c r="AY147" i="46"/>
  <c r="AX147" i="46"/>
  <c r="J41" i="32"/>
  <c r="K57" i="32"/>
  <c r="K56" i="32"/>
  <c r="J45" i="32"/>
  <c r="J51" i="32"/>
  <c r="J40" i="31"/>
  <c r="X10" i="48"/>
  <c r="H5" i="59" s="1"/>
  <c r="E10" i="1"/>
  <c r="J10" i="48"/>
  <c r="B5" i="59" s="1"/>
  <c r="C9" i="45"/>
  <c r="I10" i="48"/>
  <c r="AF147" i="46"/>
  <c r="X159" i="46" s="1"/>
  <c r="AL147" i="46"/>
  <c r="X165" i="46" s="1"/>
  <c r="AU147" i="46"/>
  <c r="X172" i="46" s="1"/>
  <c r="AT147" i="46"/>
  <c r="X171" i="46" s="1"/>
  <c r="AQ147" i="46"/>
  <c r="X169" i="46" s="1"/>
  <c r="BA147" i="46"/>
  <c r="AI147" i="46"/>
  <c r="X162" i="46" s="1"/>
  <c r="AG147" i="46"/>
  <c r="X160" i="46" s="1"/>
  <c r="D49" i="26"/>
  <c r="E49" i="26" s="1"/>
  <c r="CC12" i="2"/>
  <c r="AC147" i="46"/>
  <c r="X156" i="46" s="1"/>
  <c r="Z147" i="46"/>
  <c r="X155" i="46" s="1"/>
  <c r="E31" i="1"/>
  <c r="I31" i="48"/>
  <c r="J31" i="48"/>
  <c r="B26" i="59" s="1"/>
  <c r="X31" i="48"/>
  <c r="H26" i="59" s="1"/>
  <c r="AN147" i="46"/>
  <c r="X166" i="46" s="1"/>
  <c r="AO147" i="46"/>
  <c r="X167" i="46" s="1"/>
  <c r="AK147" i="46"/>
  <c r="X164" i="46" s="1"/>
  <c r="AJ147" i="46"/>
  <c r="X163" i="46" s="1"/>
  <c r="AP147" i="46"/>
  <c r="X168" i="46" s="1"/>
  <c r="AS147" i="46"/>
  <c r="X170" i="46" s="1"/>
  <c r="AH147" i="46"/>
  <c r="X161" i="46" s="1"/>
  <c r="AM147" i="46"/>
  <c r="X151" i="46"/>
  <c r="X149" i="46"/>
  <c r="X146" i="46"/>
  <c r="AB146" i="46"/>
  <c r="I4" i="54" s="1"/>
  <c r="E14" i="53" s="1"/>
  <c r="F14" i="53" s="1"/>
  <c r="G14" i="53" s="1"/>
  <c r="AA146" i="46"/>
  <c r="I3" i="54" s="1"/>
  <c r="E13" i="53" s="1"/>
  <c r="J12" i="48"/>
  <c r="B7" i="59" s="1"/>
  <c r="X12" i="48"/>
  <c r="H7" i="59" s="1"/>
  <c r="I12" i="48"/>
  <c r="E12" i="1"/>
  <c r="C11" i="45"/>
  <c r="R41" i="48"/>
  <c r="AJ41" i="48" s="1"/>
  <c r="D45" i="25"/>
  <c r="E45" i="26"/>
  <c r="E52" i="27"/>
  <c r="E53" i="27" s="1"/>
  <c r="D42" i="26"/>
  <c r="E42" i="28"/>
  <c r="E39" i="28"/>
  <c r="D39" i="26"/>
  <c r="E48" i="23"/>
  <c r="D48" i="21"/>
  <c r="E47" i="28"/>
  <c r="D47" i="26"/>
  <c r="D46" i="26"/>
  <c r="E46" i="28"/>
  <c r="D51" i="25"/>
  <c r="E51" i="26"/>
  <c r="D50" i="24"/>
  <c r="E50" i="25"/>
  <c r="J39" i="29"/>
  <c r="J37" i="27"/>
  <c r="A17" i="1"/>
  <c r="A18" i="2" s="1"/>
  <c r="J57" i="13"/>
  <c r="E44" i="22"/>
  <c r="D44" i="20"/>
  <c r="J49" i="26"/>
  <c r="J50" i="28"/>
  <c r="J44" i="28"/>
  <c r="J43" i="26"/>
  <c r="M34" i="25"/>
  <c r="M7" i="24"/>
  <c r="E38" i="28"/>
  <c r="D52" i="28"/>
  <c r="D53" i="28" s="1"/>
  <c r="D38" i="26"/>
  <c r="E41" i="26"/>
  <c r="D41" i="25"/>
  <c r="J56" i="19"/>
  <c r="W15" i="48"/>
  <c r="Q16" i="48"/>
  <c r="E43" i="25" l="1"/>
  <c r="J10" i="7"/>
  <c r="J10" i="6" s="1"/>
  <c r="J10" i="37" s="1"/>
  <c r="J10" i="4" s="1"/>
  <c r="J10" i="43" s="1"/>
  <c r="K9" i="48"/>
  <c r="C4" i="59" s="1"/>
  <c r="J11" i="9"/>
  <c r="J11" i="8" s="1"/>
  <c r="J25" i="10"/>
  <c r="J26" i="10"/>
  <c r="J26" i="9" s="1"/>
  <c r="J26" i="8" s="1"/>
  <c r="J26" i="7" s="1"/>
  <c r="J26" i="6" s="1"/>
  <c r="J26" i="37" s="1"/>
  <c r="J26" i="4" s="1"/>
  <c r="J26" i="43" s="1"/>
  <c r="J12" i="10"/>
  <c r="J22" i="12"/>
  <c r="J22" i="11" s="1"/>
  <c r="J19" i="12"/>
  <c r="J19" i="11" s="1"/>
  <c r="J19" i="10" s="1"/>
  <c r="J23" i="13"/>
  <c r="J23" i="12" s="1"/>
  <c r="J23" i="11" s="1"/>
  <c r="J20" i="12"/>
  <c r="J20" i="10" s="1"/>
  <c r="J16" i="6"/>
  <c r="J16" i="37" s="1"/>
  <c r="J16" i="4" s="1"/>
  <c r="J16" i="43" s="1"/>
  <c r="J17" i="12"/>
  <c r="J17" i="11" s="1"/>
  <c r="J17" i="10" s="1"/>
  <c r="J21" i="14"/>
  <c r="J21" i="13" s="1"/>
  <c r="J24" i="14"/>
  <c r="J14" i="6"/>
  <c r="J14" i="37" s="1"/>
  <c r="J14" i="4" s="1"/>
  <c r="J14" i="43" s="1"/>
  <c r="J18" i="14"/>
  <c r="J18" i="13" s="1"/>
  <c r="F41" i="53"/>
  <c r="G41" i="53" s="1"/>
  <c r="H41" i="53" s="1"/>
  <c r="F12" i="53"/>
  <c r="G12" i="53" s="1"/>
  <c r="E40" i="53"/>
  <c r="D40" i="23"/>
  <c r="D40" i="21" s="1"/>
  <c r="JE9" i="1"/>
  <c r="FM9" i="1"/>
  <c r="BU9" i="1"/>
  <c r="JB9" i="1"/>
  <c r="FJ9" i="1"/>
  <c r="BR9" i="1"/>
  <c r="HC9" i="1"/>
  <c r="DK9" i="1"/>
  <c r="S9" i="1"/>
  <c r="GN9" i="1"/>
  <c r="CV9" i="1"/>
  <c r="IS9" i="1"/>
  <c r="FA9" i="1"/>
  <c r="BI9" i="1"/>
  <c r="IP9" i="1"/>
  <c r="EX9" i="1"/>
  <c r="AT9" i="1"/>
  <c r="GQ9" i="1"/>
  <c r="CY9" i="1"/>
  <c r="G9" i="1"/>
  <c r="GB9" i="1"/>
  <c r="CJ9" i="1"/>
  <c r="IG9" i="1"/>
  <c r="EO9" i="1"/>
  <c r="AW9" i="1"/>
  <c r="ID9" i="1"/>
  <c r="EL9" i="1"/>
  <c r="AH9" i="1"/>
  <c r="GE9" i="1"/>
  <c r="CM9" i="1"/>
  <c r="JH9" i="1"/>
  <c r="FP9" i="1"/>
  <c r="BX9" i="1"/>
  <c r="HU9" i="1"/>
  <c r="EC9" i="1"/>
  <c r="AK9" i="1"/>
  <c r="HR9" i="1"/>
  <c r="DZ9" i="1"/>
  <c r="J9" i="1"/>
  <c r="FS9" i="1"/>
  <c r="CA9" i="1"/>
  <c r="IV9" i="1"/>
  <c r="FD9" i="1"/>
  <c r="BL9" i="1"/>
  <c r="HI9" i="1"/>
  <c r="DQ9" i="1"/>
  <c r="Y9" i="1"/>
  <c r="HF9" i="1"/>
  <c r="DN9" i="1"/>
  <c r="IY9" i="1"/>
  <c r="FG9" i="1"/>
  <c r="BO9" i="1"/>
  <c r="IJ9" i="1"/>
  <c r="ER9" i="1"/>
  <c r="AZ9" i="1"/>
  <c r="GW9" i="1"/>
  <c r="DE9" i="1"/>
  <c r="M9" i="1"/>
  <c r="GT9" i="1"/>
  <c r="DB9" i="1"/>
  <c r="IM9" i="1"/>
  <c r="EU9" i="1"/>
  <c r="BC9" i="1"/>
  <c r="HX9" i="1"/>
  <c r="EF9" i="1"/>
  <c r="AN9" i="1"/>
  <c r="GK9" i="1"/>
  <c r="CS9" i="1"/>
  <c r="BF9" i="1"/>
  <c r="GH9" i="1"/>
  <c r="CP9" i="1"/>
  <c r="IA9" i="1"/>
  <c r="EI9" i="1"/>
  <c r="AQ9" i="1"/>
  <c r="HL9" i="1"/>
  <c r="DT9" i="1"/>
  <c r="AB9" i="1"/>
  <c r="E10" i="2"/>
  <c r="FY9" i="1"/>
  <c r="CG9" i="1"/>
  <c r="V9" i="1"/>
  <c r="FV9" i="1"/>
  <c r="CD9" i="1"/>
  <c r="HO9" i="1"/>
  <c r="DW9" i="1"/>
  <c r="AE9" i="1"/>
  <c r="GZ9" i="1"/>
  <c r="DH9" i="1"/>
  <c r="P9" i="1"/>
  <c r="Y9" i="48"/>
  <c r="I4" i="59" s="1"/>
  <c r="AK9" i="48"/>
  <c r="E4" i="59" s="1"/>
  <c r="AE8" i="45"/>
  <c r="AI8" i="45"/>
  <c r="AA8" i="45"/>
  <c r="S8" i="45"/>
  <c r="O8" i="45"/>
  <c r="AM8" i="45"/>
  <c r="K8" i="45"/>
  <c r="AQ8" i="45"/>
  <c r="W8" i="45"/>
  <c r="S10" i="48"/>
  <c r="G5" i="59" s="1"/>
  <c r="E40" i="25"/>
  <c r="AA12" i="45"/>
  <c r="AI12" i="45"/>
  <c r="AM12" i="45"/>
  <c r="S12" i="45"/>
  <c r="W12" i="45"/>
  <c r="AE12" i="45"/>
  <c r="O12" i="45"/>
  <c r="K12" i="45"/>
  <c r="AQ12" i="45"/>
  <c r="GE13" i="1"/>
  <c r="CM13" i="1"/>
  <c r="JE13" i="1"/>
  <c r="FM13" i="1"/>
  <c r="JB13" i="1"/>
  <c r="BI13" i="1"/>
  <c r="AT13" i="1"/>
  <c r="GN13" i="1"/>
  <c r="DZ13" i="1"/>
  <c r="DH13" i="1"/>
  <c r="AK13" i="1"/>
  <c r="E14" i="2"/>
  <c r="CC14" i="2" s="1"/>
  <c r="FS13" i="1"/>
  <c r="CA13" i="1"/>
  <c r="IS13" i="1"/>
  <c r="FA13" i="1"/>
  <c r="IP13" i="1"/>
  <c r="AH13" i="1"/>
  <c r="FP13" i="1"/>
  <c r="ER13" i="1"/>
  <c r="CD13" i="1"/>
  <c r="AZ13" i="1"/>
  <c r="J13" i="1"/>
  <c r="IY13" i="1"/>
  <c r="FG13" i="1"/>
  <c r="BO13" i="1"/>
  <c r="IG13" i="1"/>
  <c r="EO13" i="1"/>
  <c r="ID13" i="1"/>
  <c r="V13" i="1"/>
  <c r="IV13" i="1"/>
  <c r="CV13" i="1"/>
  <c r="AN13" i="1"/>
  <c r="Y13" i="1"/>
  <c r="IM13" i="1"/>
  <c r="EU13" i="1"/>
  <c r="BC13" i="1"/>
  <c r="HU13" i="1"/>
  <c r="EC13" i="1"/>
  <c r="HR13" i="1"/>
  <c r="HL13" i="1"/>
  <c r="FJ13" i="1"/>
  <c r="BR13" i="1"/>
  <c r="M13" i="1"/>
  <c r="GZ13" i="1"/>
  <c r="IA13" i="1"/>
  <c r="EI13" i="1"/>
  <c r="AQ13" i="1"/>
  <c r="HI13" i="1"/>
  <c r="DQ13" i="1"/>
  <c r="HF13" i="1"/>
  <c r="GB13" i="1"/>
  <c r="DN13" i="1"/>
  <c r="AB13" i="1"/>
  <c r="IJ13" i="1"/>
  <c r="GH13" i="1"/>
  <c r="HO13" i="1"/>
  <c r="DW13" i="1"/>
  <c r="AE13" i="1"/>
  <c r="GW13" i="1"/>
  <c r="DE13" i="1"/>
  <c r="GT13" i="1"/>
  <c r="EF13" i="1"/>
  <c r="BF13" i="1"/>
  <c r="DT13" i="1"/>
  <c r="AW13" i="1"/>
  <c r="EL13" i="1"/>
  <c r="HC13" i="1"/>
  <c r="DK13" i="1"/>
  <c r="S13" i="1"/>
  <c r="GK13" i="1"/>
  <c r="CS13" i="1"/>
  <c r="EX13" i="1"/>
  <c r="CJ13" i="1"/>
  <c r="P13" i="1"/>
  <c r="HX13" i="1"/>
  <c r="JH13" i="1"/>
  <c r="CP13" i="1"/>
  <c r="GQ13" i="1"/>
  <c r="CY13" i="1"/>
  <c r="G13" i="1"/>
  <c r="FY13" i="1"/>
  <c r="CG13" i="1"/>
  <c r="DB13" i="1"/>
  <c r="BU13" i="1"/>
  <c r="BX13" i="1"/>
  <c r="FV13" i="1"/>
  <c r="FD13" i="1"/>
  <c r="BL13" i="1"/>
  <c r="T4" i="54"/>
  <c r="U4" i="54" s="1"/>
  <c r="O14" i="53" s="1"/>
  <c r="P14" i="53" s="1"/>
  <c r="Q14" i="53" s="1"/>
  <c r="AA147" i="58"/>
  <c r="X157" i="58" s="1"/>
  <c r="X177" i="58" s="1"/>
  <c r="X179" i="58" s="1"/>
  <c r="D49" i="25"/>
  <c r="D49" i="24" s="1"/>
  <c r="D49" i="23" s="1"/>
  <c r="G33" i="53"/>
  <c r="U3" i="54"/>
  <c r="O13" i="53" s="1"/>
  <c r="N13" i="53"/>
  <c r="X175" i="46"/>
  <c r="G24" i="53"/>
  <c r="G31" i="53"/>
  <c r="F13" i="53"/>
  <c r="G13" i="53" s="1"/>
  <c r="G4" i="53"/>
  <c r="G19" i="53"/>
  <c r="G36" i="53"/>
  <c r="G16" i="53"/>
  <c r="E13" i="2"/>
  <c r="CC13" i="2" s="1"/>
  <c r="IY12" i="1"/>
  <c r="IM12" i="1"/>
  <c r="JH12" i="1"/>
  <c r="IG12" i="1"/>
  <c r="HU12" i="1"/>
  <c r="HI12" i="1"/>
  <c r="GW12" i="1"/>
  <c r="GK12" i="1"/>
  <c r="FY12" i="1"/>
  <c r="FM12" i="1"/>
  <c r="FA12" i="1"/>
  <c r="EO12" i="1"/>
  <c r="EC12" i="1"/>
  <c r="DQ12" i="1"/>
  <c r="DE12" i="1"/>
  <c r="CS12" i="1"/>
  <c r="CG12" i="1"/>
  <c r="BU12" i="1"/>
  <c r="BI12" i="1"/>
  <c r="AW12" i="1"/>
  <c r="AK12" i="1"/>
  <c r="Y12" i="1"/>
  <c r="M12" i="1"/>
  <c r="IS12" i="1"/>
  <c r="JE12" i="1"/>
  <c r="ID12" i="1"/>
  <c r="HR12" i="1"/>
  <c r="HF12" i="1"/>
  <c r="GT12" i="1"/>
  <c r="GH12" i="1"/>
  <c r="FV12" i="1"/>
  <c r="FJ12" i="1"/>
  <c r="EX12" i="1"/>
  <c r="EL12" i="1"/>
  <c r="DZ12" i="1"/>
  <c r="DN12" i="1"/>
  <c r="DB12" i="1"/>
  <c r="CP12" i="1"/>
  <c r="CD12" i="1"/>
  <c r="BR12" i="1"/>
  <c r="BF12" i="1"/>
  <c r="AT12" i="1"/>
  <c r="AH12" i="1"/>
  <c r="V12" i="1"/>
  <c r="J12" i="1"/>
  <c r="IV12" i="1"/>
  <c r="IP12" i="1"/>
  <c r="JB12" i="1"/>
  <c r="IA12" i="1"/>
  <c r="HO12" i="1"/>
  <c r="HC12" i="1"/>
  <c r="GQ12" i="1"/>
  <c r="GE12" i="1"/>
  <c r="FS12" i="1"/>
  <c r="FG12" i="1"/>
  <c r="EU12" i="1"/>
  <c r="EI12" i="1"/>
  <c r="DW12" i="1"/>
  <c r="DK12" i="1"/>
  <c r="CY12" i="1"/>
  <c r="CM12" i="1"/>
  <c r="CA12" i="1"/>
  <c r="BO12" i="1"/>
  <c r="BC12" i="1"/>
  <c r="AQ12" i="1"/>
  <c r="AE12" i="1"/>
  <c r="S12" i="1"/>
  <c r="G12" i="1"/>
  <c r="IJ12" i="1"/>
  <c r="HX12" i="1"/>
  <c r="HL12" i="1"/>
  <c r="GZ12" i="1"/>
  <c r="GN12" i="1"/>
  <c r="GB12" i="1"/>
  <c r="FP12" i="1"/>
  <c r="FD12" i="1"/>
  <c r="ER12" i="1"/>
  <c r="EF12" i="1"/>
  <c r="DT12" i="1"/>
  <c r="DH12" i="1"/>
  <c r="CV12" i="1"/>
  <c r="CJ12" i="1"/>
  <c r="BX12" i="1"/>
  <c r="BL12" i="1"/>
  <c r="AZ12" i="1"/>
  <c r="AN12" i="1"/>
  <c r="AB12" i="1"/>
  <c r="P12" i="1"/>
  <c r="JE10" i="1"/>
  <c r="FY10" i="1"/>
  <c r="EC10" i="1"/>
  <c r="BU10" i="1"/>
  <c r="M10" i="1"/>
  <c r="JB10" i="1"/>
  <c r="IP10" i="1"/>
  <c r="ID10" i="1"/>
  <c r="HR10" i="1"/>
  <c r="HF10" i="1"/>
  <c r="GT10" i="1"/>
  <c r="GH10" i="1"/>
  <c r="FV10" i="1"/>
  <c r="FJ10" i="1"/>
  <c r="EX10" i="1"/>
  <c r="EL10" i="1"/>
  <c r="DZ10" i="1"/>
  <c r="DN10" i="1"/>
  <c r="DB10" i="1"/>
  <c r="CP10" i="1"/>
  <c r="CD10" i="1"/>
  <c r="BR10" i="1"/>
  <c r="BF10" i="1"/>
  <c r="AT10" i="1"/>
  <c r="AH10" i="1"/>
  <c r="V10" i="1"/>
  <c r="J10" i="1"/>
  <c r="DQ10" i="1"/>
  <c r="Y10" i="1"/>
  <c r="HU10" i="1"/>
  <c r="EO10" i="1"/>
  <c r="AW10" i="1"/>
  <c r="IY10" i="1"/>
  <c r="IM10" i="1"/>
  <c r="IA10" i="1"/>
  <c r="HO10" i="1"/>
  <c r="HC10" i="1"/>
  <c r="GQ10" i="1"/>
  <c r="GE10" i="1"/>
  <c r="FS10" i="1"/>
  <c r="FG10" i="1"/>
  <c r="EU10" i="1"/>
  <c r="EI10" i="1"/>
  <c r="DW10" i="1"/>
  <c r="DK10" i="1"/>
  <c r="CY10" i="1"/>
  <c r="CM10" i="1"/>
  <c r="CA10" i="1"/>
  <c r="BO10" i="1"/>
  <c r="BC10" i="1"/>
  <c r="AQ10" i="1"/>
  <c r="AE10" i="1"/>
  <c r="S10" i="1"/>
  <c r="G10" i="1"/>
  <c r="IS10" i="1"/>
  <c r="GK10" i="1"/>
  <c r="DE10" i="1"/>
  <c r="AK10" i="1"/>
  <c r="GW10" i="1"/>
  <c r="FM10" i="1"/>
  <c r="CG10" i="1"/>
  <c r="JH10" i="1"/>
  <c r="IV10" i="1"/>
  <c r="IJ10" i="1"/>
  <c r="HX10" i="1"/>
  <c r="HL10" i="1"/>
  <c r="GZ10" i="1"/>
  <c r="GN10" i="1"/>
  <c r="GB10" i="1"/>
  <c r="FP10" i="1"/>
  <c r="FD10" i="1"/>
  <c r="ER10" i="1"/>
  <c r="EF10" i="1"/>
  <c r="DT10" i="1"/>
  <c r="DH10" i="1"/>
  <c r="CV10" i="1"/>
  <c r="CJ10" i="1"/>
  <c r="BX10" i="1"/>
  <c r="BL10" i="1"/>
  <c r="AZ10" i="1"/>
  <c r="AN10" i="1"/>
  <c r="AB10" i="1"/>
  <c r="P10" i="1"/>
  <c r="HI10" i="1"/>
  <c r="CS10" i="1"/>
  <c r="IG10" i="1"/>
  <c r="FA10" i="1"/>
  <c r="BI10" i="1"/>
  <c r="E32" i="2"/>
  <c r="CC32" i="2" s="1"/>
  <c r="JH31" i="1"/>
  <c r="IV31" i="1"/>
  <c r="IJ31" i="1"/>
  <c r="HX31" i="1"/>
  <c r="HL31" i="1"/>
  <c r="GZ31" i="1"/>
  <c r="GN31" i="1"/>
  <c r="GB31" i="1"/>
  <c r="FP31" i="1"/>
  <c r="FD31" i="1"/>
  <c r="ER31" i="1"/>
  <c r="EF31" i="1"/>
  <c r="DT31" i="1"/>
  <c r="DH31" i="1"/>
  <c r="CV31" i="1"/>
  <c r="CJ31" i="1"/>
  <c r="BX31" i="1"/>
  <c r="BL31" i="1"/>
  <c r="AZ31" i="1"/>
  <c r="AN31" i="1"/>
  <c r="AB31" i="1"/>
  <c r="P31" i="1"/>
  <c r="JE31" i="1"/>
  <c r="IS31" i="1"/>
  <c r="IG31" i="1"/>
  <c r="HU31" i="1"/>
  <c r="HI31" i="1"/>
  <c r="GW31" i="1"/>
  <c r="GK31" i="1"/>
  <c r="FY31" i="1"/>
  <c r="FM31" i="1"/>
  <c r="FA31" i="1"/>
  <c r="EO31" i="1"/>
  <c r="EC31" i="1"/>
  <c r="DQ31" i="1"/>
  <c r="DE31" i="1"/>
  <c r="CS31" i="1"/>
  <c r="CG31" i="1"/>
  <c r="BU31" i="1"/>
  <c r="BI31" i="1"/>
  <c r="AW31" i="1"/>
  <c r="AK31" i="1"/>
  <c r="Y31" i="1"/>
  <c r="M31" i="1"/>
  <c r="JB31" i="1"/>
  <c r="IP31" i="1"/>
  <c r="ID31" i="1"/>
  <c r="HR31" i="1"/>
  <c r="HF31" i="1"/>
  <c r="GT31" i="1"/>
  <c r="GH31" i="1"/>
  <c r="FV31" i="1"/>
  <c r="FJ31" i="1"/>
  <c r="EX31" i="1"/>
  <c r="EL31" i="1"/>
  <c r="DZ31" i="1"/>
  <c r="DN31" i="1"/>
  <c r="DB31" i="1"/>
  <c r="CP31" i="1"/>
  <c r="CD31" i="1"/>
  <c r="BR31" i="1"/>
  <c r="BF31" i="1"/>
  <c r="AT31" i="1"/>
  <c r="AH31" i="1"/>
  <c r="V31" i="1"/>
  <c r="J31" i="1"/>
  <c r="IY31" i="1"/>
  <c r="IM31" i="1"/>
  <c r="IA31" i="1"/>
  <c r="HO31" i="1"/>
  <c r="HC31" i="1"/>
  <c r="GQ31" i="1"/>
  <c r="GE31" i="1"/>
  <c r="FS31" i="1"/>
  <c r="FG31" i="1"/>
  <c r="EU31" i="1"/>
  <c r="EI31" i="1"/>
  <c r="DW31" i="1"/>
  <c r="DK31" i="1"/>
  <c r="CY31" i="1"/>
  <c r="CM31" i="1"/>
  <c r="CA31" i="1"/>
  <c r="BO31" i="1"/>
  <c r="BC31" i="1"/>
  <c r="AQ31" i="1"/>
  <c r="AE31" i="1"/>
  <c r="S31" i="1"/>
  <c r="G31" i="1"/>
  <c r="AA9" i="45"/>
  <c r="S9" i="45"/>
  <c r="K9" i="45"/>
  <c r="AM9" i="45"/>
  <c r="W9" i="45"/>
  <c r="AQ9" i="45"/>
  <c r="AI9" i="45"/>
  <c r="AE9" i="45"/>
  <c r="O9" i="45"/>
  <c r="E11" i="2"/>
  <c r="J41" i="31"/>
  <c r="J40" i="30"/>
  <c r="J51" i="31"/>
  <c r="K56" i="31"/>
  <c r="J45" i="31"/>
  <c r="K57" i="31"/>
  <c r="AB147" i="46"/>
  <c r="X158" i="46" s="1"/>
  <c r="J2" i="54"/>
  <c r="J5" i="54"/>
  <c r="AA147" i="46"/>
  <c r="X157" i="46" s="1"/>
  <c r="I41" i="48"/>
  <c r="J41" i="48"/>
  <c r="X41" i="48"/>
  <c r="AM11" i="45"/>
  <c r="O11" i="45"/>
  <c r="AI11" i="45"/>
  <c r="W11" i="45"/>
  <c r="S11" i="45"/>
  <c r="AA11" i="45"/>
  <c r="K11" i="45"/>
  <c r="AQ11" i="45"/>
  <c r="AE11" i="45"/>
  <c r="C40" i="45"/>
  <c r="E41" i="1"/>
  <c r="E45" i="25"/>
  <c r="D45" i="24"/>
  <c r="E42" i="26"/>
  <c r="D42" i="25"/>
  <c r="E52" i="28"/>
  <c r="E53" i="28" s="1"/>
  <c r="E47" i="26"/>
  <c r="D47" i="25"/>
  <c r="E48" i="21"/>
  <c r="D48" i="22"/>
  <c r="E39" i="26"/>
  <c r="D39" i="25"/>
  <c r="E46" i="26"/>
  <c r="D46" i="25"/>
  <c r="D50" i="23"/>
  <c r="E50" i="24"/>
  <c r="D51" i="24"/>
  <c r="E51" i="25"/>
  <c r="J37" i="28"/>
  <c r="J39" i="27"/>
  <c r="Q17" i="48"/>
  <c r="W16" i="48"/>
  <c r="D41" i="24"/>
  <c r="E41" i="25"/>
  <c r="E38" i="26"/>
  <c r="D38" i="25"/>
  <c r="D52" i="26"/>
  <c r="D53" i="26" s="1"/>
  <c r="M7" i="23"/>
  <c r="M34" i="24"/>
  <c r="J43" i="25"/>
  <c r="J44" i="26"/>
  <c r="D44" i="19"/>
  <c r="E44" i="20"/>
  <c r="E43" i="24"/>
  <c r="D43" i="23"/>
  <c r="J56" i="18"/>
  <c r="J49" i="25"/>
  <c r="J50" i="26"/>
  <c r="J57" i="12"/>
  <c r="A18" i="1"/>
  <c r="A19" i="2" s="1"/>
  <c r="J11" i="7" l="1"/>
  <c r="J11" i="6" s="1"/>
  <c r="J11" i="37" s="1"/>
  <c r="J11" i="4" s="1"/>
  <c r="J11" i="43" s="1"/>
  <c r="J12" i="9"/>
  <c r="J25" i="9"/>
  <c r="J25" i="8" s="1"/>
  <c r="J25" i="7" s="1"/>
  <c r="J25" i="37" s="1"/>
  <c r="J25" i="4" s="1"/>
  <c r="J25" i="43" s="1"/>
  <c r="J24" i="13"/>
  <c r="J24" i="12" s="1"/>
  <c r="J24" i="11" s="1"/>
  <c r="J21" i="12"/>
  <c r="J21" i="11" s="1"/>
  <c r="J18" i="12"/>
  <c r="J18" i="11" s="1"/>
  <c r="J18" i="10" s="1"/>
  <c r="E40" i="23"/>
  <c r="H12" i="53"/>
  <c r="E42" i="2"/>
  <c r="CC42" i="2" s="1"/>
  <c r="O40" i="53"/>
  <c r="O42" i="53" s="1"/>
  <c r="F40" i="53"/>
  <c r="F42" i="53" s="1"/>
  <c r="G40" i="53"/>
  <c r="G42" i="53" s="1"/>
  <c r="E49" i="24"/>
  <c r="Y10" i="48"/>
  <c r="I5" i="59" s="1"/>
  <c r="S11" i="48"/>
  <c r="G6" i="59" s="1"/>
  <c r="K10" i="48"/>
  <c r="C5" i="59" s="1"/>
  <c r="AK10" i="48"/>
  <c r="E5" i="59" s="1"/>
  <c r="CC10" i="2"/>
  <c r="F10" i="2"/>
  <c r="CD10" i="2" s="1"/>
  <c r="E49" i="25"/>
  <c r="N14" i="53"/>
  <c r="N40" i="53" s="1"/>
  <c r="P13" i="53"/>
  <c r="P40" i="53" s="1"/>
  <c r="X177" i="46"/>
  <c r="X179" i="46" s="1"/>
  <c r="H14" i="53"/>
  <c r="H4" i="53"/>
  <c r="H24" i="53"/>
  <c r="J51" i="30"/>
  <c r="K56" i="30"/>
  <c r="K57" i="30"/>
  <c r="J40" i="29"/>
  <c r="J45" i="30"/>
  <c r="J41" i="30"/>
  <c r="CC11" i="2"/>
  <c r="J3" i="54"/>
  <c r="J4" i="54"/>
  <c r="K40" i="45"/>
  <c r="W40" i="45"/>
  <c r="AE40" i="45"/>
  <c r="O40" i="45"/>
  <c r="AI40" i="45"/>
  <c r="AM40" i="45"/>
  <c r="AA40" i="45"/>
  <c r="AQ40" i="45"/>
  <c r="AY22" i="45" s="1"/>
  <c r="AY24" i="45" s="1"/>
  <c r="AY26" i="45" s="1"/>
  <c r="S40" i="45"/>
  <c r="D45" i="23"/>
  <c r="E45" i="24"/>
  <c r="E52" i="26"/>
  <c r="E53" i="26" s="1"/>
  <c r="E42" i="25"/>
  <c r="D42" i="24"/>
  <c r="D46" i="24"/>
  <c r="E46" i="25"/>
  <c r="E39" i="25"/>
  <c r="D39" i="24"/>
  <c r="E48" i="22"/>
  <c r="D48" i="20"/>
  <c r="D47" i="24"/>
  <c r="E47" i="25"/>
  <c r="J39" i="28"/>
  <c r="J37" i="26"/>
  <c r="D49" i="21"/>
  <c r="E49" i="23"/>
  <c r="D51" i="23"/>
  <c r="E51" i="24"/>
  <c r="D40" i="22"/>
  <c r="E40" i="21"/>
  <c r="E50" i="23"/>
  <c r="D50" i="21"/>
  <c r="A19" i="1"/>
  <c r="A20" i="2" s="1"/>
  <c r="J57" i="11"/>
  <c r="J49" i="24"/>
  <c r="J50" i="25"/>
  <c r="E44" i="19"/>
  <c r="D44" i="18"/>
  <c r="E41" i="24"/>
  <c r="D41" i="23"/>
  <c r="W17" i="48"/>
  <c r="Q18" i="48"/>
  <c r="J56" i="17"/>
  <c r="D43" i="21"/>
  <c r="E43" i="23"/>
  <c r="J43" i="24"/>
  <c r="J44" i="25"/>
  <c r="M7" i="21"/>
  <c r="M34" i="23"/>
  <c r="E38" i="25"/>
  <c r="D38" i="24"/>
  <c r="D52" i="25"/>
  <c r="D53" i="25" s="1"/>
  <c r="J12" i="8" l="1"/>
  <c r="J12" i="7" s="1"/>
  <c r="J12" i="6" s="1"/>
  <c r="J12" i="37" s="1"/>
  <c r="J12" i="4" s="1"/>
  <c r="J12" i="43" s="1"/>
  <c r="J20" i="9"/>
  <c r="J17" i="9"/>
  <c r="J22" i="9"/>
  <c r="J22" i="8" s="1"/>
  <c r="J22" i="7" s="1"/>
  <c r="J22" i="6" s="1"/>
  <c r="J22" i="37" s="1"/>
  <c r="J22" i="4" s="1"/>
  <c r="J22" i="43" s="1"/>
  <c r="J19" i="9"/>
  <c r="J23" i="9"/>
  <c r="J23" i="8" s="1"/>
  <c r="J23" i="7" s="1"/>
  <c r="J23" i="6" s="1"/>
  <c r="J23" i="37" s="1"/>
  <c r="J23" i="4" s="1"/>
  <c r="J23" i="43" s="1"/>
  <c r="F11" i="2"/>
  <c r="CD11" i="2" s="1"/>
  <c r="H40" i="53"/>
  <c r="H42" i="53" s="1"/>
  <c r="G50" i="54" s="1"/>
  <c r="AK11" i="48"/>
  <c r="E6" i="59" s="1"/>
  <c r="K11" i="48"/>
  <c r="C6" i="59" s="1"/>
  <c r="Y11" i="48"/>
  <c r="I6" i="59" s="1"/>
  <c r="S12" i="48"/>
  <c r="G7" i="59" s="1"/>
  <c r="Q12" i="53"/>
  <c r="P42" i="53"/>
  <c r="J45" i="29"/>
  <c r="K57" i="29"/>
  <c r="J40" i="27"/>
  <c r="J51" i="29"/>
  <c r="J41" i="29"/>
  <c r="K56" i="29"/>
  <c r="D45" i="21"/>
  <c r="E45" i="23"/>
  <c r="E52" i="25"/>
  <c r="E53" i="25" s="1"/>
  <c r="E42" i="24"/>
  <c r="D42" i="23"/>
  <c r="E48" i="20"/>
  <c r="D48" i="19"/>
  <c r="E39" i="24"/>
  <c r="D39" i="23"/>
  <c r="D47" i="23"/>
  <c r="E47" i="24"/>
  <c r="E46" i="24"/>
  <c r="D46" i="23"/>
  <c r="E50" i="21"/>
  <c r="D50" i="22"/>
  <c r="J39" i="26"/>
  <c r="J37" i="25"/>
  <c r="E40" i="22"/>
  <c r="D40" i="20"/>
  <c r="D51" i="21"/>
  <c r="E51" i="23"/>
  <c r="E49" i="21"/>
  <c r="D49" i="22"/>
  <c r="M7" i="22"/>
  <c r="M34" i="21"/>
  <c r="J56" i="16"/>
  <c r="M15" i="48"/>
  <c r="W18" i="48"/>
  <c r="Q19" i="48"/>
  <c r="E41" i="23"/>
  <c r="D41" i="21"/>
  <c r="D44" i="17"/>
  <c r="E44" i="18"/>
  <c r="J50" i="24"/>
  <c r="J49" i="23"/>
  <c r="J57" i="10"/>
  <c r="E38" i="24"/>
  <c r="D38" i="23"/>
  <c r="D52" i="24"/>
  <c r="D53" i="24" s="1"/>
  <c r="J43" i="23"/>
  <c r="J44" i="24"/>
  <c r="D43" i="22"/>
  <c r="E43" i="21"/>
  <c r="A20" i="1"/>
  <c r="A21" i="2" s="1"/>
  <c r="J19" i="8" l="1"/>
  <c r="J19" i="7" s="1"/>
  <c r="J19" i="6" s="1"/>
  <c r="J19" i="37" s="1"/>
  <c r="J19" i="4" s="1"/>
  <c r="J19" i="43" s="1"/>
  <c r="J17" i="8"/>
  <c r="J17" i="7" s="1"/>
  <c r="J17" i="6" s="1"/>
  <c r="J17" i="37" s="1"/>
  <c r="J17" i="4" s="1"/>
  <c r="J17" i="43" s="1"/>
  <c r="J20" i="8"/>
  <c r="J20" i="7" s="1"/>
  <c r="J20" i="6" s="1"/>
  <c r="J20" i="37" s="1"/>
  <c r="J20" i="4" s="1"/>
  <c r="J20" i="43" s="1"/>
  <c r="J24" i="9"/>
  <c r="J24" i="8" s="1"/>
  <c r="J24" i="6" s="1"/>
  <c r="J24" i="37" s="1"/>
  <c r="J24" i="4" s="1"/>
  <c r="J24" i="43" s="1"/>
  <c r="J21" i="9"/>
  <c r="J21" i="8" s="1"/>
  <c r="J21" i="7" s="1"/>
  <c r="J21" i="6" s="1"/>
  <c r="J21" i="37" s="1"/>
  <c r="J21" i="4" s="1"/>
  <c r="J21" i="43" s="1"/>
  <c r="J18" i="9"/>
  <c r="F12" i="2"/>
  <c r="CD12" i="2" s="1"/>
  <c r="Q40" i="53"/>
  <c r="Q42" i="53" s="1"/>
  <c r="AK12" i="48"/>
  <c r="E7" i="59" s="1"/>
  <c r="S13" i="48"/>
  <c r="G8" i="59" s="1"/>
  <c r="Y12" i="48"/>
  <c r="I7" i="59" s="1"/>
  <c r="K12" i="48"/>
  <c r="C7" i="59" s="1"/>
  <c r="K57" i="27"/>
  <c r="J40" i="28"/>
  <c r="J45" i="27"/>
  <c r="K56" i="27"/>
  <c r="J51" i="27"/>
  <c r="J41" i="27"/>
  <c r="D45" i="22"/>
  <c r="E45" i="21"/>
  <c r="E42" i="23"/>
  <c r="D42" i="21"/>
  <c r="D46" i="21"/>
  <c r="E46" i="23"/>
  <c r="D39" i="21"/>
  <c r="E39" i="23"/>
  <c r="D48" i="18"/>
  <c r="E48" i="19"/>
  <c r="E52" i="24"/>
  <c r="E53" i="24" s="1"/>
  <c r="E47" i="23"/>
  <c r="D47" i="21"/>
  <c r="D49" i="20"/>
  <c r="E49" i="22"/>
  <c r="D40" i="19"/>
  <c r="E40" i="20"/>
  <c r="J37" i="24"/>
  <c r="J39" i="25"/>
  <c r="D50" i="20"/>
  <c r="E50" i="22"/>
  <c r="D51" i="22"/>
  <c r="E51" i="21"/>
  <c r="J44" i="23"/>
  <c r="J43" i="21"/>
  <c r="D38" i="21"/>
  <c r="D52" i="23"/>
  <c r="D53" i="23" s="1"/>
  <c r="E38" i="23"/>
  <c r="J57" i="9"/>
  <c r="E41" i="21"/>
  <c r="D41" i="22"/>
  <c r="W19" i="48"/>
  <c r="Q20" i="48"/>
  <c r="M7" i="20"/>
  <c r="M34" i="22"/>
  <c r="A21" i="1"/>
  <c r="A22" i="2" s="1"/>
  <c r="D43" i="20"/>
  <c r="E43" i="22"/>
  <c r="J49" i="21"/>
  <c r="J50" i="23"/>
  <c r="E44" i="17"/>
  <c r="D44" i="16"/>
  <c r="M16" i="48"/>
  <c r="J56" i="15"/>
  <c r="J18" i="8" l="1"/>
  <c r="J18" i="7" s="1"/>
  <c r="J18" i="6" s="1"/>
  <c r="J18" i="37" s="1"/>
  <c r="J18" i="4" s="1"/>
  <c r="J18" i="43" s="1"/>
  <c r="F13" i="2"/>
  <c r="AK13" i="48"/>
  <c r="E8" i="59" s="1"/>
  <c r="S14" i="48"/>
  <c r="G9" i="59" s="1"/>
  <c r="Y13" i="48"/>
  <c r="I8" i="59" s="1"/>
  <c r="K13" i="48"/>
  <c r="C8" i="59" s="1"/>
  <c r="K57" i="28"/>
  <c r="J51" i="28"/>
  <c r="J41" i="28"/>
  <c r="K56" i="28"/>
  <c r="J45" i="28"/>
  <c r="J40" i="26"/>
  <c r="CD13" i="2"/>
  <c r="F14" i="2"/>
  <c r="D45" i="20"/>
  <c r="E45" i="22"/>
  <c r="D42" i="22"/>
  <c r="E42" i="21"/>
  <c r="E52" i="23"/>
  <c r="E53" i="23" s="1"/>
  <c r="E47" i="21"/>
  <c r="D47" i="22"/>
  <c r="D48" i="17"/>
  <c r="E48" i="18"/>
  <c r="E39" i="21"/>
  <c r="D39" i="22"/>
  <c r="E46" i="21"/>
  <c r="D46" i="22"/>
  <c r="E51" i="22"/>
  <c r="D51" i="20"/>
  <c r="D50" i="19"/>
  <c r="E50" i="20"/>
  <c r="J37" i="23"/>
  <c r="J39" i="24"/>
  <c r="D40" i="18"/>
  <c r="E40" i="19"/>
  <c r="D49" i="19"/>
  <c r="E49" i="20"/>
  <c r="J56" i="14"/>
  <c r="E44" i="16"/>
  <c r="D44" i="15"/>
  <c r="J57" i="8"/>
  <c r="J43" i="22"/>
  <c r="J44" i="21"/>
  <c r="M17" i="48"/>
  <c r="J49" i="22"/>
  <c r="J50" i="21"/>
  <c r="E43" i="20"/>
  <c r="D43" i="19"/>
  <c r="A22" i="1"/>
  <c r="A23" i="2" s="1"/>
  <c r="M7" i="19"/>
  <c r="M34" i="20"/>
  <c r="W20" i="48"/>
  <c r="Q21" i="48"/>
  <c r="E41" i="22"/>
  <c r="D41" i="20"/>
  <c r="D38" i="22"/>
  <c r="E38" i="21"/>
  <c r="D52" i="21"/>
  <c r="D53" i="21" s="1"/>
  <c r="S15" i="48" l="1"/>
  <c r="G10" i="59" s="1"/>
  <c r="AK14" i="48"/>
  <c r="E9" i="59" s="1"/>
  <c r="Y14" i="48"/>
  <c r="I9" i="59" s="1"/>
  <c r="K14" i="48"/>
  <c r="C9" i="59" s="1"/>
  <c r="K57" i="26"/>
  <c r="J51" i="26"/>
  <c r="J41" i="26"/>
  <c r="K56" i="26"/>
  <c r="J45" i="26"/>
  <c r="J40" i="25"/>
  <c r="CD14" i="2"/>
  <c r="F15" i="2"/>
  <c r="E52" i="21"/>
  <c r="E53" i="21" s="1"/>
  <c r="E45" i="20"/>
  <c r="D45" i="19"/>
  <c r="E42" i="22"/>
  <c r="D42" i="20"/>
  <c r="D48" i="16"/>
  <c r="E48" i="17"/>
  <c r="E46" i="22"/>
  <c r="D46" i="20"/>
  <c r="E39" i="22"/>
  <c r="D39" i="20"/>
  <c r="D47" i="20"/>
  <c r="E47" i="22"/>
  <c r="E51" i="20"/>
  <c r="D51" i="19"/>
  <c r="E49" i="19"/>
  <c r="D49" i="18"/>
  <c r="E40" i="18"/>
  <c r="D40" i="17"/>
  <c r="J37" i="21"/>
  <c r="J39" i="23"/>
  <c r="D50" i="18"/>
  <c r="E50" i="19"/>
  <c r="E41" i="20"/>
  <c r="D41" i="19"/>
  <c r="W21" i="48"/>
  <c r="Q22" i="48"/>
  <c r="D43" i="18"/>
  <c r="E43" i="19"/>
  <c r="J49" i="20"/>
  <c r="J50" i="22"/>
  <c r="M18" i="48"/>
  <c r="J43" i="20"/>
  <c r="J44" i="22"/>
  <c r="J57" i="7"/>
  <c r="E38" i="22"/>
  <c r="D52" i="22"/>
  <c r="D53" i="22" s="1"/>
  <c r="D38" i="20"/>
  <c r="M7" i="18"/>
  <c r="M34" i="19"/>
  <c r="A23" i="1"/>
  <c r="A24" i="2" s="1"/>
  <c r="D44" i="14"/>
  <c r="E44" i="15"/>
  <c r="J56" i="13"/>
  <c r="S16" i="48" l="1"/>
  <c r="G11" i="59" s="1"/>
  <c r="K15" i="48"/>
  <c r="C10" i="59" s="1"/>
  <c r="Y15" i="48"/>
  <c r="I10" i="59" s="1"/>
  <c r="AK15" i="48"/>
  <c r="E10" i="59" s="1"/>
  <c r="J40" i="24"/>
  <c r="J51" i="25"/>
  <c r="K56" i="25"/>
  <c r="K57" i="25"/>
  <c r="J45" i="25"/>
  <c r="J41" i="25"/>
  <c r="CD15" i="2"/>
  <c r="F16" i="2"/>
  <c r="D45" i="18"/>
  <c r="E45" i="19"/>
  <c r="E52" i="22"/>
  <c r="E53" i="22" s="1"/>
  <c r="D42" i="19"/>
  <c r="E42" i="20"/>
  <c r="E39" i="20"/>
  <c r="D39" i="19"/>
  <c r="E46" i="20"/>
  <c r="D46" i="19"/>
  <c r="E47" i="20"/>
  <c r="D47" i="19"/>
  <c r="E48" i="16"/>
  <c r="D48" i="15"/>
  <c r="D50" i="17"/>
  <c r="E50" i="18"/>
  <c r="J37" i="22"/>
  <c r="J39" i="21"/>
  <c r="E51" i="19"/>
  <c r="D51" i="18"/>
  <c r="D40" i="16"/>
  <c r="E40" i="17"/>
  <c r="E49" i="18"/>
  <c r="D49" i="17"/>
  <c r="A24" i="1"/>
  <c r="A25" i="2" s="1"/>
  <c r="D52" i="20"/>
  <c r="D53" i="20" s="1"/>
  <c r="D38" i="19"/>
  <c r="E38" i="20"/>
  <c r="J43" i="19"/>
  <c r="J44" i="20"/>
  <c r="W22" i="48"/>
  <c r="Q23" i="48"/>
  <c r="E41" i="19"/>
  <c r="D41" i="18"/>
  <c r="J56" i="12"/>
  <c r="D44" i="13"/>
  <c r="E44" i="14"/>
  <c r="M7" i="17"/>
  <c r="M34" i="18"/>
  <c r="J57" i="6"/>
  <c r="M19" i="48"/>
  <c r="J50" i="20"/>
  <c r="J49" i="19"/>
  <c r="E43" i="18"/>
  <c r="D43" i="17"/>
  <c r="Y16" i="48" l="1"/>
  <c r="I11" i="59" s="1"/>
  <c r="S17" i="48"/>
  <c r="G12" i="59" s="1"/>
  <c r="K16" i="48"/>
  <c r="C11" i="59" s="1"/>
  <c r="AK16" i="48"/>
  <c r="E11" i="59" s="1"/>
  <c r="CD16" i="2"/>
  <c r="F17" i="2"/>
  <c r="J41" i="24"/>
  <c r="J40" i="23"/>
  <c r="K57" i="24"/>
  <c r="J45" i="24"/>
  <c r="K56" i="24"/>
  <c r="J51" i="24"/>
  <c r="E45" i="18"/>
  <c r="D45" i="17"/>
  <c r="E52" i="20"/>
  <c r="E53" i="20" s="1"/>
  <c r="D42" i="18"/>
  <c r="E42" i="19"/>
  <c r="E48" i="15"/>
  <c r="D48" i="14"/>
  <c r="D47" i="18"/>
  <c r="E47" i="19"/>
  <c r="E46" i="19"/>
  <c r="D46" i="18"/>
  <c r="D39" i="18"/>
  <c r="E39" i="19"/>
  <c r="E40" i="16"/>
  <c r="D40" i="15"/>
  <c r="E51" i="18"/>
  <c r="D51" i="17"/>
  <c r="D49" i="16"/>
  <c r="E49" i="17"/>
  <c r="J37" i="20"/>
  <c r="J39" i="22"/>
  <c r="E50" i="17"/>
  <c r="D50" i="16"/>
  <c r="M7" i="16"/>
  <c r="M34" i="17"/>
  <c r="J56" i="11"/>
  <c r="E41" i="18"/>
  <c r="D41" i="17"/>
  <c r="W23" i="48"/>
  <c r="Q24" i="48"/>
  <c r="J43" i="18"/>
  <c r="J44" i="19"/>
  <c r="E38" i="19"/>
  <c r="D52" i="19"/>
  <c r="D53" i="19" s="1"/>
  <c r="D38" i="18"/>
  <c r="D43" i="16"/>
  <c r="E43" i="17"/>
  <c r="J49" i="18"/>
  <c r="J50" i="19"/>
  <c r="M20" i="48"/>
  <c r="J57" i="37"/>
  <c r="D44" i="12"/>
  <c r="E44" i="13"/>
  <c r="A25" i="1"/>
  <c r="A26" i="2" s="1"/>
  <c r="Y17" i="48" l="1"/>
  <c r="I12" i="59" s="1"/>
  <c r="K17" i="48"/>
  <c r="C12" i="59" s="1"/>
  <c r="AK17" i="48"/>
  <c r="E12" i="59" s="1"/>
  <c r="S18" i="48"/>
  <c r="G13" i="59" s="1"/>
  <c r="J45" i="23"/>
  <c r="K57" i="23"/>
  <c r="J51" i="23"/>
  <c r="J41" i="23"/>
  <c r="J40" i="21"/>
  <c r="K56" i="23"/>
  <c r="CD17" i="2"/>
  <c r="F18" i="2"/>
  <c r="E45" i="17"/>
  <c r="D45" i="16"/>
  <c r="D42" i="17"/>
  <c r="E42" i="18"/>
  <c r="E52" i="19"/>
  <c r="E53" i="19" s="1"/>
  <c r="E46" i="18"/>
  <c r="D46" i="17"/>
  <c r="E48" i="14"/>
  <c r="D48" i="13"/>
  <c r="D39" i="17"/>
  <c r="E39" i="18"/>
  <c r="D47" i="17"/>
  <c r="E47" i="18"/>
  <c r="J37" i="19"/>
  <c r="J39" i="20"/>
  <c r="D49" i="15"/>
  <c r="E49" i="16"/>
  <c r="E40" i="15"/>
  <c r="D40" i="14"/>
  <c r="E50" i="16"/>
  <c r="D50" i="15"/>
  <c r="D51" i="16"/>
  <c r="E51" i="17"/>
  <c r="A26" i="1"/>
  <c r="A27" i="2" s="1"/>
  <c r="J49" i="17"/>
  <c r="J50" i="18"/>
  <c r="D43" i="15"/>
  <c r="E43" i="16"/>
  <c r="D38" i="17"/>
  <c r="E38" i="18"/>
  <c r="D52" i="18"/>
  <c r="D53" i="18" s="1"/>
  <c r="J43" i="17"/>
  <c r="J44" i="18"/>
  <c r="W24" i="48"/>
  <c r="Q25" i="48"/>
  <c r="D41" i="16"/>
  <c r="E41" i="17"/>
  <c r="J56" i="10"/>
  <c r="E44" i="12"/>
  <c r="D44" i="11"/>
  <c r="J57" i="4"/>
  <c r="M21" i="48"/>
  <c r="M34" i="16"/>
  <c r="M7" i="15"/>
  <c r="S19" i="48" l="1"/>
  <c r="G14" i="59" s="1"/>
  <c r="K18" i="48"/>
  <c r="C13" i="59" s="1"/>
  <c r="AK18" i="48"/>
  <c r="E13" i="59" s="1"/>
  <c r="Y18" i="48"/>
  <c r="I13" i="59" s="1"/>
  <c r="J41" i="21"/>
  <c r="J51" i="21"/>
  <c r="J40" i="22"/>
  <c r="J45" i="21"/>
  <c r="K57" i="21"/>
  <c r="K56" i="21"/>
  <c r="CD18" i="2"/>
  <c r="F19" i="2"/>
  <c r="D45" i="15"/>
  <c r="E45" i="16"/>
  <c r="D42" i="16"/>
  <c r="E42" i="17"/>
  <c r="E48" i="13"/>
  <c r="D48" i="12"/>
  <c r="E46" i="17"/>
  <c r="D46" i="16"/>
  <c r="E52" i="18"/>
  <c r="E53" i="18" s="1"/>
  <c r="E47" i="17"/>
  <c r="D47" i="16"/>
  <c r="E39" i="17"/>
  <c r="D39" i="16"/>
  <c r="D51" i="15"/>
  <c r="E51" i="16"/>
  <c r="D50" i="14"/>
  <c r="E50" i="15"/>
  <c r="E40" i="14"/>
  <c r="D40" i="13"/>
  <c r="D49" i="14"/>
  <c r="E49" i="15"/>
  <c r="J39" i="19"/>
  <c r="J37" i="18"/>
  <c r="J57" i="43"/>
  <c r="D41" i="15"/>
  <c r="E41" i="16"/>
  <c r="D38" i="16"/>
  <c r="D52" i="17"/>
  <c r="D53" i="17" s="1"/>
  <c r="E38" i="17"/>
  <c r="D43" i="14"/>
  <c r="E43" i="15"/>
  <c r="A27" i="1"/>
  <c r="A28" i="2" s="1"/>
  <c r="M7" i="14"/>
  <c r="M34" i="15"/>
  <c r="M22" i="48"/>
  <c r="D44" i="10"/>
  <c r="E44" i="11"/>
  <c r="J56" i="9"/>
  <c r="W25" i="48"/>
  <c r="Q26" i="48"/>
  <c r="J43" i="16"/>
  <c r="J44" i="17"/>
  <c r="J49" i="16"/>
  <c r="J50" i="17"/>
  <c r="S20" i="48" l="1"/>
  <c r="G15" i="59" s="1"/>
  <c r="K19" i="48"/>
  <c r="C14" i="59" s="1"/>
  <c r="Y19" i="48"/>
  <c r="I14" i="59" s="1"/>
  <c r="AK19" i="48"/>
  <c r="E14" i="59" s="1"/>
  <c r="K56" i="22"/>
  <c r="J51" i="22"/>
  <c r="J40" i="20"/>
  <c r="J41" i="22"/>
  <c r="K57" i="22"/>
  <c r="J45" i="22"/>
  <c r="CD19" i="2"/>
  <c r="F20" i="2"/>
  <c r="D45" i="14"/>
  <c r="E45" i="15"/>
  <c r="D42" i="15"/>
  <c r="E42" i="16"/>
  <c r="E52" i="17"/>
  <c r="E53" i="17" s="1"/>
  <c r="D46" i="15"/>
  <c r="E46" i="16"/>
  <c r="E48" i="12"/>
  <c r="D48" i="11"/>
  <c r="E39" i="16"/>
  <c r="D39" i="15"/>
  <c r="E47" i="16"/>
  <c r="D47" i="15"/>
  <c r="J37" i="17"/>
  <c r="J39" i="18"/>
  <c r="D40" i="12"/>
  <c r="E40" i="13"/>
  <c r="D49" i="13"/>
  <c r="E49" i="14"/>
  <c r="D50" i="13"/>
  <c r="E50" i="14"/>
  <c r="E51" i="15"/>
  <c r="D51" i="14"/>
  <c r="J50" i="16"/>
  <c r="J49" i="15"/>
  <c r="Q27" i="48"/>
  <c r="W26" i="48"/>
  <c r="M23" i="48"/>
  <c r="M7" i="13"/>
  <c r="M34" i="14"/>
  <c r="D43" i="13"/>
  <c r="E43" i="14"/>
  <c r="J43" i="15"/>
  <c r="J44" i="16"/>
  <c r="J56" i="8"/>
  <c r="D44" i="9"/>
  <c r="E44" i="10"/>
  <c r="A28" i="1"/>
  <c r="A29" i="2" s="1"/>
  <c r="D38" i="15"/>
  <c r="D52" i="16"/>
  <c r="D53" i="16" s="1"/>
  <c r="E38" i="16"/>
  <c r="E41" i="15"/>
  <c r="D41" i="14"/>
  <c r="Y20" i="48" l="1"/>
  <c r="I15" i="59" s="1"/>
  <c r="K20" i="48"/>
  <c r="C15" i="59" s="1"/>
  <c r="AK20" i="48"/>
  <c r="E15" i="59" s="1"/>
  <c r="S21" i="48"/>
  <c r="G16" i="59" s="1"/>
  <c r="K57" i="20"/>
  <c r="J41" i="20"/>
  <c r="J45" i="20"/>
  <c r="K56" i="20"/>
  <c r="J40" i="19"/>
  <c r="J51" i="20"/>
  <c r="CD20" i="2"/>
  <c r="F21" i="2"/>
  <c r="E45" i="14"/>
  <c r="D45" i="13"/>
  <c r="D42" i="14"/>
  <c r="E42" i="15"/>
  <c r="E47" i="15"/>
  <c r="D47" i="14"/>
  <c r="E39" i="15"/>
  <c r="D39" i="14"/>
  <c r="E48" i="11"/>
  <c r="D48" i="10"/>
  <c r="E52" i="16"/>
  <c r="E53" i="16" s="1"/>
  <c r="D46" i="14"/>
  <c r="E46" i="15"/>
  <c r="E51" i="14"/>
  <c r="D51" i="13"/>
  <c r="D49" i="12"/>
  <c r="E49" i="13"/>
  <c r="E40" i="12"/>
  <c r="D40" i="11"/>
  <c r="E50" i="13"/>
  <c r="D50" i="12"/>
  <c r="J37" i="16"/>
  <c r="J39" i="17"/>
  <c r="E41" i="14"/>
  <c r="D41" i="13"/>
  <c r="D52" i="15"/>
  <c r="D53" i="15" s="1"/>
  <c r="E38" i="15"/>
  <c r="D38" i="14"/>
  <c r="A29" i="1"/>
  <c r="A30" i="2" s="1"/>
  <c r="D44" i="8"/>
  <c r="E44" i="9"/>
  <c r="J56" i="7"/>
  <c r="D43" i="12"/>
  <c r="E43" i="13"/>
  <c r="J49" i="14"/>
  <c r="J50" i="15"/>
  <c r="J44" i="15"/>
  <c r="J43" i="14"/>
  <c r="M7" i="12"/>
  <c r="M34" i="13"/>
  <c r="M24" i="48"/>
  <c r="Q28" i="48"/>
  <c r="W27" i="48"/>
  <c r="Y21" i="48" l="1"/>
  <c r="I16" i="59" s="1"/>
  <c r="S22" i="48"/>
  <c r="G17" i="59" s="1"/>
  <c r="AK21" i="48"/>
  <c r="E16" i="59" s="1"/>
  <c r="K21" i="48"/>
  <c r="C16" i="59" s="1"/>
  <c r="J40" i="18"/>
  <c r="K56" i="19"/>
  <c r="K57" i="19"/>
  <c r="J51" i="19"/>
  <c r="J45" i="19"/>
  <c r="J41" i="19"/>
  <c r="CD21" i="2"/>
  <c r="F22" i="2"/>
  <c r="E45" i="13"/>
  <c r="D45" i="12"/>
  <c r="E52" i="15"/>
  <c r="E53" i="15" s="1"/>
  <c r="D42" i="13"/>
  <c r="E42" i="14"/>
  <c r="D46" i="13"/>
  <c r="E46" i="14"/>
  <c r="E48" i="10"/>
  <c r="D48" i="9"/>
  <c r="E39" i="14"/>
  <c r="D39" i="13"/>
  <c r="D47" i="13"/>
  <c r="E47" i="14"/>
  <c r="E50" i="12"/>
  <c r="D50" i="11"/>
  <c r="D40" i="10"/>
  <c r="E40" i="11"/>
  <c r="D51" i="12"/>
  <c r="E51" i="13"/>
  <c r="J39" i="16"/>
  <c r="J37" i="15"/>
  <c r="E49" i="12"/>
  <c r="D49" i="11"/>
  <c r="J49" i="13"/>
  <c r="J50" i="14"/>
  <c r="E43" i="12"/>
  <c r="D43" i="11"/>
  <c r="J56" i="6"/>
  <c r="A30" i="1"/>
  <c r="A31" i="2" s="1"/>
  <c r="D52" i="14"/>
  <c r="D53" i="14" s="1"/>
  <c r="D38" i="13"/>
  <c r="E38" i="14"/>
  <c r="Q29" i="48"/>
  <c r="W28" i="48"/>
  <c r="M25" i="48"/>
  <c r="M7" i="11"/>
  <c r="M34" i="12"/>
  <c r="J43" i="13"/>
  <c r="J44" i="14"/>
  <c r="D44" i="7"/>
  <c r="E44" i="8"/>
  <c r="D41" i="12"/>
  <c r="E41" i="13"/>
  <c r="S23" i="48" l="1"/>
  <c r="G18" i="59" s="1"/>
  <c r="K22" i="48"/>
  <c r="C17" i="59" s="1"/>
  <c r="Y22" i="48"/>
  <c r="I17" i="59" s="1"/>
  <c r="AK22" i="48"/>
  <c r="E17" i="59" s="1"/>
  <c r="CD22" i="2"/>
  <c r="F23" i="2"/>
  <c r="J41" i="18"/>
  <c r="K56" i="18"/>
  <c r="K57" i="18"/>
  <c r="J51" i="18"/>
  <c r="J40" i="17"/>
  <c r="J45" i="18"/>
  <c r="D45" i="11"/>
  <c r="E45" i="12"/>
  <c r="E42" i="13"/>
  <c r="D42" i="12"/>
  <c r="E52" i="14"/>
  <c r="E53" i="14" s="1"/>
  <c r="E39" i="13"/>
  <c r="D39" i="12"/>
  <c r="D48" i="8"/>
  <c r="E48" i="9"/>
  <c r="D47" i="12"/>
  <c r="E47" i="13"/>
  <c r="D46" i="12"/>
  <c r="E46" i="13"/>
  <c r="D49" i="10"/>
  <c r="E49" i="11"/>
  <c r="J37" i="14"/>
  <c r="J39" i="15"/>
  <c r="D50" i="10"/>
  <c r="E50" i="11"/>
  <c r="E51" i="12"/>
  <c r="D51" i="11"/>
  <c r="E40" i="10"/>
  <c r="D40" i="9"/>
  <c r="J56" i="37"/>
  <c r="D43" i="10"/>
  <c r="E43" i="11"/>
  <c r="J49" i="12"/>
  <c r="J50" i="13"/>
  <c r="E41" i="12"/>
  <c r="D41" i="11"/>
  <c r="D44" i="6"/>
  <c r="E44" i="7"/>
  <c r="J43" i="12"/>
  <c r="J44" i="13"/>
  <c r="M7" i="10"/>
  <c r="M34" i="11"/>
  <c r="M26" i="48"/>
  <c r="Q30" i="48"/>
  <c r="W29" i="48"/>
  <c r="D52" i="13"/>
  <c r="D53" i="13" s="1"/>
  <c r="D38" i="12"/>
  <c r="E38" i="13"/>
  <c r="A31" i="1"/>
  <c r="A32" i="2" s="1"/>
  <c r="S24" i="48" l="1"/>
  <c r="G19" i="59" s="1"/>
  <c r="Y23" i="48"/>
  <c r="I18" i="59" s="1"/>
  <c r="AK23" i="48"/>
  <c r="E18" i="59" s="1"/>
  <c r="K23" i="48"/>
  <c r="C18" i="59" s="1"/>
  <c r="J41" i="17"/>
  <c r="K56" i="17"/>
  <c r="J51" i="17"/>
  <c r="K57" i="17"/>
  <c r="J40" i="16"/>
  <c r="J45" i="17"/>
  <c r="CD23" i="2"/>
  <c r="F24" i="2"/>
  <c r="D45" i="10"/>
  <c r="E45" i="11"/>
  <c r="E42" i="12"/>
  <c r="D42" i="11"/>
  <c r="E52" i="13"/>
  <c r="E53" i="13" s="1"/>
  <c r="E39" i="12"/>
  <c r="D39" i="11"/>
  <c r="E46" i="12"/>
  <c r="D46" i="11"/>
  <c r="E47" i="12"/>
  <c r="D47" i="11"/>
  <c r="E48" i="8"/>
  <c r="D48" i="7"/>
  <c r="E40" i="9"/>
  <c r="D40" i="8"/>
  <c r="D51" i="10"/>
  <c r="E51" i="11"/>
  <c r="E50" i="10"/>
  <c r="D50" i="9"/>
  <c r="J37" i="13"/>
  <c r="J39" i="14"/>
  <c r="E49" i="10"/>
  <c r="D49" i="9"/>
  <c r="A32" i="1"/>
  <c r="A33" i="2" s="1"/>
  <c r="E38" i="12"/>
  <c r="D52" i="12"/>
  <c r="D53" i="12" s="1"/>
  <c r="D38" i="11"/>
  <c r="M27" i="48"/>
  <c r="J43" i="11"/>
  <c r="J44" i="12"/>
  <c r="D44" i="37"/>
  <c r="E44" i="6"/>
  <c r="J50" i="12"/>
  <c r="J49" i="11"/>
  <c r="D43" i="9"/>
  <c r="E43" i="10"/>
  <c r="J56" i="4"/>
  <c r="W30" i="48"/>
  <c r="Q31" i="48"/>
  <c r="M7" i="9"/>
  <c r="M34" i="10"/>
  <c r="D41" i="10"/>
  <c r="E41" i="11"/>
  <c r="S25" i="48" l="1"/>
  <c r="G20" i="59" s="1"/>
  <c r="K24" i="48"/>
  <c r="C19" i="59" s="1"/>
  <c r="AK24" i="48"/>
  <c r="E19" i="59" s="1"/>
  <c r="Y24" i="48"/>
  <c r="I19" i="59" s="1"/>
  <c r="J45" i="16"/>
  <c r="K57" i="16"/>
  <c r="J40" i="15"/>
  <c r="J51" i="16"/>
  <c r="J41" i="16"/>
  <c r="K56" i="16"/>
  <c r="F25" i="2"/>
  <c r="CD24" i="2"/>
  <c r="E45" i="10"/>
  <c r="D45" i="9"/>
  <c r="D42" i="10"/>
  <c r="E42" i="11"/>
  <c r="E52" i="12"/>
  <c r="E53" i="12" s="1"/>
  <c r="E48" i="7"/>
  <c r="D48" i="6"/>
  <c r="E47" i="11"/>
  <c r="D47" i="10"/>
  <c r="D46" i="10"/>
  <c r="E46" i="11"/>
  <c r="E39" i="11"/>
  <c r="D39" i="10"/>
  <c r="E49" i="9"/>
  <c r="D49" i="8"/>
  <c r="J37" i="12"/>
  <c r="J39" i="13"/>
  <c r="D40" i="7"/>
  <c r="E40" i="8"/>
  <c r="D50" i="8"/>
  <c r="E50" i="9"/>
  <c r="D51" i="9"/>
  <c r="E51" i="10"/>
  <c r="W31" i="48"/>
  <c r="Q32" i="48"/>
  <c r="J56" i="43"/>
  <c r="E43" i="9"/>
  <c r="D43" i="8"/>
  <c r="J43" i="10"/>
  <c r="J44" i="11"/>
  <c r="M28" i="48"/>
  <c r="E41" i="10"/>
  <c r="D41" i="9"/>
  <c r="M34" i="9"/>
  <c r="M7" i="8"/>
  <c r="J49" i="10"/>
  <c r="J50" i="11"/>
  <c r="D44" i="4"/>
  <c r="E44" i="37"/>
  <c r="E38" i="11"/>
  <c r="D38" i="10"/>
  <c r="D52" i="11"/>
  <c r="D53" i="11" s="1"/>
  <c r="A33" i="1"/>
  <c r="A34" i="2" s="1"/>
  <c r="S26" i="48" l="1"/>
  <c r="G21" i="59" s="1"/>
  <c r="Y25" i="48"/>
  <c r="I20" i="59" s="1"/>
  <c r="AK25" i="48"/>
  <c r="E20" i="59" s="1"/>
  <c r="K25" i="48"/>
  <c r="C20" i="59" s="1"/>
  <c r="Z148" i="46"/>
  <c r="J40" i="14"/>
  <c r="J51" i="15"/>
  <c r="K56" i="15"/>
  <c r="J41" i="15"/>
  <c r="J45" i="15"/>
  <c r="K57" i="15"/>
  <c r="CD25" i="2"/>
  <c r="F26" i="2"/>
  <c r="E45" i="9"/>
  <c r="D45" i="8"/>
  <c r="E42" i="10"/>
  <c r="D42" i="9"/>
  <c r="D39" i="9"/>
  <c r="E39" i="10"/>
  <c r="E47" i="10"/>
  <c r="D47" i="9"/>
  <c r="E48" i="6"/>
  <c r="D48" i="37"/>
  <c r="E52" i="11"/>
  <c r="E53" i="11" s="1"/>
  <c r="D46" i="9"/>
  <c r="E46" i="10"/>
  <c r="D51" i="8"/>
  <c r="E51" i="9"/>
  <c r="E50" i="8"/>
  <c r="D50" i="7"/>
  <c r="E49" i="8"/>
  <c r="D49" i="7"/>
  <c r="D40" i="6"/>
  <c r="E40" i="7"/>
  <c r="J37" i="11"/>
  <c r="J39" i="12"/>
  <c r="A34" i="1"/>
  <c r="A35" i="2" s="1"/>
  <c r="D52" i="10"/>
  <c r="D53" i="10" s="1"/>
  <c r="E38" i="10"/>
  <c r="D38" i="9"/>
  <c r="J49" i="9"/>
  <c r="J50" i="10"/>
  <c r="J43" i="9"/>
  <c r="J44" i="10"/>
  <c r="E43" i="8"/>
  <c r="D43" i="7"/>
  <c r="E44" i="4"/>
  <c r="D44" i="43"/>
  <c r="E44" i="43" s="1"/>
  <c r="M7" i="7"/>
  <c r="M34" i="8"/>
  <c r="E41" i="9"/>
  <c r="D41" i="8"/>
  <c r="M29" i="48"/>
  <c r="W32" i="48"/>
  <c r="Q33" i="48"/>
  <c r="Y26" i="48" l="1"/>
  <c r="I21" i="59" s="1"/>
  <c r="S27" i="48"/>
  <c r="G22" i="59" s="1"/>
  <c r="K26" i="48"/>
  <c r="C21" i="59" s="1"/>
  <c r="AK26" i="48"/>
  <c r="E21" i="59" s="1"/>
  <c r="CD26" i="2"/>
  <c r="F27" i="2"/>
  <c r="J41" i="14"/>
  <c r="K56" i="14"/>
  <c r="J45" i="14"/>
  <c r="J40" i="13"/>
  <c r="K57" i="14"/>
  <c r="J51" i="14"/>
  <c r="E45" i="8"/>
  <c r="D45" i="7"/>
  <c r="E52" i="10"/>
  <c r="E53" i="10" s="1"/>
  <c r="D42" i="8"/>
  <c r="E42" i="9"/>
  <c r="E46" i="9"/>
  <c r="D46" i="8"/>
  <c r="E48" i="37"/>
  <c r="D48" i="4"/>
  <c r="D47" i="8"/>
  <c r="E47" i="9"/>
  <c r="E39" i="9"/>
  <c r="D39" i="8"/>
  <c r="J37" i="10"/>
  <c r="J39" i="11"/>
  <c r="D40" i="37"/>
  <c r="E40" i="6"/>
  <c r="E49" i="7"/>
  <c r="D49" i="6"/>
  <c r="D50" i="6"/>
  <c r="E50" i="7"/>
  <c r="D51" i="7"/>
  <c r="E51" i="8"/>
  <c r="W33" i="48"/>
  <c r="Q34" i="48"/>
  <c r="D41" i="7"/>
  <c r="E41" i="8"/>
  <c r="D43" i="6"/>
  <c r="E43" i="7"/>
  <c r="J43" i="8"/>
  <c r="J44" i="9"/>
  <c r="E38" i="9"/>
  <c r="D52" i="9"/>
  <c r="D53" i="9" s="1"/>
  <c r="D38" i="8"/>
  <c r="A35" i="1"/>
  <c r="A36" i="2" s="1"/>
  <c r="M30" i="48"/>
  <c r="M7" i="6"/>
  <c r="M34" i="7"/>
  <c r="J49" i="8"/>
  <c r="J50" i="9"/>
  <c r="S28" i="48" l="1"/>
  <c r="G23" i="59" s="1"/>
  <c r="Y27" i="48"/>
  <c r="I22" i="59" s="1"/>
  <c r="K27" i="48"/>
  <c r="C22" i="59" s="1"/>
  <c r="AK27" i="48"/>
  <c r="E22" i="59" s="1"/>
  <c r="J51" i="13"/>
  <c r="J41" i="13"/>
  <c r="K56" i="13"/>
  <c r="J45" i="13"/>
  <c r="K57" i="13"/>
  <c r="J40" i="12"/>
  <c r="F28" i="2"/>
  <c r="CD27" i="2"/>
  <c r="E45" i="7"/>
  <c r="D45" i="6"/>
  <c r="E42" i="8"/>
  <c r="D42" i="7"/>
  <c r="D39" i="7"/>
  <c r="E39" i="8"/>
  <c r="E48" i="4"/>
  <c r="D48" i="43"/>
  <c r="E48" i="43" s="1"/>
  <c r="E46" i="8"/>
  <c r="D46" i="7"/>
  <c r="E52" i="9"/>
  <c r="E53" i="9" s="1"/>
  <c r="E47" i="8"/>
  <c r="D47" i="7"/>
  <c r="D51" i="6"/>
  <c r="E51" i="7"/>
  <c r="E50" i="6"/>
  <c r="D50" i="37"/>
  <c r="D40" i="4"/>
  <c r="E40" i="37"/>
  <c r="D49" i="37"/>
  <c r="E49" i="6"/>
  <c r="J39" i="10"/>
  <c r="J37" i="9"/>
  <c r="J50" i="8"/>
  <c r="J49" i="7"/>
  <c r="M31" i="48"/>
  <c r="D38" i="7"/>
  <c r="E38" i="8"/>
  <c r="D52" i="8"/>
  <c r="D53" i="8" s="1"/>
  <c r="D41" i="6"/>
  <c r="E41" i="7"/>
  <c r="M7" i="37"/>
  <c r="M34" i="6"/>
  <c r="A36" i="1"/>
  <c r="A37" i="2" s="1"/>
  <c r="J43" i="7"/>
  <c r="J44" i="8"/>
  <c r="D43" i="37"/>
  <c r="E43" i="6"/>
  <c r="Q35" i="48"/>
  <c r="W34" i="48"/>
  <c r="Y28" i="48" l="1"/>
  <c r="I23" i="59" s="1"/>
  <c r="K28" i="48"/>
  <c r="C23" i="59" s="1"/>
  <c r="S29" i="48"/>
  <c r="G24" i="59" s="1"/>
  <c r="AK28" i="48"/>
  <c r="E23" i="59" s="1"/>
  <c r="J40" i="11"/>
  <c r="J51" i="12"/>
  <c r="K56" i="12"/>
  <c r="K57" i="12"/>
  <c r="J41" i="12"/>
  <c r="J45" i="12"/>
  <c r="F29" i="2"/>
  <c r="CD28" i="2"/>
  <c r="D45" i="37"/>
  <c r="E45" i="6"/>
  <c r="E52" i="8"/>
  <c r="E53" i="8" s="1"/>
  <c r="D42" i="6"/>
  <c r="E42" i="7"/>
  <c r="D46" i="6"/>
  <c r="E46" i="7"/>
  <c r="D47" i="6"/>
  <c r="E47" i="7"/>
  <c r="E39" i="7"/>
  <c r="D39" i="6"/>
  <c r="J37" i="8"/>
  <c r="J39" i="9"/>
  <c r="E49" i="37"/>
  <c r="D49" i="4"/>
  <c r="D50" i="4"/>
  <c r="E50" i="37"/>
  <c r="E40" i="4"/>
  <c r="D40" i="43"/>
  <c r="E40" i="43" s="1"/>
  <c r="D51" i="37"/>
  <c r="E51" i="6"/>
  <c r="E43" i="37"/>
  <c r="D43" i="4"/>
  <c r="A37" i="1"/>
  <c r="A38" i="2" s="1"/>
  <c r="M7" i="4"/>
  <c r="M34" i="37"/>
  <c r="E41" i="6"/>
  <c r="D41" i="37"/>
  <c r="D52" i="7"/>
  <c r="D53" i="7" s="1"/>
  <c r="E38" i="7"/>
  <c r="D38" i="6"/>
  <c r="M32" i="48"/>
  <c r="W35" i="48"/>
  <c r="Q36" i="48"/>
  <c r="J43" i="6"/>
  <c r="J44" i="7"/>
  <c r="J49" i="6"/>
  <c r="J50" i="7"/>
  <c r="Y29" i="48" l="1"/>
  <c r="I24" i="59" s="1"/>
  <c r="K29" i="48"/>
  <c r="C24" i="59" s="1"/>
  <c r="AK29" i="48"/>
  <c r="E24" i="59" s="1"/>
  <c r="S30" i="48"/>
  <c r="G25" i="59" s="1"/>
  <c r="CD29" i="2"/>
  <c r="F30" i="2"/>
  <c r="J45" i="11"/>
  <c r="K56" i="11"/>
  <c r="K57" i="11"/>
  <c r="J40" i="10"/>
  <c r="J51" i="11"/>
  <c r="J41" i="11"/>
  <c r="D45" i="4"/>
  <c r="E45" i="37"/>
  <c r="D42" i="37"/>
  <c r="E42" i="6"/>
  <c r="E39" i="6"/>
  <c r="D39" i="37"/>
  <c r="E52" i="7"/>
  <c r="E53" i="7" s="1"/>
  <c r="E47" i="6"/>
  <c r="D47" i="37"/>
  <c r="E46" i="6"/>
  <c r="D46" i="37"/>
  <c r="E49" i="4"/>
  <c r="D49" i="43"/>
  <c r="E49" i="43" s="1"/>
  <c r="D51" i="4"/>
  <c r="E51" i="37"/>
  <c r="D50" i="43"/>
  <c r="E50" i="43" s="1"/>
  <c r="E50" i="4"/>
  <c r="J39" i="8"/>
  <c r="J37" i="7"/>
  <c r="J37" i="6" s="1"/>
  <c r="J49" i="37"/>
  <c r="J50" i="6"/>
  <c r="M33" i="48"/>
  <c r="D52" i="6"/>
  <c r="D53" i="6" s="1"/>
  <c r="D38" i="37"/>
  <c r="E38" i="6"/>
  <c r="M7" i="43"/>
  <c r="M34" i="43" s="1"/>
  <c r="M34" i="4"/>
  <c r="D43" i="43"/>
  <c r="E43" i="43" s="1"/>
  <c r="E43" i="4"/>
  <c r="J43" i="37"/>
  <c r="J44" i="6"/>
  <c r="Q37" i="48"/>
  <c r="W36" i="48"/>
  <c r="D41" i="4"/>
  <c r="E41" i="37"/>
  <c r="A38" i="1"/>
  <c r="A39" i="2" s="1"/>
  <c r="Y30" i="48" l="1"/>
  <c r="I25" i="59" s="1"/>
  <c r="S31" i="48"/>
  <c r="G26" i="59" s="1"/>
  <c r="AK30" i="48"/>
  <c r="E25" i="59" s="1"/>
  <c r="K30" i="48"/>
  <c r="C25" i="59" s="1"/>
  <c r="W148" i="46"/>
  <c r="K57" i="10"/>
  <c r="J45" i="10"/>
  <c r="J40" i="9"/>
  <c r="K56" i="10"/>
  <c r="J51" i="10"/>
  <c r="J41" i="10"/>
  <c r="CD30" i="2"/>
  <c r="F31" i="2"/>
  <c r="D45" i="43"/>
  <c r="E45" i="43" s="1"/>
  <c r="E45" i="4"/>
  <c r="E52" i="6"/>
  <c r="E53" i="6" s="1"/>
  <c r="E42" i="37"/>
  <c r="D42" i="4"/>
  <c r="E39" i="37"/>
  <c r="D39" i="4"/>
  <c r="E46" i="37"/>
  <c r="D46" i="4"/>
  <c r="D47" i="4"/>
  <c r="E47" i="37"/>
  <c r="J39" i="7"/>
  <c r="D51" i="43"/>
  <c r="E51" i="43" s="1"/>
  <c r="E51" i="4"/>
  <c r="J43" i="4"/>
  <c r="J44" i="37"/>
  <c r="M34" i="48"/>
  <c r="J49" i="4"/>
  <c r="J50" i="37"/>
  <c r="E41" i="4"/>
  <c r="D41" i="43"/>
  <c r="E41" i="43" s="1"/>
  <c r="Q38" i="48"/>
  <c r="W37" i="48"/>
  <c r="D38" i="4"/>
  <c r="E38" i="37"/>
  <c r="D52" i="37"/>
  <c r="D53" i="37" s="1"/>
  <c r="S32" i="48" l="1"/>
  <c r="G27" i="59" s="1"/>
  <c r="K31" i="48"/>
  <c r="C26" i="59" s="1"/>
  <c r="AK31" i="48"/>
  <c r="E26" i="59" s="1"/>
  <c r="Y31" i="48"/>
  <c r="I26" i="59" s="1"/>
  <c r="J40" i="8"/>
  <c r="K56" i="9"/>
  <c r="J51" i="9"/>
  <c r="J45" i="9"/>
  <c r="J41" i="9"/>
  <c r="K57" i="9"/>
  <c r="CD31" i="2"/>
  <c r="F32" i="2"/>
  <c r="D42" i="43"/>
  <c r="E42" i="43" s="1"/>
  <c r="E42" i="4"/>
  <c r="D47" i="43"/>
  <c r="E47" i="43" s="1"/>
  <c r="E47" i="4"/>
  <c r="E52" i="37"/>
  <c r="E53" i="37" s="1"/>
  <c r="E46" i="4"/>
  <c r="D46" i="43"/>
  <c r="E46" i="43" s="1"/>
  <c r="E39" i="4"/>
  <c r="D39" i="43"/>
  <c r="E39" i="43" s="1"/>
  <c r="J39" i="6"/>
  <c r="J37" i="37"/>
  <c r="E38" i="4"/>
  <c r="D38" i="43"/>
  <c r="D52" i="4"/>
  <c r="D53" i="4" s="1"/>
  <c r="W38" i="48"/>
  <c r="J49" i="43"/>
  <c r="J50" i="4"/>
  <c r="J43" i="43"/>
  <c r="J44" i="4"/>
  <c r="M35" i="48"/>
  <c r="AK32" i="48" l="1"/>
  <c r="E27" i="59" s="1"/>
  <c r="S33" i="48"/>
  <c r="G28" i="59" s="1"/>
  <c r="Y32" i="48"/>
  <c r="I27" i="59" s="1"/>
  <c r="K32" i="48"/>
  <c r="C27" i="59" s="1"/>
  <c r="CD32" i="2"/>
  <c r="F33" i="2"/>
  <c r="J45" i="8"/>
  <c r="J51" i="8"/>
  <c r="K57" i="8"/>
  <c r="J40" i="7"/>
  <c r="K56" i="8"/>
  <c r="J41" i="8"/>
  <c r="E52" i="4"/>
  <c r="E53" i="4" s="1"/>
  <c r="J37" i="4"/>
  <c r="J39" i="37"/>
  <c r="M36" i="48"/>
  <c r="J44" i="43"/>
  <c r="J50" i="43"/>
  <c r="D52" i="43"/>
  <c r="E38" i="43"/>
  <c r="E52" i="43" s="1"/>
  <c r="E53" i="43" s="1"/>
  <c r="S34" i="48" l="1"/>
  <c r="G29" i="59" s="1"/>
  <c r="Y33" i="48"/>
  <c r="I28" i="59" s="1"/>
  <c r="AK33" i="48"/>
  <c r="E28" i="59" s="1"/>
  <c r="K33" i="48"/>
  <c r="C28" i="59" s="1"/>
  <c r="D53" i="43"/>
  <c r="K56" i="7"/>
  <c r="K57" i="7"/>
  <c r="J45" i="7"/>
  <c r="J41" i="7"/>
  <c r="J40" i="6"/>
  <c r="J51" i="7"/>
  <c r="CD33" i="2"/>
  <c r="F34" i="2"/>
  <c r="J37" i="43"/>
  <c r="J39" i="43" s="1"/>
  <c r="J39" i="4"/>
  <c r="M37" i="48"/>
  <c r="Y34" i="48" l="1"/>
  <c r="I29" i="59" s="1"/>
  <c r="S35" i="48"/>
  <c r="G30" i="59" s="1"/>
  <c r="K34" i="48"/>
  <c r="C29" i="59" s="1"/>
  <c r="AK34" i="48"/>
  <c r="E29" i="59" s="1"/>
  <c r="J41" i="6"/>
  <c r="K56" i="6"/>
  <c r="J40" i="37"/>
  <c r="J45" i="6"/>
  <c r="J51" i="6"/>
  <c r="K57" i="6"/>
  <c r="F35" i="2"/>
  <c r="CD34" i="2"/>
  <c r="M38" i="48"/>
  <c r="S36" i="48" l="1"/>
  <c r="G31" i="59" s="1"/>
  <c r="AK35" i="48"/>
  <c r="E30" i="59" s="1"/>
  <c r="Y35" i="48"/>
  <c r="I30" i="59" s="1"/>
  <c r="K35" i="48"/>
  <c r="C30" i="59" s="1"/>
  <c r="CD35" i="2"/>
  <c r="F36" i="2"/>
  <c r="J41" i="37"/>
  <c r="K56" i="37"/>
  <c r="J45" i="37"/>
  <c r="J51" i="37"/>
  <c r="J40" i="4"/>
  <c r="K57" i="37"/>
  <c r="S37" i="48" l="1"/>
  <c r="G32" i="59" s="1"/>
  <c r="AK36" i="48"/>
  <c r="E31" i="59" s="1"/>
  <c r="Y36" i="48"/>
  <c r="I31" i="59" s="1"/>
  <c r="K36" i="48"/>
  <c r="C31" i="59" s="1"/>
  <c r="K57" i="4"/>
  <c r="J51" i="4"/>
  <c r="J45" i="4"/>
  <c r="J40" i="43"/>
  <c r="J41" i="4"/>
  <c r="K56" i="4"/>
  <c r="CD36" i="2"/>
  <c r="F37" i="2"/>
  <c r="S38" i="48" l="1"/>
  <c r="G33" i="59" s="1"/>
  <c r="F44" i="59" s="1"/>
  <c r="AK37" i="48"/>
  <c r="E32" i="59" s="1"/>
  <c r="Y37" i="48"/>
  <c r="I32" i="59" s="1"/>
  <c r="K37" i="48"/>
  <c r="C32" i="59" s="1"/>
  <c r="J51" i="43"/>
  <c r="J41" i="43"/>
  <c r="J45" i="43"/>
  <c r="K56" i="43"/>
  <c r="K57" i="43"/>
  <c r="F38" i="2"/>
  <c r="CD37" i="2"/>
  <c r="Y38" i="48" l="1"/>
  <c r="I33" i="59" s="1"/>
  <c r="H44" i="59" s="1"/>
  <c r="AK38" i="48"/>
  <c r="E33" i="59" s="1"/>
  <c r="D44" i="59" s="1"/>
  <c r="K38" i="48"/>
  <c r="C33" i="59" s="1"/>
  <c r="B44" i="59" s="1"/>
  <c r="F39" i="2"/>
  <c r="CD38" i="2"/>
  <c r="F38" i="59" l="1"/>
  <c r="F43" i="59"/>
  <c r="F37" i="59"/>
  <c r="F42" i="59"/>
  <c r="F36" i="59"/>
  <c r="F41" i="59"/>
  <c r="F40" i="59"/>
  <c r="F39" i="59"/>
  <c r="CD39" i="2"/>
  <c r="H38" i="59" l="1"/>
  <c r="H43" i="59"/>
  <c r="H36" i="59"/>
  <c r="H37" i="59"/>
  <c r="H42" i="59"/>
  <c r="H41" i="59"/>
  <c r="H40" i="59"/>
  <c r="H39" i="59"/>
  <c r="D41" i="59"/>
  <c r="D42" i="59"/>
  <c r="D40" i="59"/>
  <c r="D36" i="59"/>
  <c r="D37" i="59"/>
  <c r="D38" i="59"/>
  <c r="D39" i="59"/>
  <c r="D43" i="59"/>
  <c r="B42" i="59"/>
  <c r="B38" i="59"/>
  <c r="B40" i="59"/>
  <c r="B39" i="59"/>
  <c r="B36" i="59"/>
  <c r="B43" i="59"/>
  <c r="B41" i="59"/>
  <c r="B37" i="59"/>
  <c r="AR12" i="45"/>
  <c r="F12" i="45"/>
  <c r="G12" i="45"/>
  <c r="AR17" i="45"/>
  <c r="F17" i="45"/>
  <c r="G17" i="45"/>
  <c r="AR13" i="45"/>
  <c r="F13" i="45"/>
  <c r="G13" i="45"/>
  <c r="AR18" i="45"/>
  <c r="F18" i="45"/>
  <c r="G18" i="45"/>
  <c r="AR14" i="45"/>
  <c r="F14" i="45"/>
  <c r="G14" i="45"/>
  <c r="AR15" i="45"/>
  <c r="F15" i="45"/>
  <c r="G15" i="45"/>
  <c r="AR19" i="45"/>
  <c r="F19" i="45"/>
  <c r="G19" i="45"/>
  <c r="AR10" i="45"/>
  <c r="F10" i="45"/>
  <c r="G10" i="45"/>
  <c r="AR20" i="45"/>
  <c r="G20" i="45"/>
  <c r="F20" i="45"/>
  <c r="AR9" i="45"/>
  <c r="F9" i="45"/>
  <c r="G9" i="45"/>
  <c r="AR16" i="45"/>
  <c r="F16" i="45"/>
  <c r="G16" i="45"/>
  <c r="AR11" i="45"/>
  <c r="F11" i="45"/>
  <c r="G11" i="45"/>
  <c r="I46" i="22" l="1"/>
  <c r="Z21" i="48" s="1"/>
  <c r="I46" i="20"/>
  <c r="I46" i="14"/>
  <c r="I46" i="31"/>
  <c r="AS10" i="45"/>
  <c r="AT10" i="45"/>
  <c r="I46" i="27"/>
  <c r="AS13" i="45"/>
  <c r="AT13" i="45"/>
  <c r="AT20" i="45"/>
  <c r="AS20" i="45"/>
  <c r="I46" i="17"/>
  <c r="I46" i="4"/>
  <c r="I46" i="25"/>
  <c r="AS16" i="45"/>
  <c r="AT16" i="45"/>
  <c r="I46" i="21"/>
  <c r="AS19" i="45"/>
  <c r="AT19" i="45"/>
  <c r="I46" i="12"/>
  <c r="I46" i="10"/>
  <c r="I46" i="18"/>
  <c r="I46" i="30"/>
  <c r="AS11" i="45"/>
  <c r="AT11" i="45"/>
  <c r="I46" i="6"/>
  <c r="I46" i="28"/>
  <c r="AS14" i="45"/>
  <c r="AT14" i="45"/>
  <c r="I46" i="7"/>
  <c r="I46" i="11"/>
  <c r="I46" i="26"/>
  <c r="AS15" i="45"/>
  <c r="AT15" i="45"/>
  <c r="I46" i="15"/>
  <c r="I46" i="8"/>
  <c r="I46" i="16"/>
  <c r="I46" i="24"/>
  <c r="AS17" i="45"/>
  <c r="AT17" i="45"/>
  <c r="I46" i="13"/>
  <c r="I46" i="9"/>
  <c r="I46" i="23"/>
  <c r="AS18" i="45"/>
  <c r="AT18" i="45"/>
  <c r="I46" i="37"/>
  <c r="I46" i="19"/>
  <c r="I46" i="32"/>
  <c r="AS9" i="45"/>
  <c r="AT9" i="45"/>
  <c r="AR8" i="45"/>
  <c r="E40" i="45"/>
  <c r="D8" i="45"/>
  <c r="D9" i="45" s="1"/>
  <c r="D10" i="45" s="1"/>
  <c r="D11" i="45" s="1"/>
  <c r="D12" i="45" s="1"/>
  <c r="D13" i="45" s="1"/>
  <c r="D14" i="45" s="1"/>
  <c r="D15" i="45" s="1"/>
  <c r="D16" i="45" s="1"/>
  <c r="D17" i="45" s="1"/>
  <c r="D18" i="45" s="1"/>
  <c r="D19" i="45" s="1"/>
  <c r="D20" i="45" s="1"/>
  <c r="D21" i="45" s="1"/>
  <c r="D22" i="45" s="1"/>
  <c r="D23" i="45" s="1"/>
  <c r="D24" i="45" s="1"/>
  <c r="D25" i="45" s="1"/>
  <c r="D26" i="45" s="1"/>
  <c r="D27" i="45" s="1"/>
  <c r="D28" i="45" s="1"/>
  <c r="D29" i="45" s="1"/>
  <c r="D30" i="45" s="1"/>
  <c r="D31" i="45" s="1"/>
  <c r="D32" i="45" s="1"/>
  <c r="D33" i="45" s="1"/>
  <c r="D34" i="45" s="1"/>
  <c r="D35" i="45" s="1"/>
  <c r="D36" i="45" s="1"/>
  <c r="D37" i="45" s="1"/>
  <c r="F8" i="45"/>
  <c r="G8" i="45"/>
  <c r="I46" i="29"/>
  <c r="AS12" i="45"/>
  <c r="AT12" i="45"/>
  <c r="I47" i="8" l="1"/>
  <c r="I48" i="8"/>
  <c r="Z34" i="48"/>
  <c r="Z16" i="48"/>
  <c r="I47" i="26"/>
  <c r="I48" i="26"/>
  <c r="I48" i="22"/>
  <c r="I47" i="22"/>
  <c r="Z19" i="48"/>
  <c r="I47" i="23"/>
  <c r="I48" i="23"/>
  <c r="I47" i="28"/>
  <c r="Z15" i="48"/>
  <c r="I48" i="28"/>
  <c r="Z30" i="48"/>
  <c r="I47" i="12"/>
  <c r="I48" i="12"/>
  <c r="I46" i="43"/>
  <c r="Z23" i="48"/>
  <c r="I47" i="19"/>
  <c r="I48" i="19"/>
  <c r="Z18" i="48"/>
  <c r="I47" i="24"/>
  <c r="I48" i="24"/>
  <c r="Z38" i="48"/>
  <c r="I47" i="4"/>
  <c r="I48" i="4"/>
  <c r="AR40" i="45"/>
  <c r="AR42" i="45" s="1"/>
  <c r="F40" i="45"/>
  <c r="G40" i="45"/>
  <c r="Z31" i="48"/>
  <c r="I47" i="11"/>
  <c r="I48" i="11"/>
  <c r="Z24" i="48"/>
  <c r="I47" i="18"/>
  <c r="I48" i="18"/>
  <c r="I47" i="27"/>
  <c r="Z14" i="48"/>
  <c r="I48" i="27"/>
  <c r="I46" i="33"/>
  <c r="AS8" i="45"/>
  <c r="AT8" i="45"/>
  <c r="Z33" i="48"/>
  <c r="I47" i="9"/>
  <c r="I48" i="9"/>
  <c r="Z36" i="48"/>
  <c r="I48" i="6"/>
  <c r="I47" i="6"/>
  <c r="I47" i="21"/>
  <c r="Z20" i="48"/>
  <c r="I48" i="21"/>
  <c r="I47" i="14"/>
  <c r="Z28" i="48"/>
  <c r="I48" i="14"/>
  <c r="I47" i="37"/>
  <c r="Z37" i="48"/>
  <c r="I48" i="37"/>
  <c r="I47" i="16"/>
  <c r="Z26" i="48"/>
  <c r="I48" i="16"/>
  <c r="I47" i="15"/>
  <c r="Z27" i="48"/>
  <c r="I48" i="15"/>
  <c r="I47" i="17"/>
  <c r="Z25" i="48"/>
  <c r="I48" i="17"/>
  <c r="Z35" i="48"/>
  <c r="I47" i="7"/>
  <c r="I48" i="7"/>
  <c r="I47" i="10"/>
  <c r="I48" i="10"/>
  <c r="Z32" i="48"/>
  <c r="I47" i="31"/>
  <c r="Z11" i="48"/>
  <c r="I48" i="31"/>
  <c r="I47" i="29"/>
  <c r="Z13" i="48"/>
  <c r="I48" i="29"/>
  <c r="Z10" i="48"/>
  <c r="I47" i="32"/>
  <c r="I48" i="32"/>
  <c r="Z29" i="48"/>
  <c r="I47" i="13"/>
  <c r="I48" i="13"/>
  <c r="Z12" i="48"/>
  <c r="I47" i="30"/>
  <c r="I48" i="30"/>
  <c r="Z17" i="48"/>
  <c r="I47" i="25"/>
  <c r="I48" i="25"/>
  <c r="Z22" i="48"/>
  <c r="I47" i="20"/>
  <c r="I48" i="20"/>
  <c r="AB35" i="48" l="1"/>
  <c r="AD35" i="48"/>
  <c r="J30" i="59" s="1"/>
  <c r="AB33" i="48"/>
  <c r="AD33" i="48"/>
  <c r="J28" i="59" s="1"/>
  <c r="I47" i="43"/>
  <c r="I48" i="43"/>
  <c r="AS40" i="45"/>
  <c r="AT40" i="45"/>
  <c r="AB18" i="48"/>
  <c r="AD18" i="48"/>
  <c r="J13" i="59" s="1"/>
  <c r="AB10" i="48"/>
  <c r="AD10" i="48"/>
  <c r="J5" i="59" s="1"/>
  <c r="AB32" i="48"/>
  <c r="AD32" i="48"/>
  <c r="J27" i="59" s="1"/>
  <c r="AB24" i="48"/>
  <c r="AD24" i="48"/>
  <c r="J19" i="59" s="1"/>
  <c r="AB25" i="48"/>
  <c r="AD25" i="48"/>
  <c r="J20" i="59" s="1"/>
  <c r="AB26" i="48"/>
  <c r="AD26" i="48"/>
  <c r="J21" i="59" s="1"/>
  <c r="AB28" i="48"/>
  <c r="AD28" i="48"/>
  <c r="J23" i="59" s="1"/>
  <c r="J46" i="33"/>
  <c r="I47" i="33"/>
  <c r="Z9" i="48"/>
  <c r="I48" i="33"/>
  <c r="AB16" i="48"/>
  <c r="AD16" i="48"/>
  <c r="J11" i="59" s="1"/>
  <c r="AB13" i="48"/>
  <c r="AD13" i="48"/>
  <c r="J8" i="59" s="1"/>
  <c r="AB36" i="48"/>
  <c r="AD36" i="48"/>
  <c r="J31" i="59" s="1"/>
  <c r="AB30" i="48"/>
  <c r="AD30" i="48"/>
  <c r="J25" i="59" s="1"/>
  <c r="AB19" i="48"/>
  <c r="AD19" i="48"/>
  <c r="J14" i="59" s="1"/>
  <c r="AB14" i="48"/>
  <c r="AD14" i="48"/>
  <c r="J9" i="59" s="1"/>
  <c r="AB38" i="48"/>
  <c r="AD38" i="48"/>
  <c r="J33" i="59" s="1"/>
  <c r="AB23" i="48"/>
  <c r="AD23" i="48"/>
  <c r="J18" i="59" s="1"/>
  <c r="AD34" i="48"/>
  <c r="J29" i="59" s="1"/>
  <c r="AB34" i="48"/>
  <c r="AB22" i="48"/>
  <c r="AD22" i="48"/>
  <c r="J17" i="59" s="1"/>
  <c r="AB31" i="48"/>
  <c r="AD31" i="48"/>
  <c r="J26" i="59" s="1"/>
  <c r="AB12" i="48"/>
  <c r="AD12" i="48"/>
  <c r="J7" i="59" s="1"/>
  <c r="AB17" i="48"/>
  <c r="AD17" i="48"/>
  <c r="J12" i="59" s="1"/>
  <c r="AB29" i="48"/>
  <c r="AD29" i="48"/>
  <c r="J24" i="59" s="1"/>
  <c r="AB11" i="48"/>
  <c r="AD11" i="48"/>
  <c r="J6" i="59" s="1"/>
  <c r="AB27" i="48"/>
  <c r="AD27" i="48"/>
  <c r="J22" i="59" s="1"/>
  <c r="AB37" i="48"/>
  <c r="AD37" i="48"/>
  <c r="J32" i="59" s="1"/>
  <c r="AB20" i="48"/>
  <c r="AD20" i="48"/>
  <c r="J15" i="59" s="1"/>
  <c r="AB15" i="48"/>
  <c r="AD15" i="48"/>
  <c r="J10" i="59" s="1"/>
  <c r="AD21" i="48"/>
  <c r="J16" i="59" s="1"/>
  <c r="AB21" i="48"/>
  <c r="AA9" i="48" l="1"/>
  <c r="Z41" i="48"/>
  <c r="AD9" i="48"/>
  <c r="J4" i="59" s="1"/>
  <c r="AB9" i="48"/>
  <c r="J46" i="32"/>
  <c r="J47" i="33"/>
  <c r="J48" i="33"/>
  <c r="J46" i="31" l="1"/>
  <c r="J47" i="32"/>
  <c r="J48" i="32"/>
  <c r="AB41" i="48"/>
  <c r="AD41" i="48"/>
  <c r="AE9" i="48"/>
  <c r="K4" i="59" s="1"/>
  <c r="AC9" i="48"/>
  <c r="AA10" i="48"/>
  <c r="AA11" i="48" l="1"/>
  <c r="AE10" i="48"/>
  <c r="K5" i="59" s="1"/>
  <c r="AC10" i="48"/>
  <c r="J47" i="31"/>
  <c r="J48" i="31"/>
  <c r="J46" i="30"/>
  <c r="J46" i="29" l="1"/>
  <c r="J47" i="30"/>
  <c r="J48" i="30"/>
  <c r="AA12" i="48"/>
  <c r="AC11" i="48"/>
  <c r="AE11" i="48"/>
  <c r="K6" i="59" s="1"/>
  <c r="AA13" i="48" l="1"/>
  <c r="AC12" i="48"/>
  <c r="AE12" i="48"/>
  <c r="K7" i="59" s="1"/>
  <c r="J46" i="27"/>
  <c r="J47" i="29"/>
  <c r="J48" i="29"/>
  <c r="J47" i="27" l="1"/>
  <c r="J48" i="27"/>
  <c r="J46" i="28"/>
  <c r="AA14" i="48"/>
  <c r="AC13" i="48"/>
  <c r="AE13" i="48"/>
  <c r="K8" i="59" s="1"/>
  <c r="J46" i="26" l="1"/>
  <c r="J47" i="28"/>
  <c r="J48" i="28"/>
  <c r="AA15" i="48"/>
  <c r="AC14" i="48"/>
  <c r="AE14" i="48"/>
  <c r="K9" i="59" s="1"/>
  <c r="AA16" i="48" l="1"/>
  <c r="AC15" i="48"/>
  <c r="AE15" i="48"/>
  <c r="K10" i="59" s="1"/>
  <c r="J47" i="26"/>
  <c r="J48" i="26"/>
  <c r="J46" i="25"/>
  <c r="J47" i="25" l="1"/>
  <c r="J48" i="25"/>
  <c r="J46" i="24"/>
  <c r="AA17" i="48"/>
  <c r="AC16" i="48"/>
  <c r="AE16" i="48"/>
  <c r="K11" i="59" s="1"/>
  <c r="J47" i="24" l="1"/>
  <c r="J48" i="24"/>
  <c r="J46" i="23"/>
  <c r="AA18" i="48"/>
  <c r="AC17" i="48"/>
  <c r="AE17" i="48"/>
  <c r="K12" i="59" s="1"/>
  <c r="AA19" i="48" l="1"/>
  <c r="AC18" i="48"/>
  <c r="AE18" i="48"/>
  <c r="K13" i="59" s="1"/>
  <c r="J47" i="23"/>
  <c r="J48" i="23"/>
  <c r="J46" i="21"/>
  <c r="J47" i="21" l="1"/>
  <c r="J48" i="21"/>
  <c r="J46" i="22"/>
  <c r="AA20" i="48"/>
  <c r="AC19" i="48"/>
  <c r="AE19" i="48"/>
  <c r="K14" i="59" s="1"/>
  <c r="AA21" i="48" l="1"/>
  <c r="AC20" i="48"/>
  <c r="AE20" i="48"/>
  <c r="K15" i="59" s="1"/>
  <c r="J47" i="22"/>
  <c r="J48" i="22"/>
  <c r="J46" i="20"/>
  <c r="J47" i="20" l="1"/>
  <c r="J48" i="20"/>
  <c r="J46" i="19"/>
  <c r="AA22" i="48"/>
  <c r="AC21" i="48"/>
  <c r="AE21" i="48"/>
  <c r="K16" i="59" s="1"/>
  <c r="AA23" i="48" l="1"/>
  <c r="AC22" i="48"/>
  <c r="AE22" i="48"/>
  <c r="K17" i="59" s="1"/>
  <c r="J47" i="19"/>
  <c r="J48" i="19"/>
  <c r="J46" i="18"/>
  <c r="J47" i="18" l="1"/>
  <c r="J48" i="18"/>
  <c r="J46" i="17"/>
  <c r="AA24" i="48"/>
  <c r="AC23" i="48"/>
  <c r="AE23" i="48"/>
  <c r="K18" i="59" s="1"/>
  <c r="AA25" i="48" l="1"/>
  <c r="AC24" i="48"/>
  <c r="AE24" i="48"/>
  <c r="K19" i="59" s="1"/>
  <c r="J47" i="17"/>
  <c r="J48" i="17"/>
  <c r="J46" i="16"/>
  <c r="J47" i="16" l="1"/>
  <c r="J48" i="16"/>
  <c r="J46" i="15"/>
  <c r="AA26" i="48"/>
  <c r="AC25" i="48"/>
  <c r="AE25" i="48"/>
  <c r="K20" i="59" s="1"/>
  <c r="AA27" i="48" l="1"/>
  <c r="AC26" i="48"/>
  <c r="AE26" i="48"/>
  <c r="K21" i="59" s="1"/>
  <c r="J47" i="15"/>
  <c r="J48" i="15"/>
  <c r="J46" i="14"/>
  <c r="J47" i="14" l="1"/>
  <c r="J48" i="14"/>
  <c r="J46" i="13"/>
  <c r="AA28" i="48"/>
  <c r="AC27" i="48"/>
  <c r="AE27" i="48"/>
  <c r="K22" i="59" s="1"/>
  <c r="AA29" i="48" l="1"/>
  <c r="AC28" i="48"/>
  <c r="AE28" i="48"/>
  <c r="K23" i="59" s="1"/>
  <c r="J47" i="13"/>
  <c r="J48" i="13"/>
  <c r="J46" i="12"/>
  <c r="J47" i="12" l="1"/>
  <c r="J48" i="12"/>
  <c r="J46" i="11"/>
  <c r="AA30" i="48"/>
  <c r="AC29" i="48"/>
  <c r="AE29" i="48"/>
  <c r="K24" i="59" s="1"/>
  <c r="AA31" i="48" l="1"/>
  <c r="AC30" i="48"/>
  <c r="AE30" i="48"/>
  <c r="K25" i="59" s="1"/>
  <c r="J47" i="11"/>
  <c r="J48" i="11"/>
  <c r="J46" i="10"/>
  <c r="J47" i="10" l="1"/>
  <c r="J48" i="10"/>
  <c r="J46" i="9"/>
  <c r="AA32" i="48"/>
  <c r="AC31" i="48"/>
  <c r="AE31" i="48"/>
  <c r="K26" i="59" s="1"/>
  <c r="AA33" i="48" l="1"/>
  <c r="AC32" i="48"/>
  <c r="AE32" i="48"/>
  <c r="K27" i="59" s="1"/>
  <c r="J47" i="9"/>
  <c r="J48" i="9"/>
  <c r="J46" i="8"/>
  <c r="J47" i="8" l="1"/>
  <c r="J48" i="8"/>
  <c r="J46" i="7"/>
  <c r="AA34" i="48"/>
  <c r="AC33" i="48"/>
  <c r="AE33" i="48"/>
  <c r="K28" i="59" s="1"/>
  <c r="AA35" i="48" l="1"/>
  <c r="AC34" i="48"/>
  <c r="AE34" i="48"/>
  <c r="K29" i="59" s="1"/>
  <c r="J47" i="7"/>
  <c r="J48" i="7"/>
  <c r="J46" i="6"/>
  <c r="J47" i="6" l="1"/>
  <c r="J48" i="6"/>
  <c r="J46" i="37"/>
  <c r="AA36" i="48"/>
  <c r="AC35" i="48"/>
  <c r="AE35" i="48"/>
  <c r="K30" i="59" s="1"/>
  <c r="AA37" i="48" l="1"/>
  <c r="AC36" i="48"/>
  <c r="AE36" i="48"/>
  <c r="K31" i="59" s="1"/>
  <c r="J47" i="37"/>
  <c r="J48" i="37"/>
  <c r="J46" i="4"/>
  <c r="J47" i="4" l="1"/>
  <c r="J48" i="4"/>
  <c r="J46" i="43"/>
  <c r="AA38" i="48"/>
  <c r="AC37" i="48"/>
  <c r="AE37" i="48"/>
  <c r="K32" i="59" s="1"/>
  <c r="AC38" i="48" l="1"/>
  <c r="AE38" i="48"/>
  <c r="K33" i="59" s="1"/>
  <c r="J44" i="59" s="1"/>
  <c r="J47" i="43"/>
  <c r="J48" i="43"/>
  <c r="J41" i="59" l="1"/>
  <c r="J42" i="59"/>
  <c r="J43" i="59"/>
  <c r="J36" i="59"/>
  <c r="J37" i="59"/>
  <c r="J38" i="59"/>
  <c r="J39" i="59"/>
  <c r="J40" i="59"/>
  <c r="CC41" i="1"/>
  <c r="CD18" i="1"/>
  <c r="CE18" i="1"/>
  <c r="KT18" i="1" s="1"/>
  <c r="CD41" i="1" l="1"/>
  <c r="CE41" i="1"/>
  <c r="BY27" i="1" l="1"/>
  <c r="BX27" i="1"/>
  <c r="BW41" i="1"/>
  <c r="BX41" i="1" l="1"/>
  <c r="BY41" i="1"/>
  <c r="AH6" i="59" l="1"/>
  <c r="AH5" i="59" l="1"/>
  <c r="AI5" i="59" l="1"/>
  <c r="AI6" i="59" l="1"/>
  <c r="AI7" i="59" l="1"/>
  <c r="AI8" i="59" l="1"/>
  <c r="AI9" i="59" l="1"/>
  <c r="AI10" i="59" l="1"/>
  <c r="AI11" i="59" l="1"/>
  <c r="AX12" i="59" l="1"/>
  <c r="AX10" i="59" l="1"/>
  <c r="AX7" i="59"/>
  <c r="AX11" i="59"/>
  <c r="AX4" i="59" l="1"/>
  <c r="AX9" i="59"/>
  <c r="AX8" i="59"/>
  <c r="AX5" i="59" l="1"/>
  <c r="AY4" i="59"/>
  <c r="AX6" i="59" l="1"/>
  <c r="AY5" i="59" l="1"/>
  <c r="AY6" i="59" l="1"/>
  <c r="AY7" i="59" l="1"/>
  <c r="AY8" i="59" l="1"/>
  <c r="AY9" i="59" l="1"/>
  <c r="AY10" i="59" l="1"/>
  <c r="AY11" i="59"/>
  <c r="AY12" i="59" l="1"/>
  <c r="AY13" i="59" l="1"/>
  <c r="AY14" i="59" l="1"/>
  <c r="AY15" i="59" l="1"/>
  <c r="AY16" i="59" l="1"/>
  <c r="AY17" i="59" l="1"/>
  <c r="AY18" i="59" l="1"/>
  <c r="AY19" i="59" l="1"/>
  <c r="AY20" i="59" l="1"/>
  <c r="AY21" i="59" l="1"/>
  <c r="AY22" i="59" l="1"/>
  <c r="AY23" i="59" l="1"/>
  <c r="AY24" i="59" l="1"/>
  <c r="AY25" i="59" l="1"/>
  <c r="AY26" i="59" l="1"/>
  <c r="AY27" i="59" l="1"/>
  <c r="AY28" i="59"/>
  <c r="AY29" i="59" l="1"/>
  <c r="AY30" i="59" l="1"/>
  <c r="AY31" i="59"/>
  <c r="AJ4" i="59" l="1"/>
  <c r="AK4" i="59"/>
  <c r="AJ12" i="59" l="1"/>
  <c r="AJ11" i="59"/>
  <c r="AJ10" i="59"/>
  <c r="AJ8" i="59"/>
  <c r="AJ7" i="59"/>
  <c r="AJ6" i="59"/>
  <c r="AJ5" i="59" l="1"/>
  <c r="AJ9" i="59"/>
  <c r="AK5" i="59" l="1"/>
  <c r="AK6" i="59" l="1"/>
  <c r="AK7" i="59" l="1"/>
  <c r="AK8" i="59" l="1"/>
  <c r="AK9" i="59" l="1"/>
  <c r="AK10" i="59" l="1"/>
  <c r="AK11" i="59" l="1"/>
  <c r="AK12" i="59" l="1"/>
  <c r="AK13" i="59" l="1"/>
  <c r="AK14" i="59" l="1"/>
  <c r="AK15" i="59" l="1"/>
  <c r="AK16" i="59" l="1"/>
  <c r="AK17" i="59" l="1"/>
  <c r="AK18" i="59" l="1"/>
  <c r="AK19" i="59" l="1"/>
  <c r="AK20" i="59" l="1"/>
  <c r="AK21" i="59" l="1"/>
  <c r="AK22" i="59" l="1"/>
  <c r="AK23" i="59" l="1"/>
  <c r="AK24" i="59" l="1"/>
  <c r="AK25" i="59" l="1"/>
  <c r="AK26" i="59" l="1"/>
  <c r="AK27" i="59" l="1"/>
  <c r="AK28" i="59" l="1"/>
  <c r="AK29" i="59" l="1"/>
  <c r="AK30" i="59" l="1"/>
  <c r="AK31" i="59" l="1"/>
  <c r="AK32" i="59" l="1"/>
  <c r="AK33" i="59" l="1"/>
  <c r="AJ44" i="59" s="1"/>
  <c r="AH12" i="59" l="1"/>
  <c r="AI12" i="59" l="1"/>
  <c r="AI13" i="59" l="1"/>
  <c r="AI14" i="59" l="1"/>
  <c r="AI15" i="59" l="1"/>
  <c r="AI16" i="59" l="1"/>
  <c r="AI17" i="59" l="1"/>
  <c r="AI18" i="59" l="1"/>
  <c r="AI19" i="59" l="1"/>
  <c r="AI20" i="59" l="1"/>
  <c r="AI21" i="59" l="1"/>
  <c r="AI22" i="59" l="1"/>
  <c r="AI23" i="59" l="1"/>
  <c r="AI24" i="59" l="1"/>
  <c r="AI25" i="59" l="1"/>
  <c r="AI26" i="59" l="1"/>
  <c r="AI27" i="59" l="1"/>
  <c r="AI28" i="59" l="1"/>
  <c r="AI29" i="59" l="1"/>
  <c r="AI30" i="59" l="1"/>
  <c r="AI31" i="59" l="1"/>
  <c r="AI32" i="59" l="1"/>
  <c r="AI33" i="59" l="1"/>
  <c r="AH44" i="59" s="1"/>
  <c r="CD11" i="59" l="1"/>
  <c r="CD5" i="59"/>
  <c r="CD9" i="59" l="1"/>
  <c r="CD8" i="59"/>
  <c r="CD7" i="59"/>
  <c r="CD10" i="59"/>
  <c r="CD6" i="59" l="1"/>
  <c r="CD4" i="59" l="1"/>
  <c r="CD12" i="59"/>
  <c r="CE4" i="59" l="1"/>
  <c r="CE5" i="59" l="1"/>
  <c r="CE6" i="59" l="1"/>
  <c r="CE7" i="59"/>
  <c r="CE8" i="59" l="1"/>
  <c r="CE9" i="59" l="1"/>
  <c r="CE10" i="59" l="1"/>
  <c r="CE11" i="59" l="1"/>
  <c r="CE12" i="59" l="1"/>
  <c r="CE13" i="59" l="1"/>
  <c r="CE14" i="59" l="1"/>
  <c r="CE15" i="59" l="1"/>
  <c r="CE16" i="59" l="1"/>
  <c r="CE17" i="59" l="1"/>
  <c r="CE18" i="59" l="1"/>
  <c r="CE19" i="59" l="1"/>
  <c r="R20" i="59" l="1"/>
  <c r="S20" i="59" l="1"/>
  <c r="S21" i="59" l="1"/>
  <c r="S22" i="59" l="1"/>
  <c r="S23" i="59" l="1"/>
  <c r="S24" i="59" l="1"/>
  <c r="S25" i="59" l="1"/>
  <c r="S26" i="59" l="1"/>
  <c r="S27" i="59" l="1"/>
  <c r="S28" i="59" l="1"/>
  <c r="S29" i="59" l="1"/>
  <c r="S30" i="59" l="1"/>
  <c r="S31" i="59" l="1"/>
  <c r="BZ20" i="59" l="1"/>
  <c r="BV20" i="59"/>
  <c r="CD20" i="59"/>
  <c r="BX20" i="59"/>
  <c r="BY20" i="59" l="1"/>
  <c r="BW20" i="59"/>
  <c r="CE20" i="59"/>
  <c r="CA21" i="59" l="1"/>
  <c r="CA20" i="59"/>
  <c r="BY21" i="59"/>
  <c r="CE21" i="59"/>
  <c r="BW21" i="59"/>
  <c r="CA22" i="59" l="1"/>
  <c r="BY22" i="59"/>
  <c r="BW22" i="59"/>
  <c r="CE22" i="59"/>
  <c r="CA23" i="59" l="1"/>
  <c r="BY23" i="59"/>
  <c r="CE23" i="59"/>
  <c r="BW23" i="59"/>
  <c r="CA24" i="59" l="1"/>
  <c r="BY24" i="59"/>
  <c r="CE24" i="59"/>
  <c r="BW24" i="59"/>
  <c r="CA25" i="59" l="1"/>
  <c r="BY25" i="59"/>
  <c r="BW25" i="59"/>
  <c r="CE25" i="59"/>
  <c r="CA26" i="59" l="1"/>
  <c r="BY26" i="59"/>
  <c r="BW26" i="59"/>
  <c r="CE26" i="59"/>
  <c r="CA27" i="59" l="1"/>
  <c r="BY27" i="59"/>
  <c r="BW27" i="59"/>
  <c r="CE27" i="59"/>
  <c r="CA28" i="59" l="1"/>
  <c r="BY28" i="59"/>
  <c r="BW28" i="59"/>
  <c r="CE28" i="59"/>
  <c r="CA29" i="59" l="1"/>
  <c r="BY29" i="59"/>
  <c r="BW29" i="59"/>
  <c r="CE29" i="59"/>
  <c r="CA30" i="59" l="1"/>
  <c r="BY30" i="59"/>
  <c r="BW30" i="59"/>
  <c r="CE30" i="59"/>
  <c r="CA31" i="59" l="1"/>
  <c r="BY31" i="59"/>
  <c r="CE31" i="59"/>
  <c r="BW31" i="59"/>
  <c r="CA32" i="59" l="1"/>
  <c r="BY32" i="59"/>
  <c r="BW32" i="59"/>
  <c r="CE32" i="59"/>
  <c r="CA33" i="59" l="1"/>
  <c r="BZ44" i="59" s="1"/>
  <c r="BY33" i="59"/>
  <c r="BX44" i="59" s="1"/>
  <c r="CE33" i="59"/>
  <c r="CD44" i="59" s="1"/>
  <c r="BW33" i="59"/>
  <c r="BV44" i="59" s="1"/>
  <c r="BN30" i="59" l="1"/>
  <c r="BN24" i="59"/>
  <c r="BH24" i="59"/>
  <c r="BH22" i="59"/>
  <c r="BH16" i="59"/>
  <c r="BN14" i="59"/>
  <c r="BN12" i="59"/>
  <c r="BL4" i="59" l="1"/>
  <c r="BN4" i="59"/>
  <c r="BH4" i="59"/>
  <c r="BL17" i="59"/>
  <c r="BL22" i="59"/>
  <c r="BN11" i="59"/>
  <c r="BN27" i="59"/>
  <c r="BH33" i="59"/>
  <c r="BJ33" i="59"/>
  <c r="BL6" i="59"/>
  <c r="BN16" i="59"/>
  <c r="BL24" i="59"/>
  <c r="BL11" i="59"/>
  <c r="BL27" i="59"/>
  <c r="BN33" i="59"/>
  <c r="BL16" i="59"/>
  <c r="BN17" i="59"/>
  <c r="BN22" i="59"/>
  <c r="BL14" i="59"/>
  <c r="BH27" i="59"/>
  <c r="BL30" i="59"/>
  <c r="BN6" i="59"/>
  <c r="BH12" i="59"/>
  <c r="BL12" i="59"/>
  <c r="BL33" i="59"/>
  <c r="BM4" i="59" l="1"/>
  <c r="BI4" i="59"/>
  <c r="BO4" i="59"/>
  <c r="BL19" i="59" l="1"/>
  <c r="BH19" i="59"/>
  <c r="BN19" i="59"/>
  <c r="BL18" i="59"/>
  <c r="BH18" i="59"/>
  <c r="BN18" i="59"/>
  <c r="BL10" i="59"/>
  <c r="BN10" i="59"/>
  <c r="BH10" i="59"/>
  <c r="BL20" i="59"/>
  <c r="BN20" i="59"/>
  <c r="BH20" i="59"/>
  <c r="BL9" i="59"/>
  <c r="BH9" i="59"/>
  <c r="BN9" i="59"/>
  <c r="BH11" i="59"/>
  <c r="BL7" i="59"/>
  <c r="BH7" i="59"/>
  <c r="BN7" i="59"/>
  <c r="BH6" i="59"/>
  <c r="BH14" i="59"/>
  <c r="BH17" i="59"/>
  <c r="BL13" i="59" l="1"/>
  <c r="BH13" i="59"/>
  <c r="BN13" i="59"/>
  <c r="BL8" i="59"/>
  <c r="BN8" i="59"/>
  <c r="BH8" i="59"/>
  <c r="BL21" i="59"/>
  <c r="BH21" i="59"/>
  <c r="BN21" i="59"/>
  <c r="BL5" i="59"/>
  <c r="BH5" i="59"/>
  <c r="BN5" i="59"/>
  <c r="BM5" i="59" l="1"/>
  <c r="BO5" i="59"/>
  <c r="BI5" i="59"/>
  <c r="BM6" i="59" l="1"/>
  <c r="BI6" i="59"/>
  <c r="BO6" i="59"/>
  <c r="BM7" i="59" l="1"/>
  <c r="BI7" i="59"/>
  <c r="BO7" i="59"/>
  <c r="BM8" i="59" l="1"/>
  <c r="BO8" i="59"/>
  <c r="BI8" i="59"/>
  <c r="BM9" i="59" l="1"/>
  <c r="BI9" i="59"/>
  <c r="BO9" i="59"/>
  <c r="BM10" i="59" l="1"/>
  <c r="BO10" i="59"/>
  <c r="BI10" i="59"/>
  <c r="BM11" i="59" l="1"/>
  <c r="BI11" i="59"/>
  <c r="BO11" i="59"/>
  <c r="BM12" i="59" l="1"/>
  <c r="BO12" i="59"/>
  <c r="BI12" i="59"/>
  <c r="BM13" i="59" l="1"/>
  <c r="BI13" i="59"/>
  <c r="BO13" i="59"/>
  <c r="BM14" i="59" l="1"/>
  <c r="BI14" i="59"/>
  <c r="BO14" i="59"/>
  <c r="BL23" i="59" l="1"/>
  <c r="BN23" i="59" l="1"/>
  <c r="BH23" i="59"/>
  <c r="KV27" i="1" l="1"/>
  <c r="BN41" i="1"/>
  <c r="BO27" i="1"/>
  <c r="BP27" i="1"/>
  <c r="KT27" i="1"/>
  <c r="BO41" i="1" l="1"/>
  <c r="BP41" i="1"/>
  <c r="BL25" i="59" l="1"/>
  <c r="BN25" i="59"/>
  <c r="BH25" i="59"/>
  <c r="BL26" i="59" l="1"/>
  <c r="BN26" i="59"/>
  <c r="BH26" i="59"/>
  <c r="KV30" i="1" l="1"/>
  <c r="EB41" i="1"/>
  <c r="EC41" i="1" s="1"/>
  <c r="ED30" i="1"/>
  <c r="KT30" i="1"/>
  <c r="EC30" i="1"/>
  <c r="ED41" i="1" l="1"/>
  <c r="BL28" i="59" l="1"/>
  <c r="BL29" i="59" l="1"/>
  <c r="BH29" i="59"/>
  <c r="BN29" i="59"/>
  <c r="BH28" i="59"/>
  <c r="BN28" i="59"/>
  <c r="KV32" i="1" l="1"/>
  <c r="BB41" i="1"/>
  <c r="BC32" i="1"/>
  <c r="BD32" i="1"/>
  <c r="KT32" i="1" s="1"/>
  <c r="BC41" i="1" l="1"/>
  <c r="BD41" i="1"/>
  <c r="BH30" i="59" l="1"/>
  <c r="BL31" i="59" l="1"/>
  <c r="BH31" i="59"/>
  <c r="BN31" i="59"/>
  <c r="BJ31" i="59" l="1"/>
  <c r="BJ22" i="59" l="1"/>
  <c r="BJ26" i="59"/>
  <c r="BL32" i="59"/>
  <c r="BJ6" i="59"/>
  <c r="BJ11" i="59"/>
  <c r="BJ17" i="59"/>
  <c r="BJ16" i="59"/>
  <c r="BJ14" i="59"/>
  <c r="BJ29" i="59" l="1"/>
  <c r="BJ25" i="59"/>
  <c r="BJ12" i="59"/>
  <c r="BJ9" i="59"/>
  <c r="BJ19" i="59"/>
  <c r="BJ28" i="59"/>
  <c r="BJ18" i="59"/>
  <c r="BJ10" i="59"/>
  <c r="BJ4" i="59"/>
  <c r="BJ20" i="59"/>
  <c r="BJ23" i="59"/>
  <c r="BJ7" i="59"/>
  <c r="BN32" i="59"/>
  <c r="BH32" i="59"/>
  <c r="BJ32" i="59"/>
  <c r="BJ24" i="59" l="1"/>
  <c r="BJ13" i="59"/>
  <c r="BJ8" i="59"/>
  <c r="BJ21" i="59"/>
  <c r="BJ5" i="59"/>
  <c r="BK4" i="59"/>
  <c r="BJ30" i="59" l="1"/>
  <c r="BJ27" i="59"/>
  <c r="BK5" i="59"/>
  <c r="BK6" i="59" l="1"/>
  <c r="BK7" i="59" l="1"/>
  <c r="BK8" i="59" l="1"/>
  <c r="BK9" i="59" l="1"/>
  <c r="BK10" i="59" l="1"/>
  <c r="BK11" i="59" l="1"/>
  <c r="BK12" i="59" l="1"/>
  <c r="BK13" i="59" l="1"/>
  <c r="BK14" i="59" l="1"/>
  <c r="Z34" i="59" l="1"/>
  <c r="X34" i="59" l="1"/>
  <c r="P32" i="59" l="1"/>
  <c r="T32" i="59"/>
  <c r="R32" i="59"/>
  <c r="L32" i="59"/>
  <c r="N32" i="59"/>
  <c r="N31" i="59" l="1"/>
  <c r="O31" i="59" l="1"/>
  <c r="Q32" i="59" l="1"/>
  <c r="O32" i="59"/>
  <c r="U32" i="59"/>
  <c r="S32" i="59"/>
  <c r="Q33" i="59" l="1"/>
  <c r="P44" i="59" s="1"/>
  <c r="AA34" i="59"/>
  <c r="S33" i="59"/>
  <c r="R44" i="59" s="1"/>
  <c r="O33" i="59"/>
  <c r="N44" i="59" s="1"/>
  <c r="U33" i="59"/>
  <c r="T44" i="59" s="1"/>
  <c r="Z38" i="59" l="1"/>
  <c r="Z36" i="59"/>
  <c r="Z42" i="59"/>
  <c r="Z39" i="59"/>
  <c r="Z40" i="59"/>
  <c r="Z43" i="59"/>
  <c r="Z37" i="59"/>
  <c r="Z41" i="59"/>
  <c r="Y34" i="59"/>
  <c r="X40" i="59" l="1"/>
  <c r="X38" i="59"/>
  <c r="X43" i="59"/>
  <c r="X36" i="59"/>
  <c r="X42" i="59"/>
  <c r="X41" i="59"/>
  <c r="X39" i="59"/>
  <c r="X37" i="59"/>
  <c r="M32" i="59" l="1"/>
  <c r="M33" i="59" l="1"/>
  <c r="L44" i="59" s="1"/>
  <c r="AD33" i="59" l="1"/>
  <c r="AE33" i="59" l="1"/>
  <c r="AD44" i="59" s="1"/>
  <c r="AP41" i="1" l="1"/>
  <c r="AQ41" i="1" s="1"/>
  <c r="AQ38" i="1"/>
  <c r="AR38" i="1"/>
  <c r="AR41" i="1" l="1"/>
  <c r="KV38" i="1"/>
  <c r="DA41" i="1"/>
  <c r="DB41" i="1" s="1"/>
  <c r="DB38" i="1"/>
  <c r="DC38" i="1"/>
  <c r="KT38" i="1"/>
  <c r="KV41" i="1" l="1"/>
  <c r="DC41" i="1"/>
  <c r="KT41" i="1" s="1"/>
  <c r="BL15" i="59" l="1"/>
  <c r="BJ15" i="59" l="1"/>
  <c r="BH15" i="59"/>
  <c r="BN15" i="59"/>
  <c r="BM15" i="59" l="1"/>
  <c r="BM16" i="59"/>
  <c r="BK15" i="59"/>
  <c r="BI15" i="59"/>
  <c r="BO15" i="59"/>
  <c r="BI16" i="59" l="1"/>
  <c r="BO16" i="59"/>
  <c r="BM17" i="59"/>
  <c r="BK16" i="59"/>
  <c r="BO17" i="59" l="1"/>
  <c r="BM18" i="59"/>
  <c r="BK17" i="59"/>
  <c r="BI17" i="59"/>
  <c r="BM19" i="59" l="1"/>
  <c r="BK18" i="59"/>
  <c r="BI18" i="59"/>
  <c r="BO18" i="59"/>
  <c r="BI19" i="59" l="1"/>
  <c r="BO19" i="59"/>
  <c r="BM20" i="59"/>
  <c r="BK19" i="59"/>
  <c r="BO20" i="59" l="1"/>
  <c r="BM21" i="59"/>
  <c r="BK20" i="59"/>
  <c r="BI20" i="59"/>
  <c r="BI21" i="59" l="1"/>
  <c r="BO21" i="59"/>
  <c r="BM22" i="59"/>
  <c r="BK21" i="59"/>
  <c r="BO22" i="59" l="1"/>
  <c r="BK22" i="59"/>
  <c r="BM23" i="59"/>
  <c r="BI22" i="59"/>
  <c r="BK23" i="59" l="1"/>
  <c r="BI23" i="59"/>
  <c r="BM24" i="59"/>
  <c r="BO23" i="59"/>
  <c r="BI24" i="59" l="1"/>
  <c r="BK24" i="59"/>
  <c r="BM25" i="59"/>
  <c r="BO24" i="59"/>
  <c r="BI25" i="59" l="1"/>
  <c r="BK25" i="59"/>
  <c r="BM26" i="59"/>
  <c r="BO25" i="59"/>
  <c r="BK26" i="59" l="1"/>
  <c r="BI26" i="59"/>
  <c r="BM27" i="59"/>
  <c r="BO26" i="59"/>
  <c r="BI27" i="59" l="1"/>
  <c r="BK27" i="59"/>
  <c r="BM28" i="59"/>
  <c r="BO27" i="59"/>
  <c r="BM29" i="59" l="1"/>
  <c r="BO28" i="59"/>
  <c r="BK28" i="59"/>
  <c r="BI28" i="59"/>
  <c r="BM30" i="59" l="1"/>
  <c r="BO29" i="59"/>
  <c r="BI29" i="59"/>
  <c r="BK29" i="59"/>
  <c r="BM31" i="59" l="1"/>
  <c r="BO30" i="59"/>
  <c r="BI30" i="59"/>
  <c r="BK30" i="59"/>
  <c r="BO31" i="59" l="1"/>
  <c r="BK31" i="59"/>
  <c r="BI31" i="59"/>
  <c r="BM32" i="59"/>
  <c r="BO32" i="59" l="1"/>
  <c r="BI32" i="59"/>
  <c r="BK32" i="59"/>
  <c r="BM33" i="59"/>
  <c r="BL44" i="59" s="1"/>
  <c r="BO33" i="59" l="1"/>
  <c r="BN44" i="59" s="1"/>
  <c r="BK33" i="59"/>
  <c r="BJ44" i="59" s="1"/>
  <c r="BI33" i="59"/>
  <c r="BH44" i="59" s="1"/>
  <c r="AR33" i="59" l="1"/>
  <c r="AX33" i="59"/>
  <c r="AP33" i="59"/>
  <c r="AU32" i="59" l="1"/>
  <c r="AT32" i="59"/>
  <c r="AX32" i="59"/>
  <c r="AQ32" i="59"/>
  <c r="AU33" i="59"/>
  <c r="AT44" i="59" s="1"/>
  <c r="AP32" i="59"/>
  <c r="AR32" i="59"/>
  <c r="AY32" i="59"/>
  <c r="AQ33" i="59"/>
  <c r="AP44" i="59"/>
  <c r="AY33" i="59"/>
  <c r="AX44" i="59" s="1"/>
  <c r="AR4" i="59" l="1"/>
  <c r="AS4" i="59" l="1"/>
  <c r="AS5" i="59" l="1"/>
  <c r="AS6" i="59" l="1"/>
  <c r="AS7" i="59" l="1"/>
  <c r="AS8" i="59" l="1"/>
  <c r="AS9" i="59" l="1"/>
  <c r="AS10" i="59" l="1"/>
  <c r="AS11" i="59" l="1"/>
  <c r="AS12" i="59"/>
  <c r="AS13" i="59" l="1"/>
  <c r="AS14" i="59" l="1"/>
  <c r="AS15" i="59" l="1"/>
  <c r="AS16" i="59" l="1"/>
  <c r="AS17" i="59" l="1"/>
  <c r="AS18" i="59" l="1"/>
  <c r="AS19" i="59" l="1"/>
  <c r="AS20" i="59" l="1"/>
  <c r="AS21" i="59" l="1"/>
  <c r="AS22" i="59" l="1"/>
  <c r="AS23" i="59" l="1"/>
  <c r="AS24" i="59" l="1"/>
  <c r="AS25" i="59" l="1"/>
  <c r="AS26" i="59" l="1"/>
  <c r="AS28" i="59" l="1"/>
  <c r="AS27" i="59"/>
  <c r="AS29" i="59" l="1"/>
  <c r="AS30" i="59" l="1"/>
  <c r="AS31" i="59"/>
  <c r="AV12" i="59" l="1"/>
  <c r="AV30" i="59"/>
  <c r="AV27" i="59"/>
  <c r="AV13" i="59"/>
  <c r="AV18" i="59"/>
  <c r="AV26" i="59"/>
  <c r="AV31" i="59"/>
  <c r="AV28" i="59"/>
  <c r="AV10" i="59"/>
  <c r="AV5" i="59"/>
  <c r="AV14" i="59"/>
  <c r="AV20" i="59"/>
  <c r="AV29" i="59"/>
  <c r="AV16" i="59"/>
  <c r="AV15" i="59"/>
  <c r="AV17" i="59"/>
  <c r="AV6" i="59"/>
  <c r="AV4" i="59"/>
  <c r="AV8" i="59"/>
  <c r="AV11" i="59"/>
  <c r="AV7" i="59"/>
  <c r="AV19" i="59" l="1"/>
  <c r="AV9" i="59"/>
  <c r="AW4" i="59"/>
  <c r="AV25" i="59"/>
  <c r="AV22" i="59"/>
  <c r="AV23" i="59"/>
  <c r="AV24" i="59"/>
  <c r="AV21" i="59"/>
  <c r="AW5" i="59" l="1"/>
  <c r="AW6" i="59" l="1"/>
  <c r="AW7" i="59" l="1"/>
  <c r="AW8" i="59" l="1"/>
  <c r="AW9" i="59" l="1"/>
  <c r="AW10" i="59" l="1"/>
  <c r="AW11" i="59" l="1"/>
  <c r="AW12" i="59" l="1"/>
  <c r="AW13" i="59" l="1"/>
  <c r="AW14" i="59" l="1"/>
  <c r="AW15" i="59" l="1"/>
  <c r="AW16" i="59" l="1"/>
  <c r="AW17" i="59" l="1"/>
  <c r="AW18" i="59" l="1"/>
  <c r="AW19" i="59" l="1"/>
  <c r="AW20" i="59" l="1"/>
  <c r="AW21" i="59" l="1"/>
  <c r="AW22" i="59" l="1"/>
  <c r="AW23" i="59" l="1"/>
  <c r="AW24" i="59" l="1"/>
  <c r="AW25" i="59" l="1"/>
  <c r="AW26" i="59" l="1"/>
  <c r="AW27" i="59" l="1"/>
  <c r="AW28" i="59" l="1"/>
  <c r="AW29" i="59" l="1"/>
  <c r="AW30" i="59" l="1"/>
  <c r="AW31" i="59" l="1"/>
  <c r="AV33" i="59" l="1"/>
  <c r="AV32" i="59" l="1"/>
  <c r="AW32" i="59" l="1"/>
  <c r="AS32" i="59"/>
  <c r="AW33" i="59" l="1"/>
  <c r="AV44" i="59" s="1"/>
  <c r="AS33" i="59"/>
  <c r="AR44" i="59" s="1"/>
  <c r="CB13" i="59" l="1"/>
  <c r="CB14" i="59"/>
  <c r="CB5" i="59"/>
  <c r="CB32" i="59"/>
  <c r="CB23" i="59"/>
  <c r="CB30" i="59" l="1"/>
  <c r="CB20" i="59"/>
  <c r="CB9" i="59"/>
  <c r="CB15" i="59"/>
  <c r="CB26" i="59"/>
  <c r="CB8" i="59"/>
  <c r="CB7" i="59"/>
  <c r="CB10" i="59"/>
  <c r="CB21" i="59"/>
  <c r="CB19" i="59" l="1"/>
  <c r="CB6" i="59"/>
  <c r="CB18" i="59"/>
  <c r="CB22" i="59" l="1"/>
  <c r="CB12" i="59"/>
  <c r="CB16" i="59"/>
  <c r="CB4" i="59" l="1"/>
  <c r="CC4" i="59" l="1"/>
  <c r="CC5" i="59" l="1"/>
  <c r="CC6" i="59" l="1"/>
  <c r="CC7" i="59" l="1"/>
  <c r="CC8" i="59" l="1"/>
  <c r="CC9" i="59" l="1"/>
  <c r="CC10" i="59" l="1"/>
  <c r="CB11" i="59" l="1"/>
  <c r="CC11" i="59" l="1"/>
  <c r="CC12" i="59" l="1"/>
  <c r="CC13" i="59" l="1"/>
  <c r="CC14" i="59" l="1"/>
  <c r="CC15" i="59" l="1"/>
  <c r="CC16" i="59" l="1"/>
  <c r="CB17" i="59" l="1"/>
  <c r="CC17" i="59" l="1"/>
  <c r="CC18" i="59" l="1"/>
  <c r="CC19" i="59" l="1"/>
  <c r="CC20" i="59" l="1"/>
  <c r="CC21" i="59" l="1"/>
  <c r="CC22" i="59" l="1"/>
  <c r="CC23" i="59" l="1"/>
  <c r="CB24" i="59" l="1"/>
  <c r="CC24" i="59" l="1"/>
  <c r="CB25" i="59" l="1"/>
  <c r="CC25" i="59" l="1"/>
  <c r="CC26" i="59" l="1"/>
  <c r="CB27" i="59" l="1"/>
  <c r="CC27" i="59" l="1"/>
  <c r="CB29" i="59" l="1"/>
  <c r="CB28" i="59"/>
  <c r="CC28" i="59" l="1"/>
  <c r="CC29" i="59" l="1"/>
  <c r="CC30" i="59" l="1"/>
  <c r="CB31" i="59" l="1"/>
  <c r="CC31" i="59" l="1"/>
  <c r="CC32" i="59" l="1"/>
  <c r="CB33" i="59" l="1"/>
  <c r="CC33" i="59" l="1"/>
  <c r="CB44" i="59" s="1"/>
  <c r="Z4" i="59" l="1"/>
  <c r="Z7" i="59"/>
  <c r="Z8" i="59"/>
  <c r="Z9" i="59"/>
  <c r="Z10" i="59"/>
  <c r="Z11" i="59"/>
  <c r="Z12" i="59"/>
  <c r="Z13" i="59"/>
  <c r="Z15" i="59"/>
  <c r="Z16" i="59"/>
  <c r="Z17" i="59"/>
  <c r="Z18" i="59"/>
  <c r="Z19" i="59"/>
  <c r="Z20" i="59"/>
  <c r="Z21" i="59"/>
  <c r="Z22" i="59"/>
  <c r="Z6" i="59"/>
  <c r="Z5" i="59"/>
  <c r="AA5" i="59" l="1"/>
  <c r="AA9" i="59"/>
  <c r="AA7" i="59"/>
  <c r="AA8" i="59"/>
  <c r="AA10" i="59"/>
  <c r="AA6" i="59"/>
  <c r="AA11" i="59" l="1"/>
  <c r="AA12" i="59" l="1"/>
  <c r="AA13" i="59" l="1"/>
  <c r="AA4" i="59" l="1"/>
  <c r="Z33" i="59" l="1"/>
  <c r="X33" i="59" l="1"/>
  <c r="Z28" i="59"/>
  <c r="V33" i="59"/>
  <c r="V12" i="59"/>
  <c r="X32" i="59"/>
  <c r="Z32" i="59" l="1"/>
  <c r="X12" i="59"/>
  <c r="Z24" i="59"/>
  <c r="X28" i="59"/>
  <c r="Z27" i="59"/>
  <c r="V32" i="59"/>
  <c r="V28" i="59"/>
  <c r="Z23" i="59"/>
  <c r="Z25" i="59"/>
  <c r="Z30" i="59"/>
  <c r="Z29" i="59"/>
  <c r="Z14" i="59"/>
  <c r="V24" i="59" l="1"/>
  <c r="X24" i="59"/>
  <c r="Z31" i="59"/>
  <c r="V27" i="59"/>
  <c r="X10" i="59"/>
  <c r="V10" i="59"/>
  <c r="X27" i="59"/>
  <c r="X20" i="59"/>
  <c r="V20" i="59"/>
  <c r="V23" i="59"/>
  <c r="X23" i="59"/>
  <c r="X25" i="59"/>
  <c r="V25" i="59"/>
  <c r="X30" i="59"/>
  <c r="V30" i="59"/>
  <c r="X29" i="59"/>
  <c r="V29" i="59"/>
  <c r="X22" i="59"/>
  <c r="V22" i="59"/>
  <c r="X21" i="59"/>
  <c r="V21" i="59"/>
  <c r="X19" i="59"/>
  <c r="V19" i="59"/>
  <c r="V18" i="59"/>
  <c r="X18" i="59"/>
  <c r="X17" i="59"/>
  <c r="V17" i="59"/>
  <c r="X16" i="59"/>
  <c r="V16" i="59"/>
  <c r="X15" i="59"/>
  <c r="V15" i="59"/>
  <c r="X14" i="59"/>
  <c r="V14" i="59"/>
  <c r="X13" i="59"/>
  <c r="V13" i="59"/>
  <c r="V11" i="59"/>
  <c r="X11" i="59"/>
  <c r="X4" i="59" l="1"/>
  <c r="V4" i="59"/>
  <c r="V31" i="59"/>
  <c r="X31" i="59"/>
  <c r="X9" i="59"/>
  <c r="V9" i="59"/>
  <c r="V8" i="59"/>
  <c r="X8" i="59"/>
  <c r="X7" i="59" l="1"/>
  <c r="V7" i="59"/>
  <c r="Y4" i="59"/>
  <c r="W4" i="59"/>
  <c r="Z26" i="59"/>
  <c r="X5" i="59" l="1"/>
  <c r="V5" i="59"/>
  <c r="V26" i="59"/>
  <c r="X26" i="59"/>
  <c r="V6" i="59"/>
  <c r="X6" i="59"/>
  <c r="W5" i="59" l="1"/>
  <c r="Y5" i="59"/>
  <c r="Y6" i="59" l="1"/>
  <c r="W6" i="59"/>
  <c r="W7" i="59" l="1"/>
  <c r="Y7" i="59"/>
  <c r="Y8" i="59" l="1"/>
  <c r="W8" i="59"/>
  <c r="Y9" i="59"/>
  <c r="W9" i="59" l="1"/>
  <c r="W10" i="59" l="1"/>
  <c r="Y10" i="59"/>
  <c r="W11" i="59" l="1"/>
  <c r="Y11" i="59"/>
  <c r="Y12" i="59"/>
  <c r="W12" i="59"/>
  <c r="AA14" i="59" l="1"/>
  <c r="Y13" i="59"/>
  <c r="W13" i="59"/>
  <c r="Y14" i="59" l="1"/>
  <c r="W14" i="59"/>
  <c r="AA15" i="59"/>
  <c r="AA16" i="59" l="1"/>
  <c r="W15" i="59"/>
  <c r="Y15" i="59"/>
  <c r="Y16" i="59" l="1"/>
  <c r="AA17" i="59"/>
  <c r="W16" i="59"/>
  <c r="AA18" i="59" l="1"/>
  <c r="W17" i="59"/>
  <c r="Y17" i="59"/>
  <c r="AA19" i="59" l="1"/>
  <c r="Y18" i="59"/>
  <c r="W18" i="59"/>
  <c r="AA20" i="59" l="1"/>
  <c r="Y19" i="59"/>
  <c r="W19" i="59"/>
  <c r="AA21" i="59" l="1"/>
  <c r="Y20" i="59"/>
  <c r="W20" i="59"/>
  <c r="Y21" i="59" l="1"/>
  <c r="W21" i="59"/>
  <c r="AA22" i="59"/>
  <c r="AA23" i="59" l="1"/>
  <c r="W22" i="59"/>
  <c r="Y22" i="59"/>
  <c r="Y23" i="59" l="1"/>
  <c r="AA24" i="59"/>
  <c r="W23" i="59"/>
  <c r="AA25" i="59" l="1"/>
  <c r="W24" i="59"/>
  <c r="Y24" i="59"/>
  <c r="W25" i="59" l="1"/>
  <c r="AA26" i="59"/>
  <c r="Y25" i="59"/>
  <c r="AA27" i="59" l="1"/>
  <c r="Y26" i="59"/>
  <c r="W26" i="59"/>
  <c r="AA28" i="59" l="1"/>
  <c r="W27" i="59"/>
  <c r="Y27" i="59"/>
  <c r="Y28" i="59" l="1"/>
  <c r="AA29" i="59"/>
  <c r="W28" i="59"/>
  <c r="W29" i="59" l="1"/>
  <c r="Y29" i="59"/>
  <c r="AA30" i="59"/>
  <c r="Y30" i="59" l="1"/>
  <c r="W30" i="59"/>
  <c r="AA31" i="59"/>
  <c r="W31" i="59" l="1"/>
  <c r="Y31" i="59"/>
  <c r="AA32" i="59" l="1"/>
  <c r="Y32" i="59"/>
  <c r="W32" i="59"/>
  <c r="AA33" i="59" l="1"/>
  <c r="Z44" i="59" s="1"/>
  <c r="Y33" i="59"/>
  <c r="X44" i="59" s="1"/>
  <c r="W33" i="59"/>
  <c r="V44" i="59" s="1"/>
  <c r="BT14" i="59" l="1"/>
  <c r="BT6" i="59" l="1"/>
  <c r="BT11" i="59"/>
  <c r="BT22" i="59"/>
  <c r="BT33" i="59"/>
  <c r="BT17" i="59"/>
  <c r="BT12" i="59"/>
  <c r="BT16" i="59"/>
  <c r="BT31" i="59"/>
  <c r="BT26" i="59" l="1"/>
  <c r="BT4" i="59"/>
  <c r="BT29" i="59" l="1"/>
  <c r="BT25" i="59"/>
  <c r="BT19" i="59"/>
  <c r="BT28" i="59"/>
  <c r="BT18" i="59"/>
  <c r="BT10" i="59"/>
  <c r="BT20" i="59"/>
  <c r="BT23" i="59"/>
  <c r="BT9" i="59"/>
  <c r="BT15" i="59"/>
  <c r="BT7" i="59"/>
  <c r="BT32" i="59"/>
  <c r="BU4" i="59"/>
  <c r="BT24" i="59" l="1"/>
  <c r="BT13" i="59"/>
  <c r="BT8" i="59"/>
  <c r="BT21" i="59"/>
  <c r="BT5" i="59"/>
  <c r="BU5" i="59"/>
  <c r="BT30" i="59" l="1"/>
  <c r="BT27" i="59"/>
  <c r="BU6" i="59"/>
  <c r="BU7" i="59" l="1"/>
  <c r="BU8" i="59" l="1"/>
  <c r="BU9" i="59" l="1"/>
  <c r="BU10" i="59" l="1"/>
  <c r="BU11" i="59" l="1"/>
  <c r="BU12" i="59"/>
  <c r="BU13" i="59" l="1"/>
  <c r="BU14" i="59" l="1"/>
  <c r="BU15" i="59" l="1"/>
  <c r="BU16" i="59"/>
  <c r="BU17" i="59" l="1"/>
  <c r="BU18" i="59" l="1"/>
  <c r="BU19" i="59" l="1"/>
  <c r="BU20" i="59"/>
  <c r="BU21" i="59" l="1"/>
  <c r="BU22" i="59"/>
  <c r="BU23" i="59" l="1"/>
  <c r="BU24" i="59" l="1"/>
  <c r="BU25" i="59" l="1"/>
  <c r="BU26" i="59" l="1"/>
  <c r="BU27" i="59" l="1"/>
  <c r="BU28" i="59"/>
  <c r="BU29" i="59" l="1"/>
  <c r="BU30" i="59" l="1"/>
  <c r="BU31" i="59" l="1"/>
  <c r="BU32" i="59" l="1"/>
  <c r="BU33" i="59" l="1"/>
  <c r="BT44" i="59" s="1"/>
  <c r="BR22" i="59" l="1"/>
  <c r="BR33" i="59" l="1"/>
  <c r="BR7" i="59"/>
  <c r="BR30" i="59"/>
  <c r="BR20" i="59"/>
  <c r="BR14" i="59"/>
  <c r="BR4" i="59"/>
  <c r="BR31" i="59"/>
  <c r="BR19" i="59"/>
  <c r="BR10" i="59"/>
  <c r="BR18" i="59"/>
  <c r="BR5" i="59"/>
  <c r="BR6" i="59"/>
  <c r="BR27" i="59"/>
  <c r="BR15" i="59"/>
  <c r="BR32" i="59"/>
  <c r="BR16" i="59"/>
  <c r="BR17" i="59"/>
  <c r="BR11" i="59"/>
  <c r="BR29" i="59"/>
  <c r="BR9" i="59"/>
  <c r="BR28" i="59"/>
  <c r="BR23" i="59"/>
  <c r="BR25" i="59"/>
  <c r="BR26" i="59"/>
  <c r="BR8" i="59"/>
  <c r="BR12" i="59"/>
  <c r="BR13" i="59"/>
  <c r="BR24" i="59"/>
  <c r="BR21" i="59"/>
  <c r="BS5" i="59" l="1"/>
  <c r="BS4" i="59"/>
  <c r="BS6" i="59" l="1"/>
  <c r="BS7" i="59" l="1"/>
  <c r="BS8" i="59" l="1"/>
  <c r="BS9" i="59" l="1"/>
  <c r="BS10" i="59" l="1"/>
  <c r="BS11" i="59" l="1"/>
  <c r="BS12" i="59" l="1"/>
  <c r="BS13" i="59" l="1"/>
  <c r="BS14" i="59" l="1"/>
  <c r="BS15" i="59" l="1"/>
  <c r="BS16" i="59" l="1"/>
  <c r="BS17" i="59" l="1"/>
  <c r="BS18" i="59" l="1"/>
  <c r="BS19" i="59" l="1"/>
  <c r="BS20" i="59" l="1"/>
  <c r="BS21" i="59" l="1"/>
  <c r="BS22" i="59" l="1"/>
  <c r="BS23" i="59" l="1"/>
  <c r="BS24" i="59" l="1"/>
  <c r="BS25" i="59" l="1"/>
  <c r="BS26" i="59" l="1"/>
  <c r="BS27" i="59" l="1"/>
  <c r="BS28" i="59" l="1"/>
  <c r="BS29" i="59" l="1"/>
  <c r="BS30" i="59" l="1"/>
  <c r="BS31" i="59" l="1"/>
  <c r="BS32" i="59" l="1"/>
  <c r="BS33" i="59" l="1"/>
  <c r="BR44" i="59" s="1"/>
  <c r="BF12" i="59" l="1"/>
  <c r="BB12" i="59"/>
  <c r="BD12" i="59"/>
  <c r="BF7" i="59"/>
  <c r="BF28" i="59" l="1"/>
  <c r="BF11" i="59"/>
  <c r="BF29" i="59"/>
  <c r="BF18" i="59"/>
  <c r="BF10" i="59"/>
  <c r="BF16" i="59"/>
  <c r="BF30" i="59"/>
  <c r="BF25" i="59"/>
  <c r="BF23" i="59"/>
  <c r="BD28" i="59"/>
  <c r="BF19" i="59"/>
  <c r="BF27" i="59"/>
  <c r="BF24" i="59"/>
  <c r="BF17" i="59"/>
  <c r="BF22" i="59"/>
  <c r="BF20" i="59"/>
  <c r="BB28" i="59"/>
  <c r="BF21" i="59"/>
  <c r="BF15" i="59"/>
  <c r="BF14" i="59"/>
  <c r="BF13" i="59"/>
  <c r="BB24" i="59"/>
  <c r="BD24" i="59"/>
  <c r="BB27" i="59"/>
  <c r="BD10" i="59"/>
  <c r="BB10" i="59"/>
  <c r="BD27" i="59"/>
  <c r="BD7" i="59"/>
  <c r="BB7" i="59"/>
  <c r="BD20" i="59"/>
  <c r="BB20" i="59"/>
  <c r="BB23" i="59"/>
  <c r="BD23" i="59"/>
  <c r="BD25" i="59"/>
  <c r="BB25" i="59"/>
  <c r="BD30" i="59"/>
  <c r="BB30" i="59"/>
  <c r="BD29" i="59"/>
  <c r="BB29" i="59"/>
  <c r="BD22" i="59"/>
  <c r="BB22" i="59"/>
  <c r="BD21" i="59"/>
  <c r="BB21" i="59"/>
  <c r="BD19" i="59"/>
  <c r="BB19" i="59"/>
  <c r="BB18" i="59"/>
  <c r="BD18" i="59"/>
  <c r="BD17" i="59"/>
  <c r="BB17" i="59"/>
  <c r="BD16" i="59"/>
  <c r="BB16" i="59"/>
  <c r="BD15" i="59"/>
  <c r="BB15" i="59"/>
  <c r="BD14" i="59"/>
  <c r="BB14" i="59"/>
  <c r="BD13" i="59"/>
  <c r="BB13" i="59"/>
  <c r="BB11" i="59"/>
  <c r="BD11" i="59"/>
  <c r="BF33" i="59" l="1"/>
  <c r="BB33" i="59"/>
  <c r="BD33" i="59"/>
  <c r="BF4" i="59"/>
  <c r="BD4" i="59"/>
  <c r="BF9" i="59"/>
  <c r="BF8" i="59"/>
  <c r="BF31" i="59"/>
  <c r="BG4" i="59"/>
  <c r="BB4" i="59"/>
  <c r="BB31" i="59"/>
  <c r="BD31" i="59"/>
  <c r="BD9" i="59"/>
  <c r="BB9" i="59"/>
  <c r="BB8" i="59"/>
  <c r="BD8" i="59"/>
  <c r="BF5" i="59" l="1"/>
  <c r="BB5" i="59"/>
  <c r="BD5" i="59"/>
  <c r="BE4" i="59"/>
  <c r="BC4" i="59"/>
  <c r="BF6" i="59" l="1"/>
  <c r="BF26" i="59"/>
  <c r="BB26" i="59"/>
  <c r="BD26" i="59"/>
  <c r="BB6" i="59"/>
  <c r="BD6" i="59"/>
  <c r="BG5" i="59" l="1"/>
  <c r="BC5" i="59"/>
  <c r="BE5" i="59"/>
  <c r="BG6" i="59"/>
  <c r="BE6" i="59" l="1"/>
  <c r="BG7" i="59"/>
  <c r="BC6" i="59"/>
  <c r="BC7" i="59" l="1"/>
  <c r="BE7" i="59"/>
  <c r="BG8" i="59"/>
  <c r="BE8" i="59" l="1"/>
  <c r="BG9" i="59"/>
  <c r="BC8" i="59"/>
  <c r="BE9" i="59" l="1"/>
  <c r="BC9" i="59"/>
  <c r="BG10" i="59"/>
  <c r="BG11" i="59" l="1"/>
  <c r="BC10" i="59"/>
  <c r="BE10" i="59"/>
  <c r="BG12" i="59"/>
  <c r="BC11" i="59" l="1"/>
  <c r="BE11" i="59"/>
  <c r="BE12" i="59"/>
  <c r="BC12" i="59"/>
  <c r="BG13" i="59"/>
  <c r="BG14" i="59" l="1"/>
  <c r="BE13" i="59"/>
  <c r="BC13" i="59"/>
  <c r="BE14" i="59" l="1"/>
  <c r="BC14" i="59"/>
  <c r="BG15" i="59"/>
  <c r="BG16" i="59" l="1"/>
  <c r="BC15" i="59"/>
  <c r="BE15" i="59"/>
  <c r="BE16" i="59" l="1"/>
  <c r="BG17" i="59"/>
  <c r="BC16" i="59"/>
  <c r="BG18" i="59" l="1"/>
  <c r="BC17" i="59"/>
  <c r="BE17" i="59"/>
  <c r="BG19" i="59" l="1"/>
  <c r="BE18" i="59"/>
  <c r="BC18" i="59"/>
  <c r="BG20" i="59" l="1"/>
  <c r="BE19" i="59"/>
  <c r="BC19" i="59"/>
  <c r="BG21" i="59" l="1"/>
  <c r="BE20" i="59"/>
  <c r="BC20" i="59"/>
  <c r="BE21" i="59" l="1"/>
  <c r="BC21" i="59"/>
  <c r="BG22" i="59"/>
  <c r="BG23" i="59" l="1"/>
  <c r="BC22" i="59"/>
  <c r="BE22" i="59"/>
  <c r="BE23" i="59" l="1"/>
  <c r="BG24" i="59"/>
  <c r="BC23" i="59"/>
  <c r="BG25" i="59" l="1"/>
  <c r="BC24" i="59"/>
  <c r="BE24" i="59"/>
  <c r="BE25" i="59" l="1"/>
  <c r="BC25" i="59"/>
  <c r="BG26" i="59"/>
  <c r="BE26" i="59" l="1"/>
  <c r="BC26" i="59"/>
  <c r="BG27" i="59" l="1"/>
  <c r="BE27" i="59"/>
  <c r="BC27" i="59"/>
  <c r="BC28" i="59" l="1"/>
  <c r="BE28" i="59"/>
  <c r="BG29" i="59"/>
  <c r="BG28" i="59"/>
  <c r="BC29" i="59"/>
  <c r="BE29" i="59"/>
  <c r="BG31" i="59"/>
  <c r="BG30" i="59" l="1"/>
  <c r="BC30" i="59"/>
  <c r="BE30" i="59"/>
  <c r="BC31" i="59"/>
  <c r="BE31" i="59"/>
  <c r="BF32" i="59" l="1"/>
  <c r="BD32" i="59"/>
  <c r="BB32" i="59"/>
  <c r="BE32" i="59" l="1"/>
  <c r="BC32" i="59"/>
  <c r="BG32" i="59"/>
  <c r="BC33" i="59" l="1"/>
  <c r="BB44" i="59" s="1"/>
  <c r="BG33" i="59"/>
  <c r="BF44" i="59" s="1"/>
  <c r="BE33" i="59"/>
  <c r="BD44" i="59" s="1"/>
  <c r="AL19" i="59" l="1"/>
  <c r="AL16" i="59"/>
  <c r="AL27" i="59"/>
  <c r="AL33" i="59" l="1"/>
  <c r="AL15" i="59"/>
  <c r="AL31" i="59"/>
  <c r="AL17" i="59"/>
  <c r="AL32" i="59" l="1"/>
  <c r="AL4" i="59"/>
  <c r="AL20" i="59"/>
  <c r="AL29" i="59"/>
  <c r="AL13" i="59"/>
  <c r="AM4" i="59"/>
  <c r="AL28" i="59" l="1"/>
  <c r="AL30" i="59"/>
  <c r="AL24" i="59"/>
  <c r="AL25" i="59"/>
  <c r="AL26" i="59"/>
  <c r="AL22" i="59"/>
  <c r="AL18" i="59"/>
  <c r="AL21" i="59"/>
  <c r="AL23" i="59"/>
  <c r="AL14" i="59"/>
  <c r="AL12" i="59"/>
  <c r="AL11" i="59"/>
  <c r="AL10" i="59"/>
  <c r="AL8" i="59"/>
  <c r="AL7" i="59"/>
  <c r="AL6" i="59"/>
  <c r="AL5" i="59" l="1"/>
  <c r="AL9" i="59"/>
  <c r="AM5" i="59" l="1"/>
  <c r="AM6" i="59" l="1"/>
  <c r="AM7" i="59" l="1"/>
  <c r="AM8" i="59" l="1"/>
  <c r="AM9" i="59" l="1"/>
  <c r="AM10" i="59" l="1"/>
  <c r="AM11" i="59" l="1"/>
  <c r="AM12" i="59" l="1"/>
  <c r="AM13" i="59" l="1"/>
  <c r="AM14" i="59" l="1"/>
  <c r="AM15" i="59" l="1"/>
  <c r="AM16" i="59" l="1"/>
  <c r="AM17" i="59" l="1"/>
  <c r="AM18" i="59" l="1"/>
  <c r="AM19" i="59" l="1"/>
  <c r="AM20" i="59" l="1"/>
  <c r="AM21" i="59" l="1"/>
  <c r="AM22" i="59" l="1"/>
  <c r="AM23" i="59" l="1"/>
  <c r="AM24" i="59" l="1"/>
  <c r="AM25" i="59" l="1"/>
  <c r="AM26" i="59" l="1"/>
  <c r="AM27" i="59" l="1"/>
  <c r="AM28" i="59" l="1"/>
  <c r="AM29" i="59" l="1"/>
  <c r="AM30" i="59" l="1"/>
  <c r="AM31" i="59" l="1"/>
  <c r="AM32" i="59" l="1"/>
  <c r="AM33" i="59" l="1"/>
  <c r="AL44" i="59" s="1"/>
  <c r="CM5" i="59" l="1"/>
  <c r="CL5" i="59"/>
  <c r="CL11" i="59"/>
  <c r="CM11" i="59"/>
  <c r="CM14" i="59"/>
  <c r="CL14" i="59"/>
  <c r="CJ13" i="59"/>
  <c r="CJ27" i="59"/>
  <c r="CJ14" i="59"/>
  <c r="CJ11" i="59"/>
  <c r="CH29" i="59"/>
  <c r="CH32" i="59"/>
  <c r="CJ5" i="59"/>
  <c r="CJ33" i="59"/>
  <c r="CJ25" i="59"/>
  <c r="CJ32" i="59"/>
  <c r="CJ29" i="59"/>
  <c r="CJ24" i="59"/>
  <c r="CJ23" i="59"/>
  <c r="CH33" i="59"/>
  <c r="CH25" i="59"/>
  <c r="CH23" i="59"/>
  <c r="CH24" i="59"/>
  <c r="CH27" i="59"/>
  <c r="CM10" i="59" l="1"/>
  <c r="CL10" i="59"/>
  <c r="CL32" i="59"/>
  <c r="CM32" i="59"/>
  <c r="CM7" i="59"/>
  <c r="CL7" i="59"/>
  <c r="CM27" i="59"/>
  <c r="CL27" i="59"/>
  <c r="CL8" i="59"/>
  <c r="CM8" i="59"/>
  <c r="CL29" i="59"/>
  <c r="CM29" i="59"/>
  <c r="CL13" i="59"/>
  <c r="CM13" i="59"/>
  <c r="CL25" i="59"/>
  <c r="CM25" i="59"/>
  <c r="CL33" i="59"/>
  <c r="CM33" i="59"/>
  <c r="CL44" i="59" s="1"/>
  <c r="CM23" i="59"/>
  <c r="CL23" i="59"/>
  <c r="CM24" i="59"/>
  <c r="CL24" i="59"/>
  <c r="CJ20" i="59"/>
  <c r="CH20" i="59"/>
  <c r="CJ30" i="59"/>
  <c r="CJ9" i="59"/>
  <c r="CH30" i="59"/>
  <c r="CJ15" i="59"/>
  <c r="CH26" i="59"/>
  <c r="CJ26" i="59"/>
  <c r="CJ28" i="59"/>
  <c r="CH28" i="59"/>
  <c r="CJ8" i="59"/>
  <c r="CJ17" i="59"/>
  <c r="CJ7" i="59"/>
  <c r="CJ10" i="59"/>
  <c r="CJ21" i="59"/>
  <c r="CH21" i="59"/>
  <c r="CL17" i="59" l="1"/>
  <c r="CM17" i="59"/>
  <c r="CM30" i="59"/>
  <c r="CL30" i="59"/>
  <c r="CM21" i="59"/>
  <c r="CL21" i="59"/>
  <c r="CM15" i="59"/>
  <c r="CL15" i="59"/>
  <c r="CM26" i="59"/>
  <c r="CL26" i="59"/>
  <c r="CL6" i="59"/>
  <c r="CM6" i="59"/>
  <c r="CL20" i="59"/>
  <c r="CM20" i="59"/>
  <c r="CL9" i="59"/>
  <c r="CM9" i="59"/>
  <c r="CJ19" i="59"/>
  <c r="CH19" i="59"/>
  <c r="CJ6" i="59"/>
  <c r="CJ18" i="59"/>
  <c r="CH18" i="59"/>
  <c r="CL19" i="59" l="1"/>
  <c r="CM19" i="59"/>
  <c r="CL12" i="59"/>
  <c r="CM12" i="59"/>
  <c r="CL18" i="59"/>
  <c r="CM18" i="59"/>
  <c r="CL4" i="59"/>
  <c r="CM4" i="59"/>
  <c r="CL28" i="59"/>
  <c r="CM28" i="59"/>
  <c r="CJ22" i="59"/>
  <c r="CH22" i="59"/>
  <c r="CJ31" i="59"/>
  <c r="CH31" i="59"/>
  <c r="CJ4" i="59"/>
  <c r="CJ12" i="59"/>
  <c r="CJ16" i="59"/>
  <c r="CL22" i="59" l="1"/>
  <c r="CM22" i="59"/>
  <c r="CM16" i="59"/>
  <c r="CL16" i="59"/>
  <c r="CM31" i="59"/>
  <c r="CL31" i="59"/>
  <c r="CK4" i="59"/>
  <c r="CK5" i="59" l="1"/>
  <c r="CK7" i="59" l="1"/>
  <c r="CK6" i="59"/>
  <c r="CK8" i="59" l="1"/>
  <c r="CK9" i="59" l="1"/>
  <c r="CK10" i="59" l="1"/>
  <c r="CK11" i="59" l="1"/>
  <c r="CK12" i="59" l="1"/>
  <c r="CK13" i="59" l="1"/>
  <c r="CK14" i="59" l="1"/>
  <c r="CK15" i="59" l="1"/>
  <c r="CK16" i="59" l="1"/>
  <c r="CK17" i="59" l="1"/>
  <c r="CK18" i="59" l="1"/>
  <c r="CK19" i="59" l="1"/>
  <c r="CK20" i="59"/>
  <c r="CK21" i="59" l="1"/>
  <c r="CK22" i="59" l="1"/>
  <c r="CK23" i="59" l="1"/>
  <c r="CK24" i="59" l="1"/>
  <c r="CK25" i="59" l="1"/>
  <c r="CK26" i="59" l="1"/>
  <c r="CK27" i="59" l="1"/>
  <c r="CK28" i="59" l="1"/>
  <c r="CK29" i="59" l="1"/>
  <c r="CK30" i="59" l="1"/>
  <c r="CK31" i="59" l="1"/>
  <c r="CK32" i="59" l="1"/>
  <c r="CK33" i="59" l="1"/>
  <c r="CJ44" i="59" s="1"/>
  <c r="CH15" i="59" l="1"/>
  <c r="CH17" i="59"/>
  <c r="CH12" i="59" l="1"/>
  <c r="CH14" i="59"/>
  <c r="CH11" i="59"/>
  <c r="CH4" i="59"/>
  <c r="CH6" i="59"/>
  <c r="CH8" i="59"/>
  <c r="CH7" i="59"/>
  <c r="CH16" i="59"/>
  <c r="CH9" i="59"/>
  <c r="CI4" i="59" l="1"/>
  <c r="CH13" i="59"/>
  <c r="CH5" i="59"/>
  <c r="CH10" i="59"/>
  <c r="CI5" i="59" l="1"/>
  <c r="CI6" i="59" l="1"/>
  <c r="CI7" i="59" l="1"/>
  <c r="CI8" i="59" l="1"/>
  <c r="CI9" i="59" l="1"/>
  <c r="CI10" i="59" l="1"/>
  <c r="CI11" i="59" l="1"/>
  <c r="CI12" i="59" l="1"/>
  <c r="CI13" i="59" l="1"/>
  <c r="CI14" i="59" l="1"/>
  <c r="CI15" i="59" l="1"/>
  <c r="CI16" i="59" l="1"/>
  <c r="CI17" i="59" l="1"/>
  <c r="CI18" i="59" l="1"/>
  <c r="CI19" i="59" l="1"/>
  <c r="CI20" i="59" l="1"/>
  <c r="CI21" i="59" l="1"/>
  <c r="CI22" i="59" l="1"/>
  <c r="CI23" i="59" l="1"/>
  <c r="CI24" i="59" l="1"/>
  <c r="CI25" i="59" l="1"/>
  <c r="CI26" i="59" l="1"/>
  <c r="CI27" i="59" l="1"/>
  <c r="CI28" i="59" l="1"/>
  <c r="CI29" i="59" l="1"/>
  <c r="CI30" i="59" l="1"/>
  <c r="CI31" i="59" l="1"/>
  <c r="CI32" i="59" l="1"/>
  <c r="CI33" i="59" l="1"/>
  <c r="CH44" i="59" s="1"/>
</calcChain>
</file>

<file path=xl/sharedStrings.xml><?xml version="1.0" encoding="utf-8"?>
<sst xmlns="http://schemas.openxmlformats.org/spreadsheetml/2006/main" count="7100" uniqueCount="820">
  <si>
    <t xml:space="preserve"> </t>
  </si>
  <si>
    <t>Efficiency</t>
  </si>
  <si>
    <t>Total</t>
  </si>
  <si>
    <t>PRODUCTION DAILY REPORT</t>
  </si>
  <si>
    <t>GRADE</t>
  </si>
  <si>
    <t>GSM</t>
  </si>
  <si>
    <t>LOSS</t>
  </si>
  <si>
    <t>Date</t>
  </si>
  <si>
    <t>Grade</t>
  </si>
  <si>
    <t>Reject</t>
  </si>
  <si>
    <t>%</t>
  </si>
  <si>
    <t>Process</t>
  </si>
  <si>
    <t>Cleaning</t>
  </si>
  <si>
    <t>Start Up</t>
  </si>
  <si>
    <t>Mekanik</t>
  </si>
  <si>
    <t>Instrument</t>
  </si>
  <si>
    <t>PLN</t>
  </si>
  <si>
    <t>Boiler</t>
  </si>
  <si>
    <t>Steam</t>
  </si>
  <si>
    <t>Others</t>
  </si>
  <si>
    <t>MACHINE POWER CONSUMPTION (PER PANEL)</t>
  </si>
  <si>
    <t>PM          (TON)</t>
  </si>
  <si>
    <t>FINSHED GOODS (TON)</t>
  </si>
  <si>
    <t>KWH</t>
  </si>
  <si>
    <t>Consumption</t>
  </si>
  <si>
    <t>/TON PM</t>
  </si>
  <si>
    <t>/TON FG</t>
  </si>
  <si>
    <t>TOTAL</t>
  </si>
  <si>
    <t>PM</t>
  </si>
  <si>
    <t>DATE</t>
  </si>
  <si>
    <t>PM PROD  Timbangan                       (TON)</t>
  </si>
  <si>
    <t>STEAM (TON)</t>
  </si>
  <si>
    <t>POWER (kWh)</t>
  </si>
  <si>
    <t>/TON PM.</t>
  </si>
  <si>
    <t>/TON FG.</t>
  </si>
  <si>
    <t>CONSUMPTION</t>
  </si>
  <si>
    <t>TODAY</t>
  </si>
  <si>
    <t>TODATE</t>
  </si>
  <si>
    <t>REW PROD (TON)</t>
  </si>
  <si>
    <t>Kg/ton</t>
  </si>
  <si>
    <t>REEL PROD (TON)</t>
  </si>
  <si>
    <t>NBKP ASPA</t>
  </si>
  <si>
    <t>TOTAL NBKP</t>
  </si>
  <si>
    <t>LBKP RAPP MHW</t>
  </si>
  <si>
    <t>BROKE FROM OUTSIDE</t>
  </si>
  <si>
    <t>SUB TOTAL PULP+BROKE</t>
  </si>
  <si>
    <t>PULP TO PAPER RATIO</t>
  </si>
  <si>
    <t>SHIFT</t>
  </si>
  <si>
    <t>ACCEPTED</t>
  </si>
  <si>
    <t>REJECT</t>
  </si>
  <si>
    <t>RMG</t>
  </si>
  <si>
    <t>D.Time</t>
  </si>
  <si>
    <t>POST DT.</t>
  </si>
  <si>
    <t>Reason for Down time</t>
  </si>
  <si>
    <t>Speed Yankee/Reel</t>
  </si>
  <si>
    <t>Today prod</t>
  </si>
  <si>
    <t>Todate prod</t>
  </si>
  <si>
    <t>Grand Total</t>
  </si>
  <si>
    <t>Down Time Min</t>
  </si>
  <si>
    <t>Today (mnt)</t>
  </si>
  <si>
    <t>Todate (mnt)</t>
  </si>
  <si>
    <t>Todate (hrs)</t>
  </si>
  <si>
    <t>REEL PRODUCTION ( Scanner )</t>
  </si>
  <si>
    <t>MT</t>
  </si>
  <si>
    <t>REEL PRODUCTION ( Timbangan )</t>
  </si>
  <si>
    <t>AVG - REEL PRODUCTION ACCEPTED ( Scanner )</t>
  </si>
  <si>
    <t>Mechanical</t>
  </si>
  <si>
    <t>FINISHED PRODUCTION</t>
  </si>
  <si>
    <t>Electrical</t>
  </si>
  <si>
    <t>AVG FINISHED PRODUCTION</t>
  </si>
  <si>
    <t>AVG SPEED YANKEE/REEL</t>
  </si>
  <si>
    <t>Meter/Min</t>
  </si>
  <si>
    <t>Water</t>
  </si>
  <si>
    <t xml:space="preserve">Steam consumption </t>
  </si>
  <si>
    <t xml:space="preserve">Steam per ton paper Reel </t>
  </si>
  <si>
    <t>Steam per ton paper Accepted PHP</t>
  </si>
  <si>
    <t>Gas</t>
  </si>
  <si>
    <t>Power consumption</t>
  </si>
  <si>
    <t>KW</t>
  </si>
  <si>
    <t>Power Plant</t>
  </si>
  <si>
    <t xml:space="preserve">Power per tonpaper Reel </t>
  </si>
  <si>
    <t xml:space="preserve">Power per tonpaper Accepted PHP </t>
  </si>
  <si>
    <t>Gas ConsumptionHood PM3</t>
  </si>
  <si>
    <t>M3</t>
  </si>
  <si>
    <t xml:space="preserve">Gas ConsumptionHood per ton paper </t>
  </si>
  <si>
    <t>Planned shut</t>
  </si>
  <si>
    <t>Gas Hood per ton paper Accepted PHP</t>
  </si>
  <si>
    <t>Remarks :</t>
  </si>
  <si>
    <t>Reject =</t>
  </si>
  <si>
    <t>RMG =</t>
  </si>
  <si>
    <t>TOTAL LBKP</t>
  </si>
  <si>
    <t>TOTAL EBKP</t>
  </si>
  <si>
    <t>Colour</t>
  </si>
  <si>
    <t>gsm</t>
  </si>
  <si>
    <t>Ply</t>
  </si>
  <si>
    <t>Standard</t>
  </si>
  <si>
    <t>Real Running</t>
  </si>
  <si>
    <t>Trim Rewinder (cm)</t>
  </si>
  <si>
    <t>Available Time (mnt)</t>
  </si>
  <si>
    <t>Down Time (mnt)</t>
  </si>
  <si>
    <t>Loss Time (mnt)</t>
  </si>
  <si>
    <t>Teori (ton) with Available Time</t>
  </si>
  <si>
    <t>Real Eff dr Target Eff</t>
  </si>
  <si>
    <t>Reject Rewinder (ton)</t>
  </si>
  <si>
    <t>Unschedule Shut Down (mnt)</t>
  </si>
  <si>
    <t>Schedule Shut Down</t>
  </si>
  <si>
    <t>Total Down Time</t>
  </si>
  <si>
    <t>Freq. Sheets Break (X)</t>
  </si>
  <si>
    <t>Freq. Change Blade (X)</t>
  </si>
  <si>
    <t>Trim Rewinder x Running Time</t>
  </si>
  <si>
    <t>Down Time Produksi</t>
  </si>
  <si>
    <t>Electrical &amp; Instrument</t>
  </si>
  <si>
    <t>Total Unschedule Shut Down</t>
  </si>
  <si>
    <t xml:space="preserve"> Yankee Speed (mpm)</t>
  </si>
  <si>
    <t>Max % Creeping</t>
  </si>
  <si>
    <t>Target Eff</t>
  </si>
  <si>
    <t xml:space="preserve">Kapasitas PM-Teori (ton) </t>
  </si>
  <si>
    <t>Yankee Speed (mpm)</t>
  </si>
  <si>
    <t>Popereel Speed (mpm)</t>
  </si>
  <si>
    <t>% Creeping</t>
  </si>
  <si>
    <t>Eff Prod dihitung dari real speed &amp; dipotong down time &amp; loss time =</t>
  </si>
  <si>
    <t>Tgl</t>
  </si>
  <si>
    <t>Kombinasi Pot.</t>
  </si>
  <si>
    <t>Lebar Trim</t>
  </si>
  <si>
    <t>Jml Turunan</t>
  </si>
  <si>
    <t>Lebar x Turunan</t>
  </si>
  <si>
    <t>Rata-rata</t>
  </si>
  <si>
    <t>Downtime/ Losstime</t>
  </si>
  <si>
    <t>Reason of Downtime / Losstime</t>
  </si>
  <si>
    <t>Loss Time</t>
  </si>
  <si>
    <t>Total Losstime</t>
  </si>
  <si>
    <t>EXT FACTOR</t>
  </si>
  <si>
    <t>Proses</t>
  </si>
  <si>
    <t>Electric &amp; Instrument</t>
  </si>
  <si>
    <t>DOWN TIME</t>
  </si>
  <si>
    <t>Pemakaian</t>
  </si>
  <si>
    <t>Qty</t>
  </si>
  <si>
    <t>Note:</t>
  </si>
  <si>
    <t xml:space="preserve">- Pemakaian </t>
  </si>
  <si>
    <t>- Budget</t>
  </si>
  <si>
    <t xml:space="preserve">- Selisih </t>
  </si>
  <si>
    <t>= Hasil pengurangan dari pemakaian dengan target ( + = under budget, (-) = over budget)</t>
  </si>
  <si>
    <t>Today RMG</t>
  </si>
  <si>
    <t>PHP</t>
  </si>
  <si>
    <t>Accepted (ton)</t>
  </si>
  <si>
    <t>= Target pemakaian chemical per off rewinder sesuai dengan Budget Chemical 2012</t>
  </si>
  <si>
    <t>EBKP MONDE</t>
  </si>
  <si>
    <t>Total PM11</t>
  </si>
  <si>
    <t>TISSUE MACHINE 11</t>
  </si>
  <si>
    <t>PM 11</t>
  </si>
  <si>
    <t xml:space="preserve">PM11 Efficiency Report </t>
  </si>
  <si>
    <t>TISSUE MACHINE 45</t>
  </si>
  <si>
    <t>= Pemakaian daily tiap chemical PM 11</t>
  </si>
  <si>
    <t>Reject Rewinder</t>
  </si>
  <si>
    <t>Loss speed</t>
  </si>
  <si>
    <t>Reject masuk broke plant</t>
  </si>
  <si>
    <t>Down time proses</t>
  </si>
  <si>
    <t>Down time electric</t>
  </si>
  <si>
    <t>Real Speed &amp; Real Creepe Ratio setelah dipotong DT &amp; LT (ton)</t>
  </si>
  <si>
    <t>Real Speed &amp; Real Creepe Ratio with Available Time (ton)</t>
  </si>
  <si>
    <t>Loss tonase akibat  DT + LT dari hitungan Teori with available time (ton)</t>
  </si>
  <si>
    <t>Estimasi Reject to Broke Plant (ton)</t>
  </si>
  <si>
    <t>Loss time mekanik</t>
  </si>
  <si>
    <t>Loss time boiler</t>
  </si>
  <si>
    <t>Loss time electric</t>
  </si>
  <si>
    <t>Down time boiler</t>
  </si>
  <si>
    <t>Down time mekanik</t>
  </si>
  <si>
    <t>PLN &amp; efek PLN</t>
  </si>
  <si>
    <t>Scd. Shut down</t>
  </si>
  <si>
    <t>(-) = estimasi over BW</t>
  </si>
  <si>
    <t>Loss Opportunity in Speed (ton)</t>
  </si>
  <si>
    <t xml:space="preserve">Estimasi Faktor BW </t>
  </si>
  <si>
    <t>Estimasi Faktor BW (ton)</t>
  </si>
  <si>
    <t>Per long shift =</t>
  </si>
  <si>
    <t>MIN TARGET</t>
  </si>
  <si>
    <t>Vacuum A</t>
  </si>
  <si>
    <t>Vacuum B</t>
  </si>
  <si>
    <t>MCC Aux TM</t>
  </si>
  <si>
    <t>Multi Screen</t>
  </si>
  <si>
    <t>WL II 1250 A (yankee + popereel)</t>
  </si>
  <si>
    <t>WL II 3200 A (Hood, Fan Pump, Felt &amp; Wire)</t>
  </si>
  <si>
    <t>Stock Prep &amp; UTM 1 (3200 A)</t>
  </si>
  <si>
    <t>Stock Prep &amp; UTM 2 (3200 A)</t>
  </si>
  <si>
    <t>Rewinder 1 (800 A)</t>
  </si>
  <si>
    <t>Rewinder 2 (800A)</t>
  </si>
  <si>
    <t>Gas ConsumptionHood PM 11</t>
  </si>
  <si>
    <t>Off Reel</t>
  </si>
  <si>
    <t>Off Rewinder</t>
  </si>
  <si>
    <t>Kwh/ ton</t>
  </si>
  <si>
    <t>Stockprep</t>
  </si>
  <si>
    <t>Rewinder</t>
  </si>
  <si>
    <t>LEBIH TINGGI DARI OFF REEL</t>
  </si>
  <si>
    <t>Real Eff PM ( % )</t>
  </si>
  <si>
    <t>Creep ( % )</t>
  </si>
  <si>
    <t>Real Eff PM vs Target (%)</t>
  </si>
  <si>
    <t>Real Eff FG vs Real Eff PM (%)</t>
  </si>
  <si>
    <t>Speed yankee (mpm)</t>
  </si>
  <si>
    <t>Speed reel (mpm)</t>
  </si>
  <si>
    <t xml:space="preserve">Kapasitas Target (ton) </t>
  </si>
  <si>
    <t>Eff FG vs Target (%)</t>
  </si>
  <si>
    <t>PAPER MACHINE 11 DAILY REPORT 1</t>
  </si>
  <si>
    <t xml:space="preserve">Kapasitas Teori Real (ton) </t>
  </si>
  <si>
    <t>Speed real (ton) with Available Time</t>
  </si>
  <si>
    <t>Change Grade</t>
  </si>
  <si>
    <t>sheet break</t>
  </si>
  <si>
    <t>change blade</t>
  </si>
  <si>
    <t>change spool</t>
  </si>
  <si>
    <t>Loss time sheet break</t>
  </si>
  <si>
    <t>Loss time change blade</t>
  </si>
  <si>
    <t>Loss time change spool</t>
  </si>
  <si>
    <t>Loss time change grade</t>
  </si>
  <si>
    <t>LBKP TEL PELITA</t>
  </si>
  <si>
    <t>PM 12</t>
  </si>
  <si>
    <t>PM 16</t>
  </si>
  <si>
    <t>PHP (ton)</t>
  </si>
  <si>
    <t>STEAM/Ton FG</t>
  </si>
  <si>
    <t>ELECTRIC/ton FG</t>
  </si>
  <si>
    <t>STEAM /ton FG</t>
  </si>
  <si>
    <t>ELECTRIC /ton FG</t>
  </si>
  <si>
    <t>Today</t>
  </si>
  <si>
    <t>Todate</t>
  </si>
  <si>
    <t>November</t>
  </si>
  <si>
    <t>Oktober</t>
  </si>
  <si>
    <t>Juli</t>
  </si>
  <si>
    <t>Juni</t>
  </si>
  <si>
    <t>Mei</t>
  </si>
  <si>
    <t>April</t>
  </si>
  <si>
    <t>Maret</t>
  </si>
  <si>
    <t>Februari</t>
  </si>
  <si>
    <t>Januari</t>
  </si>
  <si>
    <t>Kehilangan Effisiensi PM 11 terdiri dari:</t>
  </si>
  <si>
    <t>MG</t>
  </si>
  <si>
    <t>awal bulan produksi MG mengikuti real speed karea usia felt sudah 7minggu</t>
  </si>
  <si>
    <t>CAKRAWALA</t>
  </si>
  <si>
    <t/>
  </si>
  <si>
    <t>NB : info pak hartono untuk napkin + towel speed 1600mpm, gsm tinggi 92ton(&gt;17)</t>
  </si>
  <si>
    <t>change Grade</t>
  </si>
  <si>
    <t>PM 11 Summary</t>
  </si>
  <si>
    <t>Category</t>
  </si>
  <si>
    <t>Problem Category</t>
  </si>
  <si>
    <t>Detailed Problem</t>
  </si>
  <si>
    <t>LT/DT in Mins</t>
  </si>
  <si>
    <t>LT/DT in Ton</t>
  </si>
  <si>
    <t>Percentage LT/DT</t>
  </si>
  <si>
    <t>Total Percentage</t>
  </si>
  <si>
    <t>Actual Percentage</t>
  </si>
  <si>
    <t>X-Factor</t>
  </si>
  <si>
    <t>Down Time Marketing</t>
  </si>
  <si>
    <t>Marketing</t>
  </si>
  <si>
    <t>Estimasi RBP &amp; Backlog</t>
  </si>
  <si>
    <t>Reject Broke Plant</t>
  </si>
  <si>
    <t>Basic Weight Estimation</t>
  </si>
  <si>
    <t>Loss Speed</t>
  </si>
  <si>
    <t>Down Time Process</t>
  </si>
  <si>
    <t>Loss Time Change Grade</t>
  </si>
  <si>
    <t>Loss Time Process</t>
  </si>
  <si>
    <t>Change Blade</t>
  </si>
  <si>
    <t>Change Spool</t>
  </si>
  <si>
    <t>Sheet Breaks</t>
  </si>
  <si>
    <t>Hole</t>
  </si>
  <si>
    <t>Maintenance</t>
  </si>
  <si>
    <t>Down Time EID</t>
  </si>
  <si>
    <t>Down Time Mekanik</t>
  </si>
  <si>
    <t>Loss Time EID</t>
  </si>
  <si>
    <t>Loss Time Mekanik</t>
  </si>
  <si>
    <t>Scheduled Shut Down</t>
  </si>
  <si>
    <t>Downtime / Losstime</t>
  </si>
  <si>
    <t>Klasifikasi Detail</t>
  </si>
  <si>
    <t>Klasifikasi Awal</t>
  </si>
  <si>
    <t>Jenis Reject</t>
  </si>
  <si>
    <t>Reject in Ton</t>
  </si>
  <si>
    <t>Reject Percentage</t>
  </si>
  <si>
    <t>Estimasi Basic Weight</t>
  </si>
  <si>
    <t>Theory with Available Time (ton)</t>
  </si>
  <si>
    <t>Total LT/DT (mins)</t>
  </si>
  <si>
    <t>LT/DT Percentage</t>
  </si>
  <si>
    <t>Total LT/DT (ton)</t>
  </si>
  <si>
    <t>- Sheet Breaks (0x)</t>
  </si>
  <si>
    <t>Tonase</t>
  </si>
  <si>
    <t>Prosentase</t>
  </si>
  <si>
    <t>Total Prosentase</t>
  </si>
  <si>
    <t>Baklog</t>
  </si>
  <si>
    <t>Sisa spool popereel</t>
  </si>
  <si>
    <t xml:space="preserve">Sisa Spool seset </t>
  </si>
  <si>
    <t>Sisa Spool rewinder</t>
  </si>
  <si>
    <t>Pending</t>
  </si>
  <si>
    <t>Ngelokor</t>
  </si>
  <si>
    <t>Keriput</t>
  </si>
  <si>
    <t>Start up</t>
  </si>
  <si>
    <t>Potongan jelek</t>
  </si>
  <si>
    <t>Trim</t>
  </si>
  <si>
    <t>Warisan</t>
  </si>
  <si>
    <t>Kertas sobek pinggir</t>
  </si>
  <si>
    <t>Joint</t>
  </si>
  <si>
    <t>Dirt</t>
  </si>
  <si>
    <t>Formasi jelek</t>
  </si>
  <si>
    <t>MDT &lt; std</t>
  </si>
  <si>
    <t>Lembab</t>
  </si>
  <si>
    <t>Seset Change Grade</t>
  </si>
  <si>
    <t>Diameter &lt; std</t>
  </si>
  <si>
    <t>soping</t>
  </si>
  <si>
    <t>Bw &lt; std</t>
  </si>
  <si>
    <t>Lebar kertas kurang</t>
  </si>
  <si>
    <t>Cap garis doctor</t>
  </si>
  <si>
    <t>White spot</t>
  </si>
  <si>
    <t>Thickness &lt; std</t>
  </si>
  <si>
    <t>Bulky &lt; std</t>
  </si>
  <si>
    <t>Bw &gt; std</t>
  </si>
  <si>
    <t>Kertas melipat</t>
  </si>
  <si>
    <t>warna kehijauan</t>
  </si>
  <si>
    <t>UNKNOWN</t>
  </si>
  <si>
    <t>Gripis</t>
  </si>
  <si>
    <t>TOTALIZER</t>
  </si>
  <si>
    <t>SUZANO</t>
  </si>
  <si>
    <t>PM 14</t>
  </si>
  <si>
    <t>PM 15</t>
  </si>
  <si>
    <t>PM 17</t>
  </si>
  <si>
    <t>STEAM/ton FG</t>
  </si>
  <si>
    <t>STEAM DIP/ton FG</t>
  </si>
  <si>
    <t>ELECTRIC DIP/ton FG</t>
  </si>
  <si>
    <t>GAS /ton FG</t>
  </si>
  <si>
    <t>STEAM DIP /ton FG</t>
  </si>
  <si>
    <t>ELECTRIC DIP /ton FG</t>
  </si>
  <si>
    <t>Desember</t>
  </si>
  <si>
    <t>PULP AND BROKE DAILY REPORT 11</t>
  </si>
  <si>
    <t>CHEMICAL DAILY REPORT PM 11</t>
  </si>
  <si>
    <t>SINERGY</t>
  </si>
  <si>
    <t>Loss time</t>
  </si>
  <si>
    <t>Down Time</t>
  </si>
  <si>
    <t>Backlog</t>
  </si>
  <si>
    <t>Loss Time Marketing</t>
  </si>
  <si>
    <t>Hood</t>
  </si>
  <si>
    <t>Yankee</t>
  </si>
  <si>
    <t>NBKP SCA</t>
  </si>
  <si>
    <t>LBKP ACACIA</t>
  </si>
  <si>
    <t>MANAGEMENT</t>
  </si>
  <si>
    <t>Down Time Sinergy</t>
  </si>
  <si>
    <t>Loss Time Sinergy</t>
  </si>
  <si>
    <t>Paper Mill's Chemicals</t>
  </si>
  <si>
    <t>Deinking's Chemicals</t>
  </si>
  <si>
    <t>Paper mill's Chemicals</t>
  </si>
  <si>
    <t>AMIBOND DS 947</t>
  </si>
  <si>
    <t>AMIBOND WS 418</t>
  </si>
  <si>
    <t>WSR RESIN P-5500</t>
  </si>
  <si>
    <t>AMICIDE BX 9127</t>
  </si>
  <si>
    <t>AMICIDE BX 9160</t>
  </si>
  <si>
    <t>AMICIDE BX 9193</t>
  </si>
  <si>
    <t>AMICIDE BX 9226</t>
  </si>
  <si>
    <t>AMICIDE BX 9347</t>
  </si>
  <si>
    <t>AMICLEAN AP 1797</t>
  </si>
  <si>
    <t>AMICLEAN AP 1817</t>
  </si>
  <si>
    <t>AMICLEAN AP 2048</t>
  </si>
  <si>
    <t>AMICOAT TC 6101</t>
  </si>
  <si>
    <t>AMICOAT TC 6218</t>
  </si>
  <si>
    <t>AMICOAT TC 6407</t>
  </si>
  <si>
    <t>AMICOAT TM 6123</t>
  </si>
  <si>
    <t>AMICOAT TR 6112</t>
  </si>
  <si>
    <t>AMICOAT TR 6113</t>
  </si>
  <si>
    <t>AMICOAT TR 6159</t>
  </si>
  <si>
    <t>AMICOAT TR 6248</t>
  </si>
  <si>
    <t>AMIFLOC 737</t>
  </si>
  <si>
    <t>AMIPAC AP 8511</t>
  </si>
  <si>
    <t>AMISOFT 6538</t>
  </si>
  <si>
    <t>AMISPERSE AP 8826</t>
  </si>
  <si>
    <t>ANEDIR BLUE 2R LIQ</t>
  </si>
  <si>
    <t>CAUSTIC SODA CAIR 48%</t>
  </si>
  <si>
    <t>DEKATOGEN SDC-60</t>
  </si>
  <si>
    <t>FENNOPOL K 9952</t>
  </si>
  <si>
    <t>HIDROGEN PEROXIDE</t>
  </si>
  <si>
    <t>INDOSIZE CR 835</t>
  </si>
  <si>
    <t>KAPORIT 60%</t>
  </si>
  <si>
    <t>KAPORIT 65%</t>
  </si>
  <si>
    <t>NGR 900</t>
  </si>
  <si>
    <t>NGR MULTIPAC 120</t>
  </si>
  <si>
    <t>PAC - 280SP</t>
  </si>
  <si>
    <t>PAPYRASE LIL</t>
  </si>
  <si>
    <t>PERGASOL VIOLET BN LIQ</t>
  </si>
  <si>
    <t>PEWARNA MAKANAN PINK</t>
  </si>
  <si>
    <t>SODIUM TIO SULPHATE</t>
  </si>
  <si>
    <t>SOLSA SPRAY 550</t>
  </si>
  <si>
    <t>SUCOLITE SP 210</t>
  </si>
  <si>
    <t>TCCA POWDER</t>
  </si>
  <si>
    <t>XYLENE</t>
  </si>
  <si>
    <t>PAPYRASE IL</t>
  </si>
  <si>
    <t>DEKAINK</t>
  </si>
  <si>
    <t>DI 370/DKF 250</t>
  </si>
  <si>
    <t>ELTEXIN</t>
  </si>
  <si>
    <t>ELTEBRIGHT BL 1000</t>
  </si>
  <si>
    <t>SOLMIX  L40</t>
  </si>
  <si>
    <t>CHEMBRIGHT C LIQUID</t>
  </si>
  <si>
    <t>K-Bright Liquid</t>
  </si>
  <si>
    <t>NGR 200</t>
  </si>
  <si>
    <t>ANEDIR YELLOW BKL</t>
  </si>
  <si>
    <t>ANEDIR RED BKL</t>
  </si>
  <si>
    <t>ANEDIR BLACK L LIQ</t>
  </si>
  <si>
    <t>ANEDIR BROWN CC-04 LIQ</t>
  </si>
  <si>
    <t>Anedir Brown cc-03</t>
  </si>
  <si>
    <t>DEKAWET NA30</t>
  </si>
  <si>
    <t>Burstrong Fixing Agent</t>
  </si>
  <si>
    <t>DI N40</t>
  </si>
  <si>
    <t>CHROMACLEAR</t>
  </si>
  <si>
    <t>Price</t>
  </si>
  <si>
    <t>PM 11 Running Time</t>
  </si>
  <si>
    <t>Down Time PLN</t>
  </si>
  <si>
    <t>Eff Avaliable</t>
  </si>
  <si>
    <t>Eff Running</t>
  </si>
  <si>
    <t xml:space="preserve">Kapasitas Running (ton) </t>
  </si>
  <si>
    <t>Eff FG vs Target  Running(%)</t>
  </si>
  <si>
    <t>Off White</t>
  </si>
  <si>
    <t>EBKP NAVIA/ENCE</t>
  </si>
  <si>
    <t>Seset Spol Getar &amp; Astor</t>
  </si>
  <si>
    <t>NBKP Catalyst/Crafton</t>
  </si>
  <si>
    <t>Steam, &amp; gangguan sinergy (X)</t>
  </si>
  <si>
    <t>Freq, Trip PLN (X)</t>
  </si>
  <si>
    <t>Cleaning Holes (X)</t>
  </si>
  <si>
    <t>Per hari</t>
  </si>
  <si>
    <t>NBKP METSA</t>
  </si>
  <si>
    <t>Blowing</t>
  </si>
  <si>
    <t>.06.24</t>
  </si>
  <si>
    <t>0</t>
  </si>
  <si>
    <t>Vaccum Turbo</t>
  </si>
  <si>
    <t>CRESSBROOKE</t>
  </si>
  <si>
    <t>Agustus</t>
  </si>
  <si>
    <t>September</t>
  </si>
  <si>
    <t>SS</t>
  </si>
  <si>
    <t>PHP PM</t>
  </si>
  <si>
    <t xml:space="preserve">PM11 Efficiency Running Report </t>
  </si>
  <si>
    <t>Toilet</t>
  </si>
  <si>
    <t>Electric WPL /ton FG</t>
  </si>
  <si>
    <t>STEAM WPL/ton FG</t>
  </si>
  <si>
    <t>ELECTRIC WPL/ton FG</t>
  </si>
  <si>
    <t>ELECTRIC WPL /ton FG</t>
  </si>
  <si>
    <t>APRIL</t>
  </si>
  <si>
    <t>Dicky Fahrizal</t>
  </si>
  <si>
    <t>Slamet Ariadi</t>
  </si>
  <si>
    <t>Iir Endra</t>
  </si>
  <si>
    <t>T 14 VP OW</t>
  </si>
  <si>
    <t>- 09.30 rew A stop emergency sinyal sensor tidak menyala</t>
  </si>
  <si>
    <t>- 11.15 rew A mulai jalan</t>
  </si>
  <si>
    <t>- Speed naik bertahap, felt masih baru</t>
  </si>
  <si>
    <t>- Speed blm target Felt baru.</t>
  </si>
  <si>
    <t>- Awal Shift Prod T 14 Speed 1660/-24%</t>
  </si>
  <si>
    <t>- Speed Belum Bisa Maksimal Felt Masih Baru</t>
  </si>
  <si>
    <t>- Awal Shift Prod T 14 Speed 1530/-24%</t>
  </si>
  <si>
    <t>- Awal Shift Prod T 14 Speed 1620/-24%</t>
  </si>
  <si>
    <t>- 04.00 Change Geade T 15, Speed 1680/-24%</t>
  </si>
  <si>
    <t>1530/1162</t>
  </si>
  <si>
    <t>1620/1231</t>
  </si>
  <si>
    <t>1667/1267</t>
  </si>
  <si>
    <t>1605/1220</t>
  </si>
  <si>
    <t>- Change Blade (7x)</t>
  </si>
  <si>
    <t>- Change Spool (9x)</t>
  </si>
  <si>
    <t>- Change Blade (6x)</t>
  </si>
  <si>
    <t>- Change Spool (11x)</t>
  </si>
  <si>
    <t>- Change Blade (4x)</t>
  </si>
  <si>
    <t>- Change Spool (8x)</t>
  </si>
  <si>
    <t>- Sheet Breaks (1x)</t>
  </si>
  <si>
    <t>T 15 VP OW</t>
  </si>
  <si>
    <t>- Change Blade (17x)</t>
  </si>
  <si>
    <t>- Change Spool (28x)</t>
  </si>
  <si>
    <t>14/15</t>
  </si>
  <si>
    <t>T 14</t>
  </si>
  <si>
    <t>T 15</t>
  </si>
  <si>
    <t>272*1</t>
  </si>
  <si>
    <t>271*1</t>
  </si>
  <si>
    <t>253+19</t>
  </si>
  <si>
    <t>SODIUM HYPOCHLORID</t>
  </si>
  <si>
    <t>CHEMZYME CL</t>
  </si>
  <si>
    <t>Angga Permana S</t>
  </si>
  <si>
    <t>- Awal Shift Prod T 15 Speed 1650/-24%</t>
  </si>
  <si>
    <t>- Awal Shift Prod T 12,5 Speed 1700/-24%</t>
  </si>
  <si>
    <t xml:space="preserve">- 04.00 rewinder ganti potongan (268x1) + perbaikan team maintenance rewinder eror( pada saat turun sensor gak nyala+ chuck gak bisa naik turun) </t>
  </si>
  <si>
    <t>- 06.20 rewinder jalan.</t>
  </si>
  <si>
    <t>Awal shift rewinder B stop mekanik perbaikan chuck yang error</t>
  </si>
  <si>
    <t>08.00 rewinder B mulai jalan</t>
  </si>
  <si>
    <t>Awal turun jumbo kertas ada hole acak, pm turun speed 1670 hole acak hilang</t>
  </si>
  <si>
    <t>- Speed blm target felt baru.</t>
  </si>
  <si>
    <t>1700/1292</t>
  </si>
  <si>
    <t>- Awal Shift Prod T 15 Speed 1680/-24%</t>
  </si>
  <si>
    <t>- 16.20 Change ke T.12,5 Gsm HB Speed 1680 Mpm/-24%</t>
  </si>
  <si>
    <t>1675/1273</t>
  </si>
  <si>
    <t>1680/1276</t>
  </si>
  <si>
    <t>1685/1280</t>
  </si>
  <si>
    <t>- Change Spool (10x)</t>
  </si>
  <si>
    <t>- Change Blade (3x)</t>
  </si>
  <si>
    <t>- Change Blade (15x)</t>
  </si>
  <si>
    <t>- Change Spool (30x)</t>
  </si>
  <si>
    <t>- Change Grade</t>
  </si>
  <si>
    <t>- Change Blade (5x)</t>
  </si>
  <si>
    <t>T 12,5 VP OW</t>
  </si>
  <si>
    <t>15/12,5</t>
  </si>
  <si>
    <t>12,5</t>
  </si>
  <si>
    <t>T 12,5</t>
  </si>
  <si>
    <t>256+16</t>
  </si>
  <si>
    <t>268*1</t>
  </si>
  <si>
    <t>257+15</t>
  </si>
  <si>
    <t>- Awal Shift Prod T 12,5 Speed 1680/-24%</t>
  </si>
  <si>
    <t>- 17.00 Change Grade T 12 HB, Speed 1700/24 %</t>
  </si>
  <si>
    <t>- Awal Shift Prod T 12 Speed 1630/-24%</t>
  </si>
  <si>
    <t>- Awal Shift Prod T 12 Speed 1580/-24%</t>
  </si>
  <si>
    <t xml:space="preserve">- 07.03 Tambor OFF Reel kertas pin hole+hole mata ikan rata </t>
  </si>
  <si>
    <t xml:space="preserve">- 08.00 PM speed turun 1510 Mpm cleaning/karcher wire dan injek amiclean ke flowding felt </t>
  </si>
  <si>
    <t>- 08.30 pin hole/mata ikan hilang/kertas oke.</t>
  </si>
  <si>
    <t>- Awal Shift Prod T 12 Speed 1511/-24%</t>
  </si>
  <si>
    <t>- 19.15 change grade T14 speed 1500/-24%</t>
  </si>
  <si>
    <t>- 21.00 change grade F12 speed 1500/-24%</t>
  </si>
  <si>
    <t>DT</t>
  </si>
  <si>
    <t>- 18.45 On reel
Speed PM belum maksimal rawan hole</t>
  </si>
  <si>
    <t>- 16.30 PM trip, Flicker + cleaning felt
Med perbaikan lock spool sebelah fs</t>
  </si>
  <si>
    <t>- Awal Shift Prod F 12 Speed 1500/-24%</t>
  </si>
  <si>
    <t>- Speed pm blm bisa maksimal masih rawan hole</t>
  </si>
  <si>
    <t>- 20:00 Kertas Banyak Hole Mata Ikan, PM Turun Speed 1630/-24%, Indikasi Dari Felt Banyak Spot Hitam</t>
  </si>
  <si>
    <t>1668/1268</t>
  </si>
  <si>
    <t>- 03:00 Kertas Banyak Hole Mata Ikan, PM Turun Speed 1580/-24%, Indikasi Dari Felt Banyak Spot Hitam</t>
  </si>
  <si>
    <t>1605/1219</t>
  </si>
  <si>
    <t>1651/1254</t>
  </si>
  <si>
    <t>T 12 VP OW</t>
  </si>
  <si>
    <t>1518/1154</t>
  </si>
  <si>
    <t>1503/1142</t>
  </si>
  <si>
    <t>1500/1140</t>
  </si>
  <si>
    <t>1507/1146</t>
  </si>
  <si>
    <t>- Change Spool (12x)</t>
  </si>
  <si>
    <t>- Sheet Breaks (4x)</t>
  </si>
  <si>
    <t>Facial</t>
  </si>
  <si>
    <t>F 12 VP OW</t>
  </si>
  <si>
    <t>- Change Blade (10x)</t>
  </si>
  <si>
    <t>- 16.30 PM trip, Flicker</t>
  </si>
  <si>
    <t>PM trip, Flicker</t>
  </si>
  <si>
    <t>12,5/12</t>
  </si>
  <si>
    <t>Toilet/Facial</t>
  </si>
  <si>
    <t>12/14/12</t>
  </si>
  <si>
    <t>T 12</t>
  </si>
  <si>
    <t>F 12</t>
  </si>
  <si>
    <t>126+146</t>
  </si>
  <si>
    <t>133*2</t>
  </si>
  <si>
    <t>Slamet A</t>
  </si>
  <si>
    <t>- Awal Shift Prod F 12 Speed 1550/-24%</t>
  </si>
  <si>
    <t>- 10.28 change F 13 Speed 1630/-24%</t>
  </si>
  <si>
    <t>- Speed naik bertahap rawan pin hole</t>
  </si>
  <si>
    <t>- Awal Shift Prod F 13 Speed 1630/-24%</t>
  </si>
  <si>
    <t>- Speed PM Blm Bisa Maksimal Masih Rawan Hole</t>
  </si>
  <si>
    <t>1595/1212</t>
  </si>
  <si>
    <t>1630/1238</t>
  </si>
  <si>
    <t>1618/1230</t>
  </si>
  <si>
    <t>F 13 VP OW</t>
  </si>
  <si>
    <t>- Change Blade (13x)</t>
  </si>
  <si>
    <t>- Change Spool (29x)</t>
  </si>
  <si>
    <t>12/13</t>
  </si>
  <si>
    <t>F 13</t>
  </si>
  <si>
    <t>117+140+15</t>
  </si>
  <si>
    <t>- Awal Shift Prod F 13,5 Speed 1680/-24%</t>
  </si>
  <si>
    <t>- 10.46 change F12.5 Speed 1700/-24%</t>
  </si>
  <si>
    <t>- Awal Shift Prod F 12,5 Speed 1700/-24%</t>
  </si>
  <si>
    <t>1690/1284</t>
  </si>
  <si>
    <t>1696/1289</t>
  </si>
  <si>
    <t>- Sheet Breaks (2x)</t>
  </si>
  <si>
    <t>F 13,5 VP OW</t>
  </si>
  <si>
    <t>F 12,5 VP OW</t>
  </si>
  <si>
    <t>- Change Blade (11x)</t>
  </si>
  <si>
    <t>13,5/12,5</t>
  </si>
  <si>
    <t>F 13,5</t>
  </si>
  <si>
    <t>126*2+20</t>
  </si>
  <si>
    <t>126*2+18</t>
  </si>
  <si>
    <t>F 12,5</t>
  </si>
  <si>
    <t>- 13.13 pm turun speed 1680 mpm, kertas ada blowing samar</t>
  </si>
  <si>
    <t>- PM Turun Speed 1700 Ke 1670 Mpm Kertas Ada Blowing 80 Cm Dari FS, Indikasi Dari Felt Open.</t>
  </si>
  <si>
    <t>- Awal Shift Prod F 12,5 Speed 1670/-24%</t>
  </si>
  <si>
    <t>- Awal shift kertas blowing dan coba langsung cleaning/semprot SPR pakai selang Hpp</t>
  </si>
  <si>
    <t>- 23.36 Blowing hilang.</t>
  </si>
  <si>
    <t>1695/1288</t>
  </si>
  <si>
    <t>1670/1269</t>
  </si>
  <si>
    <t>1678/1275</t>
  </si>
  <si>
    <t>- Change Blade (16x)</t>
  </si>
  <si>
    <t>- Change Spool (32x)</t>
  </si>
  <si>
    <t>- Awal Shift Prod F 13 Speed 1670/-24%</t>
  </si>
  <si>
    <t>129,5+140</t>
  </si>
  <si>
    <t>EBKP SUZANNO</t>
  </si>
  <si>
    <t>12,5/13</t>
  </si>
  <si>
    <t>- Awal Shift Prod F 13 Speed 1700/-24%</t>
  </si>
  <si>
    <t>- Awal Shift Prod F 13 Speed 1680/-24%</t>
  </si>
  <si>
    <t>1693/1286</t>
  </si>
  <si>
    <t>- Change Blade (14x)</t>
  </si>
  <si>
    <t>13</t>
  </si>
  <si>
    <t>- 07.12 change grade MG14OW Speed 1300/-0.35%</t>
  </si>
  <si>
    <t>- Awal Shift Prod MG 14 Speed 1300/-0,35%</t>
  </si>
  <si>
    <t>- 15.30 change grade MG 17 OW speed 1260/-0.35%</t>
  </si>
  <si>
    <t>- Awal Shift Prod MG 17 OW speed 1260/-0.35%</t>
  </si>
  <si>
    <t>1310/1295</t>
  </si>
  <si>
    <t>1262/1258</t>
  </si>
  <si>
    <t>1260/1255</t>
  </si>
  <si>
    <t>1277/1269</t>
  </si>
  <si>
    <t>- Change Blade (0x)</t>
  </si>
  <si>
    <t>- Change Spool (25x)</t>
  </si>
  <si>
    <t>Facial/MG</t>
  </si>
  <si>
    <t>13/14/17</t>
  </si>
  <si>
    <t>Angga Permana</t>
  </si>
  <si>
    <t>UPM CONIFER</t>
  </si>
  <si>
    <t>MG 14 VP OW</t>
  </si>
  <si>
    <t>MG 17 VP OW</t>
  </si>
  <si>
    <t>109+72+79</t>
  </si>
  <si>
    <t>90*2+17+75</t>
  </si>
  <si>
    <t>MG 14</t>
  </si>
  <si>
    <t>MG 17</t>
  </si>
  <si>
    <t>- 08.40 rewinder A stop perbaiakan rider roll, ganti pneumatic</t>
  </si>
  <si>
    <t>- 09.50 rewinder A mulai jalan</t>
  </si>
  <si>
    <t>- Awal Shift PM Produksi MG 17 HW Speed 1260/-0.35%</t>
  </si>
  <si>
    <t>- 02.24 Change ke MG.16 Gsm HW Speed 1.260 Mpm/-0,35%</t>
  </si>
  <si>
    <t>- 04.00 Change ke MG 17 HW Speed 1.260 Mpm/-0,35 %</t>
  </si>
  <si>
    <t>High White</t>
  </si>
  <si>
    <t>Off White/High White</t>
  </si>
  <si>
    <t>MG 17 VP OW/HW</t>
  </si>
  <si>
    <t>MG 16 VP HW</t>
  </si>
  <si>
    <t>- Change Spool (24x)</t>
  </si>
  <si>
    <t>17</t>
  </si>
  <si>
    <t>17/16</t>
  </si>
  <si>
    <t>MG 17 VP HW</t>
  </si>
  <si>
    <t>88+93+79</t>
  </si>
  <si>
    <t>81+101+79</t>
  </si>
  <si>
    <t>15+93*2+71</t>
  </si>
  <si>
    <t>61+127+42*2</t>
  </si>
  <si>
    <t>MG 16</t>
  </si>
  <si>
    <t>61*2+98+42</t>
  </si>
  <si>
    <t>42+61+127+42</t>
  </si>
  <si>
    <t>- Awal Shift PM Produksi MG 16 HW Speed 1260/-0.35%</t>
  </si>
  <si>
    <t>- 10.00 PM Stop, Pemadaman PLN
# Cleaning Hood 
# Ganti catred filter  fresh water</t>
  </si>
  <si>
    <t>- Ganti Kempu Baru Wsr &amp; flushing 
# Cleaning Area PM 
# Drain Couch Pit</t>
  </si>
  <si>
    <t>- Bongkar Magnit Pulper
# Cleaning Area Rewinder
# 14.40 Buka Header
# Sampai Akhir Shift PM Belum Jalan</t>
  </si>
  <si>
    <t>- 16.20 ON reel PM Produksi MG 16 HW Speed 1000 /- 0.35 %</t>
  </si>
  <si>
    <t>- Awal Shift PM STOP</t>
  </si>
  <si>
    <t>- Change Spool (4x)</t>
  </si>
  <si>
    <t>- Awal Shift PM Produksi MG 16 HW Speed 1280/-0.35%</t>
  </si>
  <si>
    <t>1165/1161</t>
  </si>
  <si>
    <t>1280/1275</t>
  </si>
  <si>
    <t>1000/996</t>
  </si>
  <si>
    <t>- Change Spool (22x)</t>
  </si>
  <si>
    <t>- 10.00 PM Stop, Pemadaman PLN</t>
  </si>
  <si>
    <t>PM Stop, Pemadaman PLN</t>
  </si>
  <si>
    <t>16</t>
  </si>
  <si>
    <t>1260/819</t>
  </si>
  <si>
    <t>1266/1262</t>
  </si>
  <si>
    <t>- Change Blade (1x)</t>
  </si>
  <si>
    <t>42*5+61</t>
  </si>
  <si>
    <t>42*2+61*3</t>
  </si>
  <si>
    <t>- Awal Shift PM Produksi MG 16 HW Speed 1300/-0.35%</t>
  </si>
  <si>
    <t>1300/1295</t>
  </si>
  <si>
    <t>1273/1268</t>
  </si>
  <si>
    <t>Dicky F</t>
  </si>
  <si>
    <t>- Awal Shift PM Produksi MG.17 Gsm Hw
Speed Awal; 1.260 Mpm/-0,35 %
Speed Akhir; 1.260 Mpm/-0,35 %</t>
  </si>
  <si>
    <t>15.00-15.35 Awal Shift Rew B stop error.</t>
  </si>
  <si>
    <t>- Awal Shift PM Produksi MG 16 HW Speed 1260 /- 0.35 %
Speed Awal : 1260 / - 0.35 %</t>
  </si>
  <si>
    <t>- Awal Shift PM Produksi MG17HW
Speed awal : 1260/-0.35%</t>
  </si>
  <si>
    <t>- Change grade mg 17 11:30</t>
  </si>
  <si>
    <t>1276,25/829,56</t>
  </si>
  <si>
    <t>16/17</t>
  </si>
  <si>
    <t>1268,75/1264,31</t>
  </si>
  <si>
    <t>1280/1275,52</t>
  </si>
  <si>
    <t>100*2+50+22</t>
  </si>
  <si>
    <t>52*5</t>
  </si>
  <si>
    <t>- Awal Shift PM Produksi MG 17 HW Speed 1300/-0.35%</t>
  </si>
  <si>
    <t>- Awal Shift PM Produksi MG 14 HW Speed 1300/-0.35%</t>
  </si>
  <si>
    <t>- 00.53 change MG19HW Speed 1100/-0.35%</t>
  </si>
  <si>
    <t>- 03.18 change MG 14 HW speed 1300/-0,35%</t>
  </si>
  <si>
    <t>MG 14 VP OW/HW</t>
  </si>
  <si>
    <t>1147/1143</t>
  </si>
  <si>
    <t>1182/1178</t>
  </si>
  <si>
    <t>- Change Spool (7x)</t>
  </si>
  <si>
    <t>- Change Spool (23x)</t>
  </si>
  <si>
    <t>17/14</t>
  </si>
  <si>
    <t>14/19</t>
  </si>
  <si>
    <t>MG 14 VP HW</t>
  </si>
  <si>
    <t>MG 19 VP HW</t>
  </si>
  <si>
    <t>103*2+54</t>
  </si>
  <si>
    <t>72+127+60</t>
  </si>
  <si>
    <t>72*2+60*2</t>
  </si>
  <si>
    <t>42+78*2+61</t>
  </si>
  <si>
    <t>78*2+61+42</t>
  </si>
  <si>
    <t>28+61*4</t>
  </si>
  <si>
    <t>MG 19</t>
  </si>
  <si>
    <t>83*2+102</t>
  </si>
  <si>
    <t>- Awal Shift PM Produksi MG 19 HW Speed 1100/-0.35%</t>
  </si>
  <si>
    <t>- 07.40 change grade MG17OW speed 1260/-0.35%</t>
  </si>
  <si>
    <t>- 10.30 change grade MG 15.5 OW speed 1300/-0.35 %</t>
  </si>
  <si>
    <t>- Awal Shift PM Produksi MG 15,5 HW Speed 1300/-0.35%</t>
  </si>
  <si>
    <t>- 19.10 Change ke MG 20 Gsm Ow Speed 980 Mpm/-0,35 %</t>
  </si>
  <si>
    <t>- Awal Shift PM Produksi MG 20 HW Speed 980/-0.35%</t>
  </si>
  <si>
    <t>1269/1264</t>
  </si>
  <si>
    <t>1146/1142</t>
  </si>
  <si>
    <t>980/976</t>
  </si>
  <si>
    <t>1131/1127</t>
  </si>
  <si>
    <t>- Lost time med rewinder ; 40 menit</t>
  </si>
  <si>
    <t>19/17/15,5/20</t>
  </si>
  <si>
    <t>22+60*4</t>
  </si>
  <si>
    <t>MG 15,5</t>
  </si>
  <si>
    <t>101+82,5*2</t>
  </si>
  <si>
    <t>MG 20</t>
  </si>
  <si>
    <t>264*1</t>
  </si>
  <si>
    <t>MG 15,5 VP HW</t>
  </si>
  <si>
    <t>MG 20 VP HW</t>
  </si>
  <si>
    <t>- 19.15 Change ke F.12 Gsm LB Speed 1680 Mpm/-20%</t>
  </si>
  <si>
    <t xml:space="preserve">- 17.25 tambor OFF Reel pending Qc (dirt) </t>
  </si>
  <si>
    <t>- 19.15 PM terpaksa change ke F.12 (pengalihan dirt).</t>
  </si>
  <si>
    <t>- Kertas ada dirt indikasi pulp kotor, habiskan buburan ganti yang baru</t>
  </si>
  <si>
    <t>1322/1318</t>
  </si>
  <si>
    <t>1308/1148</t>
  </si>
  <si>
    <t>1680/1344</t>
  </si>
  <si>
    <t>- Change Blade (9x)</t>
  </si>
  <si>
    <t>20/12</t>
  </si>
  <si>
    <t>MG/Facial</t>
  </si>
  <si>
    <t>- 09.00 change grade MG 17 OW speed 1260/-0.35%</t>
  </si>
  <si>
    <t>- 09.50 change grade F12 speed 1700/20%</t>
  </si>
  <si>
    <t>LT</t>
  </si>
  <si>
    <t>- 20.25 tail cutter macet, tail cutter jalan manual/engkol</t>
  </si>
  <si>
    <t>- 22.30 tail cutter ok/jalan auto</t>
  </si>
  <si>
    <t>- pm sering ngelokor</t>
  </si>
  <si>
    <t>- Awal Shift PM Produksi F 12 Speed 1680/-20%</t>
  </si>
  <si>
    <t>- Awal Shift PM Produksi F 12 Speed 1700/-20%</t>
  </si>
  <si>
    <t>- Awal Shift PM Produksi F 12 Speed 1720/-20%</t>
  </si>
  <si>
    <t>1654/1349</t>
  </si>
  <si>
    <t>1700/1360</t>
  </si>
  <si>
    <t>1720/1376</t>
  </si>
  <si>
    <t>1691/1361</t>
  </si>
  <si>
    <t>- Change Blade (2x)</t>
  </si>
  <si>
    <t>- Sheet Breaks (3x)</t>
  </si>
  <si>
    <t>- Change Blade (8x)</t>
  </si>
  <si>
    <t>Tail cutter macet, tail cutter jalan manual/engkol</t>
  </si>
  <si>
    <t>12/20</t>
  </si>
  <si>
    <t>122,5+140</t>
  </si>
  <si>
    <t>- 08.30 change grade Mg 20 OW speed 1010/-0.35%</t>
  </si>
  <si>
    <t>- 10.15 change grade F12 speed 1700/-24%</t>
  </si>
  <si>
    <t>- Awal Shift PM Produksi MG 20 Speed 940/-0,35%</t>
  </si>
  <si>
    <t>- 13.40 PM stock off eid ganti encorder popereel
- 14.20 On reel change grade MG 20 OW speed 940/-0.35%</t>
  </si>
  <si>
    <t>940/936</t>
  </si>
  <si>
    <t>1127/1042</t>
  </si>
  <si>
    <t>MG 20 VP HW/OW</t>
  </si>
  <si>
    <t>- 13.40 PM stock off eid ganti encorder popereel</t>
  </si>
  <si>
    <t>PM stock off eid ganti encorder popereel</t>
  </si>
  <si>
    <t>MG 20 VP OW</t>
  </si>
  <si>
    <t>1470/1208</t>
  </si>
  <si>
    <t>- Awal Shift PM Produksi MG 21,5 Speed 1010/-0,35%</t>
  </si>
  <si>
    <t>- 12:29 change grade MG 21,5 speed 1010/-0,35%</t>
  </si>
  <si>
    <t>- Awal Shift PM Produksi MG 20,5 Speed 1010/-0,35%</t>
  </si>
  <si>
    <t>- Awal Shift PM Produksi MG 21,5 Speed 1030/-0,35%</t>
  </si>
  <si>
    <t>1010/1006</t>
  </si>
  <si>
    <t>MG 21,5</t>
  </si>
  <si>
    <t>MG 20,5</t>
  </si>
  <si>
    <t>MG 20,5 VP OW</t>
  </si>
  <si>
    <t>20,5/21,5/12</t>
  </si>
  <si>
    <t>- 02.30 Change grade MG 25 speed 830/-0,35%</t>
  </si>
  <si>
    <t>- 03.30 Change Grade F 12, Speed 1700/-20%</t>
  </si>
  <si>
    <t>1298/1147</t>
  </si>
  <si>
    <t>1107/1055</t>
  </si>
  <si>
    <t>MG 25</t>
  </si>
  <si>
    <t>MG 21,5 VP OW</t>
  </si>
  <si>
    <t>MG 25 VP OW</t>
  </si>
  <si>
    <t>83+92,5*2</t>
  </si>
  <si>
    <t>83*3+13,5*2</t>
  </si>
  <si>
    <t>- Awal Shift PM Produksi F 12, Speed 1700/-20%</t>
  </si>
  <si>
    <t>- 16.10 change F13 Speed 1700/-24%</t>
  </si>
  <si>
    <t>- 16.25 rewinder A chuck error</t>
  </si>
  <si>
    <t>- 19.30 rewinder A mulai jalan</t>
  </si>
  <si>
    <t>- Rewinder A Chuck Error Manual sampai akhir shift</t>
  </si>
  <si>
    <t>- Awal Shift PM Produksi F.13 Gsm HB Speed 1.700/-24%</t>
  </si>
  <si>
    <t>- Awal Shift PM Produksi F 13, Speed 1700/-24%</t>
  </si>
  <si>
    <t>- Awal Shift PM Produksi F 12, Speed 1700/-24%</t>
  </si>
  <si>
    <t>1700/1301</t>
  </si>
  <si>
    <t>- Lost time eid rewinder : 70 menit</t>
  </si>
  <si>
    <t>- 10:10 change MG 25 OW speed 840/-0,35%</t>
  </si>
  <si>
    <t>- 11:16 Change ke F. 12 Gsm HB Speed Akhir; 1.700 Mpm/-24%</t>
  </si>
  <si>
    <t>1581/1256</t>
  </si>
  <si>
    <t>- 03.40 change grade F13.5 speed 1700/-20%</t>
  </si>
  <si>
    <t>12/25/13</t>
  </si>
  <si>
    <t>13/13,5</t>
  </si>
  <si>
    <t>134*2</t>
  </si>
  <si>
    <t>2+0,6</t>
  </si>
  <si>
    <t>0,74+0,204</t>
  </si>
  <si>
    <t>- 07.20 Change ke F.12 Gsm LB Speed 1.700 Mpm/-20%</t>
  </si>
  <si>
    <t>- Loss time Rew/Eid; 270 mnt
- Loss time Rew/Med; 30 mnt</t>
  </si>
  <si>
    <t>- 16.50 change F10.3 LB Speed 1730/-16%</t>
  </si>
  <si>
    <t>- Awal shift rewinder A masih dalam perbaikan med dan eid</t>
  </si>
  <si>
    <t>- 18.00 rewinder A mulai jalan, tiap ganti saftcore harus rubah parameter chuck position dulu</t>
  </si>
  <si>
    <t>- Awal Shift PM Produksi F 10,5 Speed 1730/-16%</t>
  </si>
  <si>
    <t>- Awal Shift PM Produksi F 13,5 Speed 1700/-20%</t>
  </si>
  <si>
    <t>1723/1431</t>
  </si>
  <si>
    <t>1730/1453</t>
  </si>
  <si>
    <t>1717/1415</t>
  </si>
  <si>
    <t>- Change Spool (6x)</t>
  </si>
  <si>
    <t>13,5/12/10,5</t>
  </si>
  <si>
    <t>F 11 VP OW</t>
  </si>
  <si>
    <t>129+135</t>
  </si>
  <si>
    <t>F 10,5</t>
  </si>
  <si>
    <t>266*1</t>
  </si>
  <si>
    <t>- Awal Shift PM Produksi SN 13 Speed 1450/-20%</t>
  </si>
  <si>
    <t>- 04.05 Pm stop steam drop</t>
  </si>
  <si>
    <t>- 05.15 ON reel</t>
  </si>
  <si>
    <t>- 08.20 Change ke SN 13 Gsm Speed 1.430 Mpm/-20%</t>
  </si>
  <si>
    <t>1480/1195</t>
  </si>
  <si>
    <t>1450/1160</t>
  </si>
  <si>
    <t>1460/1172</t>
  </si>
  <si>
    <t>Sanitary Napkin</t>
  </si>
  <si>
    <t>F 10,5 VP OW</t>
  </si>
  <si>
    <t>- Change Spool (20x)</t>
  </si>
  <si>
    <t>PM stop, steam drop</t>
  </si>
  <si>
    <t>Facial/Sanitary Napkin</t>
  </si>
  <si>
    <t>10,5/13</t>
  </si>
  <si>
    <t>SN 13 VP OW</t>
  </si>
  <si>
    <t>SN 13</t>
  </si>
  <si>
    <t>48*3+58*2</t>
  </si>
  <si>
    <t>- 07.30 PM Stop, Steam Dari Synergy Drop 5 Bar</t>
  </si>
  <si>
    <t>- 11.45 On Reel Kertas Acc Qc</t>
  </si>
  <si>
    <t>- Change Spool (5x)</t>
  </si>
  <si>
    <t>- Change Spool (17x)</t>
  </si>
  <si>
    <t>48*4+68</t>
  </si>
  <si>
    <t>- Awal shift pm stop, steam drop, sinergy padam</t>
  </si>
  <si>
    <t>- 09.32 pm start</t>
  </si>
  <si>
    <t>- Awal Shift PM Produksi SN 13 Speed 1420/-20%</t>
  </si>
  <si>
    <t>- 09.56 pm on reel SN 13 Speed 1470/-20%</t>
  </si>
  <si>
    <t>1470/1176</t>
  </si>
  <si>
    <t>1420/1136</t>
  </si>
  <si>
    <t>1443/1154</t>
  </si>
  <si>
    <t>- Change Spool (19x)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</si>
</sst>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_(* #,##0_);_(* \(#,##0\);_(* &quot;-&quot;_);_(@_)"/>
    <numFmt numFmtId="165" formatCode="_(* #,##0.00_);_(* \(#,##0.00\);_(* &quot;-&quot;??_);_(@_)"/>
    <numFmt numFmtId="166" formatCode="0.0%"/>
    <numFmt numFmtId="167" formatCode="_(* #,##0_);_(* \(#,##0\);_(* &quot;-&quot;??_);_(@_)"/>
    <numFmt numFmtId="168" formatCode="#,##0.0"/>
    <numFmt numFmtId="169" formatCode="[$-409]d\-mmm;@"/>
    <numFmt numFmtId="170" formatCode="#,##0.000"/>
    <numFmt numFmtId="171" formatCode="_(* #,##0.0_);_(* \(#,##0.0\);_(* &quot;-&quot;??_);_(@_)"/>
    <numFmt numFmtId="172" formatCode="[$-409]d\-mmm\-yy;@"/>
    <numFmt numFmtId="173" formatCode="_(* #,##0.000_);_(* \(#,##0.000\);_(* &quot;-&quot;??_);_(@_)"/>
    <numFmt numFmtId="174" formatCode="#,##0.000_);\(#,##0.000\)"/>
    <numFmt numFmtId="175" formatCode="0.0"/>
    <numFmt numFmtId="176" formatCode="0.000"/>
    <numFmt numFmtId="177" formatCode="0_);[Red]\(0\)"/>
    <numFmt numFmtId="178" formatCode="_(* #,##0.00_);_(* \(#,##0.00\);_(* &quot;-&quot;_);_(@_)"/>
    <numFmt numFmtId="179" formatCode="_(* #,##0.0_);_(* \(#,##0.0\);_(* &quot;-&quot;_);_(@_)"/>
    <numFmt numFmtId="180" formatCode="[$-409]mmm\-yy;@"/>
    <numFmt numFmtId="181" formatCode="_(* #,##0.000_);_(* \(#,##0.000\);_(* &quot;-&quot;_);_(@_)"/>
    <numFmt numFmtId="182" formatCode="_-* #,##0.000_-;\-* #,##0.000_-;_-* &quot;-&quot;???_-;_-@_-"/>
  </numFmts>
  <fonts count="6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56"/>
      <name val="Cambria"/>
      <family val="1"/>
    </font>
    <font>
      <sz val="11"/>
      <color indexed="10"/>
      <name val="Calibri"/>
      <family val="2"/>
    </font>
    <font>
      <sz val="11"/>
      <color indexed="52"/>
      <name val="Calibri"/>
      <family val="2"/>
    </font>
    <font>
      <sz val="11"/>
      <color indexed="20"/>
      <name val="Calibri"/>
      <family val="2"/>
    </font>
    <font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1"/>
      <color indexed="52"/>
      <name val="Calibri"/>
      <family val="2"/>
    </font>
    <font>
      <b/>
      <sz val="11"/>
      <color indexed="6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9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b/>
      <sz val="12"/>
      <name val="Copperplate Gothic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b/>
      <u/>
      <sz val="16"/>
      <color indexed="8"/>
      <name val="Arial"/>
      <family val="2"/>
    </font>
    <font>
      <b/>
      <sz val="16"/>
      <color indexed="8"/>
      <name val="Arial"/>
      <family val="2"/>
    </font>
    <font>
      <sz val="16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8"/>
      <name val="Lucida Console"/>
      <family val="3"/>
    </font>
    <font>
      <sz val="8"/>
      <name val="Arial"/>
      <family val="2"/>
    </font>
    <font>
      <sz val="8"/>
      <name val="Bodoni"/>
    </font>
    <font>
      <b/>
      <sz val="8"/>
      <name val="Arial"/>
      <family val="2"/>
    </font>
    <font>
      <sz val="10"/>
      <name val="Times New Roman"/>
      <family val="1"/>
    </font>
    <font>
      <b/>
      <sz val="16"/>
      <name val="Lucida Console"/>
      <family val="3"/>
    </font>
    <font>
      <b/>
      <sz val="9"/>
      <name val="Arial"/>
      <family val="2"/>
    </font>
    <font>
      <b/>
      <sz val="8"/>
      <name val="Bodoni"/>
    </font>
    <font>
      <b/>
      <sz val="10"/>
      <name val="Bodoni"/>
    </font>
    <font>
      <sz val="9"/>
      <name val="Arial"/>
      <family val="2"/>
    </font>
    <font>
      <b/>
      <sz val="11"/>
      <name val="Arial"/>
      <family val="2"/>
    </font>
    <font>
      <b/>
      <sz val="12"/>
      <color indexed="8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u val="singleAccounting"/>
      <sz val="9"/>
      <color indexed="8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1"/>
      <color indexed="8"/>
      <name val="Calibri"/>
      <family val="2"/>
    </font>
    <font>
      <b/>
      <u/>
      <sz val="9"/>
      <color indexed="8"/>
      <name val="Arial"/>
      <family val="2"/>
    </font>
    <font>
      <b/>
      <sz val="12"/>
      <name val="Copperplate Gothic Bold"/>
      <family val="2"/>
    </font>
    <font>
      <sz val="10"/>
      <color indexed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u val="singleAccounting"/>
      <sz val="9"/>
      <name val="Arial"/>
      <family val="2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b/>
      <sz val="10"/>
      <color rgb="FFFF0000"/>
      <name val="Arial"/>
      <family val="2"/>
    </font>
  </fonts>
  <fills count="54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C8E98"/>
        <bgColor indexed="64"/>
      </patternFill>
    </fill>
    <fill>
      <patternFill patternType="solid">
        <fgColor rgb="FF8C91FE"/>
        <bgColor indexed="64"/>
      </patternFill>
    </fill>
    <fill>
      <patternFill patternType="solid">
        <fgColor rgb="FFEAA0C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6" tint="0.39997558519241921"/>
        <bgColor indexed="64"/>
      </patternFill>
    </fill>
  </fills>
  <borders count="10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9" fillId="3" borderId="0" applyNumberFormat="0" applyBorder="0" applyAlignment="0" applyProtection="0"/>
    <xf numFmtId="0" fontId="12" fillId="20" borderId="1" applyNumberFormat="0" applyAlignment="0" applyProtection="0"/>
    <xf numFmtId="0" fontId="17" fillId="21" borderId="2" applyNumberFormat="0" applyAlignment="0" applyProtection="0"/>
    <xf numFmtId="165" fontId="45" fillId="0" borderId="0" applyFont="0" applyFill="0" applyBorder="0" applyAlignment="0" applyProtection="0"/>
    <xf numFmtId="164" fontId="45" fillId="0" borderId="0" applyFont="0" applyFill="0" applyBorder="0" applyAlignment="0" applyProtection="0"/>
    <xf numFmtId="165" fontId="5" fillId="0" borderId="0" applyFont="0" applyFill="0" applyBorder="0" applyAlignment="0" applyProtection="0">
      <alignment vertical="center"/>
    </xf>
    <xf numFmtId="165" fontId="5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8" fillId="0" borderId="6" applyNumberFormat="0" applyFill="0" applyAlignment="0" applyProtection="0"/>
    <xf numFmtId="0" fontId="3" fillId="22" borderId="0" applyNumberFormat="0" applyBorder="0" applyAlignment="0" applyProtection="0"/>
    <xf numFmtId="0" fontId="48" fillId="0" borderId="0"/>
    <xf numFmtId="0" fontId="48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23" borderId="7" applyNumberFormat="0" applyFont="0" applyAlignment="0" applyProtection="0"/>
    <xf numFmtId="0" fontId="13" fillId="20" borderId="8" applyNumberFormat="0" applyAlignment="0" applyProtection="0"/>
    <xf numFmtId="9" fontId="45" fillId="0" borderId="0" applyFont="0" applyFill="0" applyBorder="0" applyAlignment="0" applyProtection="0"/>
    <xf numFmtId="9" fontId="51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  <xf numFmtId="0" fontId="4" fillId="0" borderId="9" applyNumberFormat="0" applyFill="0" applyAlignment="0" applyProtection="0"/>
    <xf numFmtId="0" fontId="7" fillId="0" borderId="0" applyNumberFormat="0" applyFill="0" applyBorder="0" applyAlignment="0" applyProtection="0"/>
    <xf numFmtId="0" fontId="45" fillId="0" borderId="0"/>
    <xf numFmtId="0" fontId="45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1045">
    <xf numFmtId="0" fontId="0" fillId="0" borderId="0" xfId="0"/>
    <xf numFmtId="0" fontId="0" fillId="0" borderId="0" xfId="0" applyAlignment="1">
      <alignment horizontal="center"/>
    </xf>
    <xf numFmtId="0" fontId="28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2" fontId="0" fillId="0" borderId="0" xfId="0" applyNumberFormat="1"/>
    <xf numFmtId="4" fontId="0" fillId="0" borderId="0" xfId="0" applyNumberFormat="1"/>
    <xf numFmtId="0" fontId="0" fillId="0" borderId="11" xfId="0" applyBorder="1"/>
    <xf numFmtId="2" fontId="0" fillId="0" borderId="11" xfId="0" applyNumberFormat="1" applyBorder="1"/>
    <xf numFmtId="165" fontId="0" fillId="0" borderId="11" xfId="0" applyNumberFormat="1" applyBorder="1"/>
    <xf numFmtId="0" fontId="28" fillId="0" borderId="16" xfId="0" applyFont="1" applyBorder="1" applyAlignment="1">
      <alignment horizontal="center" vertical="center" wrapText="1"/>
    </xf>
    <xf numFmtId="165" fontId="0" fillId="0" borderId="11" xfId="28" applyFont="1" applyBorder="1"/>
    <xf numFmtId="0" fontId="28" fillId="0" borderId="18" xfId="0" applyFont="1" applyBorder="1"/>
    <xf numFmtId="165" fontId="28" fillId="0" borderId="18" xfId="28" applyFont="1" applyBorder="1"/>
    <xf numFmtId="165" fontId="0" fillId="0" borderId="0" xfId="0" applyNumberFormat="1"/>
    <xf numFmtId="170" fontId="0" fillId="0" borderId="11" xfId="0" applyNumberFormat="1" applyBorder="1"/>
    <xf numFmtId="2" fontId="0" fillId="0" borderId="11" xfId="28" applyNumberFormat="1" applyFont="1" applyBorder="1"/>
    <xf numFmtId="16" fontId="0" fillId="0" borderId="11" xfId="0" applyNumberFormat="1" applyBorder="1"/>
    <xf numFmtId="2" fontId="28" fillId="0" borderId="11" xfId="0" applyNumberFormat="1" applyFont="1" applyBorder="1"/>
    <xf numFmtId="165" fontId="28" fillId="0" borderId="0" xfId="0" applyNumberFormat="1" applyFont="1"/>
    <xf numFmtId="165" fontId="28" fillId="0" borderId="18" xfId="28" applyFont="1" applyFill="1" applyBorder="1"/>
    <xf numFmtId="0" fontId="28" fillId="0" borderId="0" xfId="0" applyFont="1"/>
    <xf numFmtId="0" fontId="28" fillId="0" borderId="18" xfId="28" applyNumberFormat="1" applyFont="1" applyBorder="1"/>
    <xf numFmtId="0" fontId="27" fillId="24" borderId="11" xfId="0" quotePrefix="1" applyFont="1" applyFill="1" applyBorder="1"/>
    <xf numFmtId="0" fontId="41" fillId="0" borderId="0" xfId="0" applyFont="1"/>
    <xf numFmtId="0" fontId="42" fillId="0" borderId="0" xfId="0" applyFont="1" applyAlignment="1">
      <alignment horizontal="center" vertical="center" wrapText="1"/>
    </xf>
    <xf numFmtId="164" fontId="42" fillId="0" borderId="0" xfId="29" applyFont="1" applyFill="1" applyBorder="1" applyAlignment="1">
      <alignment horizontal="center" vertical="center" wrapText="1"/>
    </xf>
    <xf numFmtId="177" fontId="42" fillId="0" borderId="0" xfId="0" applyNumberFormat="1" applyFont="1" applyAlignment="1">
      <alignment horizontal="center" vertical="center" wrapText="1"/>
    </xf>
    <xf numFmtId="178" fontId="42" fillId="0" borderId="0" xfId="29" applyNumberFormat="1" applyFont="1" applyFill="1" applyBorder="1" applyAlignment="1">
      <alignment horizontal="center" vertical="center" wrapText="1"/>
    </xf>
    <xf numFmtId="166" fontId="42" fillId="0" borderId="0" xfId="51" applyNumberFormat="1" applyFont="1" applyFill="1" applyBorder="1" applyAlignment="1">
      <alignment horizontal="center" vertical="center" wrapText="1"/>
    </xf>
    <xf numFmtId="0" fontId="43" fillId="0" borderId="0" xfId="0" applyFont="1"/>
    <xf numFmtId="0" fontId="43" fillId="0" borderId="14" xfId="0" applyFont="1" applyBorder="1" applyAlignment="1">
      <alignment horizontal="center" vertical="center" wrapText="1"/>
    </xf>
    <xf numFmtId="164" fontId="43" fillId="0" borderId="14" xfId="29" applyFont="1" applyFill="1" applyBorder="1" applyAlignment="1">
      <alignment horizontal="center" vertical="center" wrapText="1"/>
    </xf>
    <xf numFmtId="178" fontId="42" fillId="0" borderId="11" xfId="29" applyNumberFormat="1" applyFont="1" applyFill="1" applyBorder="1" applyAlignment="1">
      <alignment horizontal="center"/>
    </xf>
    <xf numFmtId="0" fontId="42" fillId="0" borderId="0" xfId="0" applyFont="1"/>
    <xf numFmtId="0" fontId="43" fillId="25" borderId="14" xfId="0" applyFont="1" applyFill="1" applyBorder="1" applyAlignment="1">
      <alignment horizontal="center" vertical="center" wrapText="1"/>
    </xf>
    <xf numFmtId="177" fontId="43" fillId="0" borderId="14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0" fontId="42" fillId="0" borderId="11" xfId="0" applyFont="1" applyBorder="1"/>
    <xf numFmtId="164" fontId="42" fillId="0" borderId="11" xfId="29" applyFont="1" applyFill="1" applyBorder="1" applyAlignment="1">
      <alignment vertical="center"/>
    </xf>
    <xf numFmtId="177" fontId="42" fillId="0" borderId="11" xfId="0" applyNumberFormat="1" applyFont="1" applyBorder="1"/>
    <xf numFmtId="164" fontId="42" fillId="0" borderId="11" xfId="29" applyFont="1" applyFill="1" applyBorder="1" applyAlignment="1">
      <alignment horizontal="center"/>
    </xf>
    <xf numFmtId="178" fontId="42" fillId="0" borderId="11" xfId="29" applyNumberFormat="1" applyFont="1" applyFill="1" applyBorder="1" applyAlignment="1">
      <alignment vertical="center"/>
    </xf>
    <xf numFmtId="166" fontId="42" fillId="0" borderId="11" xfId="51" applyNumberFormat="1" applyFont="1" applyFill="1" applyBorder="1" applyAlignment="1">
      <alignment vertical="center"/>
    </xf>
    <xf numFmtId="0" fontId="42" fillId="0" borderId="11" xfId="0" applyFont="1" applyBorder="1" applyAlignment="1">
      <alignment wrapText="1"/>
    </xf>
    <xf numFmtId="172" fontId="39" fillId="0" borderId="11" xfId="45" applyNumberFormat="1" applyFont="1" applyBorder="1" applyAlignment="1">
      <alignment horizontal="center"/>
    </xf>
    <xf numFmtId="0" fontId="39" fillId="0" borderId="11" xfId="45" applyFont="1" applyBorder="1" applyAlignment="1">
      <alignment horizontal="center"/>
    </xf>
    <xf numFmtId="0" fontId="39" fillId="0" borderId="11" xfId="31" applyNumberFormat="1" applyFont="1" applyFill="1" applyBorder="1" applyAlignment="1">
      <alignment horizontal="center"/>
    </xf>
    <xf numFmtId="0" fontId="42" fillId="0" borderId="11" xfId="0" applyFont="1" applyBorder="1" applyAlignment="1">
      <alignment horizontal="center" vertical="center" wrapText="1"/>
    </xf>
    <xf numFmtId="9" fontId="42" fillId="0" borderId="11" xfId="0" applyNumberFormat="1" applyFont="1" applyBorder="1" applyAlignment="1">
      <alignment horizontal="center" vertical="center" wrapText="1"/>
    </xf>
    <xf numFmtId="9" fontId="42" fillId="0" borderId="11" xfId="29" applyNumberFormat="1" applyFont="1" applyFill="1" applyBorder="1" applyAlignment="1">
      <alignment vertical="center"/>
    </xf>
    <xf numFmtId="9" fontId="42" fillId="0" borderId="11" xfId="51" applyFont="1" applyFill="1" applyBorder="1" applyAlignment="1">
      <alignment vertical="center"/>
    </xf>
    <xf numFmtId="164" fontId="39" fillId="0" borderId="11" xfId="29" applyFont="1" applyFill="1" applyBorder="1" applyAlignment="1">
      <alignment horizontal="center"/>
    </xf>
    <xf numFmtId="178" fontId="39" fillId="0" borderId="11" xfId="29" applyNumberFormat="1" applyFont="1" applyFill="1" applyBorder="1" applyAlignment="1">
      <alignment horizontal="center"/>
    </xf>
    <xf numFmtId="178" fontId="42" fillId="0" borderId="11" xfId="29" applyNumberFormat="1" applyFont="1" applyBorder="1" applyAlignment="1">
      <alignment vertical="center"/>
    </xf>
    <xf numFmtId="2" fontId="42" fillId="0" borderId="11" xfId="0" applyNumberFormat="1" applyFont="1" applyBorder="1"/>
    <xf numFmtId="2" fontId="39" fillId="0" borderId="11" xfId="47" applyNumberFormat="1" applyFont="1" applyBorder="1"/>
    <xf numFmtId="178" fontId="43" fillId="0" borderId="11" xfId="29" applyNumberFormat="1" applyFont="1" applyFill="1" applyBorder="1" applyAlignment="1">
      <alignment vertical="center"/>
    </xf>
    <xf numFmtId="2" fontId="36" fillId="0" borderId="11" xfId="47" applyNumberFormat="1" applyFont="1" applyBorder="1"/>
    <xf numFmtId="2" fontId="45" fillId="0" borderId="11" xfId="44" applyNumberFormat="1" applyBorder="1"/>
    <xf numFmtId="178" fontId="42" fillId="0" borderId="0" xfId="29" applyNumberFormat="1" applyFont="1" applyFill="1" applyBorder="1" applyAlignment="1">
      <alignment vertical="center"/>
    </xf>
    <xf numFmtId="0" fontId="42" fillId="0" borderId="0" xfId="0" applyFont="1" applyAlignment="1">
      <alignment horizontal="center"/>
    </xf>
    <xf numFmtId="177" fontId="42" fillId="0" borderId="0" xfId="0" applyNumberFormat="1" applyFont="1"/>
    <xf numFmtId="172" fontId="39" fillId="0" borderId="11" xfId="43" applyNumberFormat="1" applyFont="1" applyBorder="1" applyAlignment="1">
      <alignment horizontal="center"/>
    </xf>
    <xf numFmtId="0" fontId="39" fillId="0" borderId="11" xfId="43" applyFont="1" applyBorder="1" applyAlignment="1">
      <alignment horizontal="center"/>
    </xf>
    <xf numFmtId="0" fontId="39" fillId="0" borderId="11" xfId="30" applyNumberFormat="1" applyFont="1" applyFill="1" applyBorder="1" applyAlignment="1">
      <alignment horizontal="center"/>
    </xf>
    <xf numFmtId="164" fontId="43" fillId="0" borderId="11" xfId="29" applyFont="1" applyFill="1" applyBorder="1" applyAlignment="1">
      <alignment vertical="center"/>
    </xf>
    <xf numFmtId="9" fontId="43" fillId="25" borderId="11" xfId="29" applyNumberFormat="1" applyFont="1" applyFill="1" applyBorder="1" applyAlignment="1">
      <alignment vertical="center"/>
    </xf>
    <xf numFmtId="178" fontId="43" fillId="25" borderId="11" xfId="29" applyNumberFormat="1" applyFont="1" applyFill="1" applyBorder="1" applyAlignment="1">
      <alignment vertical="center"/>
    </xf>
    <xf numFmtId="177" fontId="43" fillId="0" borderId="11" xfId="0" applyNumberFormat="1" applyFont="1" applyBorder="1"/>
    <xf numFmtId="0" fontId="43" fillId="0" borderId="11" xfId="0" applyFont="1" applyBorder="1"/>
    <xf numFmtId="164" fontId="43" fillId="25" borderId="11" xfId="29" applyFont="1" applyFill="1" applyBorder="1" applyAlignment="1">
      <alignment horizontal="center"/>
    </xf>
    <xf numFmtId="0" fontId="42" fillId="0" borderId="11" xfId="48" applyFont="1" applyBorder="1"/>
    <xf numFmtId="10" fontId="43" fillId="25" borderId="11" xfId="51" applyNumberFormat="1" applyFont="1" applyFill="1" applyBorder="1" applyAlignment="1">
      <alignment vertical="center"/>
    </xf>
    <xf numFmtId="166" fontId="43" fillId="25" borderId="11" xfId="51" applyNumberFormat="1" applyFont="1" applyFill="1" applyBorder="1" applyAlignment="1">
      <alignment vertical="center"/>
    </xf>
    <xf numFmtId="165" fontId="43" fillId="0" borderId="11" xfId="0" applyNumberFormat="1" applyFont="1" applyBorder="1" applyAlignment="1">
      <alignment horizontal="right"/>
    </xf>
    <xf numFmtId="172" fontId="39" fillId="0" borderId="0" xfId="43" applyNumberFormat="1" applyFont="1" applyAlignment="1">
      <alignment horizontal="center"/>
    </xf>
    <xf numFmtId="0" fontId="39" fillId="0" borderId="0" xfId="43" applyFont="1" applyAlignment="1">
      <alignment horizontal="center"/>
    </xf>
    <xf numFmtId="0" fontId="39" fillId="0" borderId="0" xfId="30" applyNumberFormat="1" applyFont="1" applyFill="1" applyBorder="1" applyAlignment="1">
      <alignment horizontal="center"/>
    </xf>
    <xf numFmtId="164" fontId="42" fillId="0" borderId="0" xfId="29" applyFont="1" applyFill="1" applyBorder="1" applyAlignment="1">
      <alignment vertical="center"/>
    </xf>
    <xf numFmtId="164" fontId="42" fillId="0" borderId="0" xfId="29" applyFont="1" applyFill="1" applyBorder="1" applyAlignment="1">
      <alignment horizontal="center"/>
    </xf>
    <xf numFmtId="178" fontId="42" fillId="0" borderId="0" xfId="29" applyNumberFormat="1" applyFont="1" applyFill="1" applyBorder="1" applyAlignment="1">
      <alignment horizontal="center"/>
    </xf>
    <xf numFmtId="165" fontId="43" fillId="0" borderId="0" xfId="0" applyNumberFormat="1" applyFont="1" applyAlignment="1">
      <alignment horizontal="right"/>
    </xf>
    <xf numFmtId="178" fontId="43" fillId="0" borderId="0" xfId="29" applyNumberFormat="1" applyFont="1" applyFill="1" applyBorder="1" applyAlignment="1">
      <alignment horizontal="right"/>
    </xf>
    <xf numFmtId="166" fontId="43" fillId="0" borderId="0" xfId="51" applyNumberFormat="1" applyFont="1" applyFill="1" applyBorder="1" applyAlignment="1">
      <alignment vertical="center"/>
    </xf>
    <xf numFmtId="0" fontId="42" fillId="0" borderId="0" xfId="0" applyFont="1" applyAlignment="1">
      <alignment wrapText="1"/>
    </xf>
    <xf numFmtId="0" fontId="43" fillId="0" borderId="0" xfId="51" applyNumberFormat="1" applyFont="1" applyFill="1" applyBorder="1" applyAlignment="1">
      <alignment vertical="center"/>
    </xf>
    <xf numFmtId="165" fontId="42" fillId="0" borderId="0" xfId="29" applyNumberFormat="1" applyFont="1" applyFill="1" applyBorder="1" applyAlignment="1">
      <alignment horizontal="center" vertical="center" wrapText="1"/>
    </xf>
    <xf numFmtId="165" fontId="43" fillId="0" borderId="14" xfId="0" applyNumberFormat="1" applyFont="1" applyBorder="1" applyAlignment="1">
      <alignment horizontal="center" vertical="center" wrapText="1"/>
    </xf>
    <xf numFmtId="165" fontId="42" fillId="0" borderId="11" xfId="29" applyNumberFormat="1" applyFont="1" applyFill="1" applyBorder="1" applyAlignment="1">
      <alignment vertical="center"/>
    </xf>
    <xf numFmtId="165" fontId="42" fillId="0" borderId="0" xfId="0" applyNumberFormat="1" applyFont="1"/>
    <xf numFmtId="165" fontId="43" fillId="25" borderId="11" xfId="29" applyNumberFormat="1" applyFont="1" applyFill="1" applyBorder="1" applyAlignment="1">
      <alignment vertical="center"/>
    </xf>
    <xf numFmtId="165" fontId="43" fillId="0" borderId="11" xfId="29" applyNumberFormat="1" applyFont="1" applyFill="1" applyBorder="1" applyAlignment="1">
      <alignment vertical="center"/>
    </xf>
    <xf numFmtId="165" fontId="42" fillId="0" borderId="0" xfId="29" applyNumberFormat="1" applyFont="1" applyFill="1" applyBorder="1" applyAlignment="1">
      <alignment vertical="center"/>
    </xf>
    <xf numFmtId="179" fontId="50" fillId="0" borderId="11" xfId="29" applyNumberFormat="1" applyFont="1" applyFill="1" applyBorder="1" applyAlignment="1">
      <alignment vertical="center"/>
    </xf>
    <xf numFmtId="166" fontId="50" fillId="0" borderId="0" xfId="52" applyNumberFormat="1" applyFont="1" applyFill="1" applyBorder="1" applyAlignment="1">
      <alignment vertical="center"/>
    </xf>
    <xf numFmtId="178" fontId="49" fillId="0" borderId="11" xfId="29" applyNumberFormat="1" applyFont="1" applyFill="1" applyBorder="1" applyAlignment="1">
      <alignment vertical="center"/>
    </xf>
    <xf numFmtId="10" fontId="50" fillId="25" borderId="11" xfId="51" applyNumberFormat="1" applyFont="1" applyFill="1" applyBorder="1"/>
    <xf numFmtId="165" fontId="0" fillId="0" borderId="11" xfId="28" applyFont="1" applyFill="1" applyBorder="1"/>
    <xf numFmtId="2" fontId="0" fillId="0" borderId="11" xfId="28" applyNumberFormat="1" applyFont="1" applyFill="1" applyBorder="1"/>
    <xf numFmtId="10" fontId="42" fillId="0" borderId="0" xfId="0" applyNumberFormat="1" applyFont="1"/>
    <xf numFmtId="15" fontId="43" fillId="0" borderId="0" xfId="0" applyNumberFormat="1" applyFont="1"/>
    <xf numFmtId="172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7" fontId="0" fillId="0" borderId="0" xfId="28" applyNumberFormat="1" applyFont="1"/>
    <xf numFmtId="1" fontId="0" fillId="0" borderId="0" xfId="0" applyNumberFormat="1" applyAlignment="1">
      <alignment horizontal="center" vertical="center"/>
    </xf>
    <xf numFmtId="165" fontId="0" fillId="0" borderId="11" xfId="28" applyFont="1" applyBorder="1" applyProtection="1">
      <protection locked="0"/>
    </xf>
    <xf numFmtId="165" fontId="0" fillId="0" borderId="11" xfId="28" applyFont="1" applyFill="1" applyBorder="1" applyProtection="1">
      <protection locked="0"/>
    </xf>
    <xf numFmtId="167" fontId="0" fillId="0" borderId="11" xfId="28" applyNumberFormat="1" applyFont="1" applyBorder="1" applyAlignment="1" applyProtection="1">
      <alignment vertical="center"/>
      <protection locked="0"/>
    </xf>
    <xf numFmtId="165" fontId="27" fillId="24" borderId="33" xfId="28" applyFont="1" applyFill="1" applyBorder="1" applyAlignment="1" applyProtection="1">
      <alignment horizontal="center" vertical="center"/>
    </xf>
    <xf numFmtId="165" fontId="27" fillId="24" borderId="34" xfId="28" applyFont="1" applyFill="1" applyBorder="1" applyAlignment="1" applyProtection="1">
      <alignment horizontal="center" vertical="center"/>
    </xf>
    <xf numFmtId="165" fontId="27" fillId="24" borderId="35" xfId="28" applyFont="1" applyFill="1" applyBorder="1" applyAlignment="1" applyProtection="1">
      <alignment horizontal="center" vertical="center"/>
    </xf>
    <xf numFmtId="165" fontId="27" fillId="24" borderId="36" xfId="28" applyFont="1" applyFill="1" applyBorder="1" applyAlignment="1" applyProtection="1">
      <alignment horizontal="center" vertical="center"/>
    </xf>
    <xf numFmtId="166" fontId="27" fillId="24" borderId="37" xfId="51" applyNumberFormat="1" applyFont="1" applyFill="1" applyBorder="1" applyAlignment="1" applyProtection="1">
      <alignment horizontal="center" vertical="center"/>
    </xf>
    <xf numFmtId="166" fontId="27" fillId="24" borderId="30" xfId="51" applyNumberFormat="1" applyFont="1" applyFill="1" applyBorder="1" applyAlignment="1" applyProtection="1">
      <alignment horizontal="center" vertical="center"/>
    </xf>
    <xf numFmtId="166" fontId="27" fillId="24" borderId="38" xfId="51" applyNumberFormat="1" applyFont="1" applyFill="1" applyBorder="1" applyAlignment="1" applyProtection="1">
      <alignment horizontal="center" vertical="center"/>
    </xf>
    <xf numFmtId="165" fontId="27" fillId="24" borderId="39" xfId="28" applyFont="1" applyFill="1" applyBorder="1" applyAlignment="1" applyProtection="1">
      <alignment horizontal="center" vertical="center"/>
    </xf>
    <xf numFmtId="165" fontId="27" fillId="24" borderId="39" xfId="28" applyFont="1" applyFill="1" applyBorder="1" applyAlignment="1" applyProtection="1">
      <alignment horizontal="center"/>
    </xf>
    <xf numFmtId="165" fontId="27" fillId="24" borderId="40" xfId="28" applyFont="1" applyFill="1" applyBorder="1" applyAlignment="1" applyProtection="1">
      <alignment horizontal="center"/>
    </xf>
    <xf numFmtId="166" fontId="27" fillId="24" borderId="41" xfId="51" applyNumberFormat="1" applyFont="1" applyFill="1" applyBorder="1" applyAlignment="1" applyProtection="1">
      <alignment horizontal="center" vertical="center"/>
    </xf>
    <xf numFmtId="165" fontId="23" fillId="24" borderId="0" xfId="28" applyFont="1" applyFill="1" applyProtection="1"/>
    <xf numFmtId="165" fontId="27" fillId="24" borderId="15" xfId="28" applyFont="1" applyFill="1" applyBorder="1" applyAlignment="1" applyProtection="1">
      <alignment horizontal="center" vertical="center"/>
    </xf>
    <xf numFmtId="165" fontId="27" fillId="24" borderId="42" xfId="28" applyFont="1" applyFill="1" applyBorder="1" applyAlignment="1" applyProtection="1">
      <alignment horizontal="center" vertical="center"/>
    </xf>
    <xf numFmtId="166" fontId="27" fillId="24" borderId="36" xfId="51" applyNumberFormat="1" applyFont="1" applyFill="1" applyBorder="1" applyAlignment="1" applyProtection="1">
      <alignment horizontal="center" vertical="center"/>
    </xf>
    <xf numFmtId="166" fontId="27" fillId="24" borderId="15" xfId="51" applyNumberFormat="1" applyFont="1" applyFill="1" applyBorder="1" applyAlignment="1" applyProtection="1">
      <alignment horizontal="center" vertical="center"/>
    </xf>
    <xf numFmtId="166" fontId="27" fillId="24" borderId="35" xfId="51" applyNumberFormat="1" applyFont="1" applyFill="1" applyBorder="1" applyAlignment="1" applyProtection="1">
      <alignment horizontal="center" vertical="center"/>
    </xf>
    <xf numFmtId="165" fontId="27" fillId="24" borderId="36" xfId="28" applyFont="1" applyFill="1" applyBorder="1" applyAlignment="1" applyProtection="1">
      <alignment horizontal="center"/>
    </xf>
    <xf numFmtId="165" fontId="27" fillId="24" borderId="43" xfId="28" applyFont="1" applyFill="1" applyBorder="1" applyAlignment="1" applyProtection="1">
      <alignment horizontal="center"/>
    </xf>
    <xf numFmtId="165" fontId="27" fillId="24" borderId="11" xfId="28" applyFont="1" applyFill="1" applyBorder="1" applyAlignment="1" applyProtection="1">
      <alignment horizontal="center"/>
    </xf>
    <xf numFmtId="165" fontId="27" fillId="24" borderId="44" xfId="28" applyFont="1" applyFill="1" applyBorder="1" applyAlignment="1" applyProtection="1">
      <alignment horizontal="center"/>
    </xf>
    <xf numFmtId="165" fontId="27" fillId="24" borderId="38" xfId="28" applyFont="1" applyFill="1" applyBorder="1" applyAlignment="1" applyProtection="1">
      <alignment horizontal="center"/>
    </xf>
    <xf numFmtId="0" fontId="27" fillId="24" borderId="45" xfId="0" applyFont="1" applyFill="1" applyBorder="1" applyAlignment="1">
      <alignment horizontal="left"/>
    </xf>
    <xf numFmtId="0" fontId="27" fillId="24" borderId="46" xfId="0" applyFont="1" applyFill="1" applyBorder="1" applyAlignment="1">
      <alignment horizontal="left"/>
    </xf>
    <xf numFmtId="0" fontId="27" fillId="24" borderId="47" xfId="0" applyFont="1" applyFill="1" applyBorder="1" applyAlignment="1">
      <alignment horizontal="left"/>
    </xf>
    <xf numFmtId="165" fontId="27" fillId="24" borderId="27" xfId="0" applyNumberFormat="1" applyFont="1" applyFill="1" applyBorder="1" applyAlignment="1">
      <alignment horizontal="left"/>
    </xf>
    <xf numFmtId="165" fontId="27" fillId="24" borderId="21" xfId="28" applyFont="1" applyFill="1" applyBorder="1" applyAlignment="1" applyProtection="1">
      <alignment horizontal="right" vertical="center"/>
    </xf>
    <xf numFmtId="0" fontId="27" fillId="24" borderId="48" xfId="0" applyFont="1" applyFill="1" applyBorder="1" applyAlignment="1">
      <alignment horizontal="center"/>
    </xf>
    <xf numFmtId="165" fontId="27" fillId="24" borderId="17" xfId="28" applyFont="1" applyFill="1" applyBorder="1" applyAlignment="1" applyProtection="1">
      <alignment horizontal="right" vertical="center"/>
    </xf>
    <xf numFmtId="0" fontId="27" fillId="24" borderId="49" xfId="0" applyFont="1" applyFill="1" applyBorder="1" applyAlignment="1">
      <alignment horizontal="center"/>
    </xf>
    <xf numFmtId="165" fontId="27" fillId="0" borderId="11" xfId="28" applyFont="1" applyFill="1" applyBorder="1" applyAlignment="1" applyProtection="1">
      <alignment horizontal="right"/>
    </xf>
    <xf numFmtId="0" fontId="27" fillId="24" borderId="50" xfId="0" applyFont="1" applyFill="1" applyBorder="1" applyAlignment="1">
      <alignment horizontal="center"/>
    </xf>
    <xf numFmtId="165" fontId="27" fillId="24" borderId="11" xfId="28" applyFont="1" applyFill="1" applyBorder="1" applyAlignment="1" applyProtection="1">
      <alignment horizontal="right" vertical="center"/>
    </xf>
    <xf numFmtId="165" fontId="23" fillId="20" borderId="11" xfId="28" applyFont="1" applyFill="1" applyBorder="1" applyAlignment="1" applyProtection="1">
      <alignment horizontal="right"/>
    </xf>
    <xf numFmtId="165" fontId="27" fillId="24" borderId="11" xfId="28" applyFont="1" applyFill="1" applyBorder="1" applyAlignment="1" applyProtection="1">
      <alignment horizontal="right"/>
    </xf>
    <xf numFmtId="174" fontId="27" fillId="24" borderId="11" xfId="28" applyNumberFormat="1" applyFont="1" applyFill="1" applyBorder="1" applyAlignment="1" applyProtection="1">
      <alignment horizontal="right"/>
    </xf>
    <xf numFmtId="39" fontId="27" fillId="24" borderId="11" xfId="28" applyNumberFormat="1" applyFont="1" applyFill="1" applyBorder="1" applyAlignment="1" applyProtection="1">
      <alignment horizontal="right"/>
    </xf>
    <xf numFmtId="165" fontId="27" fillId="24" borderId="14" xfId="28" applyFont="1" applyFill="1" applyBorder="1" applyAlignment="1" applyProtection="1">
      <alignment horizontal="right"/>
    </xf>
    <xf numFmtId="0" fontId="27" fillId="24" borderId="51" xfId="0" applyFont="1" applyFill="1" applyBorder="1" applyAlignment="1">
      <alignment horizontal="center"/>
    </xf>
    <xf numFmtId="165" fontId="27" fillId="24" borderId="23" xfId="0" applyNumberFormat="1" applyFont="1" applyFill="1" applyBorder="1" applyAlignment="1">
      <alignment horizontal="right"/>
    </xf>
    <xf numFmtId="0" fontId="27" fillId="24" borderId="24" xfId="0" applyFont="1" applyFill="1" applyBorder="1" applyAlignment="1">
      <alignment horizontal="center"/>
    </xf>
    <xf numFmtId="165" fontId="27" fillId="24" borderId="11" xfId="28" applyFont="1" applyFill="1" applyBorder="1" applyProtection="1"/>
    <xf numFmtId="165" fontId="27" fillId="24" borderId="14" xfId="28" applyFont="1" applyFill="1" applyBorder="1" applyProtection="1"/>
    <xf numFmtId="165" fontId="23" fillId="20" borderId="11" xfId="28" applyFont="1" applyFill="1" applyBorder="1" applyProtection="1"/>
    <xf numFmtId="165" fontId="27" fillId="24" borderId="50" xfId="28" applyFont="1" applyFill="1" applyBorder="1" applyAlignment="1" applyProtection="1">
      <alignment horizontal="center"/>
    </xf>
    <xf numFmtId="165" fontId="27" fillId="24" borderId="21" xfId="28" applyFont="1" applyFill="1" applyBorder="1" applyAlignment="1" applyProtection="1">
      <alignment horizontal="center"/>
    </xf>
    <xf numFmtId="165" fontId="27" fillId="24" borderId="48" xfId="28" applyFont="1" applyFill="1" applyBorder="1" applyAlignment="1" applyProtection="1">
      <alignment horizontal="center"/>
    </xf>
    <xf numFmtId="166" fontId="27" fillId="24" borderId="23" xfId="51" applyNumberFormat="1" applyFont="1" applyFill="1" applyBorder="1" applyProtection="1"/>
    <xf numFmtId="166" fontId="27" fillId="24" borderId="24" xfId="51" applyNumberFormat="1" applyFont="1" applyFill="1" applyBorder="1" applyProtection="1"/>
    <xf numFmtId="0" fontId="20" fillId="0" borderId="0" xfId="0" applyFont="1"/>
    <xf numFmtId="0" fontId="23" fillId="24" borderId="0" xfId="0" applyFont="1" applyFill="1"/>
    <xf numFmtId="0" fontId="21" fillId="0" borderId="0" xfId="0" applyFont="1"/>
    <xf numFmtId="0" fontId="22" fillId="0" borderId="0" xfId="0" applyFont="1"/>
    <xf numFmtId="0" fontId="24" fillId="24" borderId="0" xfId="0" applyFont="1" applyFill="1"/>
    <xf numFmtId="165" fontId="25" fillId="24" borderId="0" xfId="28" applyFont="1" applyFill="1" applyAlignment="1" applyProtection="1">
      <alignment horizontal="right"/>
    </xf>
    <xf numFmtId="0" fontId="26" fillId="24" borderId="0" xfId="0" applyFont="1" applyFill="1"/>
    <xf numFmtId="165" fontId="23" fillId="24" borderId="0" xfId="0" applyNumberFormat="1" applyFont="1" applyFill="1"/>
    <xf numFmtId="0" fontId="27" fillId="24" borderId="33" xfId="0" applyFont="1" applyFill="1" applyBorder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42" xfId="0" applyFont="1" applyFill="1" applyBorder="1" applyAlignment="1">
      <alignment horizontal="center" vertical="center"/>
    </xf>
    <xf numFmtId="0" fontId="27" fillId="24" borderId="52" xfId="0" applyFont="1" applyFill="1" applyBorder="1" applyAlignment="1">
      <alignment horizontal="center"/>
    </xf>
    <xf numFmtId="0" fontId="27" fillId="24" borderId="42" xfId="0" applyFont="1" applyFill="1" applyBorder="1" applyAlignment="1">
      <alignment horizontal="center" wrapText="1"/>
    </xf>
    <xf numFmtId="0" fontId="27" fillId="24" borderId="33" xfId="0" applyFont="1" applyFill="1" applyBorder="1" applyAlignment="1">
      <alignment horizontal="center"/>
    </xf>
    <xf numFmtId="0" fontId="27" fillId="24" borderId="15" xfId="0" applyFont="1" applyFill="1" applyBorder="1" applyAlignment="1">
      <alignment horizontal="center"/>
    </xf>
    <xf numFmtId="0" fontId="27" fillId="24" borderId="35" xfId="0" applyFont="1" applyFill="1" applyBorder="1" applyAlignment="1">
      <alignment horizontal="center"/>
    </xf>
    <xf numFmtId="165" fontId="27" fillId="24" borderId="11" xfId="0" applyNumberFormat="1" applyFont="1" applyFill="1" applyBorder="1" applyAlignment="1">
      <alignment horizontal="center"/>
    </xf>
    <xf numFmtId="0" fontId="27" fillId="24" borderId="53" xfId="0" applyFont="1" applyFill="1" applyBorder="1" applyAlignment="1">
      <alignment horizontal="left" vertical="center"/>
    </xf>
    <xf numFmtId="0" fontId="27" fillId="24" borderId="54" xfId="0" quotePrefix="1" applyFont="1" applyFill="1" applyBorder="1"/>
    <xf numFmtId="0" fontId="27" fillId="24" borderId="35" xfId="0" applyFont="1" applyFill="1" applyBorder="1" applyAlignment="1">
      <alignment vertical="center" wrapText="1"/>
    </xf>
    <xf numFmtId="0" fontId="27" fillId="24" borderId="30" xfId="0" applyFont="1" applyFill="1" applyBorder="1" applyAlignment="1">
      <alignment horizontal="left" vertical="center"/>
    </xf>
    <xf numFmtId="0" fontId="27" fillId="24" borderId="41" xfId="0" applyFont="1" applyFill="1" applyBorder="1" applyAlignment="1">
      <alignment vertical="center" wrapText="1"/>
    </xf>
    <xf numFmtId="0" fontId="27" fillId="24" borderId="55" xfId="0" applyFont="1" applyFill="1" applyBorder="1" applyAlignment="1">
      <alignment horizontal="left" vertical="center"/>
    </xf>
    <xf numFmtId="0" fontId="27" fillId="24" borderId="54" xfId="0" applyFont="1" applyFill="1" applyBorder="1" applyAlignment="1">
      <alignment horizontal="center"/>
    </xf>
    <xf numFmtId="0" fontId="27" fillId="24" borderId="54" xfId="0" applyFont="1" applyFill="1" applyBorder="1"/>
    <xf numFmtId="0" fontId="27" fillId="24" borderId="56" xfId="0" applyFont="1" applyFill="1" applyBorder="1" applyAlignment="1">
      <alignment horizontal="center" vertical="center"/>
    </xf>
    <xf numFmtId="0" fontId="27" fillId="24" borderId="46" xfId="0" applyFont="1" applyFill="1" applyBorder="1" applyAlignment="1">
      <alignment horizontal="left" vertical="center"/>
    </xf>
    <xf numFmtId="0" fontId="27" fillId="24" borderId="29" xfId="0" applyFont="1" applyFill="1" applyBorder="1" applyAlignment="1">
      <alignment horizontal="center"/>
    </xf>
    <xf numFmtId="0" fontId="27" fillId="24" borderId="0" xfId="0" applyFont="1" applyFill="1"/>
    <xf numFmtId="0" fontId="27" fillId="24" borderId="0" xfId="0" applyFont="1" applyFill="1" applyAlignment="1">
      <alignment horizontal="center" vertical="center" wrapText="1"/>
    </xf>
    <xf numFmtId="0" fontId="27" fillId="24" borderId="0" xfId="0" applyFont="1" applyFill="1" applyAlignment="1">
      <alignment horizontal="center"/>
    </xf>
    <xf numFmtId="0" fontId="27" fillId="24" borderId="37" xfId="0" applyFont="1" applyFill="1" applyBorder="1" applyAlignment="1">
      <alignment horizontal="center"/>
    </xf>
    <xf numFmtId="0" fontId="27" fillId="24" borderId="41" xfId="0" applyFont="1" applyFill="1" applyBorder="1" applyAlignment="1">
      <alignment horizontal="center"/>
    </xf>
    <xf numFmtId="0" fontId="23" fillId="24" borderId="33" xfId="0" applyFont="1" applyFill="1" applyBorder="1"/>
    <xf numFmtId="0" fontId="23" fillId="24" borderId="42" xfId="0" applyFont="1" applyFill="1" applyBorder="1"/>
    <xf numFmtId="0" fontId="27" fillId="24" borderId="15" xfId="0" applyFont="1" applyFill="1" applyBorder="1"/>
    <xf numFmtId="0" fontId="27" fillId="24" borderId="42" xfId="0" applyFont="1" applyFill="1" applyBorder="1" applyAlignment="1">
      <alignment horizontal="center"/>
    </xf>
    <xf numFmtId="165" fontId="23" fillId="24" borderId="0" xfId="28" applyFont="1" applyFill="1" applyBorder="1" applyProtection="1"/>
    <xf numFmtId="0" fontId="23" fillId="24" borderId="57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7" fillId="24" borderId="10" xfId="0" applyFont="1" applyFill="1" applyBorder="1" applyAlignment="1">
      <alignment horizontal="center"/>
    </xf>
    <xf numFmtId="165" fontId="27" fillId="24" borderId="0" xfId="28" applyFont="1" applyFill="1" applyBorder="1" applyProtection="1"/>
    <xf numFmtId="0" fontId="27" fillId="24" borderId="12" xfId="0" applyFont="1" applyFill="1" applyBorder="1" applyAlignment="1">
      <alignment horizontal="center"/>
    </xf>
    <xf numFmtId="0" fontId="27" fillId="24" borderId="58" xfId="0" applyFont="1" applyFill="1" applyBorder="1" applyAlignment="1">
      <alignment horizontal="center"/>
    </xf>
    <xf numFmtId="165" fontId="27" fillId="24" borderId="23" xfId="0" applyNumberFormat="1" applyFont="1" applyFill="1" applyBorder="1"/>
    <xf numFmtId="2" fontId="23" fillId="24" borderId="0" xfId="0" applyNumberFormat="1" applyFont="1" applyFill="1"/>
    <xf numFmtId="0" fontId="27" fillId="24" borderId="59" xfId="0" applyFont="1" applyFill="1" applyBorder="1"/>
    <xf numFmtId="0" fontId="27" fillId="24" borderId="60" xfId="0" applyFont="1" applyFill="1" applyBorder="1" applyAlignment="1">
      <alignment horizontal="left"/>
    </xf>
    <xf numFmtId="0" fontId="23" fillId="24" borderId="60" xfId="0" applyFont="1" applyFill="1" applyBorder="1"/>
    <xf numFmtId="165" fontId="23" fillId="24" borderId="60" xfId="28" applyFont="1" applyFill="1" applyBorder="1" applyProtection="1"/>
    <xf numFmtId="0" fontId="23" fillId="24" borderId="32" xfId="0" applyFont="1" applyFill="1" applyBorder="1"/>
    <xf numFmtId="0" fontId="23" fillId="24" borderId="11" xfId="0" applyFont="1" applyFill="1" applyBorder="1"/>
    <xf numFmtId="165" fontId="23" fillId="24" borderId="11" xfId="0" applyNumberFormat="1" applyFont="1" applyFill="1" applyBorder="1"/>
    <xf numFmtId="166" fontId="23" fillId="24" borderId="11" xfId="51" applyNumberFormat="1" applyFont="1" applyFill="1" applyBorder="1" applyProtection="1"/>
    <xf numFmtId="0" fontId="27" fillId="24" borderId="29" xfId="0" applyFont="1" applyFill="1" applyBorder="1"/>
    <xf numFmtId="0" fontId="27" fillId="24" borderId="0" xfId="0" applyFont="1" applyFill="1" applyAlignment="1">
      <alignment horizontal="left"/>
    </xf>
    <xf numFmtId="0" fontId="23" fillId="24" borderId="61" xfId="0" applyFont="1" applyFill="1" applyBorder="1"/>
    <xf numFmtId="0" fontId="23" fillId="24" borderId="29" xfId="0" applyFont="1" applyFill="1" applyBorder="1"/>
    <xf numFmtId="0" fontId="23" fillId="24" borderId="31" xfId="0" applyFont="1" applyFill="1" applyBorder="1"/>
    <xf numFmtId="0" fontId="27" fillId="24" borderId="62" xfId="0" applyFont="1" applyFill="1" applyBorder="1"/>
    <xf numFmtId="165" fontId="27" fillId="24" borderId="62" xfId="28" applyFont="1" applyFill="1" applyBorder="1" applyProtection="1"/>
    <xf numFmtId="0" fontId="23" fillId="24" borderId="16" xfId="0" applyFont="1" applyFill="1" applyBorder="1"/>
    <xf numFmtId="0" fontId="27" fillId="24" borderId="15" xfId="0" applyFont="1" applyFill="1" applyBorder="1" applyAlignment="1">
      <alignment horizontal="center" wrapText="1"/>
    </xf>
    <xf numFmtId="2" fontId="42" fillId="0" borderId="11" xfId="51" applyNumberFormat="1" applyFont="1" applyFill="1" applyBorder="1" applyAlignment="1">
      <alignment vertical="center"/>
    </xf>
    <xf numFmtId="165" fontId="27" fillId="24" borderId="17" xfId="0" applyNumberFormat="1" applyFont="1" applyFill="1" applyBorder="1" applyAlignment="1">
      <alignment horizontal="left"/>
    </xf>
    <xf numFmtId="0" fontId="27" fillId="24" borderId="14" xfId="0" applyFont="1" applyFill="1" applyBorder="1" applyAlignment="1">
      <alignment horizontal="left"/>
    </xf>
    <xf numFmtId="165" fontId="27" fillId="24" borderId="10" xfId="0" applyNumberFormat="1" applyFont="1" applyFill="1" applyBorder="1" applyAlignment="1">
      <alignment horizontal="left"/>
    </xf>
    <xf numFmtId="0" fontId="27" fillId="24" borderId="63" xfId="0" applyFont="1" applyFill="1" applyBorder="1" applyAlignment="1" applyProtection="1">
      <alignment horizontal="left" vertical="center"/>
      <protection locked="0"/>
    </xf>
    <xf numFmtId="165" fontId="27" fillId="24" borderId="61" xfId="28" applyFont="1" applyFill="1" applyBorder="1" applyAlignment="1" applyProtection="1">
      <alignment horizontal="center" vertical="center"/>
      <protection locked="0"/>
    </xf>
    <xf numFmtId="165" fontId="27" fillId="24" borderId="63" xfId="28" applyFont="1" applyFill="1" applyBorder="1" applyAlignment="1" applyProtection="1">
      <alignment horizontal="center" vertical="center"/>
      <protection locked="0"/>
    </xf>
    <xf numFmtId="165" fontId="27" fillId="24" borderId="43" xfId="28" applyFont="1" applyFill="1" applyBorder="1" applyAlignment="1" applyProtection="1">
      <alignment horizontal="center" vertical="center"/>
      <protection locked="0"/>
    </xf>
    <xf numFmtId="165" fontId="27" fillId="24" borderId="44" xfId="28" applyFont="1" applyFill="1" applyBorder="1" applyAlignment="1" applyProtection="1">
      <protection locked="0"/>
    </xf>
    <xf numFmtId="165" fontId="27" fillId="24" borderId="44" xfId="28" applyFont="1" applyFill="1" applyBorder="1" applyAlignment="1" applyProtection="1">
      <alignment horizontal="center"/>
      <protection locked="0"/>
    </xf>
    <xf numFmtId="165" fontId="27" fillId="24" borderId="56" xfId="51" applyNumberFormat="1" applyFont="1" applyFill="1" applyBorder="1" applyAlignment="1" applyProtection="1">
      <alignment horizontal="center" vertical="center"/>
      <protection locked="0"/>
    </xf>
    <xf numFmtId="165" fontId="27" fillId="24" borderId="55" xfId="51" applyNumberFormat="1" applyFont="1" applyFill="1" applyBorder="1" applyAlignment="1" applyProtection="1">
      <alignment horizontal="center" vertical="center"/>
      <protection locked="0"/>
    </xf>
    <xf numFmtId="165" fontId="27" fillId="24" borderId="65" xfId="51" applyNumberFormat="1" applyFont="1" applyFill="1" applyBorder="1" applyAlignment="1" applyProtection="1">
      <alignment horizontal="center" vertical="center"/>
      <protection locked="0"/>
    </xf>
    <xf numFmtId="165" fontId="27" fillId="24" borderId="44" xfId="28" applyFont="1" applyFill="1" applyBorder="1" applyAlignment="1" applyProtection="1">
      <alignment horizontal="center" vertical="center"/>
      <protection locked="0"/>
    </xf>
    <xf numFmtId="165" fontId="27" fillId="24" borderId="0" xfId="28" applyFont="1" applyFill="1" applyBorder="1" applyAlignment="1" applyProtection="1">
      <alignment horizontal="center" vertical="center"/>
      <protection locked="0"/>
    </xf>
    <xf numFmtId="165" fontId="23" fillId="24" borderId="44" xfId="28" applyFont="1" applyFill="1" applyBorder="1" applyProtection="1">
      <protection locked="0"/>
    </xf>
    <xf numFmtId="165" fontId="27" fillId="24" borderId="10" xfId="28" applyFont="1" applyFill="1" applyBorder="1" applyAlignment="1" applyProtection="1">
      <alignment horizontal="center"/>
      <protection locked="0"/>
    </xf>
    <xf numFmtId="165" fontId="27" fillId="24" borderId="11" xfId="0" applyNumberFormat="1" applyFont="1" applyFill="1" applyBorder="1" applyAlignment="1" applyProtection="1">
      <alignment horizontal="center"/>
      <protection locked="0"/>
    </xf>
    <xf numFmtId="0" fontId="27" fillId="24" borderId="11" xfId="0" quotePrefix="1" applyFont="1" applyFill="1" applyBorder="1" applyAlignment="1" applyProtection="1">
      <alignment wrapText="1"/>
      <protection locked="0"/>
    </xf>
    <xf numFmtId="165" fontId="27" fillId="24" borderId="28" xfId="28" applyFont="1" applyFill="1" applyBorder="1" applyAlignment="1" applyProtection="1">
      <alignment horizontal="center"/>
      <protection locked="0"/>
    </xf>
    <xf numFmtId="0" fontId="27" fillId="24" borderId="14" xfId="0" applyFont="1" applyFill="1" applyBorder="1" applyAlignment="1" applyProtection="1">
      <alignment horizontal="center"/>
      <protection locked="0"/>
    </xf>
    <xf numFmtId="0" fontId="27" fillId="24" borderId="13" xfId="0" quotePrefix="1" applyFont="1" applyFill="1" applyBorder="1" applyAlignment="1" applyProtection="1">
      <alignment wrapText="1"/>
      <protection locked="0"/>
    </xf>
    <xf numFmtId="0" fontId="46" fillId="24" borderId="14" xfId="0" quotePrefix="1" applyFont="1" applyFill="1" applyBorder="1" applyAlignment="1" applyProtection="1">
      <alignment wrapText="1"/>
      <protection locked="0"/>
    </xf>
    <xf numFmtId="2" fontId="27" fillId="24" borderId="0" xfId="0" applyNumberFormat="1" applyFont="1" applyFill="1" applyAlignment="1" applyProtection="1">
      <alignment horizontal="right"/>
      <protection locked="0"/>
    </xf>
    <xf numFmtId="165" fontId="27" fillId="24" borderId="12" xfId="28" applyFont="1" applyFill="1" applyBorder="1" applyAlignment="1" applyProtection="1">
      <alignment horizontal="center"/>
      <protection locked="0"/>
    </xf>
    <xf numFmtId="0" fontId="27" fillId="24" borderId="11" xfId="0" applyFont="1" applyFill="1" applyBorder="1" applyAlignment="1" applyProtection="1">
      <alignment horizontal="center"/>
      <protection locked="0"/>
    </xf>
    <xf numFmtId="165" fontId="27" fillId="24" borderId="21" xfId="0" applyNumberFormat="1" applyFont="1" applyFill="1" applyBorder="1" applyAlignment="1" applyProtection="1">
      <alignment horizontal="left"/>
      <protection locked="0"/>
    </xf>
    <xf numFmtId="165" fontId="27" fillId="24" borderId="11" xfId="0" applyNumberFormat="1" applyFont="1" applyFill="1" applyBorder="1" applyAlignment="1" applyProtection="1">
      <alignment horizontal="left"/>
      <protection locked="0"/>
    </xf>
    <xf numFmtId="165" fontId="27" fillId="24" borderId="11" xfId="0" applyNumberFormat="1" applyFont="1" applyFill="1" applyBorder="1" applyAlignment="1" applyProtection="1">
      <alignment horizontal="right"/>
      <protection locked="0"/>
    </xf>
    <xf numFmtId="165" fontId="27" fillId="24" borderId="23" xfId="0" applyNumberFormat="1" applyFont="1" applyFill="1" applyBorder="1" applyAlignment="1" applyProtection="1">
      <alignment horizontal="left"/>
      <protection locked="0"/>
    </xf>
    <xf numFmtId="165" fontId="27" fillId="24" borderId="64" xfId="0" applyNumberFormat="1" applyFont="1" applyFill="1" applyBorder="1" applyAlignment="1" applyProtection="1">
      <alignment horizontal="left"/>
      <protection locked="0"/>
    </xf>
    <xf numFmtId="165" fontId="27" fillId="24" borderId="14" xfId="0" applyNumberFormat="1" applyFont="1" applyFill="1" applyBorder="1" applyAlignment="1" applyProtection="1">
      <alignment horizontal="left"/>
      <protection locked="0"/>
    </xf>
    <xf numFmtId="165" fontId="27" fillId="24" borderId="55" xfId="28" applyFont="1" applyFill="1" applyBorder="1" applyAlignment="1" applyProtection="1">
      <alignment horizontal="center"/>
      <protection locked="0"/>
    </xf>
    <xf numFmtId="165" fontId="27" fillId="24" borderId="11" xfId="28" applyFont="1" applyFill="1" applyBorder="1" applyAlignment="1" applyProtection="1">
      <alignment horizontal="center"/>
      <protection locked="0"/>
    </xf>
    <xf numFmtId="49" fontId="27" fillId="0" borderId="11" xfId="28" applyNumberFormat="1" applyFont="1" applyFill="1" applyBorder="1" applyAlignment="1" applyProtection="1">
      <alignment horizontal="center"/>
      <protection locked="0"/>
    </xf>
    <xf numFmtId="168" fontId="39" fillId="0" borderId="11" xfId="0" applyNumberFormat="1" applyFont="1" applyBorder="1" applyAlignment="1">
      <alignment horizontal="center"/>
    </xf>
    <xf numFmtId="178" fontId="42" fillId="0" borderId="17" xfId="29" applyNumberFormat="1" applyFont="1" applyBorder="1" applyAlignment="1">
      <alignment vertical="center"/>
    </xf>
    <xf numFmtId="178" fontId="42" fillId="0" borderId="17" xfId="29" applyNumberFormat="1" applyFont="1" applyFill="1" applyBorder="1" applyAlignment="1">
      <alignment vertical="center"/>
    </xf>
    <xf numFmtId="0" fontId="27" fillId="24" borderId="10" xfId="0" applyFont="1" applyFill="1" applyBorder="1" applyAlignment="1" applyProtection="1">
      <alignment horizontal="left"/>
      <protection locked="0"/>
    </xf>
    <xf numFmtId="0" fontId="27" fillId="24" borderId="25" xfId="0" applyFont="1" applyFill="1" applyBorder="1" applyAlignment="1" applyProtection="1">
      <alignment horizontal="left"/>
      <protection locked="0"/>
    </xf>
    <xf numFmtId="0" fontId="27" fillId="24" borderId="58" xfId="0" applyFont="1" applyFill="1" applyBorder="1" applyAlignment="1" applyProtection="1">
      <alignment horizontal="left"/>
      <protection locked="0"/>
    </xf>
    <xf numFmtId="165" fontId="34" fillId="0" borderId="0" xfId="28" applyFont="1" applyBorder="1" applyAlignment="1" applyProtection="1">
      <alignment horizontal="center"/>
    </xf>
    <xf numFmtId="0" fontId="29" fillId="0" borderId="0" xfId="0" applyFont="1"/>
    <xf numFmtId="0" fontId="0" fillId="0" borderId="66" xfId="0" applyBorder="1"/>
    <xf numFmtId="165" fontId="0" fillId="0" borderId="66" xfId="0" applyNumberFormat="1" applyBorder="1"/>
    <xf numFmtId="0" fontId="53" fillId="0" borderId="0" xfId="41" applyFont="1"/>
    <xf numFmtId="0" fontId="54" fillId="0" borderId="0" xfId="41" applyFont="1"/>
    <xf numFmtId="0" fontId="54" fillId="0" borderId="0" xfId="41" applyFont="1" applyAlignment="1">
      <alignment horizontal="center"/>
    </xf>
    <xf numFmtId="2" fontId="54" fillId="0" borderId="0" xfId="41" applyNumberFormat="1" applyFont="1" applyAlignment="1">
      <alignment horizontal="center"/>
    </xf>
    <xf numFmtId="0" fontId="48" fillId="0" borderId="0" xfId="41"/>
    <xf numFmtId="0" fontId="48" fillId="0" borderId="0" xfId="41" applyAlignment="1">
      <alignment horizontal="center"/>
    </xf>
    <xf numFmtId="2" fontId="48" fillId="0" borderId="0" xfId="41" applyNumberFormat="1" applyAlignment="1">
      <alignment horizontal="center"/>
    </xf>
    <xf numFmtId="2" fontId="48" fillId="0" borderId="0" xfId="41" applyNumberFormat="1"/>
    <xf numFmtId="0" fontId="55" fillId="0" borderId="0" xfId="41" applyFont="1"/>
    <xf numFmtId="16" fontId="48" fillId="0" borderId="10" xfId="41" applyNumberFormat="1" applyBorder="1"/>
    <xf numFmtId="0" fontId="48" fillId="0" borderId="11" xfId="41" applyBorder="1"/>
    <xf numFmtId="2" fontId="48" fillId="0" borderId="11" xfId="41" applyNumberFormat="1" applyBorder="1" applyAlignment="1">
      <alignment horizontal="center"/>
    </xf>
    <xf numFmtId="165" fontId="48" fillId="11" borderId="11" xfId="28" applyFont="1" applyFill="1" applyBorder="1" applyAlignment="1" applyProtection="1">
      <alignment horizontal="center"/>
    </xf>
    <xf numFmtId="0" fontId="56" fillId="0" borderId="0" xfId="41" applyFont="1"/>
    <xf numFmtId="0" fontId="48" fillId="0" borderId="10" xfId="41" applyBorder="1"/>
    <xf numFmtId="0" fontId="48" fillId="0" borderId="11" xfId="41" applyBorder="1" applyAlignment="1">
      <alignment horizontal="left"/>
    </xf>
    <xf numFmtId="0" fontId="48" fillId="0" borderId="11" xfId="41" applyBorder="1" applyAlignment="1">
      <alignment horizontal="right"/>
    </xf>
    <xf numFmtId="165" fontId="56" fillId="0" borderId="23" xfId="28" applyFont="1" applyBorder="1" applyProtection="1"/>
    <xf numFmtId="0" fontId="48" fillId="0" borderId="0" xfId="42" applyAlignment="1">
      <alignment horizontal="center"/>
    </xf>
    <xf numFmtId="39" fontId="48" fillId="0" borderId="0" xfId="42" quotePrefix="1" applyNumberFormat="1" applyAlignment="1">
      <alignment horizontal="left"/>
    </xf>
    <xf numFmtId="0" fontId="48" fillId="0" borderId="0" xfId="41" quotePrefix="1"/>
    <xf numFmtId="39" fontId="48" fillId="0" borderId="0" xfId="42" applyNumberFormat="1"/>
    <xf numFmtId="39" fontId="48" fillId="0" borderId="0" xfId="42" quotePrefix="1" applyNumberFormat="1"/>
    <xf numFmtId="169" fontId="30" fillId="0" borderId="0" xfId="0" applyNumberFormat="1" applyFont="1"/>
    <xf numFmtId="0" fontId="31" fillId="0" borderId="0" xfId="0" applyFont="1" applyAlignment="1">
      <alignment horizontal="center"/>
    </xf>
    <xf numFmtId="0" fontId="31" fillId="0" borderId="0" xfId="0" applyFont="1"/>
    <xf numFmtId="170" fontId="31" fillId="0" borderId="0" xfId="0" applyNumberFormat="1" applyFont="1"/>
    <xf numFmtId="4" fontId="31" fillId="0" borderId="0" xfId="0" applyNumberFormat="1" applyFont="1"/>
    <xf numFmtId="168" fontId="31" fillId="0" borderId="0" xfId="0" applyNumberFormat="1" applyFont="1"/>
    <xf numFmtId="2" fontId="31" fillId="0" borderId="0" xfId="0" applyNumberFormat="1" applyFont="1"/>
    <xf numFmtId="170" fontId="31" fillId="0" borderId="11" xfId="0" applyNumberFormat="1" applyFont="1" applyBorder="1" applyAlignment="1">
      <alignment horizontal="center"/>
    </xf>
    <xf numFmtId="4" fontId="32" fillId="0" borderId="11" xfId="0" applyNumberFormat="1" applyFont="1" applyBorder="1" applyAlignment="1">
      <alignment horizontal="center"/>
    </xf>
    <xf numFmtId="0" fontId="32" fillId="0" borderId="11" xfId="0" applyFont="1" applyBorder="1" applyAlignment="1">
      <alignment horizontal="center"/>
    </xf>
    <xf numFmtId="168" fontId="31" fillId="0" borderId="11" xfId="0" applyNumberFormat="1" applyFont="1" applyBorder="1" applyAlignment="1">
      <alignment horizontal="center"/>
    </xf>
    <xf numFmtId="2" fontId="31" fillId="0" borderId="11" xfId="0" applyNumberFormat="1" applyFont="1" applyBorder="1" applyAlignment="1">
      <alignment horizontal="center"/>
    </xf>
    <xf numFmtId="2" fontId="32" fillId="0" borderId="11" xfId="0" applyNumberFormat="1" applyFont="1" applyBorder="1" applyAlignment="1">
      <alignment horizontal="center"/>
    </xf>
    <xf numFmtId="170" fontId="33" fillId="0" borderId="0" xfId="0" applyNumberFormat="1" applyFont="1" applyAlignment="1">
      <alignment horizontal="center"/>
    </xf>
    <xf numFmtId="168" fontId="33" fillId="0" borderId="0" xfId="0" applyNumberFormat="1" applyFont="1" applyAlignment="1">
      <alignment horizontal="center"/>
    </xf>
    <xf numFmtId="171" fontId="36" fillId="0" borderId="0" xfId="28" applyNumberFormat="1" applyFont="1" applyBorder="1" applyAlignment="1" applyProtection="1">
      <alignment horizontal="right"/>
    </xf>
    <xf numFmtId="0" fontId="31" fillId="0" borderId="11" xfId="0" applyFont="1" applyBorder="1" applyAlignment="1">
      <alignment horizontal="center"/>
    </xf>
    <xf numFmtId="169" fontId="35" fillId="0" borderId="0" xfId="0" applyNumberFormat="1" applyFont="1" applyAlignment="1">
      <alignment vertical="justify" wrapText="1"/>
    </xf>
    <xf numFmtId="167" fontId="0" fillId="0" borderId="11" xfId="28" applyNumberFormat="1" applyFont="1" applyBorder="1" applyAlignment="1" applyProtection="1">
      <alignment vertical="center"/>
    </xf>
    <xf numFmtId="173" fontId="31" fillId="0" borderId="17" xfId="28" applyNumberFormat="1" applyFont="1" applyBorder="1" applyProtection="1"/>
    <xf numFmtId="167" fontId="31" fillId="0" borderId="17" xfId="28" applyNumberFormat="1" applyFont="1" applyBorder="1" applyProtection="1"/>
    <xf numFmtId="171" fontId="31" fillId="0" borderId="17" xfId="28" applyNumberFormat="1" applyFont="1" applyBorder="1" applyProtection="1"/>
    <xf numFmtId="173" fontId="0" fillId="0" borderId="17" xfId="28" applyNumberFormat="1" applyFont="1" applyBorder="1" applyAlignment="1" applyProtection="1">
      <alignment vertical="center"/>
    </xf>
    <xf numFmtId="167" fontId="0" fillId="0" borderId="11" xfId="28" applyNumberFormat="1" applyFont="1" applyBorder="1" applyProtection="1"/>
    <xf numFmtId="167" fontId="0" fillId="0" borderId="17" xfId="28" applyNumberFormat="1" applyFont="1" applyBorder="1" applyAlignment="1" applyProtection="1">
      <alignment vertical="center"/>
    </xf>
    <xf numFmtId="171" fontId="0" fillId="0" borderId="17" xfId="28" applyNumberFormat="1" applyFont="1" applyBorder="1" applyAlignment="1" applyProtection="1">
      <alignment vertical="center"/>
    </xf>
    <xf numFmtId="165" fontId="0" fillId="0" borderId="17" xfId="28" applyFont="1" applyBorder="1" applyAlignment="1" applyProtection="1">
      <alignment vertical="center"/>
    </xf>
    <xf numFmtId="15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7" fontId="0" fillId="0" borderId="17" xfId="28" applyNumberFormat="1" applyFont="1" applyBorder="1" applyProtection="1"/>
    <xf numFmtId="165" fontId="0" fillId="0" borderId="11" xfId="28" applyFont="1" applyBorder="1" applyProtection="1"/>
    <xf numFmtId="165" fontId="0" fillId="0" borderId="11" xfId="28" applyFont="1" applyBorder="1" applyAlignment="1" applyProtection="1">
      <alignment vertical="center"/>
    </xf>
    <xf numFmtId="167" fontId="28" fillId="0" borderId="11" xfId="28" applyNumberFormat="1" applyFont="1" applyBorder="1" applyProtection="1"/>
    <xf numFmtId="175" fontId="0" fillId="0" borderId="11" xfId="0" applyNumberFormat="1" applyBorder="1"/>
    <xf numFmtId="171" fontId="0" fillId="0" borderId="11" xfId="0" applyNumberFormat="1" applyBorder="1"/>
    <xf numFmtId="2" fontId="0" fillId="0" borderId="17" xfId="0" applyNumberFormat="1" applyBorder="1" applyAlignment="1">
      <alignment horizontal="center"/>
    </xf>
    <xf numFmtId="165" fontId="0" fillId="0" borderId="17" xfId="28" applyFont="1" applyBorder="1" applyProtection="1"/>
    <xf numFmtId="15" fontId="28" fillId="0" borderId="11" xfId="0" applyNumberFormat="1" applyFont="1" applyBorder="1" applyAlignment="1">
      <alignment horizontal="center"/>
    </xf>
    <xf numFmtId="2" fontId="28" fillId="0" borderId="17" xfId="0" applyNumberFormat="1" applyFont="1" applyBorder="1" applyAlignment="1">
      <alignment horizontal="center"/>
    </xf>
    <xf numFmtId="165" fontId="28" fillId="0" borderId="11" xfId="28" applyFont="1" applyBorder="1" applyProtection="1"/>
    <xf numFmtId="173" fontId="28" fillId="0" borderId="17" xfId="28" applyNumberFormat="1" applyFont="1" applyBorder="1" applyProtection="1"/>
    <xf numFmtId="0" fontId="28" fillId="0" borderId="11" xfId="0" applyFont="1" applyBorder="1"/>
    <xf numFmtId="171" fontId="28" fillId="0" borderId="11" xfId="28" applyNumberFormat="1" applyFont="1" applyBorder="1" applyProtection="1"/>
    <xf numFmtId="38" fontId="28" fillId="0" borderId="11" xfId="28" applyNumberFormat="1" applyFont="1" applyBorder="1" applyProtection="1"/>
    <xf numFmtId="1" fontId="28" fillId="0" borderId="17" xfId="0" applyNumberFormat="1" applyFont="1" applyBorder="1" applyAlignment="1">
      <alignment horizontal="center"/>
    </xf>
    <xf numFmtId="165" fontId="28" fillId="0" borderId="17" xfId="28" applyFont="1" applyBorder="1" applyProtection="1"/>
    <xf numFmtId="177" fontId="0" fillId="0" borderId="0" xfId="0" applyNumberFormat="1"/>
    <xf numFmtId="173" fontId="31" fillId="0" borderId="0" xfId="28" applyNumberFormat="1" applyFont="1" applyBorder="1" applyProtection="1"/>
    <xf numFmtId="173" fontId="0" fillId="0" borderId="0" xfId="0" applyNumberFormat="1"/>
    <xf numFmtId="165" fontId="23" fillId="24" borderId="0" xfId="28" applyFont="1" applyFill="1" applyBorder="1" applyProtection="1">
      <protection locked="0"/>
    </xf>
    <xf numFmtId="0" fontId="23" fillId="24" borderId="0" xfId="0" applyFont="1" applyFill="1" applyProtection="1">
      <protection locked="0"/>
    </xf>
    <xf numFmtId="165" fontId="23" fillId="24" borderId="0" xfId="0" applyNumberFormat="1" applyFont="1" applyFill="1" applyProtection="1">
      <protection locked="0"/>
    </xf>
    <xf numFmtId="0" fontId="27" fillId="24" borderId="0" xfId="0" applyFont="1" applyFill="1" applyProtection="1">
      <protection locked="0"/>
    </xf>
    <xf numFmtId="180" fontId="0" fillId="0" borderId="0" xfId="0" applyNumberFormat="1" applyAlignment="1">
      <alignment horizontal="right" vertical="center"/>
    </xf>
    <xf numFmtId="165" fontId="46" fillId="24" borderId="10" xfId="0" applyNumberFormat="1" applyFont="1" applyFill="1" applyBorder="1" applyAlignment="1">
      <alignment horizontal="left"/>
    </xf>
    <xf numFmtId="172" fontId="47" fillId="0" borderId="11" xfId="45" applyNumberFormat="1" applyFont="1" applyBorder="1" applyAlignment="1">
      <alignment horizontal="center"/>
    </xf>
    <xf numFmtId="0" fontId="53" fillId="0" borderId="0" xfId="0" applyFont="1"/>
    <xf numFmtId="0" fontId="48" fillId="0" borderId="0" xfId="0" applyFont="1"/>
    <xf numFmtId="16" fontId="23" fillId="24" borderId="0" xfId="28" applyNumberFormat="1" applyFont="1" applyFill="1" applyBorder="1" applyProtection="1">
      <protection locked="0"/>
    </xf>
    <xf numFmtId="167" fontId="56" fillId="0" borderId="11" xfId="28" applyNumberFormat="1" applyFont="1" applyBorder="1" applyProtection="1"/>
    <xf numFmtId="164" fontId="42" fillId="0" borderId="11" xfId="29" applyFont="1" applyFill="1" applyBorder="1"/>
    <xf numFmtId="164" fontId="42" fillId="0" borderId="0" xfId="29" applyFont="1" applyFill="1"/>
    <xf numFmtId="164" fontId="43" fillId="25" borderId="11" xfId="29" applyFont="1" applyFill="1" applyBorder="1" applyAlignment="1">
      <alignment vertical="center"/>
    </xf>
    <xf numFmtId="178" fontId="43" fillId="0" borderId="0" xfId="29" applyNumberFormat="1" applyFont="1" applyFill="1" applyBorder="1" applyAlignment="1">
      <alignment vertical="center"/>
    </xf>
    <xf numFmtId="178" fontId="27" fillId="24" borderId="21" xfId="29" applyNumberFormat="1" applyFont="1" applyFill="1" applyBorder="1" applyAlignment="1" applyProtection="1">
      <alignment horizontal="right" vertical="center"/>
    </xf>
    <xf numFmtId="178" fontId="27" fillId="24" borderId="17" xfId="29" applyNumberFormat="1" applyFont="1" applyFill="1" applyBorder="1" applyAlignment="1" applyProtection="1">
      <alignment horizontal="right" vertical="center"/>
    </xf>
    <xf numFmtId="178" fontId="27" fillId="0" borderId="11" xfId="29" applyNumberFormat="1" applyFont="1" applyFill="1" applyBorder="1" applyAlignment="1" applyProtection="1">
      <alignment horizontal="right"/>
    </xf>
    <xf numFmtId="178" fontId="27" fillId="24" borderId="11" xfId="29" applyNumberFormat="1" applyFont="1" applyFill="1" applyBorder="1" applyAlignment="1" applyProtection="1">
      <alignment horizontal="right" vertical="center"/>
    </xf>
    <xf numFmtId="178" fontId="23" fillId="20" borderId="11" xfId="29" applyNumberFormat="1" applyFont="1" applyFill="1" applyBorder="1" applyAlignment="1" applyProtection="1">
      <alignment horizontal="right"/>
    </xf>
    <xf numFmtId="178" fontId="27" fillId="24" borderId="11" xfId="29" applyNumberFormat="1" applyFont="1" applyFill="1" applyBorder="1" applyAlignment="1" applyProtection="1">
      <alignment horizontal="right"/>
    </xf>
    <xf numFmtId="178" fontId="27" fillId="24" borderId="14" xfId="29" applyNumberFormat="1" applyFont="1" applyFill="1" applyBorder="1" applyAlignment="1" applyProtection="1">
      <alignment horizontal="right"/>
    </xf>
    <xf numFmtId="178" fontId="27" fillId="24" borderId="23" xfId="29" applyNumberFormat="1" applyFont="1" applyFill="1" applyBorder="1" applyAlignment="1" applyProtection="1">
      <alignment horizontal="right"/>
    </xf>
    <xf numFmtId="10" fontId="42" fillId="0" borderId="0" xfId="51" applyNumberFormat="1" applyFont="1" applyFill="1" applyBorder="1"/>
    <xf numFmtId="10" fontId="43" fillId="0" borderId="11" xfId="51" applyNumberFormat="1" applyFont="1" applyFill="1" applyBorder="1"/>
    <xf numFmtId="10" fontId="42" fillId="0" borderId="0" xfId="51" applyNumberFormat="1" applyFont="1" applyFill="1" applyBorder="1" applyAlignment="1">
      <alignment vertical="center"/>
    </xf>
    <xf numFmtId="10" fontId="43" fillId="27" borderId="0" xfId="51" applyNumberFormat="1" applyFont="1" applyFill="1" applyBorder="1"/>
    <xf numFmtId="10" fontId="43" fillId="0" borderId="11" xfId="51" applyNumberFormat="1" applyFont="1" applyFill="1" applyBorder="1" applyAlignment="1">
      <alignment vertical="center"/>
    </xf>
    <xf numFmtId="0" fontId="42" fillId="28" borderId="0" xfId="0" applyFont="1" applyFill="1"/>
    <xf numFmtId="0" fontId="52" fillId="28" borderId="0" xfId="0" applyFont="1" applyFill="1"/>
    <xf numFmtId="178" fontId="42" fillId="28" borderId="0" xfId="29" applyNumberFormat="1" applyFont="1" applyFill="1" applyBorder="1" applyAlignment="1">
      <alignment vertical="center"/>
    </xf>
    <xf numFmtId="0" fontId="42" fillId="28" borderId="0" xfId="0" applyFont="1" applyFill="1" applyAlignment="1">
      <alignment horizontal="right"/>
    </xf>
    <xf numFmtId="166" fontId="42" fillId="28" borderId="0" xfId="0" applyNumberFormat="1" applyFont="1" applyFill="1" applyAlignment="1">
      <alignment horizontal="right"/>
    </xf>
    <xf numFmtId="166" fontId="42" fillId="28" borderId="0" xfId="0" applyNumberFormat="1" applyFont="1" applyFill="1"/>
    <xf numFmtId="10" fontId="42" fillId="28" borderId="0" xfId="0" applyNumberFormat="1" applyFont="1" applyFill="1"/>
    <xf numFmtId="10" fontId="42" fillId="28" borderId="0" xfId="0" applyNumberFormat="1" applyFont="1" applyFill="1" applyAlignment="1">
      <alignment horizontal="right"/>
    </xf>
    <xf numFmtId="165" fontId="43" fillId="28" borderId="0" xfId="0" applyNumberFormat="1" applyFont="1" applyFill="1" applyAlignment="1">
      <alignment horizontal="right"/>
    </xf>
    <xf numFmtId="166" fontId="43" fillId="28" borderId="0" xfId="51" applyNumberFormat="1" applyFont="1" applyFill="1" applyBorder="1" applyAlignment="1">
      <alignment vertical="center"/>
    </xf>
    <xf numFmtId="178" fontId="43" fillId="25" borderId="13" xfId="29" applyNumberFormat="1" applyFont="1" applyFill="1" applyBorder="1" applyAlignment="1">
      <alignment vertical="center"/>
    </xf>
    <xf numFmtId="178" fontId="43" fillId="25" borderId="19" xfId="29" applyNumberFormat="1" applyFont="1" applyFill="1" applyBorder="1" applyAlignment="1">
      <alignment vertical="center"/>
    </xf>
    <xf numFmtId="166" fontId="43" fillId="25" borderId="19" xfId="51" applyNumberFormat="1" applyFont="1" applyFill="1" applyBorder="1" applyAlignment="1">
      <alignment vertical="center"/>
    </xf>
    <xf numFmtId="0" fontId="42" fillId="0" borderId="17" xfId="0" applyFont="1" applyBorder="1"/>
    <xf numFmtId="10" fontId="50" fillId="29" borderId="11" xfId="51" applyNumberFormat="1" applyFont="1" applyFill="1" applyBorder="1" applyAlignment="1">
      <alignment vertical="center"/>
    </xf>
    <xf numFmtId="178" fontId="43" fillId="4" borderId="11" xfId="29" applyNumberFormat="1" applyFont="1" applyFill="1" applyBorder="1" applyAlignment="1">
      <alignment horizontal="center"/>
    </xf>
    <xf numFmtId="10" fontId="50" fillId="4" borderId="11" xfId="51" applyNumberFormat="1" applyFont="1" applyFill="1" applyBorder="1" applyAlignment="1">
      <alignment vertical="center"/>
    </xf>
    <xf numFmtId="0" fontId="45" fillId="0" borderId="0" xfId="0" applyFont="1"/>
    <xf numFmtId="0" fontId="0" fillId="0" borderId="68" xfId="0" applyBorder="1"/>
    <xf numFmtId="0" fontId="0" fillId="0" borderId="27" xfId="0" applyBorder="1"/>
    <xf numFmtId="0" fontId="45" fillId="0" borderId="27" xfId="0" applyFont="1" applyBorder="1"/>
    <xf numFmtId="167" fontId="33" fillId="30" borderId="13" xfId="28" applyNumberFormat="1" applyFont="1" applyFill="1" applyBorder="1" applyAlignment="1" applyProtection="1">
      <alignment horizontal="center"/>
    </xf>
    <xf numFmtId="167" fontId="33" fillId="30" borderId="11" xfId="28" applyNumberFormat="1" applyFont="1" applyFill="1" applyBorder="1" applyAlignment="1" applyProtection="1">
      <alignment horizontal="center"/>
    </xf>
    <xf numFmtId="168" fontId="37" fillId="30" borderId="13" xfId="0" applyNumberFormat="1" applyFont="1" applyFill="1" applyBorder="1" applyAlignment="1">
      <alignment horizontal="center" vertical="center" wrapText="1"/>
    </xf>
    <xf numFmtId="167" fontId="33" fillId="31" borderId="13" xfId="28" applyNumberFormat="1" applyFont="1" applyFill="1" applyBorder="1" applyAlignment="1" applyProtection="1">
      <alignment horizontal="center"/>
    </xf>
    <xf numFmtId="167" fontId="33" fillId="31" borderId="11" xfId="28" applyNumberFormat="1" applyFont="1" applyFill="1" applyBorder="1" applyAlignment="1" applyProtection="1">
      <alignment horizontal="center"/>
    </xf>
    <xf numFmtId="168" fontId="37" fillId="31" borderId="13" xfId="0" applyNumberFormat="1" applyFont="1" applyFill="1" applyBorder="1" applyAlignment="1">
      <alignment horizontal="center" vertical="center" wrapText="1"/>
    </xf>
    <xf numFmtId="167" fontId="33" fillId="32" borderId="13" xfId="28" applyNumberFormat="1" applyFont="1" applyFill="1" applyBorder="1" applyAlignment="1" applyProtection="1">
      <alignment horizontal="center"/>
    </xf>
    <xf numFmtId="167" fontId="33" fillId="32" borderId="11" xfId="28" applyNumberFormat="1" applyFont="1" applyFill="1" applyBorder="1" applyAlignment="1" applyProtection="1">
      <alignment horizontal="center"/>
    </xf>
    <xf numFmtId="168" fontId="37" fillId="32" borderId="13" xfId="0" applyNumberFormat="1" applyFont="1" applyFill="1" applyBorder="1" applyAlignment="1">
      <alignment horizontal="center" vertical="center" wrapText="1"/>
    </xf>
    <xf numFmtId="167" fontId="33" fillId="33" borderId="13" xfId="28" applyNumberFormat="1" applyFont="1" applyFill="1" applyBorder="1" applyAlignment="1" applyProtection="1">
      <alignment horizontal="center"/>
    </xf>
    <xf numFmtId="167" fontId="33" fillId="33" borderId="11" xfId="28" applyNumberFormat="1" applyFont="1" applyFill="1" applyBorder="1" applyAlignment="1" applyProtection="1">
      <alignment horizontal="center"/>
    </xf>
    <xf numFmtId="168" fontId="37" fillId="33" borderId="13" xfId="0" applyNumberFormat="1" applyFont="1" applyFill="1" applyBorder="1" applyAlignment="1">
      <alignment horizontal="center" vertical="center" wrapText="1"/>
    </xf>
    <xf numFmtId="167" fontId="33" fillId="34" borderId="11" xfId="28" applyNumberFormat="1" applyFont="1" applyFill="1" applyBorder="1" applyAlignment="1" applyProtection="1">
      <alignment horizontal="center"/>
    </xf>
    <xf numFmtId="167" fontId="33" fillId="35" borderId="13" xfId="28" applyNumberFormat="1" applyFont="1" applyFill="1" applyBorder="1" applyAlignment="1" applyProtection="1">
      <alignment horizontal="center"/>
    </xf>
    <xf numFmtId="167" fontId="33" fillId="35" borderId="11" xfId="28" applyNumberFormat="1" applyFont="1" applyFill="1" applyBorder="1" applyAlignment="1" applyProtection="1">
      <alignment horizontal="center"/>
    </xf>
    <xf numFmtId="168" fontId="37" fillId="35" borderId="13" xfId="0" applyNumberFormat="1" applyFont="1" applyFill="1" applyBorder="1" applyAlignment="1">
      <alignment horizontal="center" vertical="center" wrapText="1"/>
    </xf>
    <xf numFmtId="167" fontId="33" fillId="36" borderId="11" xfId="28" applyNumberFormat="1" applyFont="1" applyFill="1" applyBorder="1" applyAlignment="1" applyProtection="1">
      <alignment horizontal="center"/>
    </xf>
    <xf numFmtId="167" fontId="33" fillId="27" borderId="11" xfId="28" applyNumberFormat="1" applyFont="1" applyFill="1" applyBorder="1" applyAlignment="1" applyProtection="1">
      <alignment horizontal="center"/>
    </xf>
    <xf numFmtId="167" fontId="33" fillId="37" borderId="11" xfId="28" applyNumberFormat="1" applyFont="1" applyFill="1" applyBorder="1" applyAlignment="1" applyProtection="1">
      <alignment horizontal="center"/>
    </xf>
    <xf numFmtId="167" fontId="33" fillId="38" borderId="11" xfId="28" applyNumberFormat="1" applyFont="1" applyFill="1" applyBorder="1" applyAlignment="1" applyProtection="1">
      <alignment horizontal="center"/>
    </xf>
    <xf numFmtId="167" fontId="33" fillId="27" borderId="17" xfId="28" applyNumberFormat="1" applyFont="1" applyFill="1" applyBorder="1" applyAlignment="1" applyProtection="1">
      <alignment horizontal="center"/>
    </xf>
    <xf numFmtId="0" fontId="28" fillId="27" borderId="11" xfId="0" applyFont="1" applyFill="1" applyBorder="1"/>
    <xf numFmtId="0" fontId="28" fillId="0" borderId="11" xfId="28" applyNumberFormat="1" applyFont="1" applyBorder="1" applyProtection="1"/>
    <xf numFmtId="178" fontId="58" fillId="0" borderId="0" xfId="29" applyNumberFormat="1" applyFont="1" applyProtection="1"/>
    <xf numFmtId="9" fontId="0" fillId="0" borderId="0" xfId="51" applyFont="1" applyProtection="1"/>
    <xf numFmtId="172" fontId="48" fillId="0" borderId="69" xfId="0" applyNumberFormat="1" applyFont="1" applyBorder="1"/>
    <xf numFmtId="0" fontId="45" fillId="0" borderId="70" xfId="0" applyFont="1" applyBorder="1"/>
    <xf numFmtId="0" fontId="45" fillId="0" borderId="37" xfId="0" applyFont="1" applyBorder="1"/>
    <xf numFmtId="2" fontId="0" fillId="0" borderId="71" xfId="0" applyNumberFormat="1" applyBorder="1" applyAlignment="1">
      <alignment vertical="center"/>
    </xf>
    <xf numFmtId="2" fontId="0" fillId="0" borderId="41" xfId="0" applyNumberFormat="1" applyBorder="1" applyAlignment="1">
      <alignment vertical="center"/>
    </xf>
    <xf numFmtId="10" fontId="42" fillId="0" borderId="11" xfId="51" applyNumberFormat="1" applyFont="1" applyFill="1" applyBorder="1" applyAlignment="1">
      <alignment vertical="center"/>
    </xf>
    <xf numFmtId="16" fontId="48" fillId="0" borderId="11" xfId="41" applyNumberFormat="1" applyBorder="1"/>
    <xf numFmtId="0" fontId="0" fillId="0" borderId="17" xfId="28" applyNumberFormat="1" applyFont="1" applyBorder="1" applyProtection="1"/>
    <xf numFmtId="2" fontId="39" fillId="0" borderId="11" xfId="46" applyNumberFormat="1" applyFont="1" applyBorder="1" applyAlignment="1">
      <alignment horizontal="center"/>
    </xf>
    <xf numFmtId="2" fontId="42" fillId="0" borderId="0" xfId="0" applyNumberFormat="1" applyFont="1"/>
    <xf numFmtId="0" fontId="0" fillId="0" borderId="11" xfId="0" applyBorder="1" applyAlignment="1" applyProtection="1">
      <alignment horizontal="center" vertical="center"/>
      <protection locked="0"/>
    </xf>
    <xf numFmtId="167" fontId="0" fillId="0" borderId="11" xfId="0" quotePrefix="1" applyNumberFormat="1" applyBorder="1" applyAlignment="1" applyProtection="1">
      <alignment horizontal="center" vertical="center"/>
      <protection locked="0"/>
    </xf>
    <xf numFmtId="4" fontId="0" fillId="0" borderId="11" xfId="0" applyNumberFormat="1" applyBorder="1" applyAlignment="1">
      <alignment vertical="center" wrapText="1"/>
    </xf>
    <xf numFmtId="4" fontId="0" fillId="0" borderId="11" xfId="0" applyNumberFormat="1" applyBorder="1" applyAlignment="1">
      <alignment vertical="center"/>
    </xf>
    <xf numFmtId="168" fontId="0" fillId="0" borderId="11" xfId="0" applyNumberFormat="1" applyBorder="1" applyAlignment="1">
      <alignment vertical="center"/>
    </xf>
    <xf numFmtId="168" fontId="0" fillId="0" borderId="11" xfId="0" applyNumberFormat="1" applyBorder="1" applyAlignment="1">
      <alignment vertical="center" wrapText="1"/>
    </xf>
    <xf numFmtId="2" fontId="0" fillId="0" borderId="11" xfId="0" applyNumberFormat="1" applyBorder="1" applyAlignment="1">
      <alignment vertical="center" wrapText="1"/>
    </xf>
    <xf numFmtId="0" fontId="0" fillId="0" borderId="0" xfId="0" applyAlignment="1">
      <alignment vertical="center"/>
    </xf>
    <xf numFmtId="0" fontId="45" fillId="0" borderId="11" xfId="0" quotePrefix="1" applyFont="1" applyBorder="1" applyAlignment="1" applyProtection="1">
      <alignment horizontal="center" vertical="center"/>
      <protection locked="0"/>
    </xf>
    <xf numFmtId="0" fontId="0" fillId="0" borderId="63" xfId="0" applyBorder="1" applyAlignment="1">
      <alignment horizontal="center" vertical="center"/>
    </xf>
    <xf numFmtId="4" fontId="0" fillId="0" borderId="63" xfId="0" applyNumberFormat="1" applyBorder="1" applyAlignment="1">
      <alignment vertical="center" wrapText="1"/>
    </xf>
    <xf numFmtId="4" fontId="0" fillId="0" borderId="63" xfId="0" applyNumberFormat="1" applyBorder="1" applyAlignment="1">
      <alignment vertical="center"/>
    </xf>
    <xf numFmtId="168" fontId="0" fillId="0" borderId="63" xfId="0" applyNumberFormat="1" applyBorder="1" applyAlignment="1">
      <alignment vertical="center"/>
    </xf>
    <xf numFmtId="2" fontId="0" fillId="0" borderId="63" xfId="0" applyNumberFormat="1" applyBorder="1" applyAlignment="1">
      <alignment vertical="center" wrapText="1"/>
    </xf>
    <xf numFmtId="16" fontId="28" fillId="0" borderId="67" xfId="0" applyNumberFormat="1" applyFont="1" applyBorder="1" applyAlignment="1">
      <alignment vertical="center"/>
    </xf>
    <xf numFmtId="0" fontId="28" fillId="0" borderId="67" xfId="0" applyFont="1" applyBorder="1" applyAlignment="1">
      <alignment horizontal="center" vertical="center"/>
    </xf>
    <xf numFmtId="4" fontId="28" fillId="0" borderId="67" xfId="0" applyNumberFormat="1" applyFont="1" applyBorder="1" applyAlignment="1">
      <alignment vertical="center"/>
    </xf>
    <xf numFmtId="170" fontId="28" fillId="0" borderId="67" xfId="0" applyNumberFormat="1" applyFont="1" applyBorder="1" applyAlignment="1">
      <alignment vertical="center"/>
    </xf>
    <xf numFmtId="168" fontId="28" fillId="0" borderId="67" xfId="0" applyNumberFormat="1" applyFont="1" applyBorder="1" applyAlignment="1">
      <alignment vertical="center"/>
    </xf>
    <xf numFmtId="2" fontId="28" fillId="0" borderId="67" xfId="0" applyNumberFormat="1" applyFont="1" applyBorder="1" applyAlignment="1">
      <alignment vertical="center" wrapText="1"/>
    </xf>
    <xf numFmtId="4" fontId="28" fillId="0" borderId="67" xfId="0" applyNumberFormat="1" applyFont="1" applyBorder="1" applyAlignment="1">
      <alignment vertical="center" wrapText="1"/>
    </xf>
    <xf numFmtId="16" fontId="0" fillId="0" borderId="11" xfId="0" applyNumberFormat="1" applyBorder="1" applyAlignment="1">
      <alignment horizontal="left" vertical="center"/>
    </xf>
    <xf numFmtId="9" fontId="0" fillId="0" borderId="11" xfId="51" applyFont="1" applyBorder="1" applyAlignment="1" applyProtection="1">
      <alignment horizontal="center" vertical="center"/>
      <protection locked="0"/>
    </xf>
    <xf numFmtId="9" fontId="0" fillId="0" borderId="63" xfId="51" applyFont="1" applyBorder="1" applyAlignment="1" applyProtection="1">
      <alignment horizontal="center" vertical="center"/>
    </xf>
    <xf numFmtId="9" fontId="28" fillId="0" borderId="67" xfId="51" applyFont="1" applyFill="1" applyBorder="1" applyAlignment="1" applyProtection="1">
      <alignment horizontal="center" vertical="center"/>
    </xf>
    <xf numFmtId="0" fontId="0" fillId="0" borderId="11" xfId="0" quotePrefix="1" applyBorder="1" applyAlignment="1" applyProtection="1">
      <alignment horizontal="center" vertical="center"/>
      <protection locked="0"/>
    </xf>
    <xf numFmtId="2" fontId="0" fillId="0" borderId="17" xfId="28" applyNumberFormat="1" applyFont="1" applyBorder="1" applyProtection="1"/>
    <xf numFmtId="10" fontId="45" fillId="0" borderId="11" xfId="51" applyNumberFormat="1" applyFont="1" applyFill="1" applyBorder="1" applyAlignment="1" applyProtection="1">
      <alignment horizontal="center" vertical="center"/>
      <protection locked="0"/>
    </xf>
    <xf numFmtId="10" fontId="45" fillId="27" borderId="11" xfId="51" applyNumberFormat="1" applyFont="1" applyFill="1" applyBorder="1" applyAlignment="1" applyProtection="1">
      <alignment horizontal="center" vertical="center"/>
      <protection locked="0"/>
    </xf>
    <xf numFmtId="2" fontId="39" fillId="0" borderId="11" xfId="45" applyNumberFormat="1" applyFont="1" applyBorder="1" applyAlignment="1">
      <alignment horizontal="center"/>
    </xf>
    <xf numFmtId="165" fontId="43" fillId="33" borderId="11" xfId="29" applyNumberFormat="1" applyFont="1" applyFill="1" applyBorder="1" applyAlignment="1">
      <alignment vertical="center"/>
    </xf>
    <xf numFmtId="0" fontId="45" fillId="0" borderId="11" xfId="0" applyFont="1" applyBorder="1" applyAlignment="1" applyProtection="1">
      <alignment horizontal="center" vertical="center"/>
      <protection locked="0"/>
    </xf>
    <xf numFmtId="0" fontId="38" fillId="27" borderId="11" xfId="0" applyFont="1" applyFill="1" applyBorder="1" applyAlignment="1">
      <alignment horizontal="center" vertical="center" wrapText="1"/>
    </xf>
    <xf numFmtId="10" fontId="45" fillId="27" borderId="63" xfId="51" applyNumberFormat="1" applyFont="1" applyFill="1" applyBorder="1" applyAlignment="1" applyProtection="1">
      <alignment horizontal="center" vertical="center"/>
      <protection locked="0"/>
    </xf>
    <xf numFmtId="0" fontId="38" fillId="27" borderId="11" xfId="0" applyFont="1" applyFill="1" applyBorder="1" applyAlignment="1">
      <alignment vertical="center" wrapText="1"/>
    </xf>
    <xf numFmtId="0" fontId="59" fillId="0" borderId="0" xfId="0" applyFont="1"/>
    <xf numFmtId="178" fontId="43" fillId="0" borderId="17" xfId="29" applyNumberFormat="1" applyFont="1" applyFill="1" applyBorder="1" applyAlignment="1">
      <alignment horizontal="center" vertical="center" wrapText="1"/>
    </xf>
    <xf numFmtId="178" fontId="43" fillId="0" borderId="17" xfId="29" applyNumberFormat="1" applyFont="1" applyFill="1" applyBorder="1" applyAlignment="1">
      <alignment vertical="center" wrapText="1"/>
    </xf>
    <xf numFmtId="178" fontId="42" fillId="0" borderId="19" xfId="29" applyNumberFormat="1" applyFont="1" applyFill="1" applyBorder="1" applyAlignment="1">
      <alignment vertical="center"/>
    </xf>
    <xf numFmtId="0" fontId="60" fillId="41" borderId="0" xfId="0" applyFont="1" applyFill="1"/>
    <xf numFmtId="0" fontId="61" fillId="41" borderId="0" xfId="0" applyFont="1" applyFill="1"/>
    <xf numFmtId="181" fontId="43" fillId="25" borderId="11" xfId="29" applyNumberFormat="1" applyFont="1" applyFill="1" applyBorder="1" applyAlignment="1">
      <alignment vertical="center"/>
    </xf>
    <xf numFmtId="177" fontId="42" fillId="0" borderId="11" xfId="0" applyNumberFormat="1" applyFont="1" applyBorder="1" applyAlignment="1">
      <alignment horizontal="center" vertical="center" wrapText="1"/>
    </xf>
    <xf numFmtId="0" fontId="27" fillId="24" borderId="14" xfId="0" quotePrefix="1" applyFont="1" applyFill="1" applyBorder="1" applyAlignment="1" applyProtection="1">
      <alignment wrapText="1"/>
      <protection locked="0"/>
    </xf>
    <xf numFmtId="3" fontId="60" fillId="41" borderId="0" xfId="0" applyNumberFormat="1" applyFont="1" applyFill="1"/>
    <xf numFmtId="3" fontId="61" fillId="41" borderId="0" xfId="0" applyNumberFormat="1" applyFont="1" applyFill="1"/>
    <xf numFmtId="17" fontId="0" fillId="0" borderId="11" xfId="0" quotePrefix="1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2" fontId="59" fillId="27" borderId="11" xfId="0" applyNumberFormat="1" applyFont="1" applyFill="1" applyBorder="1" applyAlignment="1">
      <alignment horizontal="center" vertical="center" wrapText="1"/>
    </xf>
    <xf numFmtId="0" fontId="59" fillId="27" borderId="11" xfId="0" applyFont="1" applyFill="1" applyBorder="1" applyAlignment="1">
      <alignment horizontal="center" vertical="center" wrapText="1"/>
    </xf>
    <xf numFmtId="9" fontId="59" fillId="27" borderId="11" xfId="51" applyFont="1" applyFill="1" applyBorder="1" applyAlignment="1">
      <alignment horizontal="center" vertical="center" wrapText="1"/>
    </xf>
    <xf numFmtId="10" fontId="0" fillId="0" borderId="11" xfId="51" applyNumberFormat="1" applyFont="1" applyFill="1" applyBorder="1" applyAlignment="1">
      <alignment horizontal="center" vertical="center"/>
    </xf>
    <xf numFmtId="0" fontId="59" fillId="0" borderId="61" xfId="0" applyFont="1" applyBorder="1" applyAlignment="1">
      <alignment vertical="center"/>
    </xf>
    <xf numFmtId="10" fontId="0" fillId="0" borderId="11" xfId="51" applyNumberFormat="1" applyFont="1" applyBorder="1" applyAlignment="1">
      <alignment horizontal="center"/>
    </xf>
    <xf numFmtId="10" fontId="59" fillId="0" borderId="11" xfId="51" applyNumberFormat="1" applyFon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11" xfId="0" applyNumberFormat="1" applyBorder="1" applyAlignment="1">
      <alignment horizontal="center" vertical="center"/>
    </xf>
    <xf numFmtId="0" fontId="59" fillId="27" borderId="11" xfId="0" applyFont="1" applyFill="1" applyBorder="1" applyAlignment="1">
      <alignment horizontal="center" vertical="center"/>
    </xf>
    <xf numFmtId="14" fontId="59" fillId="0" borderId="0" xfId="0" applyNumberFormat="1" applyFont="1" applyAlignment="1">
      <alignment horizontal="center" vertical="center"/>
    </xf>
    <xf numFmtId="2" fontId="59" fillId="0" borderId="0" xfId="0" applyNumberFormat="1" applyFont="1" applyAlignment="1">
      <alignment horizontal="center" vertical="center" wrapText="1"/>
    </xf>
    <xf numFmtId="0" fontId="59" fillId="0" borderId="0" xfId="0" applyFont="1" applyAlignment="1">
      <alignment horizontal="center" vertical="center"/>
    </xf>
    <xf numFmtId="0" fontId="0" fillId="27" borderId="11" xfId="0" applyFill="1" applyBorder="1"/>
    <xf numFmtId="10" fontId="0" fillId="0" borderId="11" xfId="51" applyNumberFormat="1" applyFont="1" applyBorder="1"/>
    <xf numFmtId="10" fontId="0" fillId="0" borderId="11" xfId="0" applyNumberFormat="1" applyBorder="1" applyAlignment="1">
      <alignment horizontal="right"/>
    </xf>
    <xf numFmtId="0" fontId="28" fillId="0" borderId="17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 wrapText="1"/>
    </xf>
    <xf numFmtId="2" fontId="59" fillId="39" borderId="11" xfId="0" applyNumberFormat="1" applyFont="1" applyFill="1" applyBorder="1" applyAlignment="1">
      <alignment horizontal="center"/>
    </xf>
    <xf numFmtId="10" fontId="59" fillId="39" borderId="11" xfId="51" applyNumberFormat="1" applyFont="1" applyFill="1" applyBorder="1" applyAlignment="1">
      <alignment horizontal="center"/>
    </xf>
    <xf numFmtId="0" fontId="28" fillId="39" borderId="11" xfId="0" applyFont="1" applyFill="1" applyBorder="1"/>
    <xf numFmtId="0" fontId="39" fillId="0" borderId="11" xfId="57" applyFont="1" applyBorder="1" applyAlignment="1">
      <alignment horizontal="left"/>
    </xf>
    <xf numFmtId="0" fontId="45" fillId="0" borderId="11" xfId="0" applyFont="1" applyBorder="1"/>
    <xf numFmtId="0" fontId="39" fillId="49" borderId="11" xfId="57" applyFont="1" applyFill="1" applyBorder="1" applyAlignment="1">
      <alignment horizontal="left"/>
    </xf>
    <xf numFmtId="0" fontId="0" fillId="50" borderId="11" xfId="0" applyFill="1" applyBorder="1"/>
    <xf numFmtId="0" fontId="45" fillId="50" borderId="11" xfId="0" applyFont="1" applyFill="1" applyBorder="1"/>
    <xf numFmtId="10" fontId="0" fillId="49" borderId="17" xfId="51" applyNumberFormat="1" applyFont="1" applyFill="1" applyBorder="1"/>
    <xf numFmtId="10" fontId="0" fillId="0" borderId="17" xfId="51" applyNumberFormat="1" applyFont="1" applyBorder="1"/>
    <xf numFmtId="0" fontId="39" fillId="0" borderId="19" xfId="57" applyFont="1" applyBorder="1" applyAlignment="1">
      <alignment horizontal="left"/>
    </xf>
    <xf numFmtId="0" fontId="31" fillId="0" borderId="11" xfId="57" applyFont="1" applyBorder="1" applyAlignment="1">
      <alignment horizontal="left"/>
    </xf>
    <xf numFmtId="0" fontId="65" fillId="0" borderId="11" xfId="57" applyFont="1" applyBorder="1" applyAlignment="1">
      <alignment horizontal="left"/>
    </xf>
    <xf numFmtId="10" fontId="64" fillId="27" borderId="11" xfId="51" applyNumberFormat="1" applyFont="1" applyFill="1" applyBorder="1"/>
    <xf numFmtId="10" fontId="28" fillId="0" borderId="11" xfId="0" applyNumberFormat="1" applyFont="1" applyBorder="1"/>
    <xf numFmtId="0" fontId="45" fillId="0" borderId="0" xfId="0" quotePrefix="1" applyFont="1"/>
    <xf numFmtId="0" fontId="66" fillId="24" borderId="13" xfId="0" quotePrefix="1" applyFont="1" applyFill="1" applyBorder="1" applyAlignment="1" applyProtection="1">
      <alignment wrapText="1"/>
      <protection locked="0"/>
    </xf>
    <xf numFmtId="16" fontId="45" fillId="0" borderId="11" xfId="0" quotePrefix="1" applyNumberFormat="1" applyFont="1" applyBorder="1" applyAlignment="1" applyProtection="1">
      <alignment horizontal="center" vertical="center"/>
      <protection locked="0"/>
    </xf>
    <xf numFmtId="0" fontId="0" fillId="0" borderId="0" xfId="0" quotePrefix="1"/>
    <xf numFmtId="0" fontId="0" fillId="0" borderId="11" xfId="0" applyBorder="1" applyAlignment="1">
      <alignment horizontal="center" vertical="center"/>
    </xf>
    <xf numFmtId="0" fontId="0" fillId="41" borderId="11" xfId="0" applyFill="1" applyBorder="1"/>
    <xf numFmtId="0" fontId="45" fillId="0" borderId="58" xfId="56" applyBorder="1"/>
    <xf numFmtId="0" fontId="45" fillId="0" borderId="23" xfId="56" applyBorder="1"/>
    <xf numFmtId="0" fontId="45" fillId="0" borderId="24" xfId="56" applyBorder="1"/>
    <xf numFmtId="165" fontId="0" fillId="0" borderId="11" xfId="51" applyNumberFormat="1" applyFont="1" applyFill="1" applyBorder="1"/>
    <xf numFmtId="165" fontId="0" fillId="0" borderId="50" xfId="51" applyNumberFormat="1" applyFont="1" applyFill="1" applyBorder="1"/>
    <xf numFmtId="10" fontId="45" fillId="0" borderId="10" xfId="56" applyNumberFormat="1" applyBorder="1"/>
    <xf numFmtId="10" fontId="45" fillId="0" borderId="11" xfId="56" applyNumberFormat="1" applyBorder="1"/>
    <xf numFmtId="165" fontId="45" fillId="0" borderId="11" xfId="51" applyNumberFormat="1" applyFont="1" applyFill="1" applyBorder="1"/>
    <xf numFmtId="165" fontId="45" fillId="0" borderId="50" xfId="51" applyNumberFormat="1" applyFont="1" applyFill="1" applyBorder="1"/>
    <xf numFmtId="0" fontId="22" fillId="0" borderId="0" xfId="41" applyFont="1"/>
    <xf numFmtId="178" fontId="43" fillId="4" borderId="14" xfId="29" applyNumberFormat="1" applyFont="1" applyFill="1" applyBorder="1" applyAlignment="1">
      <alignment horizontal="center" vertical="center" wrapText="1"/>
    </xf>
    <xf numFmtId="10" fontId="45" fillId="0" borderId="57" xfId="56" applyNumberFormat="1" applyBorder="1"/>
    <xf numFmtId="10" fontId="45" fillId="0" borderId="21" xfId="56" applyNumberFormat="1" applyBorder="1"/>
    <xf numFmtId="165" fontId="0" fillId="0" borderId="21" xfId="51" applyNumberFormat="1" applyFont="1" applyFill="1" applyBorder="1"/>
    <xf numFmtId="165" fontId="45" fillId="0" borderId="21" xfId="51" applyNumberFormat="1" applyFont="1" applyFill="1" applyBorder="1"/>
    <xf numFmtId="165" fontId="45" fillId="0" borderId="48" xfId="51" applyNumberFormat="1" applyFont="1" applyFill="1" applyBorder="1"/>
    <xf numFmtId="0" fontId="45" fillId="0" borderId="11" xfId="0" applyFon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0" fontId="0" fillId="27" borderId="0" xfId="0" applyNumberFormat="1" applyFill="1"/>
    <xf numFmtId="178" fontId="43" fillId="42" borderId="11" xfId="58" applyNumberFormat="1" applyFont="1" applyFill="1" applyBorder="1" applyAlignment="1">
      <alignment horizontal="center" vertical="center" wrapText="1"/>
    </xf>
    <xf numFmtId="178" fontId="43" fillId="26" borderId="14" xfId="58" applyNumberFormat="1" applyFont="1" applyFill="1" applyBorder="1" applyAlignment="1">
      <alignment horizontal="center" vertical="center" wrapText="1"/>
    </xf>
    <xf numFmtId="178" fontId="43" fillId="26" borderId="11" xfId="58" applyNumberFormat="1" applyFont="1" applyFill="1" applyBorder="1" applyAlignment="1">
      <alignment horizontal="center" vertical="center" wrapText="1"/>
    </xf>
    <xf numFmtId="178" fontId="43" fillId="42" borderId="14" xfId="58" applyNumberFormat="1" applyFont="1" applyFill="1" applyBorder="1" applyAlignment="1">
      <alignment horizontal="center" vertical="center" wrapText="1"/>
    </xf>
    <xf numFmtId="10" fontId="43" fillId="28" borderId="0" xfId="0" applyNumberFormat="1" applyFont="1" applyFill="1"/>
    <xf numFmtId="2" fontId="0" fillId="0" borderId="0" xfId="28" applyNumberFormat="1" applyFont="1" applyAlignment="1"/>
    <xf numFmtId="2" fontId="28" fillId="0" borderId="88" xfId="28" applyNumberFormat="1" applyFont="1" applyFill="1" applyBorder="1" applyAlignment="1" applyProtection="1">
      <alignment horizontal="center" vertical="center"/>
    </xf>
    <xf numFmtId="2" fontId="28" fillId="0" borderId="90" xfId="28" applyNumberFormat="1" applyFont="1" applyBorder="1" applyAlignment="1">
      <alignment horizontal="center" vertical="center"/>
    </xf>
    <xf numFmtId="2" fontId="28" fillId="0" borderId="90" xfId="28" applyNumberFormat="1" applyFont="1" applyFill="1" applyBorder="1" applyAlignment="1" applyProtection="1">
      <alignment horizontal="center" vertical="center"/>
    </xf>
    <xf numFmtId="2" fontId="0" fillId="0" borderId="91" xfId="28" applyNumberFormat="1" applyFont="1" applyBorder="1" applyAlignment="1"/>
    <xf numFmtId="2" fontId="0" fillId="0" borderId="91" xfId="28" applyNumberFormat="1" applyFont="1" applyBorder="1" applyAlignment="1" applyProtection="1">
      <alignment horizontal="center" vertical="center"/>
      <protection hidden="1"/>
    </xf>
    <xf numFmtId="2" fontId="28" fillId="0" borderId="11" xfId="28" applyNumberFormat="1" applyFont="1" applyFill="1" applyBorder="1" applyAlignment="1" applyProtection="1">
      <alignment horizontal="center" vertical="center"/>
    </xf>
    <xf numFmtId="2" fontId="0" fillId="0" borderId="11" xfId="28" applyNumberFormat="1" applyFont="1" applyBorder="1" applyAlignment="1">
      <alignment vertical="top"/>
    </xf>
    <xf numFmtId="0" fontId="0" fillId="0" borderId="11" xfId="28" applyNumberFormat="1" applyFont="1" applyBorder="1" applyAlignment="1" applyProtection="1">
      <alignment horizontal="center" vertical="center"/>
      <protection hidden="1"/>
    </xf>
    <xf numFmtId="2" fontId="0" fillId="0" borderId="11" xfId="28" applyNumberFormat="1" applyFont="1" applyBorder="1" applyAlignment="1" applyProtection="1">
      <alignment horizontal="center" vertical="center"/>
      <protection hidden="1"/>
    </xf>
    <xf numFmtId="0" fontId="59" fillId="0" borderId="11" xfId="0" applyFont="1" applyBorder="1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11" xfId="0" applyBorder="1" applyAlignment="1">
      <alignment vertical="top" wrapText="1"/>
    </xf>
    <xf numFmtId="10" fontId="1" fillId="0" borderId="11" xfId="51" applyNumberFormat="1" applyFont="1" applyFill="1" applyBorder="1" applyAlignment="1">
      <alignment horizontal="center" vertical="center"/>
    </xf>
    <xf numFmtId="0" fontId="45" fillId="0" borderId="11" xfId="0" applyFont="1" applyBorder="1" applyAlignment="1">
      <alignment vertical="top" wrapText="1"/>
    </xf>
    <xf numFmtId="165" fontId="0" fillId="0" borderId="48" xfId="51" applyNumberFormat="1" applyFont="1" applyFill="1" applyBorder="1"/>
    <xf numFmtId="173" fontId="27" fillId="24" borderId="11" xfId="28" applyNumberFormat="1" applyFont="1" applyFill="1" applyBorder="1" applyAlignment="1" applyProtection="1">
      <alignment horizontal="center"/>
      <protection locked="0"/>
    </xf>
    <xf numFmtId="172" fontId="45" fillId="0" borderId="69" xfId="0" applyNumberFormat="1" applyFont="1" applyBorder="1"/>
    <xf numFmtId="172" fontId="45" fillId="0" borderId="36" xfId="0" applyNumberFormat="1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45" fillId="0" borderId="36" xfId="0" applyFont="1" applyBorder="1" applyAlignment="1">
      <alignment horizontal="center" vertical="center" wrapText="1"/>
    </xf>
    <xf numFmtId="1" fontId="48" fillId="0" borderId="40" xfId="0" applyNumberFormat="1" applyFont="1" applyBorder="1" applyAlignment="1">
      <alignment horizontal="center" vertical="center"/>
    </xf>
    <xf numFmtId="0" fontId="0" fillId="0" borderId="71" xfId="0" applyBorder="1"/>
    <xf numFmtId="165" fontId="0" fillId="0" borderId="75" xfId="51" applyNumberFormat="1" applyFont="1" applyFill="1" applyBorder="1"/>
    <xf numFmtId="173" fontId="23" fillId="24" borderId="0" xfId="0" applyNumberFormat="1" applyFont="1" applyFill="1"/>
    <xf numFmtId="16" fontId="45" fillId="0" borderId="96" xfId="56" applyNumberFormat="1" applyBorder="1" applyAlignment="1">
      <alignment horizontal="center"/>
    </xf>
    <xf numFmtId="16" fontId="45" fillId="0" borderId="97" xfId="56" applyNumberFormat="1" applyBorder="1" applyAlignment="1">
      <alignment horizontal="center"/>
    </xf>
    <xf numFmtId="0" fontId="28" fillId="48" borderId="97" xfId="56" applyFont="1" applyFill="1" applyBorder="1"/>
    <xf numFmtId="16" fontId="28" fillId="34" borderId="97" xfId="56" applyNumberFormat="1" applyFont="1" applyFill="1" applyBorder="1"/>
    <xf numFmtId="16" fontId="28" fillId="44" borderId="97" xfId="56" applyNumberFormat="1" applyFont="1" applyFill="1" applyBorder="1"/>
    <xf numFmtId="16" fontId="28" fillId="40" borderId="97" xfId="56" applyNumberFormat="1" applyFont="1" applyFill="1" applyBorder="1"/>
    <xf numFmtId="16" fontId="28" fillId="35" borderId="97" xfId="56" applyNumberFormat="1" applyFont="1" applyFill="1" applyBorder="1"/>
    <xf numFmtId="0" fontId="28" fillId="45" borderId="97" xfId="56" applyFont="1" applyFill="1" applyBorder="1"/>
    <xf numFmtId="0" fontId="28" fillId="46" borderId="97" xfId="56" applyFont="1" applyFill="1" applyBorder="1"/>
    <xf numFmtId="0" fontId="28" fillId="47" borderId="97" xfId="56" applyFont="1" applyFill="1" applyBorder="1"/>
    <xf numFmtId="0" fontId="28" fillId="40" borderId="97" xfId="56" applyFont="1" applyFill="1" applyBorder="1"/>
    <xf numFmtId="0" fontId="28" fillId="44" borderId="98" xfId="56" applyFont="1" applyFill="1" applyBorder="1"/>
    <xf numFmtId="170" fontId="0" fillId="0" borderId="11" xfId="0" applyNumberFormat="1" applyBorder="1" applyAlignment="1" applyProtection="1">
      <alignment vertical="center" wrapText="1"/>
      <protection locked="0"/>
    </xf>
    <xf numFmtId="179" fontId="43" fillId="0" borderId="11" xfId="29" applyNumberFormat="1" applyFont="1" applyFill="1" applyBorder="1" applyAlignment="1">
      <alignment vertical="center"/>
    </xf>
    <xf numFmtId="1" fontId="43" fillId="0" borderId="0" xfId="51" applyNumberFormat="1" applyFont="1" applyFill="1" applyBorder="1" applyAlignment="1">
      <alignment vertical="center"/>
    </xf>
    <xf numFmtId="0" fontId="45" fillId="0" borderId="11" xfId="0" applyFont="1" applyBorder="1" applyAlignment="1">
      <alignment wrapText="1"/>
    </xf>
    <xf numFmtId="0" fontId="28" fillId="24" borderId="13" xfId="0" quotePrefix="1" applyFont="1" applyFill="1" applyBorder="1" applyAlignment="1" applyProtection="1">
      <alignment wrapText="1"/>
      <protection locked="0"/>
    </xf>
    <xf numFmtId="0" fontId="28" fillId="24" borderId="100" xfId="0" quotePrefix="1" applyFont="1" applyFill="1" applyBorder="1" applyAlignment="1" applyProtection="1">
      <alignment wrapText="1"/>
      <protection locked="0"/>
    </xf>
    <xf numFmtId="176" fontId="23" fillId="24" borderId="0" xfId="0" applyNumberFormat="1" applyFont="1" applyFill="1"/>
    <xf numFmtId="165" fontId="0" fillId="0" borderId="100" xfId="51" applyNumberFormat="1" applyFont="1" applyFill="1" applyBorder="1"/>
    <xf numFmtId="170" fontId="0" fillId="0" borderId="11" xfId="0" applyNumberFormat="1" applyBorder="1" applyAlignment="1">
      <alignment vertical="justify"/>
    </xf>
    <xf numFmtId="0" fontId="45" fillId="0" borderId="0" xfId="56"/>
    <xf numFmtId="0" fontId="45" fillId="0" borderId="11" xfId="56" applyBorder="1"/>
    <xf numFmtId="0" fontId="45" fillId="0" borderId="0" xfId="56" quotePrefix="1"/>
    <xf numFmtId="0" fontId="45" fillId="0" borderId="12" xfId="56" applyBorder="1"/>
    <xf numFmtId="1" fontId="45" fillId="27" borderId="40" xfId="0" applyNumberFormat="1" applyFont="1" applyFill="1" applyBorder="1" applyAlignment="1">
      <alignment horizontal="center" vertical="center"/>
    </xf>
    <xf numFmtId="0" fontId="45" fillId="0" borderId="14" xfId="56" applyBorder="1"/>
    <xf numFmtId="0" fontId="45" fillId="0" borderId="51" xfId="56" applyBorder="1"/>
    <xf numFmtId="0" fontId="45" fillId="0" borderId="59" xfId="56" applyBorder="1"/>
    <xf numFmtId="0" fontId="45" fillId="0" borderId="26" xfId="56" applyBorder="1"/>
    <xf numFmtId="165" fontId="0" fillId="0" borderId="17" xfId="51" applyNumberFormat="1" applyFont="1" applyFill="1" applyBorder="1"/>
    <xf numFmtId="10" fontId="45" fillId="0" borderId="25" xfId="56" applyNumberFormat="1" applyBorder="1"/>
    <xf numFmtId="10" fontId="45" fillId="0" borderId="17" xfId="56" applyNumberFormat="1" applyBorder="1"/>
    <xf numFmtId="165" fontId="45" fillId="0" borderId="17" xfId="51" applyNumberFormat="1" applyFont="1" applyFill="1" applyBorder="1"/>
    <xf numFmtId="165" fontId="45" fillId="0" borderId="49" xfId="51" applyNumberFormat="1" applyFont="1" applyFill="1" applyBorder="1"/>
    <xf numFmtId="0" fontId="45" fillId="0" borderId="32" xfId="56" applyBorder="1"/>
    <xf numFmtId="10" fontId="45" fillId="0" borderId="77" xfId="56" applyNumberFormat="1" applyBorder="1"/>
    <xf numFmtId="10" fontId="45" fillId="0" borderId="102" xfId="56" applyNumberFormat="1" applyBorder="1"/>
    <xf numFmtId="0" fontId="28" fillId="0" borderId="69" xfId="56" applyFont="1" applyFill="1" applyBorder="1"/>
    <xf numFmtId="10" fontId="28" fillId="0" borderId="70" xfId="56" applyNumberFormat="1" applyFont="1" applyFill="1" applyBorder="1" applyAlignment="1">
      <alignment horizontal="center"/>
    </xf>
    <xf numFmtId="10" fontId="28" fillId="0" borderId="0" xfId="56" applyNumberFormat="1" applyFont="1" applyFill="1" applyBorder="1" applyAlignment="1">
      <alignment horizontal="center"/>
    </xf>
    <xf numFmtId="2" fontId="28" fillId="0" borderId="0" xfId="56" applyNumberFormat="1" applyFont="1" applyFill="1" applyBorder="1" applyAlignment="1">
      <alignment horizontal="center"/>
    </xf>
    <xf numFmtId="4" fontId="28" fillId="0" borderId="0" xfId="56" applyNumberFormat="1" applyFont="1" applyFill="1" applyBorder="1" applyAlignment="1">
      <alignment horizontal="center"/>
    </xf>
    <xf numFmtId="2" fontId="28" fillId="0" borderId="71" xfId="56" applyNumberFormat="1" applyFont="1" applyFill="1" applyBorder="1" applyAlignment="1">
      <alignment horizontal="center"/>
    </xf>
    <xf numFmtId="175" fontId="28" fillId="0" borderId="0" xfId="56" applyNumberFormat="1" applyFont="1" applyFill="1" applyBorder="1" applyAlignment="1">
      <alignment horizontal="center"/>
    </xf>
    <xf numFmtId="0" fontId="45" fillId="0" borderId="0" xfId="56" applyFill="1"/>
    <xf numFmtId="10" fontId="45" fillId="0" borderId="28" xfId="56" applyNumberFormat="1" applyBorder="1"/>
    <xf numFmtId="10" fontId="45" fillId="0" borderId="100" xfId="56" applyNumberFormat="1" applyBorder="1"/>
    <xf numFmtId="165" fontId="0" fillId="0" borderId="102" xfId="51" applyNumberFormat="1" applyFont="1" applyFill="1" applyBorder="1"/>
    <xf numFmtId="165" fontId="0" fillId="0" borderId="101" xfId="51" applyNumberFormat="1" applyFont="1" applyFill="1" applyBorder="1"/>
    <xf numFmtId="165" fontId="0" fillId="0" borderId="103" xfId="51" applyNumberFormat="1" applyFont="1" applyFill="1" applyBorder="1"/>
    <xf numFmtId="165" fontId="45" fillId="0" borderId="100" xfId="51" applyNumberFormat="1" applyFont="1" applyFill="1" applyBorder="1"/>
    <xf numFmtId="165" fontId="45" fillId="0" borderId="102" xfId="51" applyNumberFormat="1" applyFont="1" applyFill="1" applyBorder="1"/>
    <xf numFmtId="165" fontId="45" fillId="0" borderId="101" xfId="51" applyNumberFormat="1" applyFont="1" applyFill="1" applyBorder="1"/>
    <xf numFmtId="165" fontId="45" fillId="0" borderId="103" xfId="51" applyNumberFormat="1" applyFont="1" applyFill="1" applyBorder="1"/>
    <xf numFmtId="0" fontId="28" fillId="53" borderId="97" xfId="56" applyFont="1" applyFill="1" applyBorder="1"/>
    <xf numFmtId="0" fontId="45" fillId="53" borderId="0" xfId="56" applyFill="1"/>
    <xf numFmtId="0" fontId="27" fillId="24" borderId="100" xfId="0" quotePrefix="1" applyFont="1" applyFill="1" applyBorder="1" applyAlignment="1" applyProtection="1">
      <alignment wrapText="1"/>
      <protection locked="0"/>
    </xf>
    <xf numFmtId="182" fontId="23" fillId="24" borderId="0" xfId="0" applyNumberFormat="1" applyFont="1" applyFill="1"/>
    <xf numFmtId="0" fontId="45" fillId="0" borderId="70" xfId="0" applyFont="1" applyFill="1" applyBorder="1"/>
    <xf numFmtId="15" fontId="0" fillId="0" borderId="11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165" fontId="0" fillId="0" borderId="17" xfId="28" applyFont="1" applyFill="1" applyBorder="1" applyProtection="1"/>
    <xf numFmtId="165" fontId="0" fillId="0" borderId="11" xfId="28" applyFont="1" applyFill="1" applyBorder="1" applyProtection="1"/>
    <xf numFmtId="0" fontId="0" fillId="0" borderId="17" xfId="28" applyNumberFormat="1" applyFont="1" applyFill="1" applyBorder="1" applyProtection="1"/>
    <xf numFmtId="2" fontId="0" fillId="0" borderId="17" xfId="28" applyNumberFormat="1" applyFont="1" applyFill="1" applyBorder="1" applyProtection="1"/>
    <xf numFmtId="175" fontId="0" fillId="0" borderId="11" xfId="0" applyNumberFormat="1" applyFill="1" applyBorder="1"/>
    <xf numFmtId="171" fontId="0" fillId="0" borderId="11" xfId="0" applyNumberFormat="1" applyFill="1" applyBorder="1"/>
    <xf numFmtId="178" fontId="42" fillId="0" borderId="102" xfId="29" applyNumberFormat="1" applyFont="1" applyFill="1" applyBorder="1" applyAlignment="1">
      <alignment vertical="center"/>
    </xf>
    <xf numFmtId="2" fontId="43" fillId="0" borderId="11" xfId="51" applyNumberFormat="1" applyFont="1" applyFill="1" applyBorder="1" applyAlignment="1">
      <alignment vertical="center"/>
    </xf>
    <xf numFmtId="0" fontId="42" fillId="0" borderId="11" xfId="0" applyFont="1" applyBorder="1" applyAlignment="1">
      <alignment horizontal="center"/>
    </xf>
    <xf numFmtId="165" fontId="42" fillId="0" borderId="11" xfId="0" applyNumberFormat="1" applyFont="1" applyBorder="1"/>
    <xf numFmtId="0" fontId="45" fillId="0" borderId="94" xfId="56" applyBorder="1" applyAlignment="1">
      <alignment horizontal="center" vertical="center"/>
    </xf>
    <xf numFmtId="0" fontId="45" fillId="0" borderId="69" xfId="56" applyBorder="1" applyAlignment="1">
      <alignment horizontal="center" vertical="center"/>
    </xf>
    <xf numFmtId="0" fontId="45" fillId="0" borderId="95" xfId="56" applyBorder="1" applyAlignment="1">
      <alignment horizontal="center" vertical="center"/>
    </xf>
    <xf numFmtId="0" fontId="28" fillId="42" borderId="36" xfId="56" applyFont="1" applyFill="1" applyBorder="1" applyAlignment="1">
      <alignment horizontal="center" vertical="center"/>
    </xf>
    <xf numFmtId="0" fontId="28" fillId="42" borderId="54" xfId="56" applyFont="1" applyFill="1" applyBorder="1" applyAlignment="1">
      <alignment horizontal="center" vertical="center"/>
    </xf>
    <xf numFmtId="0" fontId="28" fillId="42" borderId="35" xfId="56" applyFont="1" applyFill="1" applyBorder="1" applyAlignment="1">
      <alignment horizontal="center" vertical="center"/>
    </xf>
    <xf numFmtId="0" fontId="28" fillId="43" borderId="36" xfId="56" applyFont="1" applyFill="1" applyBorder="1" applyAlignment="1">
      <alignment horizontal="center" vertical="center"/>
    </xf>
    <xf numFmtId="0" fontId="28" fillId="43" borderId="54" xfId="56" applyFont="1" applyFill="1" applyBorder="1" applyAlignment="1">
      <alignment horizontal="center" vertical="center"/>
    </xf>
    <xf numFmtId="0" fontId="28" fillId="43" borderId="35" xfId="56" applyFont="1" applyFill="1" applyBorder="1" applyAlignment="1">
      <alignment horizontal="center" vertical="center"/>
    </xf>
    <xf numFmtId="0" fontId="28" fillId="27" borderId="36" xfId="56" applyFont="1" applyFill="1" applyBorder="1" applyAlignment="1">
      <alignment horizontal="center" vertical="center" wrapText="1"/>
    </xf>
    <xf numFmtId="0" fontId="28" fillId="27" borderId="54" xfId="56" applyFont="1" applyFill="1" applyBorder="1" applyAlignment="1">
      <alignment horizontal="center" vertical="center" wrapText="1"/>
    </xf>
    <xf numFmtId="0" fontId="28" fillId="27" borderId="35" xfId="56" applyFont="1" applyFill="1" applyBorder="1" applyAlignment="1">
      <alignment horizontal="center" vertical="center" wrapText="1"/>
    </xf>
    <xf numFmtId="0" fontId="28" fillId="35" borderId="36" xfId="56" applyFont="1" applyFill="1" applyBorder="1" applyAlignment="1">
      <alignment horizontal="center" vertical="center" wrapText="1"/>
    </xf>
    <xf numFmtId="0" fontId="28" fillId="35" borderId="54" xfId="56" applyFont="1" applyFill="1" applyBorder="1" applyAlignment="1">
      <alignment horizontal="center" vertical="center" wrapText="1"/>
    </xf>
    <xf numFmtId="0" fontId="28" fillId="35" borderId="35" xfId="56" applyFont="1" applyFill="1" applyBorder="1" applyAlignment="1">
      <alignment horizontal="center" vertical="center" wrapText="1"/>
    </xf>
    <xf numFmtId="0" fontId="28" fillId="32" borderId="36" xfId="56" applyFont="1" applyFill="1" applyBorder="1" applyAlignment="1">
      <alignment horizontal="center" vertical="center" wrapText="1"/>
    </xf>
    <xf numFmtId="0" fontId="28" fillId="32" borderId="54" xfId="56" applyFont="1" applyFill="1" applyBorder="1" applyAlignment="1">
      <alignment horizontal="center" vertical="center" wrapText="1"/>
    </xf>
    <xf numFmtId="0" fontId="28" fillId="32" borderId="35" xfId="56" applyFont="1" applyFill="1" applyBorder="1" applyAlignment="1">
      <alignment horizontal="center" vertical="center" wrapText="1"/>
    </xf>
    <xf numFmtId="0" fontId="45" fillId="0" borderId="75" xfId="56" applyBorder="1" applyAlignment="1">
      <alignment horizontal="center"/>
    </xf>
    <xf numFmtId="0" fontId="45" fillId="0" borderId="77" xfId="56" applyBorder="1" applyAlignment="1">
      <alignment horizontal="center"/>
    </xf>
    <xf numFmtId="0" fontId="45" fillId="0" borderId="105" xfId="56" applyBorder="1" applyAlignment="1">
      <alignment horizontal="center"/>
    </xf>
    <xf numFmtId="0" fontId="45" fillId="0" borderId="76" xfId="56" applyBorder="1" applyAlignment="1">
      <alignment horizontal="center"/>
    </xf>
    <xf numFmtId="0" fontId="28" fillId="33" borderId="37" xfId="56" applyFont="1" applyFill="1" applyBorder="1" applyAlignment="1">
      <alignment horizontal="center" vertical="center" wrapText="1"/>
    </xf>
    <xf numFmtId="0" fontId="28" fillId="33" borderId="27" xfId="56" applyFont="1" applyFill="1" applyBorder="1" applyAlignment="1">
      <alignment horizontal="center" vertical="center" wrapText="1"/>
    </xf>
    <xf numFmtId="0" fontId="45" fillId="0" borderId="78" xfId="56" applyBorder="1" applyAlignment="1">
      <alignment horizontal="center"/>
    </xf>
    <xf numFmtId="0" fontId="45" fillId="0" borderId="0" xfId="56" applyAlignment="1">
      <alignment horizontal="center"/>
    </xf>
    <xf numFmtId="0" fontId="45" fillId="0" borderId="48" xfId="56" applyBorder="1" applyAlignment="1">
      <alignment horizontal="center"/>
    </xf>
    <xf numFmtId="4" fontId="28" fillId="48" borderId="100" xfId="56" applyNumberFormat="1" applyFont="1" applyFill="1" applyBorder="1" applyAlignment="1">
      <alignment horizontal="center"/>
    </xf>
    <xf numFmtId="4" fontId="28" fillId="48" borderId="102" xfId="56" applyNumberFormat="1" applyFont="1" applyFill="1" applyBorder="1" applyAlignment="1">
      <alignment horizontal="center"/>
    </xf>
    <xf numFmtId="2" fontId="28" fillId="48" borderId="100" xfId="56" applyNumberFormat="1" applyFont="1" applyFill="1" applyBorder="1" applyAlignment="1">
      <alignment horizontal="center"/>
    </xf>
    <xf numFmtId="2" fontId="28" fillId="48" borderId="102" xfId="56" applyNumberFormat="1" applyFont="1" applyFill="1" applyBorder="1" applyAlignment="1">
      <alignment horizontal="center"/>
    </xf>
    <xf numFmtId="2" fontId="28" fillId="48" borderId="103" xfId="56" applyNumberFormat="1" applyFont="1" applyFill="1" applyBorder="1" applyAlignment="1">
      <alignment horizontal="center"/>
    </xf>
    <xf numFmtId="10" fontId="28" fillId="48" borderId="10" xfId="56" applyNumberFormat="1" applyFont="1" applyFill="1" applyBorder="1" applyAlignment="1">
      <alignment horizontal="center"/>
    </xf>
    <xf numFmtId="10" fontId="28" fillId="48" borderId="11" xfId="56" applyNumberFormat="1" applyFont="1" applyFill="1" applyBorder="1" applyAlignment="1">
      <alignment horizontal="center"/>
    </xf>
    <xf numFmtId="4" fontId="28" fillId="48" borderId="11" xfId="56" applyNumberFormat="1" applyFont="1" applyFill="1" applyBorder="1" applyAlignment="1">
      <alignment horizontal="center"/>
    </xf>
    <xf numFmtId="2" fontId="28" fillId="48" borderId="11" xfId="56" applyNumberFormat="1" applyFont="1" applyFill="1" applyBorder="1" applyAlignment="1">
      <alignment horizontal="center"/>
    </xf>
    <xf numFmtId="2" fontId="28" fillId="48" borderId="50" xfId="56" applyNumberFormat="1" applyFont="1" applyFill="1" applyBorder="1" applyAlignment="1">
      <alignment horizontal="center"/>
    </xf>
    <xf numFmtId="0" fontId="45" fillId="0" borderId="21" xfId="56" applyBorder="1" applyAlignment="1">
      <alignment horizontal="center"/>
    </xf>
    <xf numFmtId="10" fontId="28" fillId="48" borderId="28" xfId="56" applyNumberFormat="1" applyFont="1" applyFill="1" applyBorder="1" applyAlignment="1">
      <alignment horizontal="center"/>
    </xf>
    <xf numFmtId="10" fontId="28" fillId="48" borderId="102" xfId="56" applyNumberFormat="1" applyFont="1" applyFill="1" applyBorder="1" applyAlignment="1">
      <alignment horizontal="center"/>
    </xf>
    <xf numFmtId="10" fontId="28" fillId="48" borderId="100" xfId="56" applyNumberFormat="1" applyFont="1" applyFill="1" applyBorder="1" applyAlignment="1">
      <alignment horizontal="center"/>
    </xf>
    <xf numFmtId="165" fontId="28" fillId="48" borderId="100" xfId="56" applyNumberFormat="1" applyFont="1" applyFill="1" applyBorder="1" applyAlignment="1">
      <alignment horizontal="center"/>
    </xf>
    <xf numFmtId="0" fontId="28" fillId="48" borderId="102" xfId="56" applyFont="1" applyFill="1" applyBorder="1" applyAlignment="1">
      <alignment horizontal="center"/>
    </xf>
    <xf numFmtId="0" fontId="28" fillId="48" borderId="101" xfId="56" applyFont="1" applyFill="1" applyBorder="1" applyAlignment="1">
      <alignment horizontal="center"/>
    </xf>
    <xf numFmtId="2" fontId="28" fillId="48" borderId="101" xfId="56" applyNumberFormat="1" applyFont="1" applyFill="1" applyBorder="1" applyAlignment="1">
      <alignment horizontal="center"/>
    </xf>
    <xf numFmtId="10" fontId="28" fillId="34" borderId="28" xfId="56" applyNumberFormat="1" applyFont="1" applyFill="1" applyBorder="1" applyAlignment="1">
      <alignment horizontal="center"/>
    </xf>
    <xf numFmtId="10" fontId="28" fillId="34" borderId="102" xfId="56" applyNumberFormat="1" applyFont="1" applyFill="1" applyBorder="1" applyAlignment="1">
      <alignment horizontal="center"/>
    </xf>
    <xf numFmtId="10" fontId="28" fillId="34" borderId="100" xfId="56" applyNumberFormat="1" applyFont="1" applyFill="1" applyBorder="1" applyAlignment="1">
      <alignment horizontal="center"/>
    </xf>
    <xf numFmtId="4" fontId="28" fillId="34" borderId="100" xfId="56" applyNumberFormat="1" applyFont="1" applyFill="1" applyBorder="1" applyAlignment="1">
      <alignment horizontal="center"/>
    </xf>
    <xf numFmtId="4" fontId="28" fillId="34" borderId="102" xfId="56" applyNumberFormat="1" applyFont="1" applyFill="1" applyBorder="1" applyAlignment="1">
      <alignment horizontal="center"/>
    </xf>
    <xf numFmtId="165" fontId="28" fillId="34" borderId="100" xfId="56" applyNumberFormat="1" applyFont="1" applyFill="1" applyBorder="1" applyAlignment="1">
      <alignment horizontal="center"/>
    </xf>
    <xf numFmtId="0" fontId="28" fillId="34" borderId="102" xfId="56" applyFont="1" applyFill="1" applyBorder="1" applyAlignment="1">
      <alignment horizontal="center"/>
    </xf>
    <xf numFmtId="0" fontId="28" fillId="34" borderId="101" xfId="56" applyFont="1" applyFill="1" applyBorder="1" applyAlignment="1">
      <alignment horizontal="center"/>
    </xf>
    <xf numFmtId="4" fontId="28" fillId="34" borderId="11" xfId="56" applyNumberFormat="1" applyFont="1" applyFill="1" applyBorder="1" applyAlignment="1">
      <alignment horizontal="center"/>
    </xf>
    <xf numFmtId="2" fontId="28" fillId="34" borderId="100" xfId="56" applyNumberFormat="1" applyFont="1" applyFill="1" applyBorder="1" applyAlignment="1">
      <alignment horizontal="center"/>
    </xf>
    <xf numFmtId="2" fontId="28" fillId="34" borderId="102" xfId="56" applyNumberFormat="1" applyFont="1" applyFill="1" applyBorder="1" applyAlignment="1">
      <alignment horizontal="center"/>
    </xf>
    <xf numFmtId="2" fontId="28" fillId="34" borderId="103" xfId="56" applyNumberFormat="1" applyFont="1" applyFill="1" applyBorder="1" applyAlignment="1">
      <alignment horizontal="center"/>
    </xf>
    <xf numFmtId="2" fontId="28" fillId="34" borderId="101" xfId="56" applyNumberFormat="1" applyFont="1" applyFill="1" applyBorder="1" applyAlignment="1">
      <alignment horizontal="center"/>
    </xf>
    <xf numFmtId="10" fontId="28" fillId="44" borderId="28" xfId="56" applyNumberFormat="1" applyFont="1" applyFill="1" applyBorder="1" applyAlignment="1">
      <alignment horizontal="center"/>
    </xf>
    <xf numFmtId="10" fontId="28" fillId="44" borderId="102" xfId="56" applyNumberFormat="1" applyFont="1" applyFill="1" applyBorder="1" applyAlignment="1">
      <alignment horizontal="center"/>
    </xf>
    <xf numFmtId="10" fontId="28" fillId="44" borderId="100" xfId="56" applyNumberFormat="1" applyFont="1" applyFill="1" applyBorder="1" applyAlignment="1">
      <alignment horizontal="center"/>
    </xf>
    <xf numFmtId="4" fontId="28" fillId="44" borderId="100" xfId="56" applyNumberFormat="1" applyFont="1" applyFill="1" applyBorder="1" applyAlignment="1">
      <alignment horizontal="center"/>
    </xf>
    <xf numFmtId="4" fontId="28" fillId="44" borderId="102" xfId="56" applyNumberFormat="1" applyFont="1" applyFill="1" applyBorder="1" applyAlignment="1">
      <alignment horizontal="center"/>
    </xf>
    <xf numFmtId="165" fontId="28" fillId="44" borderId="100" xfId="56" applyNumberFormat="1" applyFont="1" applyFill="1" applyBorder="1" applyAlignment="1">
      <alignment horizontal="center"/>
    </xf>
    <xf numFmtId="0" fontId="28" fillId="44" borderId="102" xfId="56" applyFont="1" applyFill="1" applyBorder="1" applyAlignment="1">
      <alignment horizontal="center"/>
    </xf>
    <xf numFmtId="0" fontId="28" fillId="44" borderId="101" xfId="56" applyFont="1" applyFill="1" applyBorder="1" applyAlignment="1">
      <alignment horizontal="center"/>
    </xf>
    <xf numFmtId="2" fontId="28" fillId="34" borderId="11" xfId="56" applyNumberFormat="1" applyFont="1" applyFill="1" applyBorder="1" applyAlignment="1">
      <alignment horizontal="center"/>
    </xf>
    <xf numFmtId="2" fontId="28" fillId="34" borderId="50" xfId="56" applyNumberFormat="1" applyFont="1" applyFill="1" applyBorder="1" applyAlignment="1">
      <alignment horizontal="center"/>
    </xf>
    <xf numFmtId="10" fontId="28" fillId="34" borderId="10" xfId="56" applyNumberFormat="1" applyFont="1" applyFill="1" applyBorder="1" applyAlignment="1">
      <alignment horizontal="center"/>
    </xf>
    <xf numFmtId="10" fontId="28" fillId="34" borderId="11" xfId="56" applyNumberFormat="1" applyFont="1" applyFill="1" applyBorder="1" applyAlignment="1">
      <alignment horizontal="center"/>
    </xf>
    <xf numFmtId="4" fontId="28" fillId="44" borderId="11" xfId="56" applyNumberFormat="1" applyFont="1" applyFill="1" applyBorder="1" applyAlignment="1">
      <alignment horizontal="center"/>
    </xf>
    <xf numFmtId="2" fontId="28" fillId="44" borderId="100" xfId="56" applyNumberFormat="1" applyFont="1" applyFill="1" applyBorder="1" applyAlignment="1">
      <alignment horizontal="center"/>
    </xf>
    <xf numFmtId="2" fontId="28" fillId="44" borderId="102" xfId="56" applyNumberFormat="1" applyFont="1" applyFill="1" applyBorder="1" applyAlignment="1">
      <alignment horizontal="center"/>
    </xf>
    <xf numFmtId="2" fontId="28" fillId="44" borderId="103" xfId="56" applyNumberFormat="1" applyFont="1" applyFill="1" applyBorder="1" applyAlignment="1">
      <alignment horizontal="center"/>
    </xf>
    <xf numFmtId="2" fontId="28" fillId="44" borderId="101" xfId="56" applyNumberFormat="1" applyFont="1" applyFill="1" applyBorder="1" applyAlignment="1">
      <alignment horizontal="center"/>
    </xf>
    <xf numFmtId="10" fontId="28" fillId="40" borderId="28" xfId="56" applyNumberFormat="1" applyFont="1" applyFill="1" applyBorder="1" applyAlignment="1">
      <alignment horizontal="center"/>
    </xf>
    <xf numFmtId="10" fontId="28" fillId="40" borderId="102" xfId="56" applyNumberFormat="1" applyFont="1" applyFill="1" applyBorder="1" applyAlignment="1">
      <alignment horizontal="center"/>
    </xf>
    <xf numFmtId="10" fontId="28" fillId="40" borderId="100" xfId="56" applyNumberFormat="1" applyFont="1" applyFill="1" applyBorder="1" applyAlignment="1">
      <alignment horizontal="center"/>
    </xf>
    <xf numFmtId="2" fontId="28" fillId="40" borderId="100" xfId="56" applyNumberFormat="1" applyFont="1" applyFill="1" applyBorder="1" applyAlignment="1">
      <alignment horizontal="center"/>
    </xf>
    <xf numFmtId="2" fontId="28" fillId="40" borderId="102" xfId="56" applyNumberFormat="1" applyFont="1" applyFill="1" applyBorder="1" applyAlignment="1">
      <alignment horizontal="center"/>
    </xf>
    <xf numFmtId="4" fontId="28" fillId="40" borderId="100" xfId="56" applyNumberFormat="1" applyFont="1" applyFill="1" applyBorder="1" applyAlignment="1">
      <alignment horizontal="center"/>
    </xf>
    <xf numFmtId="4" fontId="28" fillId="40" borderId="102" xfId="56" applyNumberFormat="1" applyFont="1" applyFill="1" applyBorder="1" applyAlignment="1">
      <alignment horizontal="center"/>
    </xf>
    <xf numFmtId="2" fontId="28" fillId="44" borderId="11" xfId="56" applyNumberFormat="1" applyFont="1" applyFill="1" applyBorder="1" applyAlignment="1">
      <alignment horizontal="center"/>
    </xf>
    <xf numFmtId="2" fontId="28" fillId="44" borderId="50" xfId="56" applyNumberFormat="1" applyFont="1" applyFill="1" applyBorder="1" applyAlignment="1">
      <alignment horizontal="center"/>
    </xf>
    <xf numFmtId="10" fontId="28" fillId="44" borderId="10" xfId="56" applyNumberFormat="1" applyFont="1" applyFill="1" applyBorder="1" applyAlignment="1">
      <alignment horizontal="center"/>
    </xf>
    <xf numFmtId="10" fontId="28" fillId="44" borderId="11" xfId="56" applyNumberFormat="1" applyFont="1" applyFill="1" applyBorder="1" applyAlignment="1">
      <alignment horizontal="center"/>
    </xf>
    <xf numFmtId="2" fontId="28" fillId="52" borderId="11" xfId="56" applyNumberFormat="1" applyFont="1" applyFill="1" applyBorder="1" applyAlignment="1">
      <alignment horizontal="center"/>
    </xf>
    <xf numFmtId="4" fontId="28" fillId="40" borderId="11" xfId="56" applyNumberFormat="1" applyFont="1" applyFill="1" applyBorder="1" applyAlignment="1">
      <alignment horizontal="center"/>
    </xf>
    <xf numFmtId="4" fontId="28" fillId="52" borderId="11" xfId="56" applyNumberFormat="1" applyFont="1" applyFill="1" applyBorder="1" applyAlignment="1">
      <alignment horizontal="center"/>
    </xf>
    <xf numFmtId="4" fontId="28" fillId="40" borderId="103" xfId="56" applyNumberFormat="1" applyFont="1" applyFill="1" applyBorder="1" applyAlignment="1">
      <alignment horizontal="center"/>
    </xf>
    <xf numFmtId="2" fontId="28" fillId="40" borderId="101" xfId="56" applyNumberFormat="1" applyFont="1" applyFill="1" applyBorder="1" applyAlignment="1">
      <alignment horizontal="center"/>
    </xf>
    <xf numFmtId="2" fontId="28" fillId="52" borderId="50" xfId="56" applyNumberFormat="1" applyFont="1" applyFill="1" applyBorder="1" applyAlignment="1">
      <alignment horizontal="center"/>
    </xf>
    <xf numFmtId="10" fontId="28" fillId="35" borderId="28" xfId="56" applyNumberFormat="1" applyFont="1" applyFill="1" applyBorder="1" applyAlignment="1">
      <alignment horizontal="center"/>
    </xf>
    <xf numFmtId="10" fontId="28" fillId="35" borderId="103" xfId="56" applyNumberFormat="1" applyFont="1" applyFill="1" applyBorder="1" applyAlignment="1">
      <alignment horizontal="center"/>
    </xf>
    <xf numFmtId="10" fontId="28" fillId="35" borderId="11" xfId="56" applyNumberFormat="1" applyFont="1" applyFill="1" applyBorder="1" applyAlignment="1">
      <alignment horizontal="center"/>
    </xf>
    <xf numFmtId="2" fontId="28" fillId="35" borderId="100" xfId="56" applyNumberFormat="1" applyFont="1" applyFill="1" applyBorder="1" applyAlignment="1">
      <alignment horizontal="center"/>
    </xf>
    <xf numFmtId="2" fontId="28" fillId="35" borderId="102" xfId="56" applyNumberFormat="1" applyFont="1" applyFill="1" applyBorder="1" applyAlignment="1">
      <alignment horizontal="center"/>
    </xf>
    <xf numFmtId="2" fontId="28" fillId="52" borderId="100" xfId="56" applyNumberFormat="1" applyFont="1" applyFill="1" applyBorder="1" applyAlignment="1">
      <alignment horizontal="center"/>
    </xf>
    <xf numFmtId="10" fontId="28" fillId="40" borderId="11" xfId="56" applyNumberFormat="1" applyFont="1" applyFill="1" applyBorder="1" applyAlignment="1">
      <alignment horizontal="center"/>
    </xf>
    <xf numFmtId="175" fontId="28" fillId="52" borderId="11" xfId="56" applyNumberFormat="1" applyFont="1" applyFill="1" applyBorder="1" applyAlignment="1">
      <alignment horizontal="center"/>
    </xf>
    <xf numFmtId="10" fontId="28" fillId="40" borderId="10" xfId="56" applyNumberFormat="1" applyFont="1" applyFill="1" applyBorder="1" applyAlignment="1">
      <alignment horizontal="center"/>
    </xf>
    <xf numFmtId="2" fontId="28" fillId="35" borderId="11" xfId="56" applyNumberFormat="1" applyFont="1" applyFill="1" applyBorder="1" applyAlignment="1">
      <alignment horizontal="center"/>
    </xf>
    <xf numFmtId="4" fontId="28" fillId="35" borderId="100" xfId="56" applyNumberFormat="1" applyFont="1" applyFill="1" applyBorder="1" applyAlignment="1">
      <alignment horizontal="center"/>
    </xf>
    <xf numFmtId="4" fontId="28" fillId="35" borderId="102" xfId="56" applyNumberFormat="1" applyFont="1" applyFill="1" applyBorder="1" applyAlignment="1">
      <alignment horizontal="center"/>
    </xf>
    <xf numFmtId="2" fontId="28" fillId="35" borderId="103" xfId="56" applyNumberFormat="1" applyFont="1" applyFill="1" applyBorder="1" applyAlignment="1">
      <alignment horizontal="center"/>
    </xf>
    <xf numFmtId="2" fontId="28" fillId="35" borderId="101" xfId="56" applyNumberFormat="1" applyFont="1" applyFill="1" applyBorder="1" applyAlignment="1">
      <alignment horizontal="center"/>
    </xf>
    <xf numFmtId="2" fontId="28" fillId="35" borderId="50" xfId="56" applyNumberFormat="1" applyFont="1" applyFill="1" applyBorder="1" applyAlignment="1">
      <alignment horizontal="center"/>
    </xf>
    <xf numFmtId="10" fontId="28" fillId="35" borderId="102" xfId="56" applyNumberFormat="1" applyFont="1" applyFill="1" applyBorder="1" applyAlignment="1">
      <alignment horizontal="center"/>
    </xf>
    <xf numFmtId="10" fontId="28" fillId="35" borderId="100" xfId="56" applyNumberFormat="1" applyFont="1" applyFill="1" applyBorder="1" applyAlignment="1">
      <alignment horizontal="center"/>
    </xf>
    <xf numFmtId="10" fontId="28" fillId="45" borderId="28" xfId="56" applyNumberFormat="1" applyFont="1" applyFill="1" applyBorder="1" applyAlignment="1">
      <alignment horizontal="center"/>
    </xf>
    <xf numFmtId="10" fontId="28" fillId="45" borderId="102" xfId="56" applyNumberFormat="1" applyFont="1" applyFill="1" applyBorder="1" applyAlignment="1">
      <alignment horizontal="center"/>
    </xf>
    <xf numFmtId="10" fontId="28" fillId="45" borderId="100" xfId="56" applyNumberFormat="1" applyFont="1" applyFill="1" applyBorder="1" applyAlignment="1">
      <alignment horizontal="center"/>
    </xf>
    <xf numFmtId="2" fontId="28" fillId="51" borderId="100" xfId="56" applyNumberFormat="1" applyFont="1" applyFill="1" applyBorder="1" applyAlignment="1">
      <alignment horizontal="center"/>
    </xf>
    <xf numFmtId="2" fontId="28" fillId="51" borderId="102" xfId="56" applyNumberFormat="1" applyFont="1" applyFill="1" applyBorder="1" applyAlignment="1">
      <alignment horizontal="center"/>
    </xf>
    <xf numFmtId="4" fontId="28" fillId="45" borderId="100" xfId="56" applyNumberFormat="1" applyFont="1" applyFill="1" applyBorder="1" applyAlignment="1">
      <alignment horizontal="center"/>
    </xf>
    <xf numFmtId="4" fontId="28" fillId="45" borderId="102" xfId="56" applyNumberFormat="1" applyFont="1" applyFill="1" applyBorder="1" applyAlignment="1">
      <alignment horizontal="center"/>
    </xf>
    <xf numFmtId="2" fontId="28" fillId="45" borderId="100" xfId="56" applyNumberFormat="1" applyFont="1" applyFill="1" applyBorder="1" applyAlignment="1">
      <alignment horizontal="center"/>
    </xf>
    <xf numFmtId="2" fontId="28" fillId="45" borderId="101" xfId="56" applyNumberFormat="1" applyFont="1" applyFill="1" applyBorder="1" applyAlignment="1">
      <alignment horizontal="center"/>
    </xf>
    <xf numFmtId="175" fontId="28" fillId="35" borderId="11" xfId="56" applyNumberFormat="1" applyFont="1" applyFill="1" applyBorder="1" applyAlignment="1">
      <alignment horizontal="center"/>
    </xf>
    <xf numFmtId="10" fontId="28" fillId="35" borderId="10" xfId="56" applyNumberFormat="1" applyFont="1" applyFill="1" applyBorder="1" applyAlignment="1">
      <alignment horizontal="center"/>
    </xf>
    <xf numFmtId="2" fontId="28" fillId="51" borderId="11" xfId="56" applyNumberFormat="1" applyFont="1" applyFill="1" applyBorder="1" applyAlignment="1">
      <alignment horizontal="center"/>
    </xf>
    <xf numFmtId="2" fontId="28" fillId="45" borderId="11" xfId="56" applyNumberFormat="1" applyFont="1" applyFill="1" applyBorder="1" applyAlignment="1">
      <alignment horizontal="center"/>
    </xf>
    <xf numFmtId="4" fontId="28" fillId="45" borderId="11" xfId="56" applyNumberFormat="1" applyFont="1" applyFill="1" applyBorder="1" applyAlignment="1">
      <alignment horizontal="center"/>
    </xf>
    <xf numFmtId="2" fontId="28" fillId="45" borderId="102" xfId="56" applyNumberFormat="1" applyFont="1" applyFill="1" applyBorder="1" applyAlignment="1">
      <alignment horizontal="center"/>
    </xf>
    <xf numFmtId="2" fontId="28" fillId="45" borderId="103" xfId="56" applyNumberFormat="1" applyFont="1" applyFill="1" applyBorder="1" applyAlignment="1">
      <alignment horizontal="center"/>
    </xf>
    <xf numFmtId="10" fontId="28" fillId="46" borderId="28" xfId="56" applyNumberFormat="1" applyFont="1" applyFill="1" applyBorder="1" applyAlignment="1">
      <alignment horizontal="center"/>
    </xf>
    <xf numFmtId="10" fontId="28" fillId="46" borderId="102" xfId="56" applyNumberFormat="1" applyFont="1" applyFill="1" applyBorder="1" applyAlignment="1">
      <alignment horizontal="center"/>
    </xf>
    <xf numFmtId="10" fontId="28" fillId="46" borderId="100" xfId="56" applyNumberFormat="1" applyFont="1" applyFill="1" applyBorder="1" applyAlignment="1">
      <alignment horizontal="center"/>
    </xf>
    <xf numFmtId="2" fontId="28" fillId="46" borderId="100" xfId="56" applyNumberFormat="1" applyFont="1" applyFill="1" applyBorder="1" applyAlignment="1">
      <alignment horizontal="center"/>
    </xf>
    <xf numFmtId="2" fontId="28" fillId="46" borderId="102" xfId="56" applyNumberFormat="1" applyFont="1" applyFill="1" applyBorder="1" applyAlignment="1">
      <alignment horizontal="center"/>
    </xf>
    <xf numFmtId="4" fontId="28" fillId="46" borderId="100" xfId="56" applyNumberFormat="1" applyFont="1" applyFill="1" applyBorder="1" applyAlignment="1">
      <alignment horizontal="center"/>
    </xf>
    <xf numFmtId="4" fontId="28" fillId="46" borderId="102" xfId="56" applyNumberFormat="1" applyFont="1" applyFill="1" applyBorder="1" applyAlignment="1">
      <alignment horizontal="center"/>
    </xf>
    <xf numFmtId="2" fontId="28" fillId="46" borderId="101" xfId="56" applyNumberFormat="1" applyFont="1" applyFill="1" applyBorder="1" applyAlignment="1">
      <alignment horizontal="center"/>
    </xf>
    <xf numFmtId="10" fontId="28" fillId="51" borderId="100" xfId="56" applyNumberFormat="1" applyFont="1" applyFill="1" applyBorder="1" applyAlignment="1">
      <alignment horizontal="center"/>
    </xf>
    <xf numFmtId="10" fontId="28" fillId="51" borderId="102" xfId="56" applyNumberFormat="1" applyFont="1" applyFill="1" applyBorder="1" applyAlignment="1">
      <alignment horizontal="center"/>
    </xf>
    <xf numFmtId="2" fontId="28" fillId="45" borderId="50" xfId="56" applyNumberFormat="1" applyFont="1" applyFill="1" applyBorder="1" applyAlignment="1">
      <alignment horizontal="center"/>
    </xf>
    <xf numFmtId="10" fontId="28" fillId="45" borderId="11" xfId="56" applyNumberFormat="1" applyFont="1" applyFill="1" applyBorder="1" applyAlignment="1">
      <alignment horizontal="center"/>
    </xf>
    <xf numFmtId="175" fontId="28" fillId="51" borderId="11" xfId="56" applyNumberFormat="1" applyFont="1" applyFill="1" applyBorder="1" applyAlignment="1">
      <alignment horizontal="center"/>
    </xf>
    <xf numFmtId="10" fontId="28" fillId="45" borderId="10" xfId="56" applyNumberFormat="1" applyFont="1" applyFill="1" applyBorder="1" applyAlignment="1">
      <alignment horizontal="center"/>
    </xf>
    <xf numFmtId="2" fontId="28" fillId="46" borderId="11" xfId="56" applyNumberFormat="1" applyFont="1" applyFill="1" applyBorder="1" applyAlignment="1">
      <alignment horizontal="center"/>
    </xf>
    <xf numFmtId="4" fontId="28" fillId="46" borderId="11" xfId="56" applyNumberFormat="1" applyFont="1" applyFill="1" applyBorder="1" applyAlignment="1">
      <alignment horizontal="center"/>
    </xf>
    <xf numFmtId="2" fontId="28" fillId="46" borderId="103" xfId="56" applyNumberFormat="1" applyFont="1" applyFill="1" applyBorder="1" applyAlignment="1">
      <alignment horizontal="center"/>
    </xf>
    <xf numFmtId="10" fontId="28" fillId="47" borderId="28" xfId="56" applyNumberFormat="1" applyFont="1" applyFill="1" applyBorder="1" applyAlignment="1">
      <alignment horizontal="center"/>
    </xf>
    <xf numFmtId="10" fontId="28" fillId="47" borderId="102" xfId="56" applyNumberFormat="1" applyFont="1" applyFill="1" applyBorder="1" applyAlignment="1">
      <alignment horizontal="center"/>
    </xf>
    <xf numFmtId="10" fontId="28" fillId="47" borderId="100" xfId="56" applyNumberFormat="1" applyFont="1" applyFill="1" applyBorder="1" applyAlignment="1">
      <alignment horizontal="center"/>
    </xf>
    <xf numFmtId="2" fontId="28" fillId="47" borderId="100" xfId="56" applyNumberFormat="1" applyFont="1" applyFill="1" applyBorder="1" applyAlignment="1">
      <alignment horizontal="center"/>
    </xf>
    <xf numFmtId="2" fontId="28" fillId="47" borderId="102" xfId="56" applyNumberFormat="1" applyFont="1" applyFill="1" applyBorder="1" applyAlignment="1">
      <alignment horizontal="center"/>
    </xf>
    <xf numFmtId="4" fontId="28" fillId="47" borderId="100" xfId="56" applyNumberFormat="1" applyFont="1" applyFill="1" applyBorder="1" applyAlignment="1">
      <alignment horizontal="center"/>
    </xf>
    <xf numFmtId="4" fontId="28" fillId="47" borderId="102" xfId="56" applyNumberFormat="1" applyFont="1" applyFill="1" applyBorder="1" applyAlignment="1">
      <alignment horizontal="center"/>
    </xf>
    <xf numFmtId="2" fontId="28" fillId="47" borderId="101" xfId="56" applyNumberFormat="1" applyFont="1" applyFill="1" applyBorder="1" applyAlignment="1">
      <alignment horizontal="center"/>
    </xf>
    <xf numFmtId="2" fontId="28" fillId="46" borderId="50" xfId="56" applyNumberFormat="1" applyFont="1" applyFill="1" applyBorder="1" applyAlignment="1">
      <alignment horizontal="center"/>
    </xf>
    <xf numFmtId="10" fontId="28" fillId="46" borderId="11" xfId="56" applyNumberFormat="1" applyFont="1" applyFill="1" applyBorder="1" applyAlignment="1">
      <alignment horizontal="center"/>
    </xf>
    <xf numFmtId="175" fontId="28" fillId="46" borderId="11" xfId="56" applyNumberFormat="1" applyFont="1" applyFill="1" applyBorder="1" applyAlignment="1">
      <alignment horizontal="center"/>
    </xf>
    <xf numFmtId="10" fontId="28" fillId="46" borderId="10" xfId="56" applyNumberFormat="1" applyFont="1" applyFill="1" applyBorder="1" applyAlignment="1">
      <alignment horizontal="center"/>
    </xf>
    <xf numFmtId="2" fontId="28" fillId="47" borderId="103" xfId="56" applyNumberFormat="1" applyFont="1" applyFill="1" applyBorder="1" applyAlignment="1">
      <alignment horizontal="center"/>
    </xf>
    <xf numFmtId="10" fontId="28" fillId="47" borderId="10" xfId="56" applyNumberFormat="1" applyFont="1" applyFill="1" applyBorder="1" applyAlignment="1">
      <alignment horizontal="center"/>
    </xf>
    <xf numFmtId="10" fontId="28" fillId="47" borderId="11" xfId="56" applyNumberFormat="1" applyFont="1" applyFill="1" applyBorder="1" applyAlignment="1">
      <alignment horizontal="center"/>
    </xf>
    <xf numFmtId="2" fontId="28" fillId="47" borderId="11" xfId="56" applyNumberFormat="1" applyFont="1" applyFill="1" applyBorder="1" applyAlignment="1">
      <alignment horizontal="center"/>
    </xf>
    <xf numFmtId="4" fontId="28" fillId="47" borderId="11" xfId="56" applyNumberFormat="1" applyFont="1" applyFill="1" applyBorder="1" applyAlignment="1">
      <alignment horizontal="center"/>
    </xf>
    <xf numFmtId="2" fontId="28" fillId="47" borderId="50" xfId="56" applyNumberFormat="1" applyFont="1" applyFill="1" applyBorder="1" applyAlignment="1">
      <alignment horizontal="center"/>
    </xf>
    <xf numFmtId="175" fontId="28" fillId="47" borderId="11" xfId="56" applyNumberFormat="1" applyFont="1" applyFill="1" applyBorder="1" applyAlignment="1">
      <alignment horizontal="center"/>
    </xf>
    <xf numFmtId="4" fontId="28" fillId="53" borderId="100" xfId="56" applyNumberFormat="1" applyFont="1" applyFill="1" applyBorder="1" applyAlignment="1">
      <alignment horizontal="center"/>
    </xf>
    <xf numFmtId="4" fontId="28" fillId="53" borderId="102" xfId="56" applyNumberFormat="1" applyFont="1" applyFill="1" applyBorder="1" applyAlignment="1">
      <alignment horizontal="center"/>
    </xf>
    <xf numFmtId="4" fontId="28" fillId="53" borderId="103" xfId="56" applyNumberFormat="1" applyFont="1" applyFill="1" applyBorder="1" applyAlignment="1">
      <alignment horizontal="center"/>
    </xf>
    <xf numFmtId="10" fontId="28" fillId="53" borderId="28" xfId="56" applyNumberFormat="1" applyFont="1" applyFill="1" applyBorder="1" applyAlignment="1">
      <alignment horizontal="center"/>
    </xf>
    <xf numFmtId="10" fontId="28" fillId="53" borderId="102" xfId="56" applyNumberFormat="1" applyFont="1" applyFill="1" applyBorder="1" applyAlignment="1">
      <alignment horizontal="center"/>
    </xf>
    <xf numFmtId="10" fontId="28" fillId="53" borderId="100" xfId="56" applyNumberFormat="1" applyFont="1" applyFill="1" applyBorder="1" applyAlignment="1">
      <alignment horizontal="center"/>
    </xf>
    <xf numFmtId="2" fontId="28" fillId="53" borderId="100" xfId="56" applyNumberFormat="1" applyFont="1" applyFill="1" applyBorder="1" applyAlignment="1">
      <alignment horizontal="center"/>
    </xf>
    <xf numFmtId="2" fontId="28" fillId="53" borderId="102" xfId="56" applyNumberFormat="1" applyFont="1" applyFill="1" applyBorder="1" applyAlignment="1">
      <alignment horizontal="center"/>
    </xf>
    <xf numFmtId="2" fontId="28" fillId="53" borderId="101" xfId="56" applyNumberFormat="1" applyFont="1" applyFill="1" applyBorder="1" applyAlignment="1">
      <alignment horizontal="center"/>
    </xf>
    <xf numFmtId="4" fontId="28" fillId="53" borderId="101" xfId="56" applyNumberFormat="1" applyFont="1" applyFill="1" applyBorder="1" applyAlignment="1">
      <alignment horizontal="center"/>
    </xf>
    <xf numFmtId="4" fontId="28" fillId="53" borderId="11" xfId="56" applyNumberFormat="1" applyFont="1" applyFill="1" applyBorder="1" applyAlignment="1">
      <alignment horizontal="center"/>
    </xf>
    <xf numFmtId="2" fontId="28" fillId="53" borderId="11" xfId="56" applyNumberFormat="1" applyFont="1" applyFill="1" applyBorder="1" applyAlignment="1">
      <alignment horizontal="center"/>
    </xf>
    <xf numFmtId="4" fontId="28" fillId="53" borderId="50" xfId="56" applyNumberFormat="1" applyFont="1" applyFill="1" applyBorder="1" applyAlignment="1">
      <alignment horizontal="center"/>
    </xf>
    <xf numFmtId="10" fontId="28" fillId="53" borderId="11" xfId="56" applyNumberFormat="1" applyFont="1" applyFill="1" applyBorder="1" applyAlignment="1">
      <alignment horizontal="center"/>
    </xf>
    <xf numFmtId="175" fontId="28" fillId="53" borderId="11" xfId="56" applyNumberFormat="1" applyFont="1" applyFill="1" applyBorder="1" applyAlignment="1">
      <alignment horizontal="center"/>
    </xf>
    <xf numFmtId="10" fontId="28" fillId="53" borderId="10" xfId="56" applyNumberFormat="1" applyFont="1" applyFill="1" applyBorder="1" applyAlignment="1">
      <alignment horizontal="center"/>
    </xf>
    <xf numFmtId="4" fontId="28" fillId="48" borderId="103" xfId="56" applyNumberFormat="1" applyFont="1" applyFill="1" applyBorder="1" applyAlignment="1">
      <alignment horizontal="center"/>
    </xf>
    <xf numFmtId="4" fontId="28" fillId="48" borderId="50" xfId="56" applyNumberFormat="1" applyFont="1" applyFill="1" applyBorder="1" applyAlignment="1">
      <alignment horizontal="center"/>
    </xf>
    <xf numFmtId="175" fontId="28" fillId="48" borderId="11" xfId="56" applyNumberFormat="1" applyFont="1" applyFill="1" applyBorder="1" applyAlignment="1">
      <alignment horizontal="center"/>
    </xf>
    <xf numFmtId="4" fontId="28" fillId="48" borderId="101" xfId="56" applyNumberFormat="1" applyFont="1" applyFill="1" applyBorder="1" applyAlignment="1">
      <alignment horizontal="center"/>
    </xf>
    <xf numFmtId="0" fontId="28" fillId="33" borderId="56" xfId="56" applyFont="1" applyFill="1" applyBorder="1" applyAlignment="1">
      <alignment horizontal="center" vertical="center" wrapText="1"/>
    </xf>
    <xf numFmtId="0" fontId="28" fillId="33" borderId="46" xfId="56" applyFont="1" applyFill="1" applyBorder="1" applyAlignment="1">
      <alignment horizontal="center" vertical="center" wrapText="1"/>
    </xf>
    <xf numFmtId="0" fontId="28" fillId="33" borderId="65" xfId="56" applyFont="1" applyFill="1" applyBorder="1" applyAlignment="1">
      <alignment horizontal="center" vertical="center" wrapText="1"/>
    </xf>
    <xf numFmtId="0" fontId="45" fillId="0" borderId="29" xfId="56" applyBorder="1" applyAlignment="1">
      <alignment horizontal="center"/>
    </xf>
    <xf numFmtId="4" fontId="28" fillId="40" borderId="101" xfId="56" applyNumberFormat="1" applyFont="1" applyFill="1" applyBorder="1" applyAlignment="1">
      <alignment horizontal="center"/>
    </xf>
    <xf numFmtId="175" fontId="28" fillId="40" borderId="11" xfId="56" applyNumberFormat="1" applyFont="1" applyFill="1" applyBorder="1" applyAlignment="1">
      <alignment horizontal="center"/>
    </xf>
    <xf numFmtId="2" fontId="28" fillId="40" borderId="11" xfId="56" applyNumberFormat="1" applyFont="1" applyFill="1" applyBorder="1" applyAlignment="1">
      <alignment horizontal="center"/>
    </xf>
    <xf numFmtId="2" fontId="28" fillId="40" borderId="50" xfId="56" applyNumberFormat="1" applyFont="1" applyFill="1" applyBorder="1" applyAlignment="1">
      <alignment horizontal="center"/>
    </xf>
    <xf numFmtId="10" fontId="28" fillId="44" borderId="79" xfId="56" applyNumberFormat="1" applyFont="1" applyFill="1" applyBorder="1" applyAlignment="1">
      <alignment horizontal="center"/>
    </xf>
    <xf numFmtId="10" fontId="28" fillId="44" borderId="22" xfId="56" applyNumberFormat="1" applyFont="1" applyFill="1" applyBorder="1" applyAlignment="1">
      <alignment horizontal="center"/>
    </xf>
    <xf numFmtId="10" fontId="28" fillId="44" borderId="26" xfId="56" applyNumberFormat="1" applyFont="1" applyFill="1" applyBorder="1" applyAlignment="1">
      <alignment horizontal="center"/>
    </xf>
    <xf numFmtId="2" fontId="28" fillId="44" borderId="26" xfId="56" applyNumberFormat="1" applyFont="1" applyFill="1" applyBorder="1" applyAlignment="1">
      <alignment horizontal="center"/>
    </xf>
    <xf numFmtId="2" fontId="28" fillId="44" borderId="22" xfId="56" applyNumberFormat="1" applyFont="1" applyFill="1" applyBorder="1" applyAlignment="1">
      <alignment horizontal="center"/>
    </xf>
    <xf numFmtId="4" fontId="28" fillId="44" borderId="26" xfId="56" applyNumberFormat="1" applyFont="1" applyFill="1" applyBorder="1" applyAlignment="1">
      <alignment horizontal="center"/>
    </xf>
    <xf numFmtId="4" fontId="28" fillId="44" borderId="22" xfId="56" applyNumberFormat="1" applyFont="1" applyFill="1" applyBorder="1" applyAlignment="1">
      <alignment horizontal="center"/>
    </xf>
    <xf numFmtId="2" fontId="28" fillId="44" borderId="99" xfId="56" applyNumberFormat="1" applyFont="1" applyFill="1" applyBorder="1" applyAlignment="1">
      <alignment horizontal="center"/>
    </xf>
    <xf numFmtId="4" fontId="28" fillId="44" borderId="23" xfId="56" applyNumberFormat="1" applyFont="1" applyFill="1" applyBorder="1" applyAlignment="1">
      <alignment horizontal="center"/>
    </xf>
    <xf numFmtId="2" fontId="28" fillId="44" borderId="23" xfId="56" applyNumberFormat="1" applyFont="1" applyFill="1" applyBorder="1" applyAlignment="1">
      <alignment horizontal="center"/>
    </xf>
    <xf numFmtId="10" fontId="28" fillId="44" borderId="23" xfId="56" applyNumberFormat="1" applyFont="1" applyFill="1" applyBorder="1" applyAlignment="1">
      <alignment horizontal="center"/>
    </xf>
    <xf numFmtId="4" fontId="28" fillId="44" borderId="80" xfId="56" applyNumberFormat="1" applyFont="1" applyFill="1" applyBorder="1" applyAlignment="1">
      <alignment horizontal="center"/>
    </xf>
    <xf numFmtId="4" fontId="28" fillId="44" borderId="99" xfId="56" applyNumberFormat="1" applyFont="1" applyFill="1" applyBorder="1" applyAlignment="1">
      <alignment horizontal="center"/>
    </xf>
    <xf numFmtId="10" fontId="28" fillId="44" borderId="58" xfId="56" applyNumberFormat="1" applyFont="1" applyFill="1" applyBorder="1" applyAlignment="1">
      <alignment horizontal="center"/>
    </xf>
    <xf numFmtId="2" fontId="28" fillId="44" borderId="24" xfId="56" applyNumberFormat="1" applyFont="1" applyFill="1" applyBorder="1" applyAlignment="1">
      <alignment horizontal="center"/>
    </xf>
    <xf numFmtId="175" fontId="28" fillId="44" borderId="23" xfId="56" applyNumberFormat="1" applyFont="1" applyFill="1" applyBorder="1" applyAlignment="1">
      <alignment horizontal="center"/>
    </xf>
    <xf numFmtId="170" fontId="38" fillId="0" borderId="11" xfId="0" applyNumberFormat="1" applyFont="1" applyBorder="1" applyAlignment="1">
      <alignment horizontal="center" vertical="center" wrapText="1"/>
    </xf>
    <xf numFmtId="0" fontId="38" fillId="27" borderId="92" xfId="0" applyFont="1" applyFill="1" applyBorder="1" applyAlignment="1">
      <alignment horizontal="center" vertical="center" wrapText="1"/>
    </xf>
    <xf numFmtId="0" fontId="38" fillId="27" borderId="93" xfId="0" applyFont="1" applyFill="1" applyBorder="1" applyAlignment="1">
      <alignment horizontal="center" vertical="center" wrapText="1"/>
    </xf>
    <xf numFmtId="0" fontId="38" fillId="27" borderId="29" xfId="0" applyFont="1" applyFill="1" applyBorder="1" applyAlignment="1">
      <alignment horizontal="center" vertical="center" wrapText="1"/>
    </xf>
    <xf numFmtId="0" fontId="38" fillId="27" borderId="61" xfId="0" applyFont="1" applyFill="1" applyBorder="1" applyAlignment="1">
      <alignment horizontal="center" vertical="center" wrapText="1"/>
    </xf>
    <xf numFmtId="169" fontId="35" fillId="0" borderId="0" xfId="0" applyNumberFormat="1" applyFont="1" applyAlignment="1">
      <alignment horizontal="center" vertical="center"/>
    </xf>
    <xf numFmtId="168" fontId="38" fillId="0" borderId="11" xfId="0" applyNumberFormat="1" applyFont="1" applyBorder="1" applyAlignment="1">
      <alignment horizontal="center" vertical="center" wrapText="1"/>
    </xf>
    <xf numFmtId="0" fontId="38" fillId="0" borderId="11" xfId="0" applyFont="1" applyBorder="1" applyAlignment="1">
      <alignment horizontal="center" vertical="center" wrapText="1"/>
    </xf>
    <xf numFmtId="0" fontId="38" fillId="0" borderId="72" xfId="0" applyFont="1" applyBorder="1" applyAlignment="1">
      <alignment horizontal="center" vertical="center" wrapText="1"/>
    </xf>
    <xf numFmtId="0" fontId="38" fillId="0" borderId="73" xfId="0" applyFont="1" applyBorder="1" applyAlignment="1">
      <alignment horizontal="center" vertical="center" wrapText="1"/>
    </xf>
    <xf numFmtId="0" fontId="38" fillId="0" borderId="74" xfId="0" applyFont="1" applyBorder="1" applyAlignment="1">
      <alignment horizontal="center" vertical="center" wrapText="1"/>
    </xf>
    <xf numFmtId="0" fontId="38" fillId="27" borderId="59" xfId="0" applyFont="1" applyFill="1" applyBorder="1" applyAlignment="1">
      <alignment horizontal="center" vertical="center" wrapText="1"/>
    </xf>
    <xf numFmtId="0" fontId="38" fillId="27" borderId="32" xfId="0" applyFont="1" applyFill="1" applyBorder="1" applyAlignment="1">
      <alignment horizontal="center" vertical="center" wrapText="1"/>
    </xf>
    <xf numFmtId="0" fontId="45" fillId="0" borderId="59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5" fillId="0" borderId="29" xfId="0" applyFont="1" applyBorder="1" applyAlignment="1">
      <alignment horizontal="center" vertical="center"/>
    </xf>
    <xf numFmtId="0" fontId="45" fillId="0" borderId="61" xfId="0" applyFont="1" applyBorder="1" applyAlignment="1">
      <alignment horizontal="center" vertical="center"/>
    </xf>
    <xf numFmtId="2" fontId="38" fillId="0" borderId="11" xfId="0" applyNumberFormat="1" applyFont="1" applyBorder="1" applyAlignment="1">
      <alignment horizontal="center" vertical="center" wrapText="1"/>
    </xf>
    <xf numFmtId="4" fontId="38" fillId="0" borderId="11" xfId="0" applyNumberFormat="1" applyFont="1" applyBorder="1" applyAlignment="1">
      <alignment horizontal="center" vertical="center" wrapText="1"/>
    </xf>
    <xf numFmtId="169" fontId="35" fillId="0" borderId="0" xfId="0" applyNumberFormat="1" applyFont="1" applyAlignment="1">
      <alignment horizontal="center" vertical="justify" wrapText="1"/>
    </xf>
    <xf numFmtId="0" fontId="40" fillId="4" borderId="14" xfId="0" applyFont="1" applyFill="1" applyBorder="1" applyAlignment="1">
      <alignment horizontal="center" vertical="center"/>
    </xf>
    <xf numFmtId="0" fontId="40" fillId="4" borderId="63" xfId="0" applyFont="1" applyFill="1" applyBorder="1" applyAlignment="1">
      <alignment horizontal="center" vertical="center"/>
    </xf>
    <xf numFmtId="0" fontId="40" fillId="4" borderId="17" xfId="0" applyFont="1" applyFill="1" applyBorder="1" applyAlignment="1">
      <alignment horizontal="center" vertical="center"/>
    </xf>
    <xf numFmtId="0" fontId="33" fillId="4" borderId="14" xfId="0" applyFont="1" applyFill="1" applyBorder="1" applyAlignment="1">
      <alignment horizontal="center" vertical="center" wrapText="1"/>
    </xf>
    <xf numFmtId="0" fontId="33" fillId="4" borderId="63" xfId="0" applyFont="1" applyFill="1" applyBorder="1" applyAlignment="1">
      <alignment horizontal="center" vertical="center" wrapText="1"/>
    </xf>
    <xf numFmtId="0" fontId="33" fillId="4" borderId="17" xfId="0" applyFont="1" applyFill="1" applyBorder="1" applyAlignment="1">
      <alignment horizontal="center" vertical="center" wrapText="1"/>
    </xf>
    <xf numFmtId="167" fontId="33" fillId="30" borderId="13" xfId="28" applyNumberFormat="1" applyFont="1" applyFill="1" applyBorder="1" applyAlignment="1" applyProtection="1">
      <alignment horizontal="center"/>
    </xf>
    <xf numFmtId="167" fontId="57" fillId="30" borderId="20" xfId="28" applyNumberFormat="1" applyFont="1" applyFill="1" applyBorder="1" applyAlignment="1" applyProtection="1">
      <alignment horizontal="center"/>
    </xf>
    <xf numFmtId="167" fontId="57" fillId="30" borderId="19" xfId="28" applyNumberFormat="1" applyFont="1" applyFill="1" applyBorder="1" applyAlignment="1" applyProtection="1">
      <alignment horizontal="center"/>
    </xf>
    <xf numFmtId="167" fontId="33" fillId="34" borderId="13" xfId="28" applyNumberFormat="1" applyFont="1" applyFill="1" applyBorder="1" applyAlignment="1" applyProtection="1">
      <alignment horizontal="center"/>
    </xf>
    <xf numFmtId="167" fontId="57" fillId="34" borderId="20" xfId="28" applyNumberFormat="1" applyFont="1" applyFill="1" applyBorder="1" applyAlignment="1" applyProtection="1">
      <alignment horizontal="center"/>
    </xf>
    <xf numFmtId="167" fontId="57" fillId="34" borderId="19" xfId="28" applyNumberFormat="1" applyFont="1" applyFill="1" applyBorder="1" applyAlignment="1" applyProtection="1">
      <alignment horizontal="center"/>
    </xf>
    <xf numFmtId="167" fontId="33" fillId="36" borderId="13" xfId="28" applyNumberFormat="1" applyFont="1" applyFill="1" applyBorder="1" applyAlignment="1" applyProtection="1">
      <alignment horizontal="center"/>
    </xf>
    <xf numFmtId="167" fontId="57" fillId="36" borderId="20" xfId="28" applyNumberFormat="1" applyFont="1" applyFill="1" applyBorder="1" applyAlignment="1" applyProtection="1">
      <alignment horizontal="center"/>
    </xf>
    <xf numFmtId="167" fontId="57" fillId="36" borderId="19" xfId="28" applyNumberFormat="1" applyFont="1" applyFill="1" applyBorder="1" applyAlignment="1" applyProtection="1">
      <alignment horizontal="center"/>
    </xf>
    <xf numFmtId="167" fontId="33" fillId="38" borderId="13" xfId="28" applyNumberFormat="1" applyFont="1" applyFill="1" applyBorder="1" applyAlignment="1" applyProtection="1">
      <alignment horizontal="center"/>
    </xf>
    <xf numFmtId="167" fontId="57" fillId="38" borderId="20" xfId="28" applyNumberFormat="1" applyFont="1" applyFill="1" applyBorder="1" applyAlignment="1" applyProtection="1">
      <alignment horizontal="center"/>
    </xf>
    <xf numFmtId="167" fontId="57" fillId="38" borderId="19" xfId="28" applyNumberFormat="1" applyFont="1" applyFill="1" applyBorder="1" applyAlignment="1" applyProtection="1">
      <alignment horizontal="center"/>
    </xf>
    <xf numFmtId="167" fontId="33" fillId="31" borderId="13" xfId="28" applyNumberFormat="1" applyFont="1" applyFill="1" applyBorder="1" applyAlignment="1" applyProtection="1">
      <alignment horizontal="center"/>
    </xf>
    <xf numFmtId="167" fontId="57" fillId="31" borderId="20" xfId="28" applyNumberFormat="1" applyFont="1" applyFill="1" applyBorder="1" applyAlignment="1" applyProtection="1">
      <alignment horizontal="center"/>
    </xf>
    <xf numFmtId="167" fontId="57" fillId="31" borderId="19" xfId="28" applyNumberFormat="1" applyFont="1" applyFill="1" applyBorder="1" applyAlignment="1" applyProtection="1">
      <alignment horizontal="center"/>
    </xf>
    <xf numFmtId="167" fontId="33" fillId="27" borderId="92" xfId="28" applyNumberFormat="1" applyFont="1" applyFill="1" applyBorder="1" applyAlignment="1" applyProtection="1">
      <alignment horizontal="center" vertical="center"/>
    </xf>
    <xf numFmtId="167" fontId="33" fillId="27" borderId="104" xfId="28" applyNumberFormat="1" applyFont="1" applyFill="1" applyBorder="1" applyAlignment="1" applyProtection="1">
      <alignment horizontal="center" vertical="center"/>
    </xf>
    <xf numFmtId="167" fontId="33" fillId="27" borderId="93" xfId="28" applyNumberFormat="1" applyFont="1" applyFill="1" applyBorder="1" applyAlignment="1" applyProtection="1">
      <alignment horizontal="center" vertical="center"/>
    </xf>
    <xf numFmtId="167" fontId="33" fillId="27" borderId="31" xfId="28" applyNumberFormat="1" applyFont="1" applyFill="1" applyBorder="1" applyAlignment="1" applyProtection="1">
      <alignment horizontal="center" vertical="center"/>
    </xf>
    <xf numFmtId="167" fontId="33" fillId="27" borderId="62" xfId="28" applyNumberFormat="1" applyFont="1" applyFill="1" applyBorder="1" applyAlignment="1" applyProtection="1">
      <alignment horizontal="center" vertical="center"/>
    </xf>
    <xf numFmtId="167" fontId="33" fillId="27" borderId="16" xfId="28" applyNumberFormat="1" applyFont="1" applyFill="1" applyBorder="1" applyAlignment="1" applyProtection="1">
      <alignment horizontal="center" vertical="center"/>
    </xf>
    <xf numFmtId="167" fontId="33" fillId="33" borderId="13" xfId="28" applyNumberFormat="1" applyFont="1" applyFill="1" applyBorder="1" applyAlignment="1" applyProtection="1">
      <alignment horizontal="center"/>
    </xf>
    <xf numFmtId="167" fontId="57" fillId="33" borderId="20" xfId="28" applyNumberFormat="1" applyFont="1" applyFill="1" applyBorder="1" applyAlignment="1" applyProtection="1">
      <alignment horizontal="center"/>
    </xf>
    <xf numFmtId="167" fontId="57" fillId="33" borderId="19" xfId="28" applyNumberFormat="1" applyFont="1" applyFill="1" applyBorder="1" applyAlignment="1" applyProtection="1">
      <alignment horizontal="center"/>
    </xf>
    <xf numFmtId="167" fontId="33" fillId="35" borderId="13" xfId="28" applyNumberFormat="1" applyFont="1" applyFill="1" applyBorder="1" applyAlignment="1" applyProtection="1">
      <alignment horizontal="center"/>
    </xf>
    <xf numFmtId="167" fontId="57" fillId="35" borderId="20" xfId="28" applyNumberFormat="1" applyFont="1" applyFill="1" applyBorder="1" applyAlignment="1" applyProtection="1">
      <alignment horizontal="center"/>
    </xf>
    <xf numFmtId="167" fontId="57" fillId="35" borderId="19" xfId="28" applyNumberFormat="1" applyFont="1" applyFill="1" applyBorder="1" applyAlignment="1" applyProtection="1">
      <alignment horizontal="center"/>
    </xf>
    <xf numFmtId="167" fontId="33" fillId="32" borderId="11" xfId="28" applyNumberFormat="1" applyFont="1" applyFill="1" applyBorder="1" applyAlignment="1" applyProtection="1">
      <alignment horizontal="center"/>
    </xf>
    <xf numFmtId="167" fontId="57" fillId="32" borderId="11" xfId="28" applyNumberFormat="1" applyFont="1" applyFill="1" applyBorder="1" applyAlignment="1" applyProtection="1">
      <alignment horizontal="center"/>
    </xf>
    <xf numFmtId="167" fontId="33" fillId="27" borderId="13" xfId="28" applyNumberFormat="1" applyFont="1" applyFill="1" applyBorder="1" applyAlignment="1" applyProtection="1">
      <alignment horizontal="center"/>
    </xf>
    <xf numFmtId="167" fontId="57" fillId="27" borderId="20" xfId="28" applyNumberFormat="1" applyFont="1" applyFill="1" applyBorder="1" applyAlignment="1" applyProtection="1">
      <alignment horizontal="center"/>
    </xf>
    <xf numFmtId="167" fontId="57" fillId="27" borderId="19" xfId="28" applyNumberFormat="1" applyFont="1" applyFill="1" applyBorder="1" applyAlignment="1" applyProtection="1">
      <alignment horizontal="center"/>
    </xf>
    <xf numFmtId="167" fontId="33" fillId="37" borderId="13" xfId="28" applyNumberFormat="1" applyFont="1" applyFill="1" applyBorder="1" applyAlignment="1" applyProtection="1">
      <alignment horizontal="center"/>
    </xf>
    <xf numFmtId="167" fontId="57" fillId="37" borderId="20" xfId="28" applyNumberFormat="1" applyFont="1" applyFill="1" applyBorder="1" applyAlignment="1" applyProtection="1">
      <alignment horizontal="center"/>
    </xf>
    <xf numFmtId="167" fontId="57" fillId="37" borderId="19" xfId="28" applyNumberFormat="1" applyFont="1" applyFill="1" applyBorder="1" applyAlignment="1" applyProtection="1">
      <alignment horizontal="center"/>
    </xf>
    <xf numFmtId="167" fontId="57" fillId="0" borderId="13" xfId="28" applyNumberFormat="1" applyFont="1" applyFill="1" applyBorder="1" applyAlignment="1" applyProtection="1">
      <alignment horizontal="center"/>
    </xf>
    <xf numFmtId="167" fontId="57" fillId="0" borderId="20" xfId="28" applyNumberFormat="1" applyFont="1" applyFill="1" applyBorder="1" applyAlignment="1" applyProtection="1">
      <alignment horizontal="center"/>
    </xf>
    <xf numFmtId="167" fontId="57" fillId="0" borderId="19" xfId="28" applyNumberFormat="1" applyFont="1" applyFill="1" applyBorder="1" applyAlignment="1" applyProtection="1">
      <alignment horizontal="center"/>
    </xf>
    <xf numFmtId="0" fontId="43" fillId="0" borderId="11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178" fontId="43" fillId="0" borderId="11" xfId="29" applyNumberFormat="1" applyFont="1" applyFill="1" applyBorder="1" applyAlignment="1">
      <alignment horizontal="center" vertical="center" wrapText="1"/>
    </xf>
    <xf numFmtId="178" fontId="43" fillId="0" borderId="14" xfId="29" applyNumberFormat="1" applyFont="1" applyFill="1" applyBorder="1" applyAlignment="1">
      <alignment horizontal="center" vertical="center" wrapText="1"/>
    </xf>
    <xf numFmtId="178" fontId="43" fillId="25" borderId="11" xfId="29" applyNumberFormat="1" applyFont="1" applyFill="1" applyBorder="1" applyAlignment="1">
      <alignment horizontal="center" vertical="center" wrapText="1"/>
    </xf>
    <xf numFmtId="178" fontId="43" fillId="25" borderId="14" xfId="29" applyNumberFormat="1" applyFont="1" applyFill="1" applyBorder="1" applyAlignment="1">
      <alignment horizontal="center" vertical="center" wrapText="1"/>
    </xf>
    <xf numFmtId="178" fontId="44" fillId="25" borderId="11" xfId="29" applyNumberFormat="1" applyFont="1" applyFill="1" applyBorder="1" applyAlignment="1">
      <alignment horizontal="center"/>
    </xf>
    <xf numFmtId="178" fontId="43" fillId="4" borderId="11" xfId="29" applyNumberFormat="1" applyFont="1" applyFill="1" applyBorder="1" applyAlignment="1">
      <alignment horizontal="center" vertical="center" wrapText="1"/>
    </xf>
    <xf numFmtId="178" fontId="43" fillId="4" borderId="14" xfId="29" applyNumberFormat="1" applyFont="1" applyFill="1" applyBorder="1" applyAlignment="1">
      <alignment horizontal="center" vertical="center" wrapText="1"/>
    </xf>
    <xf numFmtId="178" fontId="43" fillId="4" borderId="59" xfId="29" applyNumberFormat="1" applyFont="1" applyFill="1" applyBorder="1" applyAlignment="1">
      <alignment horizontal="center" vertical="center" wrapText="1"/>
    </xf>
    <xf numFmtId="178" fontId="43" fillId="4" borderId="32" xfId="29" applyNumberFormat="1" applyFont="1" applyFill="1" applyBorder="1" applyAlignment="1">
      <alignment horizontal="center" vertical="center" wrapText="1"/>
    </xf>
    <xf numFmtId="178" fontId="43" fillId="4" borderId="31" xfId="29" applyNumberFormat="1" applyFont="1" applyFill="1" applyBorder="1" applyAlignment="1">
      <alignment horizontal="center" vertical="center" wrapText="1"/>
    </xf>
    <xf numFmtId="178" fontId="43" fillId="4" borderId="16" xfId="29" applyNumberFormat="1" applyFont="1" applyFill="1" applyBorder="1" applyAlignment="1">
      <alignment horizontal="center" vertical="center" wrapText="1"/>
    </xf>
    <xf numFmtId="178" fontId="43" fillId="42" borderId="59" xfId="58" applyNumberFormat="1" applyFont="1" applyFill="1" applyBorder="1" applyAlignment="1">
      <alignment horizontal="center" vertical="center" wrapText="1"/>
    </xf>
    <xf numFmtId="178" fontId="43" fillId="42" borderId="32" xfId="58" applyNumberFormat="1" applyFont="1" applyFill="1" applyBorder="1" applyAlignment="1">
      <alignment horizontal="center" vertical="center" wrapText="1"/>
    </xf>
    <xf numFmtId="178" fontId="43" fillId="26" borderId="13" xfId="58" applyNumberFormat="1" applyFont="1" applyFill="1" applyBorder="1" applyAlignment="1">
      <alignment horizontal="center" vertical="center" wrapText="1"/>
    </xf>
    <xf numFmtId="178" fontId="43" fillId="26" borderId="19" xfId="58" applyNumberFormat="1" applyFont="1" applyFill="1" applyBorder="1" applyAlignment="1">
      <alignment horizontal="center" vertical="center" wrapText="1"/>
    </xf>
    <xf numFmtId="178" fontId="43" fillId="26" borderId="14" xfId="29" applyNumberFormat="1" applyFont="1" applyFill="1" applyBorder="1" applyAlignment="1">
      <alignment horizontal="center" vertical="center" wrapText="1"/>
    </xf>
    <xf numFmtId="178" fontId="43" fillId="26" borderId="63" xfId="29" applyNumberFormat="1" applyFont="1" applyFill="1" applyBorder="1" applyAlignment="1">
      <alignment horizontal="center" vertical="center" wrapText="1"/>
    </xf>
    <xf numFmtId="178" fontId="43" fillId="26" borderId="17" xfId="29" applyNumberFormat="1" applyFont="1" applyFill="1" applyBorder="1" applyAlignment="1">
      <alignment horizontal="center" vertical="center" wrapText="1"/>
    </xf>
    <xf numFmtId="178" fontId="43" fillId="0" borderId="13" xfId="29" applyNumberFormat="1" applyFont="1" applyFill="1" applyBorder="1" applyAlignment="1">
      <alignment horizontal="right"/>
    </xf>
    <xf numFmtId="178" fontId="43" fillId="0" borderId="19" xfId="29" applyNumberFormat="1" applyFont="1" applyFill="1" applyBorder="1" applyAlignment="1">
      <alignment horizontal="right"/>
    </xf>
    <xf numFmtId="0" fontId="43" fillId="0" borderId="63" xfId="0" applyFont="1" applyBorder="1" applyAlignment="1">
      <alignment horizontal="center" vertical="center" wrapText="1"/>
    </xf>
    <xf numFmtId="0" fontId="50" fillId="0" borderId="14" xfId="0" applyFont="1" applyBorder="1" applyAlignment="1">
      <alignment horizontal="center" vertical="center" wrapText="1"/>
    </xf>
    <xf numFmtId="0" fontId="50" fillId="0" borderId="63" xfId="0" applyFont="1" applyBorder="1" applyAlignment="1">
      <alignment horizontal="center" vertical="center" wrapText="1"/>
    </xf>
    <xf numFmtId="0" fontId="43" fillId="0" borderId="17" xfId="0" applyFont="1" applyBorder="1" applyAlignment="1">
      <alignment horizontal="center" vertical="center" wrapText="1"/>
    </xf>
    <xf numFmtId="0" fontId="52" fillId="22" borderId="11" xfId="0" applyFont="1" applyFill="1" applyBorder="1" applyAlignment="1">
      <alignment horizontal="center"/>
    </xf>
    <xf numFmtId="178" fontId="43" fillId="0" borderId="63" xfId="29" applyNumberFormat="1" applyFont="1" applyFill="1" applyBorder="1" applyAlignment="1">
      <alignment horizontal="center" vertical="center" wrapText="1"/>
    </xf>
    <xf numFmtId="178" fontId="43" fillId="0" borderId="17" xfId="29" applyNumberFormat="1" applyFont="1" applyFill="1" applyBorder="1" applyAlignment="1">
      <alignment horizontal="center" vertical="center" wrapText="1"/>
    </xf>
    <xf numFmtId="178" fontId="43" fillId="25" borderId="63" xfId="29" applyNumberFormat="1" applyFont="1" applyFill="1" applyBorder="1" applyAlignment="1">
      <alignment horizontal="center" vertical="center" wrapText="1"/>
    </xf>
    <xf numFmtId="166" fontId="43" fillId="25" borderId="14" xfId="51" applyNumberFormat="1" applyFont="1" applyFill="1" applyBorder="1" applyAlignment="1">
      <alignment horizontal="center" vertical="center" wrapText="1"/>
    </xf>
    <xf numFmtId="166" fontId="43" fillId="25" borderId="63" xfId="51" applyNumberFormat="1" applyFont="1" applyFill="1" applyBorder="1" applyAlignment="1">
      <alignment horizontal="center" vertical="center" wrapText="1"/>
    </xf>
    <xf numFmtId="178" fontId="43" fillId="42" borderId="90" xfId="58" applyNumberFormat="1" applyFont="1" applyFill="1" applyBorder="1" applyAlignment="1">
      <alignment horizontal="center" vertical="center" wrapText="1"/>
    </xf>
    <xf numFmtId="178" fontId="43" fillId="42" borderId="63" xfId="58" applyNumberFormat="1" applyFont="1" applyFill="1" applyBorder="1" applyAlignment="1">
      <alignment horizontal="center" vertical="center" wrapText="1"/>
    </xf>
    <xf numFmtId="178" fontId="43" fillId="42" borderId="17" xfId="58" applyNumberFormat="1" applyFont="1" applyFill="1" applyBorder="1" applyAlignment="1">
      <alignment horizontal="center" vertical="center" wrapText="1"/>
    </xf>
    <xf numFmtId="178" fontId="43" fillId="26" borderId="90" xfId="58" applyNumberFormat="1" applyFont="1" applyFill="1" applyBorder="1" applyAlignment="1">
      <alignment horizontal="center" vertical="center" wrapText="1"/>
    </xf>
    <xf numFmtId="178" fontId="43" fillId="26" borderId="63" xfId="58" applyNumberFormat="1" applyFont="1" applyFill="1" applyBorder="1" applyAlignment="1">
      <alignment horizontal="center" vertical="center" wrapText="1"/>
    </xf>
    <xf numFmtId="178" fontId="43" fillId="26" borderId="17" xfId="58" applyNumberFormat="1" applyFont="1" applyFill="1" applyBorder="1" applyAlignment="1">
      <alignment horizontal="center" vertical="center" wrapText="1"/>
    </xf>
    <xf numFmtId="0" fontId="43" fillId="0" borderId="90" xfId="0" applyFont="1" applyBorder="1" applyAlignment="1">
      <alignment horizontal="center" vertical="center" wrapText="1"/>
    </xf>
    <xf numFmtId="166" fontId="43" fillId="25" borderId="17" xfId="51" applyNumberFormat="1" applyFont="1" applyFill="1" applyBorder="1" applyAlignment="1">
      <alignment horizontal="center" vertical="center" wrapText="1"/>
    </xf>
    <xf numFmtId="177" fontId="43" fillId="0" borderId="59" xfId="0" applyNumberFormat="1" applyFont="1" applyBorder="1" applyAlignment="1">
      <alignment horizontal="center" vertical="center"/>
    </xf>
    <xf numFmtId="177" fontId="43" fillId="0" borderId="60" xfId="0" applyNumberFormat="1" applyFont="1" applyBorder="1" applyAlignment="1">
      <alignment horizontal="center" vertical="center"/>
    </xf>
    <xf numFmtId="0" fontId="43" fillId="0" borderId="32" xfId="0" applyFont="1" applyBorder="1" applyAlignment="1">
      <alignment horizontal="center" vertical="center"/>
    </xf>
    <xf numFmtId="177" fontId="43" fillId="0" borderId="31" xfId="0" applyNumberFormat="1" applyFont="1" applyBorder="1" applyAlignment="1">
      <alignment horizontal="center" vertical="center"/>
    </xf>
    <xf numFmtId="177" fontId="43" fillId="0" borderId="62" xfId="0" applyNumberFormat="1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164" fontId="43" fillId="0" borderId="14" xfId="29" applyFont="1" applyFill="1" applyBorder="1" applyAlignment="1">
      <alignment horizontal="center" vertical="center" wrapText="1"/>
    </xf>
    <xf numFmtId="164" fontId="43" fillId="0" borderId="63" xfId="29" applyFont="1" applyFill="1" applyBorder="1" applyAlignment="1">
      <alignment horizontal="center" vertical="center" wrapText="1"/>
    </xf>
    <xf numFmtId="178" fontId="43" fillId="22" borderId="14" xfId="29" applyNumberFormat="1" applyFont="1" applyFill="1" applyBorder="1" applyAlignment="1">
      <alignment horizontal="center" vertical="center" wrapText="1"/>
    </xf>
    <xf numFmtId="178" fontId="43" fillId="22" borderId="63" xfId="29" applyNumberFormat="1" applyFont="1" applyFill="1" applyBorder="1" applyAlignment="1">
      <alignment horizontal="center" vertical="center" wrapText="1"/>
    </xf>
    <xf numFmtId="178" fontId="43" fillId="22" borderId="17" xfId="29" applyNumberFormat="1" applyFont="1" applyFill="1" applyBorder="1" applyAlignment="1">
      <alignment horizontal="center" vertical="center" wrapText="1"/>
    </xf>
    <xf numFmtId="178" fontId="43" fillId="0" borderId="13" xfId="29" applyNumberFormat="1" applyFont="1" applyFill="1" applyBorder="1" applyAlignment="1">
      <alignment horizontal="center" vertical="center" wrapText="1"/>
    </xf>
    <xf numFmtId="178" fontId="43" fillId="0" borderId="20" xfId="29" applyNumberFormat="1" applyFont="1" applyFill="1" applyBorder="1" applyAlignment="1">
      <alignment horizontal="center" vertical="center" wrapText="1"/>
    </xf>
    <xf numFmtId="178" fontId="43" fillId="0" borderId="19" xfId="29" applyNumberFormat="1" applyFont="1" applyFill="1" applyBorder="1" applyAlignment="1">
      <alignment horizontal="center" vertical="center" wrapText="1"/>
    </xf>
    <xf numFmtId="164" fontId="43" fillId="0" borderId="59" xfId="29" applyFont="1" applyFill="1" applyBorder="1" applyAlignment="1">
      <alignment horizontal="center" vertical="center"/>
    </xf>
    <xf numFmtId="164" fontId="43" fillId="0" borderId="60" xfId="29" applyFont="1" applyFill="1" applyBorder="1" applyAlignment="1">
      <alignment horizontal="center" vertical="center"/>
    </xf>
    <xf numFmtId="164" fontId="43" fillId="0" borderId="32" xfId="29" applyFont="1" applyFill="1" applyBorder="1" applyAlignment="1">
      <alignment horizontal="center" vertical="center"/>
    </xf>
    <xf numFmtId="164" fontId="43" fillId="0" borderId="31" xfId="29" applyFont="1" applyFill="1" applyBorder="1" applyAlignment="1">
      <alignment horizontal="center" vertical="center"/>
    </xf>
    <xf numFmtId="164" fontId="43" fillId="0" borderId="62" xfId="29" applyFont="1" applyFill="1" applyBorder="1" applyAlignment="1">
      <alignment horizontal="center" vertical="center"/>
    </xf>
    <xf numFmtId="164" fontId="43" fillId="0" borderId="16" xfId="29" applyFont="1" applyFill="1" applyBorder="1" applyAlignment="1">
      <alignment horizontal="center" vertical="center"/>
    </xf>
    <xf numFmtId="0" fontId="28" fillId="0" borderId="82" xfId="0" applyFont="1" applyBorder="1" applyAlignment="1">
      <alignment horizontal="center" vertical="center" wrapText="1"/>
    </xf>
    <xf numFmtId="0" fontId="28" fillId="0" borderId="83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20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85" xfId="0" applyFont="1" applyBorder="1" applyAlignment="1">
      <alignment horizontal="center" vertical="center" wrapText="1"/>
    </xf>
    <xf numFmtId="0" fontId="28" fillId="0" borderId="17" xfId="0" applyFont="1" applyBorder="1" applyAlignment="1">
      <alignment horizontal="center" vertical="center" wrapText="1"/>
    </xf>
    <xf numFmtId="0" fontId="28" fillId="0" borderId="86" xfId="0" applyFont="1" applyBorder="1" applyAlignment="1">
      <alignment horizontal="center" vertical="center" wrapText="1"/>
    </xf>
    <xf numFmtId="0" fontId="28" fillId="0" borderId="87" xfId="0" applyFont="1" applyBorder="1" applyAlignment="1">
      <alignment horizontal="center" vertical="center" wrapText="1"/>
    </xf>
    <xf numFmtId="2" fontId="28" fillId="0" borderId="13" xfId="28" applyNumberFormat="1" applyFont="1" applyBorder="1" applyAlignment="1">
      <alignment horizontal="center" vertical="center"/>
    </xf>
    <xf numFmtId="2" fontId="28" fillId="0" borderId="89" xfId="28" applyNumberFormat="1" applyFont="1" applyBorder="1" applyAlignment="1">
      <alignment horizontal="center" vertical="center"/>
    </xf>
    <xf numFmtId="2" fontId="28" fillId="0" borderId="11" xfId="28" applyNumberFormat="1" applyFont="1" applyBorder="1" applyAlignment="1">
      <alignment horizontal="center" vertical="center"/>
    </xf>
    <xf numFmtId="2" fontId="28" fillId="0" borderId="31" xfId="28" applyNumberFormat="1" applyFont="1" applyBorder="1" applyAlignment="1">
      <alignment horizontal="center" vertical="center"/>
    </xf>
    <xf numFmtId="2" fontId="28" fillId="0" borderId="62" xfId="28" applyNumberFormat="1" applyFont="1" applyBorder="1" applyAlignment="1">
      <alignment horizontal="center" vertical="center"/>
    </xf>
    <xf numFmtId="2" fontId="28" fillId="0" borderId="16" xfId="28" applyNumberFormat="1" applyFont="1" applyBorder="1" applyAlignment="1">
      <alignment horizontal="center" vertical="center"/>
    </xf>
    <xf numFmtId="2" fontId="28" fillId="0" borderId="31" xfId="28" quotePrefix="1" applyNumberFormat="1" applyFont="1" applyBorder="1" applyAlignment="1">
      <alignment horizontal="center" vertical="center"/>
    </xf>
    <xf numFmtId="2" fontId="0" fillId="0" borderId="11" xfId="28" applyNumberFormat="1" applyFont="1" applyBorder="1" applyAlignment="1">
      <alignment horizontal="center" vertical="center"/>
    </xf>
    <xf numFmtId="2" fontId="28" fillId="0" borderId="88" xfId="28" applyNumberFormat="1" applyFont="1" applyBorder="1" applyAlignment="1">
      <alignment horizontal="center" vertical="center"/>
    </xf>
    <xf numFmtId="0" fontId="56" fillId="0" borderId="79" xfId="41" applyFont="1" applyBorder="1" applyAlignment="1">
      <alignment horizontal="center"/>
    </xf>
    <xf numFmtId="0" fontId="56" fillId="0" borderId="80" xfId="41" applyFont="1" applyBorder="1" applyAlignment="1">
      <alignment horizontal="center"/>
    </xf>
    <xf numFmtId="0" fontId="56" fillId="0" borderId="22" xfId="41" applyFont="1" applyBorder="1" applyAlignment="1">
      <alignment horizontal="center"/>
    </xf>
    <xf numFmtId="0" fontId="56" fillId="0" borderId="55" xfId="41" applyFont="1" applyBorder="1" applyAlignment="1">
      <alignment horizontal="center" vertical="center"/>
    </xf>
    <xf numFmtId="0" fontId="56" fillId="0" borderId="63" xfId="41" applyFont="1" applyBorder="1" applyAlignment="1">
      <alignment horizontal="center" vertical="center"/>
    </xf>
    <xf numFmtId="0" fontId="56" fillId="0" borderId="30" xfId="41" applyFont="1" applyBorder="1" applyAlignment="1">
      <alignment horizontal="center" vertical="center"/>
    </xf>
    <xf numFmtId="0" fontId="56" fillId="11" borderId="55" xfId="41" applyFont="1" applyFill="1" applyBorder="1" applyAlignment="1">
      <alignment horizontal="center" vertical="center" wrapText="1"/>
    </xf>
    <xf numFmtId="0" fontId="56" fillId="11" borderId="63" xfId="41" applyFont="1" applyFill="1" applyBorder="1" applyAlignment="1">
      <alignment horizontal="center" vertical="center" wrapText="1"/>
    </xf>
    <xf numFmtId="0" fontId="56" fillId="11" borderId="30" xfId="41" applyFont="1" applyFill="1" applyBorder="1" applyAlignment="1">
      <alignment horizontal="center" vertical="center" wrapText="1"/>
    </xf>
    <xf numFmtId="0" fontId="28" fillId="0" borderId="55" xfId="0" applyFont="1" applyBorder="1" applyAlignment="1">
      <alignment horizontal="center" vertical="center" wrapText="1"/>
    </xf>
    <xf numFmtId="0" fontId="28" fillId="0" borderId="63" xfId="0" applyFont="1" applyBorder="1" applyAlignment="1">
      <alignment horizontal="center" vertical="center" wrapText="1"/>
    </xf>
    <xf numFmtId="0" fontId="28" fillId="0" borderId="30" xfId="0" applyFont="1" applyBorder="1" applyAlignment="1">
      <alignment horizontal="center" vertical="center" wrapText="1"/>
    </xf>
    <xf numFmtId="0" fontId="56" fillId="0" borderId="45" xfId="41" applyFont="1" applyBorder="1" applyAlignment="1">
      <alignment horizontal="center" vertical="center"/>
    </xf>
    <xf numFmtId="0" fontId="56" fillId="0" borderId="81" xfId="41" applyFont="1" applyBorder="1" applyAlignment="1">
      <alignment horizontal="center" vertical="center"/>
    </xf>
    <xf numFmtId="0" fontId="56" fillId="0" borderId="47" xfId="41" applyFont="1" applyBorder="1" applyAlignment="1">
      <alignment horizontal="center" vertical="center"/>
    </xf>
    <xf numFmtId="2" fontId="0" fillId="0" borderId="13" xfId="28" applyNumberFormat="1" applyFont="1" applyBorder="1" applyAlignment="1">
      <alignment horizontal="center"/>
    </xf>
    <xf numFmtId="2" fontId="0" fillId="0" borderId="88" xfId="28" applyNumberFormat="1" applyFont="1" applyBorder="1" applyAlignment="1">
      <alignment horizontal="center"/>
    </xf>
    <xf numFmtId="2" fontId="0" fillId="0" borderId="89" xfId="28" applyNumberFormat="1" applyFont="1" applyBorder="1" applyAlignment="1">
      <alignment horizontal="center"/>
    </xf>
    <xf numFmtId="10" fontId="64" fillId="27" borderId="11" xfId="0" applyNumberFormat="1" applyFont="1" applyFill="1" applyBorder="1" applyAlignment="1">
      <alignment horizontal="center" vertical="center"/>
    </xf>
    <xf numFmtId="0" fontId="64" fillId="27" borderId="11" xfId="0" applyFont="1" applyFill="1" applyBorder="1" applyAlignment="1">
      <alignment horizontal="center" vertical="center"/>
    </xf>
    <xf numFmtId="0" fontId="59" fillId="0" borderId="11" xfId="0" applyFont="1" applyBorder="1" applyAlignment="1">
      <alignment horizontal="center" vertical="center"/>
    </xf>
    <xf numFmtId="10" fontId="62" fillId="0" borderId="11" xfId="0" applyNumberFormat="1" applyFont="1" applyBorder="1" applyAlignment="1">
      <alignment horizontal="center" vertical="center"/>
    </xf>
    <xf numFmtId="0" fontId="62" fillId="0" borderId="11" xfId="0" applyFont="1" applyBorder="1" applyAlignment="1">
      <alignment horizontal="center" vertical="center"/>
    </xf>
    <xf numFmtId="0" fontId="59" fillId="0" borderId="90" xfId="0" applyFont="1" applyBorder="1" applyAlignment="1">
      <alignment horizontal="center" vertical="center"/>
    </xf>
    <xf numFmtId="0" fontId="59" fillId="0" borderId="63" xfId="0" applyFont="1" applyBorder="1" applyAlignment="1">
      <alignment horizontal="center" vertical="center"/>
    </xf>
    <xf numFmtId="10" fontId="63" fillId="0" borderId="11" xfId="0" applyNumberFormat="1" applyFont="1" applyBorder="1" applyAlignment="1">
      <alignment horizontal="center" vertical="center"/>
    </xf>
    <xf numFmtId="0" fontId="59" fillId="0" borderId="11" xfId="0" applyFont="1" applyBorder="1" applyAlignment="1">
      <alignment horizontal="left" vertical="center"/>
    </xf>
    <xf numFmtId="10" fontId="1" fillId="0" borderId="11" xfId="51" applyNumberFormat="1" applyFont="1" applyFill="1" applyBorder="1" applyAlignment="1">
      <alignment horizontal="center" vertical="center"/>
    </xf>
    <xf numFmtId="0" fontId="59" fillId="0" borderId="90" xfId="0" applyFont="1" applyBorder="1" applyAlignment="1">
      <alignment horizontal="left" vertical="center"/>
    </xf>
    <xf numFmtId="0" fontId="59" fillId="0" borderId="63" xfId="0" applyFont="1" applyBorder="1" applyAlignment="1">
      <alignment horizontal="left" vertical="center"/>
    </xf>
    <xf numFmtId="0" fontId="59" fillId="0" borderId="17" xfId="0" applyFont="1" applyBorder="1" applyAlignment="1">
      <alignment horizontal="left" vertical="center"/>
    </xf>
    <xf numFmtId="10" fontId="1" fillId="0" borderId="90" xfId="51" applyNumberFormat="1" applyFont="1" applyFill="1" applyBorder="1" applyAlignment="1">
      <alignment horizontal="center" vertical="center"/>
    </xf>
    <xf numFmtId="10" fontId="1" fillId="0" borderId="17" xfId="51" applyNumberFormat="1" applyFont="1" applyFill="1" applyBorder="1" applyAlignment="1">
      <alignment horizontal="center" vertical="center"/>
    </xf>
    <xf numFmtId="10" fontId="59" fillId="0" borderId="11" xfId="0" applyNumberFormat="1" applyFont="1" applyBorder="1" applyAlignment="1">
      <alignment horizontal="center" vertical="center"/>
    </xf>
    <xf numFmtId="10" fontId="1" fillId="0" borderId="63" xfId="51" applyNumberFormat="1" applyFont="1" applyFill="1" applyBorder="1" applyAlignment="1">
      <alignment horizontal="center" vertical="center"/>
    </xf>
    <xf numFmtId="0" fontId="59" fillId="27" borderId="11" xfId="0" applyFont="1" applyFill="1" applyBorder="1" applyAlignment="1">
      <alignment horizontal="center"/>
    </xf>
    <xf numFmtId="10" fontId="59" fillId="0" borderId="90" xfId="51" applyNumberFormat="1" applyFont="1" applyFill="1" applyBorder="1" applyAlignment="1">
      <alignment horizontal="center" vertical="center"/>
    </xf>
    <xf numFmtId="10" fontId="59" fillId="0" borderId="17" xfId="51" applyNumberFormat="1" applyFont="1" applyFill="1" applyBorder="1" applyAlignment="1">
      <alignment horizontal="center" vertical="center"/>
    </xf>
    <xf numFmtId="0" fontId="59" fillId="27" borderId="11" xfId="0" applyFont="1" applyFill="1" applyBorder="1" applyAlignment="1">
      <alignment horizontal="center" vertical="center"/>
    </xf>
    <xf numFmtId="0" fontId="59" fillId="27" borderId="11" xfId="0" applyFont="1" applyFill="1" applyBorder="1" applyAlignment="1">
      <alignment horizontal="center" vertical="top" wrapText="1"/>
    </xf>
    <xf numFmtId="0" fontId="59" fillId="27" borderId="90" xfId="0" applyFont="1" applyFill="1" applyBorder="1" applyAlignment="1">
      <alignment horizontal="center" vertical="center" wrapText="1"/>
    </xf>
    <xf numFmtId="0" fontId="59" fillId="27" borderId="17" xfId="0" applyFont="1" applyFill="1" applyBorder="1" applyAlignment="1">
      <alignment horizontal="center" vertical="center" wrapText="1"/>
    </xf>
    <xf numFmtId="0" fontId="23" fillId="24" borderId="79" xfId="0" applyFont="1" applyFill="1" applyBorder="1" applyAlignment="1">
      <alignment horizontal="center"/>
    </xf>
    <xf numFmtId="0" fontId="23" fillId="24" borderId="22" xfId="0" applyFont="1" applyFill="1" applyBorder="1" applyAlignment="1">
      <alignment horizontal="center"/>
    </xf>
    <xf numFmtId="0" fontId="27" fillId="24" borderId="28" xfId="0" applyFont="1" applyFill="1" applyBorder="1" applyAlignment="1">
      <alignment horizontal="center"/>
    </xf>
    <xf numFmtId="0" fontId="27" fillId="24" borderId="19" xfId="0" applyFont="1" applyFill="1" applyBorder="1" applyAlignment="1">
      <alignment horizontal="center"/>
    </xf>
    <xf numFmtId="0" fontId="27" fillId="24" borderId="79" xfId="0" applyFont="1" applyFill="1" applyBorder="1" applyAlignment="1">
      <alignment horizontal="center"/>
    </xf>
    <xf numFmtId="0" fontId="27" fillId="24" borderId="22" xfId="0" applyFont="1" applyFill="1" applyBorder="1" applyAlignment="1">
      <alignment horizontal="center"/>
    </xf>
    <xf numFmtId="0" fontId="27" fillId="24" borderId="78" xfId="0" applyFont="1" applyFill="1" applyBorder="1" applyAlignment="1">
      <alignment horizontal="center"/>
    </xf>
    <xf numFmtId="0" fontId="27" fillId="24" borderId="77" xfId="0" applyFont="1" applyFill="1" applyBorder="1" applyAlignment="1">
      <alignment horizontal="center"/>
    </xf>
    <xf numFmtId="0" fontId="27" fillId="24" borderId="45" xfId="0" applyFont="1" applyFill="1" applyBorder="1" applyAlignment="1" applyProtection="1">
      <alignment horizontal="center" vertical="center" textRotation="180" wrapText="1"/>
      <protection locked="0"/>
    </xf>
    <xf numFmtId="0" fontId="27" fillId="24" borderId="81" xfId="0" applyFont="1" applyFill="1" applyBorder="1" applyAlignment="1" applyProtection="1">
      <alignment horizontal="center" vertical="center" textRotation="180" wrapText="1"/>
      <protection locked="0"/>
    </xf>
    <xf numFmtId="0" fontId="27" fillId="24" borderId="47" xfId="0" applyFont="1" applyFill="1" applyBorder="1" applyAlignment="1" applyProtection="1">
      <alignment horizontal="center" vertical="center" textRotation="180" wrapText="1"/>
      <protection locked="0"/>
    </xf>
    <xf numFmtId="0" fontId="27" fillId="24" borderId="43" xfId="0" applyFont="1" applyFill="1" applyBorder="1" applyAlignment="1" applyProtection="1">
      <alignment horizontal="center" vertical="center" wrapText="1"/>
      <protection locked="0"/>
    </xf>
    <xf numFmtId="0" fontId="0" fillId="0" borderId="44" xfId="0" applyBorder="1" applyAlignment="1" applyProtection="1">
      <alignment horizontal="center" vertical="center" wrapText="1"/>
      <protection locked="0"/>
    </xf>
    <xf numFmtId="0" fontId="0" fillId="0" borderId="38" xfId="0" applyBorder="1" applyAlignment="1" applyProtection="1">
      <alignment horizontal="center" vertical="center" wrapText="1"/>
      <protection locked="0"/>
    </xf>
    <xf numFmtId="0" fontId="27" fillId="24" borderId="56" xfId="0" applyFont="1" applyFill="1" applyBorder="1" applyAlignment="1" applyProtection="1">
      <alignment horizontal="center" vertical="center" textRotation="180" wrapText="1"/>
      <protection locked="0"/>
    </xf>
    <xf numFmtId="0" fontId="27" fillId="24" borderId="70" xfId="0" applyFont="1" applyFill="1" applyBorder="1" applyAlignment="1">
      <alignment horizontal="center"/>
    </xf>
    <xf numFmtId="0" fontId="27" fillId="24" borderId="71" xfId="0" applyFont="1" applyFill="1" applyBorder="1" applyAlignment="1">
      <alignment horizontal="center"/>
    </xf>
    <xf numFmtId="0" fontId="27" fillId="24" borderId="36" xfId="0" applyFont="1" applyFill="1" applyBorder="1" applyAlignment="1">
      <alignment horizontal="center"/>
    </xf>
    <xf numFmtId="0" fontId="27" fillId="24" borderId="34" xfId="0" applyFont="1" applyFill="1" applyBorder="1" applyAlignment="1">
      <alignment horizontal="center"/>
    </xf>
    <xf numFmtId="0" fontId="46" fillId="24" borderId="28" xfId="0" applyFont="1" applyFill="1" applyBorder="1" applyAlignment="1">
      <alignment horizontal="center"/>
    </xf>
    <xf numFmtId="0" fontId="45" fillId="0" borderId="81" xfId="0" applyFont="1" applyBorder="1" applyAlignment="1" applyProtection="1">
      <alignment horizontal="center" vertical="center" textRotation="180" wrapText="1"/>
      <protection locked="0"/>
    </xf>
    <xf numFmtId="0" fontId="45" fillId="0" borderId="47" xfId="0" applyFont="1" applyBorder="1" applyAlignment="1" applyProtection="1">
      <alignment horizontal="center" vertical="center" textRotation="180" wrapText="1"/>
      <protection locked="0"/>
    </xf>
    <xf numFmtId="0" fontId="0" fillId="0" borderId="81" xfId="0" applyBorder="1" applyAlignment="1" applyProtection="1">
      <alignment horizontal="center" vertical="center" textRotation="180" wrapText="1"/>
      <protection locked="0"/>
    </xf>
    <xf numFmtId="0" fontId="0" fillId="0" borderId="47" xfId="0" applyBorder="1" applyAlignment="1" applyProtection="1">
      <alignment horizontal="center" vertical="center" textRotation="180" wrapText="1"/>
      <protection locked="0"/>
    </xf>
  </cellXfs>
  <cellStyles count="6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[0]" xfId="29" builtinId="6"/>
    <cellStyle name="Comma [0] 2" xfId="58"/>
    <cellStyle name="Comma 2" xfId="59"/>
    <cellStyle name="Comma_April_2" xfId="30"/>
    <cellStyle name="Comma_Juni" xfId="31"/>
    <cellStyle name="Explanatory Text" xfId="32" builtinId="53" customBuiltin="1"/>
    <cellStyle name="Good" xfId="33" builtinId="26" customBuiltin="1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rmal 2" xfId="41"/>
    <cellStyle name="Normal 3" xfId="42"/>
    <cellStyle name="Normal 4" xfId="56"/>
    <cellStyle name="Normal 5" xfId="60"/>
    <cellStyle name="Normal_April_3" xfId="43"/>
    <cellStyle name="Normal_DES 11_1" xfId="57"/>
    <cellStyle name="Normal_Juli_9" xfId="44"/>
    <cellStyle name="Normal_Juni" xfId="45"/>
    <cellStyle name="Normal_Juni_4" xfId="46"/>
    <cellStyle name="Normal_Mar_18" xfId="47"/>
    <cellStyle name="Normal_Mar_6" xfId="48"/>
    <cellStyle name="Note" xfId="49" builtinId="10" customBuiltin="1"/>
    <cellStyle name="Output" xfId="50" builtinId="21" customBuiltin="1"/>
    <cellStyle name="Percent" xfId="51" builtinId="5"/>
    <cellStyle name="Percent 2" xfId="61"/>
    <cellStyle name="Percent_Okt_6" xfId="52"/>
    <cellStyle name="Title" xfId="53" builtinId="15" customBuiltin="1"/>
    <cellStyle name="Total" xfId="54" builtinId="25" customBuiltin="1"/>
    <cellStyle name="Warning Text" xfId="55" builtinId="11" customBuiltin="1"/>
  </cellStyles>
  <dxfs count="2893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41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mruColors>
      <color rgb="FFEAA0C1"/>
      <color rgb="FFFABF8F"/>
      <color rgb="FF9BBB59"/>
      <color rgb="FF8C91FE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5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4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8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3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1"/>
          <c:tx>
            <c:strRef>
              <c:f>Report1!$R$6</c:f>
              <c:strCache>
                <c:ptCount val="1"/>
                <c:pt idx="0">
                  <c:v>FINSHED GOODS (TON)</c:v>
                </c:pt>
              </c:strCache>
            </c:strRef>
          </c:tx>
          <c:marker>
            <c:symbol val="triangle"/>
            <c:size val="5"/>
          </c:marker>
          <c:cat>
            <c:numRef>
              <c:f>Report1!$A$9:$A$39</c:f>
              <c:numCache>
                <c:formatCode>d\-mmm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Report1!$R$9:$R$39</c:f>
              <c:numCache>
                <c:formatCode>#,##0.000</c:formatCode>
                <c:ptCount val="31"/>
                <c:pt idx="0">
                  <c:v>63.094000000000001</c:v>
                </c:pt>
                <c:pt idx="1">
                  <c:v>64.578999999999994</c:v>
                </c:pt>
                <c:pt idx="2">
                  <c:v>63.481000000000002</c:v>
                </c:pt>
                <c:pt idx="3">
                  <c:v>54.262</c:v>
                </c:pt>
                <c:pt idx="4">
                  <c:v>47.134</c:v>
                </c:pt>
                <c:pt idx="5">
                  <c:v>58.991999999999997</c:v>
                </c:pt>
                <c:pt idx="6">
                  <c:v>60.41</c:v>
                </c:pt>
                <c:pt idx="7">
                  <c:v>59.228999999999999</c:v>
                </c:pt>
                <c:pt idx="8">
                  <c:v>61.509</c:v>
                </c:pt>
                <c:pt idx="9">
                  <c:v>65.072000000000003</c:v>
                </c:pt>
                <c:pt idx="10">
                  <c:v>80.748000000000005</c:v>
                </c:pt>
                <c:pt idx="11">
                  <c:v>89.156000000000006</c:v>
                </c:pt>
                <c:pt idx="12">
                  <c:v>55.878</c:v>
                </c:pt>
                <c:pt idx="13">
                  <c:v>73.936999999999998</c:v>
                </c:pt>
                <c:pt idx="14">
                  <c:v>80.088999999999999</c:v>
                </c:pt>
                <c:pt idx="15">
                  <c:v>79.995000000000005</c:v>
                </c:pt>
                <c:pt idx="16">
                  <c:v>82.838999999999999</c:v>
                </c:pt>
                <c:pt idx="17">
                  <c:v>76.516000000000005</c:v>
                </c:pt>
                <c:pt idx="18">
                  <c:v>73.134</c:v>
                </c:pt>
                <c:pt idx="19">
                  <c:v>84.385999999999996</c:v>
                </c:pt>
                <c:pt idx="20">
                  <c:v>61.204000000000001</c:v>
                </c:pt>
                <c:pt idx="21">
                  <c:v>54.311</c:v>
                </c:pt>
                <c:pt idx="22">
                  <c:v>62.985999999999997</c:v>
                </c:pt>
                <c:pt idx="23">
                  <c:v>77.438000000000002</c:v>
                </c:pt>
                <c:pt idx="24">
                  <c:v>60.396999999999998</c:v>
                </c:pt>
                <c:pt idx="25">
                  <c:v>66.174999999999997</c:v>
                </c:pt>
                <c:pt idx="26">
                  <c:v>55.545000000000002</c:v>
                </c:pt>
                <c:pt idx="27">
                  <c:v>49.442999999999998</c:v>
                </c:pt>
                <c:pt idx="28">
                  <c:v>49.027999999999999</c:v>
                </c:pt>
                <c:pt idx="29">
                  <c:v>51.228000000000002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C6D-4B8B-91BF-BF47FD5D2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820864"/>
        <c:axId val="204822400"/>
      </c:lineChart>
      <c:lineChart>
        <c:grouping val="standard"/>
        <c:varyColors val="0"/>
        <c:ser>
          <c:idx val="0"/>
          <c:order val="0"/>
          <c:tx>
            <c:strRef>
              <c:f>Report1!$J$6</c:f>
              <c:strCache>
                <c:ptCount val="1"/>
                <c:pt idx="0">
                  <c:v>Eff FG vs Target (%)</c:v>
                </c:pt>
              </c:strCache>
            </c:strRef>
          </c:tx>
          <c:marker>
            <c:symbol val="diamond"/>
            <c:size val="5"/>
          </c:marker>
          <c:dPt>
            <c:idx val="21"/>
            <c:marker>
              <c:symbol val="auto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FC6D-4B8B-91BF-BF47FD5D2F2B}"/>
              </c:ext>
            </c:extLst>
          </c:dPt>
          <c:cat>
            <c:numRef>
              <c:f>Report1!$A$9</c:f>
              <c:numCache>
                <c:formatCode>d\-mmm</c:formatCode>
                <c:ptCount val="1"/>
                <c:pt idx="0">
                  <c:v>46113</c:v>
                </c:pt>
              </c:numCache>
            </c:numRef>
          </c:cat>
          <c:val>
            <c:numRef>
              <c:f>Report1!$J$9:$J$39</c:f>
              <c:numCache>
                <c:formatCode>0.00%</c:formatCode>
                <c:ptCount val="31"/>
                <c:pt idx="0">
                  <c:v>0.88350182457804671</c:v>
                </c:pt>
                <c:pt idx="1">
                  <c:v>0.94830449899454505</c:v>
                </c:pt>
                <c:pt idx="2">
                  <c:v>1.0052149374740189</c:v>
                </c:pt>
                <c:pt idx="3">
                  <c:v>0.88577419544239522</c:v>
                </c:pt>
                <c:pt idx="4">
                  <c:v>0.76882602427068336</c:v>
                </c:pt>
                <c:pt idx="5">
                  <c:v>0.90679342184358558</c:v>
                </c:pt>
                <c:pt idx="6">
                  <c:v>0.94432381228372031</c:v>
                </c:pt>
                <c:pt idx="7">
                  <c:v>0.92692772797605072</c:v>
                </c:pt>
                <c:pt idx="8">
                  <c:v>0.94365129194850539</c:v>
                </c:pt>
                <c:pt idx="9">
                  <c:v>0.83113884425451567</c:v>
                </c:pt>
                <c:pt idx="10">
                  <c:v>0.96245606085571489</c:v>
                </c:pt>
                <c:pt idx="11">
                  <c:v>1.0960021047342328</c:v>
                </c:pt>
                <c:pt idx="12">
                  <c:v>0.72887552343170847</c:v>
                </c:pt>
                <c:pt idx="13">
                  <c:v>0.93899208518203148</c:v>
                </c:pt>
                <c:pt idx="14">
                  <c:v>1.0224381050192495</c:v>
                </c:pt>
                <c:pt idx="15">
                  <c:v>1.0002896019398828</c:v>
                </c:pt>
                <c:pt idx="16">
                  <c:v>0.99328624982802594</c:v>
                </c:pt>
                <c:pt idx="17">
                  <c:v>0.9440063239886245</c:v>
                </c:pt>
                <c:pt idx="18">
                  <c:v>1.0044804784621215</c:v>
                </c:pt>
                <c:pt idx="19">
                  <c:v>1.0754025512867882</c:v>
                </c:pt>
                <c:pt idx="20">
                  <c:v>0.86719302409777588</c:v>
                </c:pt>
                <c:pt idx="21">
                  <c:v>0.86359075307645083</c:v>
                </c:pt>
                <c:pt idx="22">
                  <c:v>0.83601893191862275</c:v>
                </c:pt>
                <c:pt idx="23">
                  <c:v>0.96942085537937561</c:v>
                </c:pt>
                <c:pt idx="24">
                  <c:v>0.93639340526767023</c:v>
                </c:pt>
                <c:pt idx="25">
                  <c:v>1.0042279582866636</c:v>
                </c:pt>
                <c:pt idx="26">
                  <c:v>0.92521364439820597</c:v>
                </c:pt>
                <c:pt idx="27">
                  <c:v>0.84650162026193498</c:v>
                </c:pt>
                <c:pt idx="28">
                  <c:v>0.83942855577470965</c:v>
                </c:pt>
                <c:pt idx="29">
                  <c:v>0.87709566074950696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C6D-4B8B-91BF-BF47FD5D2F2B}"/>
            </c:ext>
          </c:extLst>
        </c:ser>
        <c:ser>
          <c:idx val="1"/>
          <c:order val="2"/>
          <c:tx>
            <c:v>EFF TARGET TODATE</c:v>
          </c:tx>
          <c:marker>
            <c:symbol val="square"/>
            <c:size val="5"/>
          </c:marker>
          <c:cat>
            <c:numRef>
              <c:f>Report1!$A$9</c:f>
              <c:numCache>
                <c:formatCode>d\-mmm</c:formatCode>
                <c:ptCount val="1"/>
                <c:pt idx="0">
                  <c:v>46113</c:v>
                </c:pt>
              </c:numCache>
            </c:numRef>
          </c:cat>
          <c:val>
            <c:numRef>
              <c:f>Report1!$K$9:$K$39</c:f>
              <c:numCache>
                <c:formatCode>0.00%</c:formatCode>
                <c:ptCount val="31"/>
                <c:pt idx="0">
                  <c:v>0.88350182457804671</c:v>
                </c:pt>
                <c:pt idx="1">
                  <c:v>0.91513347202202944</c:v>
                </c:pt>
                <c:pt idx="2">
                  <c:v>0.94320346245799869</c:v>
                </c:pt>
                <c:pt idx="3">
                  <c:v>0.92987355695749951</c:v>
                </c:pt>
                <c:pt idx="4">
                  <c:v>0.8995158465493841</c:v>
                </c:pt>
                <c:pt idx="5">
                  <c:v>0.90072892351478073</c:v>
                </c:pt>
                <c:pt idx="6">
                  <c:v>0.90686825456373543</c:v>
                </c:pt>
                <c:pt idx="7">
                  <c:v>0.90934195733146672</c:v>
                </c:pt>
                <c:pt idx="8">
                  <c:v>0.91317566690724805</c:v>
                </c:pt>
                <c:pt idx="9">
                  <c:v>0.90346802185403419</c:v>
                </c:pt>
                <c:pt idx="10">
                  <c:v>0.91010622676596453</c:v>
                </c:pt>
                <c:pt idx="11">
                  <c:v>0.92839434958834022</c:v>
                </c:pt>
                <c:pt idx="12">
                  <c:v>0.91146560145020183</c:v>
                </c:pt>
                <c:pt idx="13">
                  <c:v>0.91367216154916076</c:v>
                </c:pt>
                <c:pt idx="14">
                  <c:v>0.92170507129414136</c:v>
                </c:pt>
                <c:pt idx="15">
                  <c:v>0.92721501980754695</c:v>
                </c:pt>
                <c:pt idx="16">
                  <c:v>0.9317169429582024</c:v>
                </c:pt>
                <c:pt idx="17">
                  <c:v>0.93248022486220539</c:v>
                </c:pt>
                <c:pt idx="18">
                  <c:v>0.93628485075703105</c:v>
                </c:pt>
                <c:pt idx="19">
                  <c:v>0.94378080773120521</c:v>
                </c:pt>
                <c:pt idx="20">
                  <c:v>0.94024070535764159</c:v>
                </c:pt>
                <c:pt idx="21">
                  <c:v>0.93720852671895671</c:v>
                </c:pt>
                <c:pt idx="22">
                  <c:v>0.93263007925164543</c:v>
                </c:pt>
                <c:pt idx="23">
                  <c:v>0.93431424611065472</c:v>
                </c:pt>
                <c:pt idx="24">
                  <c:v>0.93438835769541484</c:v>
                </c:pt>
                <c:pt idx="25">
                  <c:v>0.93684233332993194</c:v>
                </c:pt>
                <c:pt idx="26">
                  <c:v>0.93648162522631284</c:v>
                </c:pt>
                <c:pt idx="27">
                  <c:v>0.93384570229127561</c:v>
                </c:pt>
                <c:pt idx="28">
                  <c:v>0.93115861492112129</c:v>
                </c:pt>
                <c:pt idx="29">
                  <c:v>0.92966257426941035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C6D-4B8B-91BF-BF47FD5D2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246336"/>
        <c:axId val="215244800"/>
      </c:lineChart>
      <c:dateAx>
        <c:axId val="204820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04822400"/>
        <c:crosses val="autoZero"/>
        <c:auto val="1"/>
        <c:lblOffset val="100"/>
        <c:baseTimeUnit val="days"/>
      </c:dateAx>
      <c:valAx>
        <c:axId val="204822400"/>
        <c:scaling>
          <c:orientation val="minMax"/>
        </c:scaling>
        <c:delete val="0"/>
        <c:axPos val="l"/>
        <c:majorGridlines/>
        <c:numFmt formatCode="#,##0.000" sourceLinked="1"/>
        <c:majorTickMark val="out"/>
        <c:minorTickMark val="none"/>
        <c:tickLblPos val="nextTo"/>
        <c:crossAx val="204820864"/>
        <c:crosses val="autoZero"/>
        <c:crossBetween val="between"/>
      </c:valAx>
      <c:valAx>
        <c:axId val="2152448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15246336"/>
        <c:crosses val="max"/>
        <c:crossBetween val="between"/>
      </c:valAx>
      <c:dateAx>
        <c:axId val="215246336"/>
        <c:scaling>
          <c:orientation val="minMax"/>
        </c:scaling>
        <c:delete val="1"/>
        <c:axPos val="b"/>
        <c:numFmt formatCode="d\-mmm" sourceLinked="1"/>
        <c:majorTickMark val="out"/>
        <c:minorTickMark val="none"/>
        <c:tickLblPos val="none"/>
        <c:crossAx val="215244800"/>
        <c:crosses val="autoZero"/>
        <c:auto val="1"/>
        <c:lblOffset val="100"/>
        <c:baseTimeUnit val="days"/>
      </c:date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sz="900"/>
            </a:pPr>
            <a:endParaRPr lang="en-US"/>
          </a:p>
        </c:txPr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504824</xdr:colOff>
      <xdr:row>25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%20REPORT%20PM%2012%20APRIL%2020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%20REPORT%20PM%2014%20APRIL%202026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%20REPORT%20PM%2015%20APRIL%20202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-0120-P-PRD-DI\2026\3.%20April\DAILY%20REPORT%20PM%2015%20April%20202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%20REPORT%20PM%2016%20APRIL%202026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%20REPORT%20PM%2017%20APRIL%202026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-0120-P-PRD-DI\2026\3.%20MARET\DAILY%20REPORT%20PM%2015%20MARET%202026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listrik%2020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ff all value"/>
      <sheetName val="eff all value (2)"/>
      <sheetName val="eff all value (3)"/>
      <sheetName val="eff all value (4)"/>
      <sheetName val="Report1"/>
      <sheetName val="GRAFIK"/>
      <sheetName val="Listrik"/>
      <sheetName val="Trim Rwd"/>
      <sheetName val="Efficiency1"/>
      <sheetName val="Efficiency2"/>
      <sheetName val="Chem"/>
      <sheetName val="BB"/>
      <sheetName val="RBP"/>
      <sheetName val="Sheet1"/>
      <sheetName val="summary"/>
      <sheetName val="30"/>
      <sheetName val="29"/>
      <sheetName val="28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5"/>
      <sheetName val="4"/>
      <sheetName val="3"/>
      <sheetName val="2"/>
      <sheetName val="1"/>
      <sheetName val="31"/>
    </sheetNames>
    <sheetDataSet>
      <sheetData sheetId="0"/>
      <sheetData sheetId="1"/>
      <sheetData sheetId="2"/>
      <sheetData sheetId="3"/>
      <sheetData sheetId="4">
        <row r="9">
          <cell r="J9">
            <v>0.84320977610655468</v>
          </cell>
          <cell r="K9">
            <v>0.84320977610655468</v>
          </cell>
          <cell r="R9">
            <v>58.884</v>
          </cell>
          <cell r="S9">
            <v>58.884</v>
          </cell>
          <cell r="AL9">
            <v>2.5994667481828682</v>
          </cell>
          <cell r="AM9">
            <v>2.5994667481828682</v>
          </cell>
          <cell r="AR9">
            <v>0</v>
          </cell>
          <cell r="AS9">
            <v>0</v>
          </cell>
          <cell r="AX9">
            <v>593.88849262956705</v>
          </cell>
          <cell r="AY9">
            <v>593.88849262956705</v>
          </cell>
          <cell r="BD9">
            <v>429.35262550098497</v>
          </cell>
          <cell r="BE9">
            <v>429.35262550098497</v>
          </cell>
          <cell r="BJ9">
            <v>0</v>
          </cell>
          <cell r="BK9">
            <v>0</v>
          </cell>
          <cell r="BP9">
            <v>0.84320977610655468</v>
          </cell>
          <cell r="BQ9">
            <v>0.84320977610655468</v>
          </cell>
        </row>
        <row r="10">
          <cell r="J10">
            <v>1.0435369648691895</v>
          </cell>
          <cell r="K10">
            <v>0.94491050032358892</v>
          </cell>
          <cell r="R10">
            <v>75.144999999999996</v>
          </cell>
          <cell r="S10">
            <v>134.029</v>
          </cell>
          <cell r="AL10">
            <v>2.0241399960077184</v>
          </cell>
          <cell r="AM10">
            <v>2.2769027598504801</v>
          </cell>
          <cell r="AR10">
            <v>0</v>
          </cell>
          <cell r="AS10">
            <v>0</v>
          </cell>
          <cell r="AX10">
            <v>549.8812961607332</v>
          </cell>
          <cell r="AY10">
            <v>569.21531907272094</v>
          </cell>
          <cell r="BD10">
            <v>389.99268081708698</v>
          </cell>
          <cell r="BE10">
            <v>407.28499056174411</v>
          </cell>
          <cell r="BJ10">
            <v>0</v>
          </cell>
          <cell r="BK10">
            <v>0</v>
          </cell>
          <cell r="BP10">
            <v>1.0435369648691895</v>
          </cell>
          <cell r="BQ10">
            <v>0.94491050032358892</v>
          </cell>
        </row>
        <row r="11">
          <cell r="J11">
            <v>0.9851470948318759</v>
          </cell>
          <cell r="K11">
            <v>0.95878204681649803</v>
          </cell>
          <cell r="R11">
            <v>73.52</v>
          </cell>
          <cell r="S11">
            <v>207.54899999999998</v>
          </cell>
          <cell r="AL11">
            <v>2.0845076169749728</v>
          </cell>
          <cell r="AM11">
            <v>2.2087507046528772</v>
          </cell>
          <cell r="AR11">
            <v>0</v>
          </cell>
          <cell r="AS11">
            <v>0</v>
          </cell>
          <cell r="AX11">
            <v>498.2947497279888</v>
          </cell>
          <cell r="AY11">
            <v>544.09315390582219</v>
          </cell>
          <cell r="BD11">
            <v>357.61697497279653</v>
          </cell>
          <cell r="BE11">
            <v>389.69110908749263</v>
          </cell>
          <cell r="BJ11">
            <v>0</v>
          </cell>
          <cell r="BK11">
            <v>0</v>
          </cell>
          <cell r="BP11">
            <v>0.9851470948318759</v>
          </cell>
          <cell r="BQ11">
            <v>0.95878204681649803</v>
          </cell>
        </row>
        <row r="12">
          <cell r="J12">
            <v>0.97578069359020725</v>
          </cell>
          <cell r="K12">
            <v>0.96313994037327055</v>
          </cell>
          <cell r="R12">
            <v>72.820999999999998</v>
          </cell>
          <cell r="S12">
            <v>280.37</v>
          </cell>
          <cell r="AL12">
            <v>2.1298114554867413</v>
          </cell>
          <cell r="AM12">
            <v>2.1882476727181936</v>
          </cell>
          <cell r="AR12">
            <v>0</v>
          </cell>
          <cell r="AS12">
            <v>0</v>
          </cell>
          <cell r="AX12">
            <v>485.78253525767263</v>
          </cell>
          <cell r="AY12">
            <v>528.94803295644476</v>
          </cell>
          <cell r="BD12">
            <v>371.63730242649785</v>
          </cell>
          <cell r="BE12">
            <v>385.00196169347652</v>
          </cell>
          <cell r="BJ12">
            <v>0</v>
          </cell>
          <cell r="BK12">
            <v>0</v>
          </cell>
          <cell r="BP12">
            <v>0.97578069359020725</v>
          </cell>
          <cell r="BQ12">
            <v>0.96313994037327055</v>
          </cell>
        </row>
        <row r="13">
          <cell r="J13">
            <v>0.94859080178956723</v>
          </cell>
          <cell r="K13">
            <v>0.96026188601745766</v>
          </cell>
          <cell r="R13">
            <v>68.093999999999994</v>
          </cell>
          <cell r="S13">
            <v>348.464</v>
          </cell>
          <cell r="AL13">
            <v>2.0620318970834437</v>
          </cell>
          <cell r="AM13">
            <v>2.1635836126543921</v>
          </cell>
          <cell r="AR13">
            <v>0</v>
          </cell>
          <cell r="AS13">
            <v>0</v>
          </cell>
          <cell r="AX13">
            <v>542.75883337739413</v>
          </cell>
          <cell r="AY13">
            <v>531.64682721887687</v>
          </cell>
          <cell r="BD13">
            <v>401.2394630951332</v>
          </cell>
          <cell r="BE13">
            <v>388.17496211947287</v>
          </cell>
          <cell r="BJ13">
            <v>0</v>
          </cell>
          <cell r="BK13">
            <v>0</v>
          </cell>
          <cell r="BP13">
            <v>0.94859080178956723</v>
          </cell>
          <cell r="BQ13">
            <v>0.96026188601745766</v>
          </cell>
        </row>
        <row r="14">
          <cell r="J14">
            <v>0.97736912336124138</v>
          </cell>
          <cell r="K14">
            <v>0.9631539938736744</v>
          </cell>
          <cell r="R14">
            <v>72.159000000000006</v>
          </cell>
          <cell r="S14">
            <v>420.62299999999999</v>
          </cell>
          <cell r="AL14">
            <v>2.0569159772169789</v>
          </cell>
          <cell r="AM14">
            <v>2.145284494666245</v>
          </cell>
          <cell r="AR14">
            <v>0</v>
          </cell>
          <cell r="AS14">
            <v>0</v>
          </cell>
          <cell r="AX14">
            <v>499.44497567869536</v>
          </cell>
          <cell r="AY14">
            <v>526.12251350971701</v>
          </cell>
          <cell r="BD14">
            <v>319.22559902437678</v>
          </cell>
          <cell r="BE14">
            <v>376.34651457480925</v>
          </cell>
          <cell r="BJ14">
            <v>0</v>
          </cell>
          <cell r="BK14">
            <v>0</v>
          </cell>
          <cell r="BP14">
            <v>0.97736912336124138</v>
          </cell>
          <cell r="BQ14">
            <v>0.9631539938736744</v>
          </cell>
        </row>
        <row r="15">
          <cell r="J15">
            <v>0.94195743496396411</v>
          </cell>
          <cell r="K15">
            <v>0.96057275042977908</v>
          </cell>
          <cell r="R15">
            <v>57.040999999999997</v>
          </cell>
          <cell r="S15">
            <v>477.66399999999999</v>
          </cell>
          <cell r="AL15">
            <v>1.7015304780771727</v>
          </cell>
          <cell r="AM15">
            <v>2.0922929088229383</v>
          </cell>
          <cell r="AR15">
            <v>0</v>
          </cell>
          <cell r="AS15">
            <v>0</v>
          </cell>
          <cell r="AX15">
            <v>527.97899756318975</v>
          </cell>
          <cell r="AY15">
            <v>526.34420848127468</v>
          </cell>
          <cell r="BD15">
            <v>356.41030136217813</v>
          </cell>
          <cell r="BE15">
            <v>373.96580022777516</v>
          </cell>
          <cell r="BJ15">
            <v>0</v>
          </cell>
          <cell r="BK15">
            <v>0</v>
          </cell>
          <cell r="BP15">
            <v>1.0538149078638601</v>
          </cell>
          <cell r="BQ15">
            <v>0.97315171286799473</v>
          </cell>
        </row>
        <row r="16">
          <cell r="J16">
            <v>0.88077379823315094</v>
          </cell>
          <cell r="K16">
            <v>0.95191378817151717</v>
          </cell>
          <cell r="R16">
            <v>53.31</v>
          </cell>
          <cell r="S16">
            <v>530.97399999999993</v>
          </cell>
          <cell r="AL16">
            <v>2.1079159632339146</v>
          </cell>
          <cell r="AM16">
            <v>2.0938614696764817</v>
          </cell>
          <cell r="AR16">
            <v>0</v>
          </cell>
          <cell r="AS16">
            <v>0</v>
          </cell>
          <cell r="AX16">
            <v>675.658975801878</v>
          </cell>
          <cell r="AY16">
            <v>541.33547028667647</v>
          </cell>
          <cell r="BD16">
            <v>428.49371600075034</v>
          </cell>
          <cell r="BE16">
            <v>379.44042457822803</v>
          </cell>
          <cell r="BJ16">
            <v>0</v>
          </cell>
          <cell r="BK16">
            <v>0</v>
          </cell>
          <cell r="BP16">
            <v>0.88077379823315094</v>
          </cell>
          <cell r="BQ16">
            <v>0.96301095479379095</v>
          </cell>
        </row>
        <row r="17">
          <cell r="J17">
            <v>0.87403084162558697</v>
          </cell>
          <cell r="K17">
            <v>0.94374022445655315</v>
          </cell>
          <cell r="R17">
            <v>57.164000000000001</v>
          </cell>
          <cell r="S17">
            <v>588.13799999999992</v>
          </cell>
          <cell r="AL17">
            <v>1.8584773633755509</v>
          </cell>
          <cell r="AM17">
            <v>2.0709833406445433</v>
          </cell>
          <cell r="AR17">
            <v>0</v>
          </cell>
          <cell r="AS17">
            <v>0</v>
          </cell>
          <cell r="AX17">
            <v>527.73196417326324</v>
          </cell>
          <cell r="AY17">
            <v>540.01327919637606</v>
          </cell>
          <cell r="BD17">
            <v>395.42369323350363</v>
          </cell>
          <cell r="BE17">
            <v>380.9939163937716</v>
          </cell>
          <cell r="BJ17">
            <v>0</v>
          </cell>
          <cell r="BK17">
            <v>0</v>
          </cell>
          <cell r="BP17">
            <v>0.87403084162558697</v>
          </cell>
          <cell r="BQ17">
            <v>0.95357546101127011</v>
          </cell>
        </row>
        <row r="18">
          <cell r="J18">
            <v>0.97044671957673512</v>
          </cell>
          <cell r="K18">
            <v>0.94618740926064027</v>
          </cell>
          <cell r="R18">
            <v>61.008000000000003</v>
          </cell>
          <cell r="S18">
            <v>649.14599999999996</v>
          </cell>
          <cell r="AL18">
            <v>1.8442007605559925</v>
          </cell>
          <cell r="AM18">
            <v>2.0496698739574768</v>
          </cell>
          <cell r="AR18">
            <v>0</v>
          </cell>
          <cell r="AS18">
            <v>0</v>
          </cell>
          <cell r="AX18">
            <v>498.51347364279678</v>
          </cell>
          <cell r="AY18">
            <v>536.11304698788558</v>
          </cell>
          <cell r="BD18">
            <v>375.19669551534224</v>
          </cell>
          <cell r="BE18">
            <v>380.44908233278801</v>
          </cell>
          <cell r="BJ18">
            <v>0</v>
          </cell>
          <cell r="BK18">
            <v>0</v>
          </cell>
          <cell r="BP18">
            <v>0.97044671957673512</v>
          </cell>
          <cell r="BQ18">
            <v>0.95513603879359266</v>
          </cell>
        </row>
        <row r="19">
          <cell r="J19">
            <v>8.2479420626900973E-2</v>
          </cell>
          <cell r="K19">
            <v>0.87150460585215761</v>
          </cell>
          <cell r="R19">
            <v>5.3559999999999999</v>
          </cell>
          <cell r="S19">
            <v>654.50199999999995</v>
          </cell>
          <cell r="AL19">
            <v>1.2042569081404031</v>
          </cell>
          <cell r="AM19">
            <v>2.0427515882304412</v>
          </cell>
          <cell r="AR19">
            <v>0</v>
          </cell>
          <cell r="AS19">
            <v>0</v>
          </cell>
          <cell r="AX19">
            <v>870.42382374932595</v>
          </cell>
          <cell r="AY19">
            <v>538.84881940773187</v>
          </cell>
          <cell r="BD19">
            <v>160.56758775205375</v>
          </cell>
          <cell r="BE19">
            <v>378.64972146761966</v>
          </cell>
          <cell r="BJ19">
            <v>0</v>
          </cell>
          <cell r="BK19">
            <v>0</v>
          </cell>
          <cell r="BP19">
            <v>1.6967195100391057</v>
          </cell>
          <cell r="BQ19">
            <v>0.95856451330608949</v>
          </cell>
        </row>
        <row r="20">
          <cell r="J20">
            <v>0.33826628115870461</v>
          </cell>
          <cell r="K20">
            <v>0.8370119838293687</v>
          </cell>
          <cell r="R20">
            <v>17.568999999999999</v>
          </cell>
          <cell r="S20">
            <v>672.07099999999991</v>
          </cell>
          <cell r="AL20">
            <v>6.1137799533268833</v>
          </cell>
          <cell r="AM20">
            <v>2.1491747151714629</v>
          </cell>
          <cell r="AR20">
            <v>0</v>
          </cell>
          <cell r="AS20">
            <v>0</v>
          </cell>
          <cell r="AX20">
            <v>1523.9307871818935</v>
          </cell>
          <cell r="AY20">
            <v>564.60042168163488</v>
          </cell>
          <cell r="BD20">
            <v>1122.4884740167324</v>
          </cell>
          <cell r="BE20">
            <v>398.09484414593112</v>
          </cell>
          <cell r="BJ20">
            <v>25.102737776765991</v>
          </cell>
          <cell r="BK20">
            <v>0.65622530952831148</v>
          </cell>
          <cell r="BP20">
            <v>0.44894326715993982</v>
          </cell>
          <cell r="BQ20">
            <v>0.93093907302440637</v>
          </cell>
        </row>
        <row r="21">
          <cell r="J21">
            <v>0.54438734452432347</v>
          </cell>
          <cell r="K21">
            <v>0.81922145602627194</v>
          </cell>
          <cell r="R21">
            <v>28.295000000000002</v>
          </cell>
          <cell r="S21">
            <v>700.36599999999987</v>
          </cell>
          <cell r="AL21">
            <v>3.8024739353242625</v>
          </cell>
          <cell r="AM21">
            <v>2.215968507894444</v>
          </cell>
          <cell r="AR21">
            <v>0</v>
          </cell>
          <cell r="AS21">
            <v>0</v>
          </cell>
          <cell r="AX21">
            <v>842.63332744308309</v>
          </cell>
          <cell r="AY21">
            <v>575.83303586981674</v>
          </cell>
          <cell r="BD21">
            <v>530.94186251987981</v>
          </cell>
          <cell r="BE21">
            <v>403.46190420437324</v>
          </cell>
          <cell r="BJ21">
            <v>0</v>
          </cell>
          <cell r="BK21">
            <v>0.62971360688554523</v>
          </cell>
          <cell r="BP21">
            <v>0.67231370164238924</v>
          </cell>
          <cell r="BQ21">
            <v>0.91669259437368078</v>
          </cell>
        </row>
        <row r="22">
          <cell r="J22">
            <v>0.47997295543705643</v>
          </cell>
          <cell r="K22">
            <v>0.79808877113443721</v>
          </cell>
          <cell r="R22">
            <v>27.259</v>
          </cell>
          <cell r="S22">
            <v>727.62499999999989</v>
          </cell>
          <cell r="AL22">
            <v>4.3815987380314763</v>
          </cell>
          <cell r="AM22">
            <v>2.2970994674454568</v>
          </cell>
          <cell r="AR22">
            <v>0</v>
          </cell>
          <cell r="AS22">
            <v>0</v>
          </cell>
          <cell r="AX22">
            <v>1070.1386697971236</v>
          </cell>
          <cell r="AY22">
            <v>594.3511973887646</v>
          </cell>
          <cell r="BD22">
            <v>708.94016655049711</v>
          </cell>
          <cell r="BE22">
            <v>414.9060298917712</v>
          </cell>
          <cell r="BJ22">
            <v>0</v>
          </cell>
          <cell r="BK22">
            <v>0.60612265933688614</v>
          </cell>
          <cell r="BP22">
            <v>0.47997295543705643</v>
          </cell>
          <cell r="BQ22">
            <v>0.88647534534117411</v>
          </cell>
        </row>
        <row r="23">
          <cell r="J23">
            <v>0.65127176250783325</v>
          </cell>
          <cell r="K23">
            <v>0.78923110082680736</v>
          </cell>
          <cell r="R23">
            <v>38.122999999999998</v>
          </cell>
          <cell r="S23">
            <v>765.74799999999993</v>
          </cell>
          <cell r="AL23">
            <v>2.9317472391994337</v>
          </cell>
          <cell r="AM23">
            <v>2.3286956022085601</v>
          </cell>
          <cell r="AR23">
            <v>0</v>
          </cell>
          <cell r="AS23">
            <v>0</v>
          </cell>
          <cell r="AX23">
            <v>724.88366602834981</v>
          </cell>
          <cell r="AY23">
            <v>600.84979653880737</v>
          </cell>
          <cell r="BD23">
            <v>448.57435144138708</v>
          </cell>
          <cell r="BE23">
            <v>416.58221764862594</v>
          </cell>
          <cell r="BJ23">
            <v>0</v>
          </cell>
          <cell r="BK23">
            <v>0.57594665608007056</v>
          </cell>
          <cell r="BP23">
            <v>0.65127176250783325</v>
          </cell>
          <cell r="BQ23">
            <v>0.87081827804080092</v>
          </cell>
        </row>
        <row r="24">
          <cell r="J24">
            <v>0.85265470263058685</v>
          </cell>
          <cell r="K24">
            <v>0.79329568756335367</v>
          </cell>
          <cell r="R24">
            <v>56.648000000000003</v>
          </cell>
          <cell r="S24">
            <v>822.39599999999996</v>
          </cell>
          <cell r="AL24">
            <v>2.4486830956079646</v>
          </cell>
          <cell r="AM24">
            <v>2.3369605396913413</v>
          </cell>
          <cell r="AR24">
            <v>0</v>
          </cell>
          <cell r="AS24">
            <v>0</v>
          </cell>
          <cell r="AX24">
            <v>671.41134726733071</v>
          </cell>
          <cell r="AY24">
            <v>605.71019314296075</v>
          </cell>
          <cell r="BD24">
            <v>377.91272419149834</v>
          </cell>
          <cell r="BE24">
            <v>413.91859882586976</v>
          </cell>
          <cell r="BJ24">
            <v>0</v>
          </cell>
          <cell r="BK24">
            <v>0.53627449549852113</v>
          </cell>
          <cell r="BP24">
            <v>0.85265470263058685</v>
          </cell>
          <cell r="BQ24">
            <v>0.86954236085898406</v>
          </cell>
        </row>
        <row r="25">
          <cell r="J25">
            <v>0.86545860097688077</v>
          </cell>
          <cell r="K25">
            <v>0.79776174828965452</v>
          </cell>
          <cell r="R25">
            <v>59.19</v>
          </cell>
          <cell r="S25">
            <v>881.58600000000001</v>
          </cell>
          <cell r="AL25">
            <v>2.3873289406994429</v>
          </cell>
          <cell r="AM25">
            <v>2.340342292187036</v>
          </cell>
          <cell r="AR25">
            <v>0</v>
          </cell>
          <cell r="AS25">
            <v>0</v>
          </cell>
          <cell r="AX25">
            <v>590.11589795575912</v>
          </cell>
          <cell r="AY25">
            <v>604.66318657510408</v>
          </cell>
          <cell r="BD25">
            <v>435.07349214394327</v>
          </cell>
          <cell r="BE25">
            <v>415.33894594514885</v>
          </cell>
          <cell r="BJ25">
            <v>44.264233823280961</v>
          </cell>
          <cell r="BK25">
            <v>3.4721853568455052</v>
          </cell>
          <cell r="BP25">
            <v>0.86545860097688077</v>
          </cell>
          <cell r="BQ25">
            <v>0.86926696923141988</v>
          </cell>
        </row>
        <row r="26">
          <cell r="J26">
            <v>0.92258355291454774</v>
          </cell>
          <cell r="K26">
            <v>0.80502344118671787</v>
          </cell>
          <cell r="R26">
            <v>62.975999999999999</v>
          </cell>
          <cell r="S26">
            <v>944.56200000000001</v>
          </cell>
          <cell r="AL26">
            <v>2.1619505843495936</v>
          </cell>
          <cell r="AM26">
            <v>2.3284485295830235</v>
          </cell>
          <cell r="AR26">
            <v>0</v>
          </cell>
          <cell r="AS26">
            <v>0</v>
          </cell>
          <cell r="AX26">
            <v>500.95544334350552</v>
          </cell>
          <cell r="AY26">
            <v>597.74876609476178</v>
          </cell>
          <cell r="BD26">
            <v>359.64494410569102</v>
          </cell>
          <cell r="BE26">
            <v>411.62570588272661</v>
          </cell>
          <cell r="BJ26">
            <v>26.519626524389874</v>
          </cell>
          <cell r="BK26">
            <v>5.0088083153884853</v>
          </cell>
          <cell r="BP26">
            <v>0.92258355291454774</v>
          </cell>
          <cell r="BQ26">
            <v>0.87262922666821241</v>
          </cell>
        </row>
        <row r="27">
          <cell r="J27">
            <v>0.89684422889631188</v>
          </cell>
          <cell r="K27">
            <v>0.81007024245071246</v>
          </cell>
          <cell r="R27">
            <v>61.201999999999998</v>
          </cell>
          <cell r="S27">
            <v>1005.764</v>
          </cell>
          <cell r="AL27">
            <v>2.3181105192640761</v>
          </cell>
          <cell r="AM27">
            <v>2.3278194486977064</v>
          </cell>
          <cell r="AR27">
            <v>0</v>
          </cell>
          <cell r="AS27">
            <v>0</v>
          </cell>
          <cell r="AX27">
            <v>643.61279043165723</v>
          </cell>
          <cell r="AY27">
            <v>600.53964946050826</v>
          </cell>
          <cell r="BD27">
            <v>475.32760367308259</v>
          </cell>
          <cell r="BE27">
            <v>415.50204620567047</v>
          </cell>
          <cell r="BJ27">
            <v>33.657396817097862</v>
          </cell>
          <cell r="BK27">
            <v>6.7521108331576807</v>
          </cell>
          <cell r="BP27">
            <v>0.89684422889631188</v>
          </cell>
          <cell r="BQ27">
            <v>0.87406531419395894</v>
          </cell>
        </row>
        <row r="28">
          <cell r="J28">
            <v>0.9167184283544787</v>
          </cell>
          <cell r="K28">
            <v>0.81573936728497265</v>
          </cell>
          <cell r="R28">
            <v>63.899000000000001</v>
          </cell>
          <cell r="S28">
            <v>1069.663</v>
          </cell>
          <cell r="AL28">
            <v>2.2579383088937228</v>
          </cell>
          <cell r="AM28">
            <v>2.3236449236815711</v>
          </cell>
          <cell r="AR28">
            <v>0</v>
          </cell>
          <cell r="AS28">
            <v>0</v>
          </cell>
          <cell r="AX28">
            <v>584.61431321303962</v>
          </cell>
          <cell r="AY28">
            <v>599.58830958909357</v>
          </cell>
          <cell r="BD28">
            <v>391.24242945898993</v>
          </cell>
          <cell r="BE28">
            <v>414.05283720199725</v>
          </cell>
          <cell r="BJ28">
            <v>46.520289832392287</v>
          </cell>
          <cell r="BK28">
            <v>9.1277626691771481</v>
          </cell>
          <cell r="BP28">
            <v>0.9167184283544787</v>
          </cell>
          <cell r="BQ28">
            <v>0.87650152321127561</v>
          </cell>
        </row>
        <row r="29">
          <cell r="J29">
            <v>0.73817790595394839</v>
          </cell>
          <cell r="K29">
            <v>0.81182451565859415</v>
          </cell>
          <cell r="R29">
            <v>51.454000000000001</v>
          </cell>
          <cell r="S29">
            <v>1121.117</v>
          </cell>
          <cell r="AL29">
            <v>2.4959381194853654</v>
          </cell>
          <cell r="AM29">
            <v>2.3315523714295656</v>
          </cell>
          <cell r="AR29">
            <v>0</v>
          </cell>
          <cell r="AS29">
            <v>0</v>
          </cell>
          <cell r="AX29">
            <v>710.75154506938145</v>
          </cell>
          <cell r="AY29">
            <v>604.69017952631043</v>
          </cell>
          <cell r="BD29">
            <v>351.77051346834065</v>
          </cell>
          <cell r="BE29">
            <v>411.19437132788107</v>
          </cell>
          <cell r="BJ29">
            <v>45.767092937380276</v>
          </cell>
          <cell r="BK29">
            <v>10.809335689316995</v>
          </cell>
          <cell r="BP29">
            <v>0.73817790595394839</v>
          </cell>
          <cell r="BQ29">
            <v>0.86902779728416302</v>
          </cell>
        </row>
        <row r="30">
          <cell r="J30">
            <v>0.84303549359761853</v>
          </cell>
          <cell r="K30">
            <v>0.81332417050686068</v>
          </cell>
          <cell r="R30">
            <v>58.762999999999998</v>
          </cell>
          <cell r="S30">
            <v>1179.8799999999999</v>
          </cell>
          <cell r="AL30">
            <v>2.4490580807651074</v>
          </cell>
          <cell r="AM30">
            <v>2.3374046513204738</v>
          </cell>
          <cell r="AR30">
            <v>0</v>
          </cell>
          <cell r="AS30">
            <v>0</v>
          </cell>
          <cell r="AX30">
            <v>644.44123002569609</v>
          </cell>
          <cell r="AY30">
            <v>606.66994948638728</v>
          </cell>
          <cell r="BD30">
            <v>423.73602436907578</v>
          </cell>
          <cell r="BE30">
            <v>411.81899854222468</v>
          </cell>
          <cell r="BJ30">
            <v>56.030155029525382</v>
          </cell>
          <cell r="BK30">
            <v>13.061523205749742</v>
          </cell>
          <cell r="BP30">
            <v>0.84303549359761853</v>
          </cell>
          <cell r="BQ30">
            <v>0.86769540432195535</v>
          </cell>
        </row>
        <row r="31">
          <cell r="J31">
            <v>0.93662607160204137</v>
          </cell>
          <cell r="K31">
            <v>0.81898628058354817</v>
          </cell>
          <cell r="R31">
            <v>65.397999999999996</v>
          </cell>
          <cell r="S31">
            <v>1245.2779999999998</v>
          </cell>
          <cell r="AL31">
            <v>2.1941190862105873</v>
          </cell>
          <cell r="AM31">
            <v>2.3298797537577962</v>
          </cell>
          <cell r="AR31">
            <v>0</v>
          </cell>
          <cell r="AS31">
            <v>0</v>
          </cell>
          <cell r="AX31">
            <v>577.95742989079622</v>
          </cell>
          <cell r="AY31">
            <v>605.16206019860374</v>
          </cell>
          <cell r="BD31">
            <v>351.46334750298183</v>
          </cell>
          <cell r="BE31">
            <v>408.6493136472339</v>
          </cell>
          <cell r="BJ31">
            <v>41.883543839261677</v>
          </cell>
          <cell r="BK31">
            <v>14.575163136263582</v>
          </cell>
          <cell r="BP31">
            <v>0.93662607160204137</v>
          </cell>
          <cell r="BQ31">
            <v>0.87106201944003248</v>
          </cell>
        </row>
        <row r="32">
          <cell r="J32">
            <v>0.91661539536372216</v>
          </cell>
          <cell r="K32">
            <v>0.82334137942807029</v>
          </cell>
          <cell r="R32">
            <v>65.075000000000003</v>
          </cell>
          <cell r="S32">
            <v>1310.3529999999998</v>
          </cell>
          <cell r="AL32">
            <v>2.2045332308874377</v>
          </cell>
          <cell r="AM32">
            <v>2.3236547708899824</v>
          </cell>
          <cell r="AR32">
            <v>0</v>
          </cell>
          <cell r="AS32">
            <v>0</v>
          </cell>
          <cell r="AX32">
            <v>572.75343834039268</v>
          </cell>
          <cell r="AY32">
            <v>603.55257705366262</v>
          </cell>
          <cell r="BD32">
            <v>368.45178640030736</v>
          </cell>
          <cell r="BE32">
            <v>406.65301640092412</v>
          </cell>
          <cell r="BJ32">
            <v>42.125240107568011</v>
          </cell>
          <cell r="BK32">
            <v>15.943360300621306</v>
          </cell>
          <cell r="BP32">
            <v>0.91661539536372216</v>
          </cell>
          <cell r="BQ32">
            <v>0.87321718960460937</v>
          </cell>
        </row>
        <row r="33">
          <cell r="J33">
            <v>1.0079881816829608</v>
          </cell>
          <cell r="K33">
            <v>0.83122647307701736</v>
          </cell>
          <cell r="R33">
            <v>71.561999999999998</v>
          </cell>
          <cell r="S33">
            <v>1381.9149999999997</v>
          </cell>
          <cell r="AL33">
            <v>1.913319918392443</v>
          </cell>
          <cell r="AM33">
            <v>2.3024057195992524</v>
          </cell>
          <cell r="AR33">
            <v>0</v>
          </cell>
          <cell r="AS33">
            <v>0</v>
          </cell>
          <cell r="AX33">
            <v>513.96132025378984</v>
          </cell>
          <cell r="AY33">
            <v>598.91312417912798</v>
          </cell>
          <cell r="BD33">
            <v>314.5384421899891</v>
          </cell>
          <cell r="BE33">
            <v>401.88289438930764</v>
          </cell>
          <cell r="BJ33">
            <v>36.995891674351498</v>
          </cell>
          <cell r="BK33">
            <v>17.033558503960066</v>
          </cell>
          <cell r="BP33">
            <v>1.0079881816829608</v>
          </cell>
          <cell r="BQ33">
            <v>0.87930529006024483</v>
          </cell>
        </row>
        <row r="34">
          <cell r="J34">
            <v>0.70675519136027842</v>
          </cell>
          <cell r="K34">
            <v>0.82612878415470403</v>
          </cell>
          <cell r="R34">
            <v>50.176000000000002</v>
          </cell>
          <cell r="S34">
            <v>1432.0909999999997</v>
          </cell>
          <cell r="AL34">
            <v>2.7198262117346936</v>
          </cell>
          <cell r="AM34">
            <v>2.3170308311413179</v>
          </cell>
          <cell r="AR34">
            <v>0</v>
          </cell>
          <cell r="AS34">
            <v>0</v>
          </cell>
          <cell r="AX34">
            <v>722.83023756375439</v>
          </cell>
          <cell r="AY34">
            <v>603.25479316607573</v>
          </cell>
          <cell r="BD34">
            <v>458.96444515306121</v>
          </cell>
          <cell r="BE34">
            <v>403.88285381306082</v>
          </cell>
          <cell r="BJ34">
            <v>51.859454719388452</v>
          </cell>
          <cell r="BK34">
            <v>18.253749238002339</v>
          </cell>
          <cell r="BP34">
            <v>0.70675519136027842</v>
          </cell>
          <cell r="BQ34">
            <v>0.87184746596371554</v>
          </cell>
        </row>
        <row r="35">
          <cell r="J35">
            <v>0.98123977391045669</v>
          </cell>
          <cell r="K35">
            <v>0.83223138395392349</v>
          </cell>
          <cell r="R35">
            <v>69.662999999999997</v>
          </cell>
          <cell r="S35">
            <v>1501.7539999999997</v>
          </cell>
          <cell r="AL35">
            <v>2.0563570331452854</v>
          </cell>
          <cell r="AM35">
            <v>2.3049387582786531</v>
          </cell>
          <cell r="AR35">
            <v>0</v>
          </cell>
          <cell r="AS35">
            <v>0</v>
          </cell>
          <cell r="AX35">
            <v>517.88682657938944</v>
          </cell>
          <cell r="AY35">
            <v>599.29476465519565</v>
          </cell>
          <cell r="BD35">
            <v>407.67695907440105</v>
          </cell>
          <cell r="BE35">
            <v>404.05885384690174</v>
          </cell>
          <cell r="BJ35">
            <v>37.32253850681137</v>
          </cell>
          <cell r="BK35">
            <v>19.13830760563981</v>
          </cell>
          <cell r="BP35">
            <v>0.98123977391045669</v>
          </cell>
          <cell r="BQ35">
            <v>0.87637964753387054</v>
          </cell>
        </row>
        <row r="36">
          <cell r="J36">
            <v>0.91831974362094848</v>
          </cell>
          <cell r="K36">
            <v>0.83549018371062744</v>
          </cell>
          <cell r="R36">
            <v>65.195999999999998</v>
          </cell>
          <cell r="S36">
            <v>1566.9499999999996</v>
          </cell>
          <cell r="AL36">
            <v>2.0437603533959141</v>
          </cell>
          <cell r="AM36">
            <v>2.2940719231628326</v>
          </cell>
          <cell r="AR36">
            <v>0</v>
          </cell>
          <cell r="AS36">
            <v>0</v>
          </cell>
          <cell r="AX36">
            <v>549.89846002822219</v>
          </cell>
          <cell r="AY36">
            <v>597.23953540317098</v>
          </cell>
          <cell r="BD36">
            <v>329.77483281182896</v>
          </cell>
          <cell r="BE36">
            <v>400.96812278630472</v>
          </cell>
          <cell r="BJ36">
            <v>38.192527148904844</v>
          </cell>
          <cell r="BK36">
            <v>19.931095440186354</v>
          </cell>
          <cell r="BP36">
            <v>1.0412444337119415</v>
          </cell>
          <cell r="BQ36">
            <v>0.88219135601041687</v>
          </cell>
        </row>
        <row r="37">
          <cell r="J37">
            <v>0.61946834581195798</v>
          </cell>
          <cell r="K37">
            <v>0.82786883020637303</v>
          </cell>
          <cell r="R37">
            <v>42.488</v>
          </cell>
          <cell r="S37">
            <v>1609.4379999999996</v>
          </cell>
          <cell r="AL37">
            <v>2.8372717002447754</v>
          </cell>
          <cell r="AM37">
            <v>2.3084120046873511</v>
          </cell>
          <cell r="AR37">
            <v>0</v>
          </cell>
          <cell r="AS37">
            <v>0</v>
          </cell>
          <cell r="AX37">
            <v>724.71309546224938</v>
          </cell>
          <cell r="AY37">
            <v>600.60474525890334</v>
          </cell>
          <cell r="BD37">
            <v>477.78196196573151</v>
          </cell>
          <cell r="BE37">
            <v>402.99595262445661</v>
          </cell>
          <cell r="BJ37">
            <v>46.601393334588593</v>
          </cell>
          <cell r="BK37">
            <v>20.635172028993978</v>
          </cell>
          <cell r="BP37">
            <v>0.76387836536530906</v>
          </cell>
          <cell r="BQ37">
            <v>0.87859890448291422</v>
          </cell>
        </row>
        <row r="38">
          <cell r="J38">
            <v>0.46463610272690969</v>
          </cell>
          <cell r="K38">
            <v>0.81724777582026975</v>
          </cell>
          <cell r="R38">
            <v>27.207999999999998</v>
          </cell>
          <cell r="S38">
            <v>1636.6459999999997</v>
          </cell>
          <cell r="AL38">
            <v>3.8064907380182302</v>
          </cell>
          <cell r="AM38">
            <v>2.33331642884289</v>
          </cell>
          <cell r="AR38">
            <v>0</v>
          </cell>
          <cell r="AS38">
            <v>0</v>
          </cell>
          <cell r="AX38">
            <v>1283.7867538959115</v>
          </cell>
          <cell r="AY38">
            <v>611.96212864602285</v>
          </cell>
          <cell r="BD38">
            <v>731.40252866803883</v>
          </cell>
          <cell r="BE38">
            <v>408.4554631850749</v>
          </cell>
          <cell r="BJ38">
            <v>57.339753013818608</v>
          </cell>
          <cell r="BK38">
            <v>21.245357884356164</v>
          </cell>
          <cell r="BP38">
            <v>0.52779905068411526</v>
          </cell>
          <cell r="BQ38">
            <v>0.86899714082165391</v>
          </cell>
        </row>
      </sheetData>
      <sheetData sheetId="5"/>
      <sheetData sheetId="6"/>
      <sheetData sheetId="7"/>
      <sheetData sheetId="8">
        <row r="152">
          <cell r="X152">
            <v>0.81724777582026975</v>
          </cell>
        </row>
      </sheetData>
      <sheetData sheetId="9">
        <row r="152">
          <cell r="X152">
            <v>0.86899714082165369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ff all value"/>
      <sheetName val="Report1"/>
      <sheetName val="GRAFIK"/>
      <sheetName val="Listrik"/>
      <sheetName val="Trim Rwd"/>
      <sheetName val="Efficiency1"/>
      <sheetName val="Efficiency2"/>
      <sheetName val="Chem"/>
      <sheetName val="RBP"/>
      <sheetName val="BB"/>
      <sheetName val="Sheet1"/>
      <sheetName val="summary"/>
      <sheetName val="30"/>
      <sheetName val="29"/>
      <sheetName val="28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5"/>
      <sheetName val="4"/>
      <sheetName val="3"/>
      <sheetName val="2"/>
      <sheetName val="1"/>
      <sheetName val="31"/>
    </sheetNames>
    <sheetDataSet>
      <sheetData sheetId="0"/>
      <sheetData sheetId="1">
        <row r="9">
          <cell r="J9">
            <v>0.83776420495737336</v>
          </cell>
          <cell r="K9">
            <v>0.83776420495737336</v>
          </cell>
          <cell r="R9">
            <v>34.951000000000001</v>
          </cell>
          <cell r="S9">
            <v>34.951000000000001</v>
          </cell>
          <cell r="X9">
            <v>151.7219843344526</v>
          </cell>
          <cell r="Y9">
            <v>151.72198433445263</v>
          </cell>
          <cell r="AD9">
            <v>1.5507424680266659</v>
          </cell>
          <cell r="AE9">
            <v>1.5507424680266659</v>
          </cell>
          <cell r="AJ9">
            <v>1053.6471059483379</v>
          </cell>
          <cell r="AK9">
            <v>1053.6471059483379</v>
          </cell>
          <cell r="BC9">
            <v>0.83776420495737336</v>
          </cell>
          <cell r="BD9">
            <v>0.83776420495737336</v>
          </cell>
        </row>
        <row r="10">
          <cell r="J10">
            <v>0.89284652428992595</v>
          </cell>
          <cell r="K10">
            <v>0.86530536462364971</v>
          </cell>
          <cell r="R10">
            <v>37.249000000000002</v>
          </cell>
          <cell r="S10">
            <v>72.2</v>
          </cell>
          <cell r="X10">
            <v>148.23423884150426</v>
          </cell>
          <cell r="Y10">
            <v>149.9226071617818</v>
          </cell>
          <cell r="AD10">
            <v>1.4309108969368303</v>
          </cell>
          <cell r="AE10">
            <v>1.4889196675900276</v>
          </cell>
          <cell r="AJ10">
            <v>1040.8445864318603</v>
          </cell>
          <cell r="AK10">
            <v>1047.042105263168</v>
          </cell>
          <cell r="BC10">
            <v>0.89284652428992595</v>
          </cell>
          <cell r="BD10">
            <v>0.86530536462364971</v>
          </cell>
        </row>
        <row r="11">
          <cell r="J11">
            <v>0.89720900562957973</v>
          </cell>
          <cell r="K11">
            <v>0.87593991162562634</v>
          </cell>
          <cell r="R11">
            <v>37.430999999999997</v>
          </cell>
          <cell r="S11">
            <v>109.631</v>
          </cell>
          <cell r="X11">
            <v>125.06908700352326</v>
          </cell>
          <cell r="Y11">
            <v>141.43694057984993</v>
          </cell>
          <cell r="AD11">
            <v>1.5468461970024847</v>
          </cell>
          <cell r="AE11">
            <v>1.5086973574992475</v>
          </cell>
          <cell r="AJ11">
            <v>1054.2657155833595</v>
          </cell>
          <cell r="AK11">
            <v>1049.5084419552995</v>
          </cell>
          <cell r="BC11">
            <v>0.89720900562957973</v>
          </cell>
          <cell r="BD11">
            <v>0.87593991162562634</v>
          </cell>
        </row>
        <row r="12">
          <cell r="J12">
            <v>0.91752820960639481</v>
          </cell>
          <cell r="K12">
            <v>0.88707124335004905</v>
          </cell>
          <cell r="R12">
            <v>41.97</v>
          </cell>
          <cell r="S12">
            <v>151.601</v>
          </cell>
          <cell r="X12">
            <v>120.95144365840378</v>
          </cell>
          <cell r="Y12">
            <v>135.76563032600532</v>
          </cell>
          <cell r="AD12">
            <v>1.3771741720276387</v>
          </cell>
          <cell r="AE12">
            <v>1.472285802864097</v>
          </cell>
          <cell r="AJ12">
            <v>890.8120085775206</v>
          </cell>
          <cell r="AK12">
            <v>1005.5741057117039</v>
          </cell>
          <cell r="BC12">
            <v>0.91752820960639481</v>
          </cell>
          <cell r="BD12">
            <v>0.88707124335004905</v>
          </cell>
        </row>
        <row r="13">
          <cell r="J13">
            <v>0.94174466677835378</v>
          </cell>
          <cell r="K13">
            <v>0.89779902750586116</v>
          </cell>
          <cell r="R13">
            <v>39.289000000000001</v>
          </cell>
          <cell r="S13">
            <v>190.89</v>
          </cell>
          <cell r="X13">
            <v>130.37427392410524</v>
          </cell>
          <cell r="Y13">
            <v>134.65598078085236</v>
          </cell>
          <cell r="AD13">
            <v>1.4635139606505636</v>
          </cell>
          <cell r="AE13">
            <v>1.4704803813714706</v>
          </cell>
          <cell r="AJ13">
            <v>989.45964519333882</v>
          </cell>
          <cell r="AK13">
            <v>1002.25742574258</v>
          </cell>
          <cell r="BC13">
            <v>0.94174466677835378</v>
          </cell>
          <cell r="BD13">
            <v>0.89779902750586116</v>
          </cell>
        </row>
        <row r="14">
          <cell r="J14">
            <v>0.83363160760019694</v>
          </cell>
          <cell r="K14">
            <v>0.88621722146215776</v>
          </cell>
          <cell r="R14">
            <v>39.037999999999997</v>
          </cell>
          <cell r="S14">
            <v>229.928</v>
          </cell>
          <cell r="X14">
            <v>134.82156601286661</v>
          </cell>
          <cell r="Y14">
            <v>134.68409443507181</v>
          </cell>
          <cell r="AD14">
            <v>1.4216916850248478</v>
          </cell>
          <cell r="AE14">
            <v>1.4621968616262482</v>
          </cell>
          <cell r="AJ14">
            <v>968.31036426044557</v>
          </cell>
          <cell r="AK14">
            <v>996.49377196339879</v>
          </cell>
          <cell r="BC14">
            <v>0.83363160760019694</v>
          </cell>
          <cell r="BD14">
            <v>0.88621722146215776</v>
          </cell>
        </row>
        <row r="15">
          <cell r="J15">
            <v>0.80586375766861051</v>
          </cell>
          <cell r="K15">
            <v>0.8733562843039816</v>
          </cell>
          <cell r="R15">
            <v>39.841000000000001</v>
          </cell>
          <cell r="S15">
            <v>269.76900000000001</v>
          </cell>
          <cell r="X15">
            <v>131.86547308711329</v>
          </cell>
          <cell r="Y15">
            <v>134.26782461487744</v>
          </cell>
          <cell r="AD15">
            <v>1.3353078486985768</v>
          </cell>
          <cell r="AE15">
            <v>1.4434571800318048</v>
          </cell>
          <cell r="AJ15">
            <v>902.14352049399099</v>
          </cell>
          <cell r="AK15">
            <v>982.55959728509004</v>
          </cell>
          <cell r="BC15">
            <v>0.80586375766861051</v>
          </cell>
          <cell r="BD15">
            <v>0.8733562843039816</v>
          </cell>
        </row>
        <row r="16">
          <cell r="J16">
            <v>0.81688570620441436</v>
          </cell>
          <cell r="K16">
            <v>0.86494480631832837</v>
          </cell>
          <cell r="R16">
            <v>44.162999999999997</v>
          </cell>
          <cell r="S16">
            <v>313.93200000000002</v>
          </cell>
          <cell r="X16">
            <v>111.15204448672891</v>
          </cell>
          <cell r="Y16">
            <v>131.01596689473607</v>
          </cell>
          <cell r="AD16">
            <v>1.2000996309127552</v>
          </cell>
          <cell r="AE16">
            <v>1.4092223793687804</v>
          </cell>
          <cell r="AJ16">
            <v>775.14933315216967</v>
          </cell>
          <cell r="AK16">
            <v>953.38175146210244</v>
          </cell>
          <cell r="BC16">
            <v>0.81688570620441436</v>
          </cell>
          <cell r="BD16">
            <v>0.86494480631832837</v>
          </cell>
        </row>
        <row r="17">
          <cell r="J17">
            <v>7.6207396674792843E-2</v>
          </cell>
          <cell r="K17">
            <v>0.76433591035556048</v>
          </cell>
          <cell r="R17">
            <v>4.0439999999999996</v>
          </cell>
          <cell r="S17">
            <v>317.976</v>
          </cell>
          <cell r="X17">
            <v>305.79666375921352</v>
          </cell>
          <cell r="Y17">
            <v>133.23881748132104</v>
          </cell>
          <cell r="AD17">
            <v>4.6488625123639968</v>
          </cell>
          <cell r="AE17">
            <v>1.4504239313658893</v>
          </cell>
          <cell r="AJ17">
            <v>3366.6617210683394</v>
          </cell>
          <cell r="AK17">
            <v>984.07370367575265</v>
          </cell>
          <cell r="BC17">
            <v>7.6207396674792843E-2</v>
          </cell>
          <cell r="BD17">
            <v>0.76433591035556048</v>
          </cell>
        </row>
        <row r="18">
          <cell r="J18">
            <v>0.67229957799797813</v>
          </cell>
          <cell r="K18">
            <v>0.7553528640261109</v>
          </cell>
          <cell r="R18">
            <v>30.251000000000001</v>
          </cell>
          <cell r="S18">
            <v>348.22699999999998</v>
          </cell>
          <cell r="X18">
            <v>164.0863936341743</v>
          </cell>
          <cell r="Y18">
            <v>135.9185925309294</v>
          </cell>
          <cell r="AD18">
            <v>1.9602657763379721</v>
          </cell>
          <cell r="AE18">
            <v>1.4947146545213326</v>
          </cell>
          <cell r="AJ18">
            <v>1112.7281742751945</v>
          </cell>
          <cell r="AK18">
            <v>995.25010984214327</v>
          </cell>
          <cell r="BC18">
            <v>0.67229957799797813</v>
          </cell>
          <cell r="BD18">
            <v>0.7553528640261109</v>
          </cell>
        </row>
        <row r="19">
          <cell r="J19">
            <v>0.88267107079737062</v>
          </cell>
          <cell r="K19">
            <v>0.7665731471738898</v>
          </cell>
          <cell r="R19">
            <v>39.326999999999998</v>
          </cell>
          <cell r="S19">
            <v>387.55399999999997</v>
          </cell>
          <cell r="X19">
            <v>137.9187005614167</v>
          </cell>
          <cell r="Y19">
            <v>136.12155327579327</v>
          </cell>
          <cell r="AD19">
            <v>1.4748137411956164</v>
          </cell>
          <cell r="AE19">
            <v>1.4926952115060095</v>
          </cell>
          <cell r="AJ19">
            <v>910.30742238157927</v>
          </cell>
          <cell r="AK19">
            <v>986.63055987036751</v>
          </cell>
          <cell r="BC19">
            <v>0.88267107079737062</v>
          </cell>
          <cell r="BD19">
            <v>0.7665731471738898</v>
          </cell>
        </row>
        <row r="20">
          <cell r="J20">
            <v>0.79522767333947764</v>
          </cell>
          <cell r="K20">
            <v>0.76889388776541223</v>
          </cell>
          <cell r="R20">
            <v>35.430999999999997</v>
          </cell>
          <cell r="S20">
            <v>422.98499999999996</v>
          </cell>
          <cell r="X20">
            <v>152.76630723129097</v>
          </cell>
          <cell r="Y20">
            <v>137.51578776968134</v>
          </cell>
          <cell r="AD20">
            <v>1.6341621743670798</v>
          </cell>
          <cell r="AE20">
            <v>1.5045450784306773</v>
          </cell>
          <cell r="AJ20">
            <v>1046.0940983884479</v>
          </cell>
          <cell r="AK20">
            <v>991.6114755842442</v>
          </cell>
          <cell r="BC20">
            <v>0.79522767333947764</v>
          </cell>
          <cell r="BD20">
            <v>0.76889388776541223</v>
          </cell>
        </row>
        <row r="21">
          <cell r="J21">
            <v>0.56789341976200725</v>
          </cell>
          <cell r="K21">
            <v>0.75388855401956911</v>
          </cell>
          <cell r="R21">
            <v>25.204000000000001</v>
          </cell>
          <cell r="S21">
            <v>448.18899999999996</v>
          </cell>
          <cell r="X21">
            <v>158.88272846856864</v>
          </cell>
          <cell r="Y21">
            <v>138.71736204610212</v>
          </cell>
          <cell r="AD21">
            <v>1.6505316616410093</v>
          </cell>
          <cell r="AE21">
            <v>1.5127546637690796</v>
          </cell>
          <cell r="AJ21">
            <v>1215.2491667988775</v>
          </cell>
          <cell r="AK21">
            <v>1004.1877868488527</v>
          </cell>
          <cell r="BC21">
            <v>0.67187835433932197</v>
          </cell>
          <cell r="BD21">
            <v>0.76270071695299579</v>
          </cell>
        </row>
        <row r="22">
          <cell r="J22">
            <v>1.0083233107335434</v>
          </cell>
          <cell r="K22">
            <v>0.77196118077633546</v>
          </cell>
          <cell r="R22">
            <v>45.835000000000001</v>
          </cell>
          <cell r="S22">
            <v>494.02399999999994</v>
          </cell>
          <cell r="X22">
            <v>122.18310295905783</v>
          </cell>
          <cell r="Y22">
            <v>137.18333178592312</v>
          </cell>
          <cell r="AD22">
            <v>1.2457728809861459</v>
          </cell>
          <cell r="AE22">
            <v>1.4879843894223765</v>
          </cell>
          <cell r="AJ22">
            <v>815.58503327152516</v>
          </cell>
          <cell r="AK22">
            <v>986.68943209236966</v>
          </cell>
          <cell r="BC22">
            <v>1.0083233107335434</v>
          </cell>
          <cell r="BD22">
            <v>0.78033670223163987</v>
          </cell>
        </row>
        <row r="23">
          <cell r="J23">
            <v>0.9564264209284794</v>
          </cell>
          <cell r="K23">
            <v>0.78434818504000203</v>
          </cell>
          <cell r="R23">
            <v>44.06</v>
          </cell>
          <cell r="S23">
            <v>538.08399999999995</v>
          </cell>
          <cell r="X23">
            <v>127.34095884992452</v>
          </cell>
          <cell r="Y23">
            <v>136.3774075221277</v>
          </cell>
          <cell r="AD23">
            <v>1.348161597821153</v>
          </cell>
          <cell r="AE23">
            <v>1.4765352621523777</v>
          </cell>
          <cell r="AJ23">
            <v>813.7167498865266</v>
          </cell>
          <cell r="AK23">
            <v>972.52588815129445</v>
          </cell>
          <cell r="BC23">
            <v>0.9564264209284794</v>
          </cell>
          <cell r="BD23">
            <v>0.79228087346648401</v>
          </cell>
        </row>
        <row r="24">
          <cell r="J24">
            <v>1.0124531252502316</v>
          </cell>
          <cell r="K24">
            <v>0.79870177737689774</v>
          </cell>
          <cell r="R24">
            <v>46.640999999999998</v>
          </cell>
          <cell r="S24">
            <v>584.72499999999991</v>
          </cell>
          <cell r="X24">
            <v>118.46733043237815</v>
          </cell>
          <cell r="Y24">
            <v>134.94879765331243</v>
          </cell>
          <cell r="AD24">
            <v>1.2778456722626017</v>
          </cell>
          <cell r="AE24">
            <v>1.4606866475693705</v>
          </cell>
          <cell r="AJ24">
            <v>818.30020797150371</v>
          </cell>
          <cell r="AK24">
            <v>960.22396853221642</v>
          </cell>
          <cell r="BC24">
            <v>1.0124531252502316</v>
          </cell>
          <cell r="BD24">
            <v>0.80626651763638202</v>
          </cell>
        </row>
        <row r="25">
          <cell r="J25">
            <v>0.92818514145439968</v>
          </cell>
          <cell r="K25">
            <v>0.8063672177425284</v>
          </cell>
          <cell r="R25">
            <v>42.759</v>
          </cell>
          <cell r="S25">
            <v>627.48399999999992</v>
          </cell>
          <cell r="X25">
            <v>131.23379552079192</v>
          </cell>
          <cell r="Y25">
            <v>134.69564414472185</v>
          </cell>
          <cell r="AD25">
            <v>1.405552047522159</v>
          </cell>
          <cell r="AE25">
            <v>1.4569295790809011</v>
          </cell>
          <cell r="AJ25">
            <v>826.72279520102722</v>
          </cell>
          <cell r="AK25">
            <v>951.12672195625851</v>
          </cell>
          <cell r="BC25">
            <v>0.92818514145439968</v>
          </cell>
          <cell r="BD25">
            <v>0.81354840101451076</v>
          </cell>
        </row>
        <row r="26">
          <cell r="J26">
            <v>0.83110066625776835</v>
          </cell>
          <cell r="K26">
            <v>0.80768412320718586</v>
          </cell>
          <cell r="R26">
            <v>36.371000000000002</v>
          </cell>
          <cell r="S26">
            <v>663.8549999999999</v>
          </cell>
          <cell r="X26">
            <v>154.74579861068329</v>
          </cell>
          <cell r="Y26">
            <v>135.79414331710362</v>
          </cell>
          <cell r="AD26">
            <v>1.6166726237936817</v>
          </cell>
          <cell r="AE26">
            <v>1.4656815117759152</v>
          </cell>
          <cell r="AJ26">
            <v>959.3846746034128</v>
          </cell>
          <cell r="AK26">
            <v>951.57915508657993</v>
          </cell>
          <cell r="BC26">
            <v>0.83110066625776835</v>
          </cell>
          <cell r="BD26">
            <v>0.81449082808439788</v>
          </cell>
        </row>
        <row r="27">
          <cell r="J27">
            <v>0.9045540267092278</v>
          </cell>
          <cell r="K27">
            <v>0.8127153493091257</v>
          </cell>
          <cell r="R27">
            <v>40.729999999999997</v>
          </cell>
          <cell r="S27">
            <v>704.58499999999992</v>
          </cell>
          <cell r="X27">
            <v>141.18563477313609</v>
          </cell>
          <cell r="Y27">
            <v>136.10580968383607</v>
          </cell>
          <cell r="AD27">
            <v>1.4264669776577463</v>
          </cell>
          <cell r="AE27">
            <v>1.4634146341463414</v>
          </cell>
          <cell r="AJ27">
            <v>947.32285784431394</v>
          </cell>
          <cell r="AK27">
            <v>951.33311098022307</v>
          </cell>
          <cell r="BC27">
            <v>0.9045540267092278</v>
          </cell>
          <cell r="BD27">
            <v>0.81920588496362134</v>
          </cell>
        </row>
        <row r="28">
          <cell r="J28">
            <v>0.89882204575769642</v>
          </cell>
          <cell r="K28">
            <v>0.81702353754508739</v>
          </cell>
          <cell r="R28">
            <v>41.040999999999997</v>
          </cell>
          <cell r="S28">
            <v>745.62599999999998</v>
          </cell>
          <cell r="X28">
            <v>136.72054409354533</v>
          </cell>
          <cell r="Y28">
            <v>136.13964610438589</v>
          </cell>
          <cell r="AD28">
            <v>1.3912916351940743</v>
          </cell>
          <cell r="AE28">
            <v>1.4594448154973134</v>
          </cell>
          <cell r="AJ28">
            <v>866.06515435786389</v>
          </cell>
          <cell r="AK28">
            <v>946.63976309839177</v>
          </cell>
          <cell r="BC28">
            <v>0.89882204575769642</v>
          </cell>
          <cell r="BD28">
            <v>0.82321954030908506</v>
          </cell>
        </row>
        <row r="29">
          <cell r="J29">
            <v>0.9408533994348196</v>
          </cell>
          <cell r="K29">
            <v>0.82293998119846234</v>
          </cell>
          <cell r="R29">
            <v>43.082999999999998</v>
          </cell>
          <cell r="S29">
            <v>788.70899999999995</v>
          </cell>
          <cell r="X29">
            <v>135.54144347083448</v>
          </cell>
          <cell r="Y29">
            <v>136.10696945930982</v>
          </cell>
          <cell r="AD29">
            <v>1.3160643409233341</v>
          </cell>
          <cell r="AE29">
            <v>1.4516126987266533</v>
          </cell>
          <cell r="AJ29">
            <v>839.94475779306322</v>
          </cell>
          <cell r="AK29">
            <v>940.81157942916843</v>
          </cell>
          <cell r="BC29">
            <v>0.9408533994348196</v>
          </cell>
          <cell r="BD29">
            <v>0.82888051820247366</v>
          </cell>
        </row>
        <row r="30">
          <cell r="J30">
            <v>0.89758805925248297</v>
          </cell>
          <cell r="K30">
            <v>0.82635343850007348</v>
          </cell>
          <cell r="R30">
            <v>41.222000000000001</v>
          </cell>
          <cell r="S30">
            <v>829.93099999999993</v>
          </cell>
          <cell r="X30">
            <v>145.18642455656982</v>
          </cell>
          <cell r="Y30">
            <v>136.55793863387888</v>
          </cell>
          <cell r="AD30">
            <v>1.3948862258017563</v>
          </cell>
          <cell r="AE30">
            <v>1.4487951408008617</v>
          </cell>
          <cell r="AJ30">
            <v>859.88549803502974</v>
          </cell>
          <cell r="AK30">
            <v>936.79204656772686</v>
          </cell>
          <cell r="BC30">
            <v>0.89758805925248297</v>
          </cell>
          <cell r="BD30">
            <v>0.83204396610842268</v>
          </cell>
        </row>
        <row r="31">
          <cell r="J31">
            <v>0.91038940820557634</v>
          </cell>
          <cell r="K31">
            <v>0.83004277405187643</v>
          </cell>
          <cell r="R31">
            <v>41.984000000000002</v>
          </cell>
          <cell r="S31">
            <v>871.91499999999996</v>
          </cell>
          <cell r="X31">
            <v>139.68541142818248</v>
          </cell>
          <cell r="Y31">
            <v>136.70853108589085</v>
          </cell>
          <cell r="AD31">
            <v>1.3528963414634145</v>
          </cell>
          <cell r="AE31">
            <v>1.4441774714278339</v>
          </cell>
          <cell r="AJ31">
            <v>829.46932164634154</v>
          </cell>
          <cell r="AK31">
            <v>931.62429824008063</v>
          </cell>
          <cell r="BC31">
            <v>0.91038940820557634</v>
          </cell>
          <cell r="BD31">
            <v>0.83550611576275569</v>
          </cell>
        </row>
        <row r="32">
          <cell r="J32">
            <v>0.85492535703840178</v>
          </cell>
          <cell r="K32">
            <v>0.83106723166086804</v>
          </cell>
          <cell r="R32">
            <v>38.561999999999998</v>
          </cell>
          <cell r="S32">
            <v>910.47699999999998</v>
          </cell>
          <cell r="X32">
            <v>138.42858748040663</v>
          </cell>
          <cell r="Y32">
            <v>136.78138170670314</v>
          </cell>
          <cell r="AD32">
            <v>1.3432913230641563</v>
          </cell>
          <cell r="AE32">
            <v>1.4399045774906998</v>
          </cell>
          <cell r="AJ32">
            <v>922.86758985530753</v>
          </cell>
          <cell r="AK32">
            <v>931.25341991066261</v>
          </cell>
          <cell r="BC32">
            <v>0.85492535703840178</v>
          </cell>
          <cell r="BD32">
            <v>0.8363106828720368</v>
          </cell>
        </row>
        <row r="33">
          <cell r="J33">
            <v>0.88028283824555942</v>
          </cell>
          <cell r="K33">
            <v>0.83297396903539256</v>
          </cell>
          <cell r="R33">
            <v>38.869</v>
          </cell>
          <cell r="S33">
            <v>949.346</v>
          </cell>
          <cell r="X33">
            <v>146.78878523968905</v>
          </cell>
          <cell r="Y33">
            <v>137.19111405710399</v>
          </cell>
          <cell r="AD33">
            <v>1.283799428850755</v>
          </cell>
          <cell r="AE33">
            <v>1.4335131764393592</v>
          </cell>
          <cell r="AJ33">
            <v>951.07669350897538</v>
          </cell>
          <cell r="AK33">
            <v>932.06504267148193</v>
          </cell>
          <cell r="BC33">
            <v>0.88028283824555942</v>
          </cell>
          <cell r="BD33">
            <v>0.83802460518022071</v>
          </cell>
        </row>
        <row r="34">
          <cell r="J34">
            <v>0.83985882015978752</v>
          </cell>
          <cell r="K34">
            <v>0.83325458228651816</v>
          </cell>
          <cell r="R34">
            <v>40.670999999999999</v>
          </cell>
          <cell r="S34">
            <v>990.01700000000005</v>
          </cell>
          <cell r="X34">
            <v>136.17440340163782</v>
          </cell>
          <cell r="Y34">
            <v>137.14934645203411</v>
          </cell>
          <cell r="AD34">
            <v>1.2220009343266702</v>
          </cell>
          <cell r="AE34">
            <v>1.4248240181734251</v>
          </cell>
          <cell r="AJ34">
            <v>879.72314425512047</v>
          </cell>
          <cell r="AK34">
            <v>929.91477924116521</v>
          </cell>
          <cell r="BC34">
            <v>0.83985882015978752</v>
          </cell>
          <cell r="BD34">
            <v>0.83809979895435183</v>
          </cell>
        </row>
        <row r="35">
          <cell r="J35">
            <v>0.80918162988148223</v>
          </cell>
          <cell r="K35">
            <v>0.83228093799443037</v>
          </cell>
          <cell r="R35">
            <v>40.524000000000001</v>
          </cell>
          <cell r="S35">
            <v>1030.5410000000002</v>
          </cell>
          <cell r="X35">
            <v>141.84301797566684</v>
          </cell>
          <cell r="Y35">
            <v>137.33391586249294</v>
          </cell>
          <cell r="AD35">
            <v>1.359688086072451</v>
          </cell>
          <cell r="AE35">
            <v>1.422262675623774</v>
          </cell>
          <cell r="AJ35">
            <v>880.26107985391366</v>
          </cell>
          <cell r="AK35">
            <v>927.96224507321938</v>
          </cell>
          <cell r="BC35">
            <v>0.80918162988148223</v>
          </cell>
          <cell r="BD35">
            <v>0.83692366264778106</v>
          </cell>
        </row>
        <row r="36">
          <cell r="J36">
            <v>0.92749025110347572</v>
          </cell>
          <cell r="K36">
            <v>0.83554845214370077</v>
          </cell>
          <cell r="R36">
            <v>40.814</v>
          </cell>
          <cell r="S36">
            <v>1071.3550000000002</v>
          </cell>
          <cell r="X36">
            <v>131.74976495342827</v>
          </cell>
          <cell r="Y36">
            <v>137.12118382203712</v>
          </cell>
          <cell r="AD36">
            <v>1.31327485666683</v>
          </cell>
          <cell r="AE36">
            <v>1.4181107102687711</v>
          </cell>
          <cell r="AJ36">
            <v>933.35914147108178</v>
          </cell>
          <cell r="AK36">
            <v>928.16784352525633</v>
          </cell>
          <cell r="BC36">
            <v>0.93192478293372505</v>
          </cell>
          <cell r="BD36">
            <v>0.84018652940375449</v>
          </cell>
        </row>
        <row r="37">
          <cell r="J37">
            <v>0.65466171970423248</v>
          </cell>
          <cell r="K37">
            <v>0.82959796080946202</v>
          </cell>
          <cell r="R37">
            <v>28.553000000000001</v>
          </cell>
          <cell r="S37">
            <v>1099.9080000000004</v>
          </cell>
          <cell r="X37">
            <v>157.13491425056492</v>
          </cell>
          <cell r="Y37">
            <v>137.64072913394114</v>
          </cell>
          <cell r="AD37">
            <v>1.7020978531152593</v>
          </cell>
          <cell r="AE37">
            <v>1.4254828585663519</v>
          </cell>
          <cell r="AJ37">
            <v>1149.0120127481841</v>
          </cell>
          <cell r="AK37">
            <v>933.90083534259202</v>
          </cell>
          <cell r="BC37">
            <v>0.80989078726296804</v>
          </cell>
          <cell r="BD37">
            <v>0.83937144100844263</v>
          </cell>
        </row>
        <row r="38">
          <cell r="J38">
            <v>0.68385242043650274</v>
          </cell>
          <cell r="K38">
            <v>0.82499207068408442</v>
          </cell>
          <cell r="R38">
            <v>29.588000000000001</v>
          </cell>
          <cell r="S38">
            <v>1129.4960000000003</v>
          </cell>
          <cell r="X38">
            <v>160.28566934477141</v>
          </cell>
          <cell r="Y38">
            <v>138.23393042988027</v>
          </cell>
          <cell r="AD38">
            <v>1.6121400567797757</v>
          </cell>
          <cell r="AE38">
            <v>1.4303724847188473</v>
          </cell>
          <cell r="AJ38">
            <v>1273.6981208598449</v>
          </cell>
          <cell r="AK38">
            <v>942.80208163641225</v>
          </cell>
          <cell r="BC38">
            <v>0.79533679755904152</v>
          </cell>
          <cell r="BD38">
            <v>0.83815581751591972</v>
          </cell>
        </row>
      </sheetData>
      <sheetData sheetId="2"/>
      <sheetData sheetId="3"/>
      <sheetData sheetId="4"/>
      <sheetData sheetId="5">
        <row r="162">
          <cell r="X162">
            <v>0.82499207068408431</v>
          </cell>
        </row>
      </sheetData>
      <sheetData sheetId="6">
        <row r="162">
          <cell r="X162">
            <v>0.8381558175159195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ff all value"/>
      <sheetName val="eff all value (2)"/>
      <sheetName val="Report1"/>
      <sheetName val="GRAFIK"/>
      <sheetName val="Listrik"/>
      <sheetName val="Trim Rwd"/>
      <sheetName val="Efficiency1"/>
      <sheetName val="Efficiency2"/>
      <sheetName val="Chem"/>
      <sheetName val="BB"/>
      <sheetName val="RBP"/>
      <sheetName val="Sheet1"/>
      <sheetName val="summary"/>
      <sheetName val="30"/>
      <sheetName val="29"/>
      <sheetName val="28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5"/>
      <sheetName val="4"/>
      <sheetName val="3"/>
      <sheetName val="2"/>
      <sheetName val="1"/>
      <sheetName val="31"/>
    </sheetNames>
    <sheetDataSet>
      <sheetData sheetId="0"/>
      <sheetData sheetId="1"/>
      <sheetData sheetId="2">
        <row r="9">
          <cell r="J9">
            <v>0.19239198151558753</v>
          </cell>
          <cell r="K9">
            <v>0.19239198151558753</v>
          </cell>
          <cell r="R9">
            <v>10.537000000000001</v>
          </cell>
          <cell r="S9">
            <v>10.537000000000001</v>
          </cell>
          <cell r="AF9">
            <v>158.80242259782003</v>
          </cell>
          <cell r="AG9">
            <v>158.80242259782003</v>
          </cell>
          <cell r="AL9">
            <v>3.302647812470342</v>
          </cell>
          <cell r="AM9">
            <v>3.302647812470342</v>
          </cell>
          <cell r="AX9">
            <v>1923.3197304735659</v>
          </cell>
          <cell r="AY9">
            <v>1923.3197304735659</v>
          </cell>
          <cell r="BD9">
            <v>0</v>
          </cell>
          <cell r="BE9">
            <v>0</v>
          </cell>
          <cell r="BJ9">
            <v>0</v>
          </cell>
          <cell r="BK9">
            <v>0</v>
          </cell>
          <cell r="BN9">
            <v>0.28942501267377768</v>
          </cell>
          <cell r="BO9">
            <v>0.28942501267377768</v>
          </cell>
        </row>
        <row r="10">
          <cell r="J10">
            <v>0.82991067442209676</v>
          </cell>
          <cell r="K10">
            <v>0.50505895514933941</v>
          </cell>
          <cell r="R10">
            <v>43.747999999999998</v>
          </cell>
          <cell r="S10">
            <v>54.284999999999997</v>
          </cell>
          <cell r="AF10">
            <v>122.86806983816527</v>
          </cell>
          <cell r="AG10">
            <v>129.843114049798</v>
          </cell>
          <cell r="AL10">
            <v>1.5292127640120694</v>
          </cell>
          <cell r="AM10">
            <v>1.8734457032329375</v>
          </cell>
          <cell r="AX10">
            <v>978.34003840175535</v>
          </cell>
          <cell r="AY10">
            <v>1161.7654969144323</v>
          </cell>
          <cell r="BD10">
            <v>42.223644509482476</v>
          </cell>
          <cell r="BE10">
            <v>34.027816155491195</v>
          </cell>
          <cell r="BJ10">
            <v>0</v>
          </cell>
          <cell r="BK10">
            <v>0</v>
          </cell>
          <cell r="BN10">
            <v>0.82991067442209676</v>
          </cell>
          <cell r="BO10">
            <v>0.60911724340830908</v>
          </cell>
        </row>
        <row r="11">
          <cell r="J11">
            <v>0.87046367871888464</v>
          </cell>
          <cell r="K11">
            <v>0.62687822169859797</v>
          </cell>
          <cell r="R11">
            <v>46.79</v>
          </cell>
          <cell r="S11">
            <v>101.07499999999999</v>
          </cell>
          <cell r="AF11">
            <v>113.49021724949048</v>
          </cell>
          <cell r="AG11">
            <v>122.27297265690768</v>
          </cell>
          <cell r="AL11">
            <v>1.429792690745886</v>
          </cell>
          <cell r="AM11">
            <v>1.6680682661390061</v>
          </cell>
          <cell r="AX11">
            <v>975.04210301346473</v>
          </cell>
          <cell r="AY11">
            <v>1075.3268365075439</v>
          </cell>
          <cell r="BD11">
            <v>75.443470827099802</v>
          </cell>
          <cell r="BE11">
            <v>53.200098936441655</v>
          </cell>
          <cell r="BJ11">
            <v>0</v>
          </cell>
          <cell r="BK11">
            <v>0</v>
          </cell>
          <cell r="BN11">
            <v>0.87046367871888464</v>
          </cell>
          <cell r="BO11">
            <v>0.70744283658112561</v>
          </cell>
        </row>
        <row r="12">
          <cell r="J12">
            <v>0.87951424020594138</v>
          </cell>
          <cell r="K12">
            <v>0.68996441685851018</v>
          </cell>
          <cell r="R12">
            <v>47.197000000000003</v>
          </cell>
          <cell r="S12">
            <v>148.27199999999999</v>
          </cell>
          <cell r="AF12">
            <v>118.34475629736929</v>
          </cell>
          <cell r="AG12">
            <v>121.02256780959237</v>
          </cell>
          <cell r="AL12">
            <v>1.4111066381337796</v>
          </cell>
          <cell r="AM12">
            <v>1.5862738750404664</v>
          </cell>
          <cell r="AX12">
            <v>967.37885882577314</v>
          </cell>
          <cell r="AY12">
            <v>1040.9655228229201</v>
          </cell>
          <cell r="BD12">
            <v>49.367544547320996</v>
          </cell>
          <cell r="BE12">
            <v>51.980144599120187</v>
          </cell>
          <cell r="BJ12">
            <v>0</v>
          </cell>
          <cell r="BK12">
            <v>0</v>
          </cell>
          <cell r="BN12">
            <v>0.87951424020594138</v>
          </cell>
          <cell r="BO12">
            <v>0.75442547701971641</v>
          </cell>
        </row>
        <row r="13">
          <cell r="J13">
            <v>0.93757074558490405</v>
          </cell>
          <cell r="K13">
            <v>0.73876139691597908</v>
          </cell>
          <cell r="R13">
            <v>49.453000000000003</v>
          </cell>
          <cell r="S13">
            <v>197.72499999999999</v>
          </cell>
          <cell r="AF13">
            <v>112.97714583050954</v>
          </cell>
          <cell r="AG13">
            <v>119.01032730823147</v>
          </cell>
          <cell r="AL13">
            <v>1.3285341637514407</v>
          </cell>
          <cell r="AM13">
            <v>1.5218105955240866</v>
          </cell>
          <cell r="AX13">
            <v>944.83408488868179</v>
          </cell>
          <cell r="AY13">
            <v>1016.9220887596406</v>
          </cell>
          <cell r="BD13">
            <v>47.115442945830111</v>
          </cell>
          <cell r="BE13">
            <v>50.76343406246496</v>
          </cell>
          <cell r="BJ13">
            <v>0</v>
          </cell>
          <cell r="BK13">
            <v>0</v>
          </cell>
          <cell r="BN13">
            <v>0.93757074558490405</v>
          </cell>
          <cell r="BO13">
            <v>0.79317738002115812</v>
          </cell>
        </row>
        <row r="14">
          <cell r="J14">
            <v>0.9101351062941333</v>
          </cell>
          <cell r="K14">
            <v>0.76684749863098522</v>
          </cell>
          <cell r="R14">
            <v>47.747</v>
          </cell>
          <cell r="S14">
            <v>245.47199999999998</v>
          </cell>
          <cell r="AF14">
            <v>115.0710855262919</v>
          </cell>
          <cell r="AG14">
            <v>118.24410151725625</v>
          </cell>
          <cell r="AL14">
            <v>1.4262676189079941</v>
          </cell>
          <cell r="AM14">
            <v>1.5032264372311304</v>
          </cell>
          <cell r="AX14">
            <v>935.15613546400766</v>
          </cell>
          <cell r="AY14">
            <v>1001.0177128144959</v>
          </cell>
          <cell r="BD14">
            <v>414.05742769179216</v>
          </cell>
          <cell r="BE14">
            <v>121.42810585321702</v>
          </cell>
          <cell r="BJ14">
            <v>0</v>
          </cell>
          <cell r="BK14">
            <v>0</v>
          </cell>
          <cell r="BN14">
            <v>0.9101351062941333</v>
          </cell>
          <cell r="BO14">
            <v>0.81351176380963142</v>
          </cell>
        </row>
        <row r="15">
          <cell r="J15">
            <v>0.8671083265975158</v>
          </cell>
          <cell r="K15">
            <v>0.78175744174485873</v>
          </cell>
          <cell r="R15">
            <v>48.488</v>
          </cell>
          <cell r="S15">
            <v>293.95999999999998</v>
          </cell>
          <cell r="AF15">
            <v>116.06107881441741</v>
          </cell>
          <cell r="AG15">
            <v>117.88401713565587</v>
          </cell>
          <cell r="AL15">
            <v>1.4354066985645932</v>
          </cell>
          <cell r="AM15">
            <v>1.4920397332970474</v>
          </cell>
          <cell r="AX15">
            <v>866.85984161029751</v>
          </cell>
          <cell r="AY15">
            <v>978.88869233909372</v>
          </cell>
          <cell r="BD15">
            <v>569.41923774954626</v>
          </cell>
          <cell r="BE15">
            <v>195.32317322084938</v>
          </cell>
          <cell r="BJ15">
            <v>0</v>
          </cell>
          <cell r="BK15">
            <v>0</v>
          </cell>
          <cell r="BN15">
            <v>0.8671083265975158</v>
          </cell>
          <cell r="BO15">
            <v>0.82189137830005365</v>
          </cell>
        </row>
        <row r="16">
          <cell r="J16">
            <v>0.86112173841226947</v>
          </cell>
          <cell r="K16">
            <v>0.79208122877339082</v>
          </cell>
          <cell r="R16">
            <v>48.418999999999997</v>
          </cell>
          <cell r="S16">
            <v>342.37899999999996</v>
          </cell>
          <cell r="AF16">
            <v>108.3595469754609</v>
          </cell>
          <cell r="AG16">
            <v>116.53707319141141</v>
          </cell>
          <cell r="AL16">
            <v>1.3569053470744956</v>
          </cell>
          <cell r="AM16">
            <v>1.4729291224052878</v>
          </cell>
          <cell r="AX16">
            <v>813.9969846547823</v>
          </cell>
          <cell r="AY16">
            <v>955.56982174724487</v>
          </cell>
          <cell r="BD16">
            <v>512.60868667258433</v>
          </cell>
          <cell r="BE16">
            <v>240.1934698097744</v>
          </cell>
          <cell r="BJ16">
            <v>0</v>
          </cell>
          <cell r="BK16">
            <v>0</v>
          </cell>
          <cell r="BN16">
            <v>0.86112173841226947</v>
          </cell>
          <cell r="BO16">
            <v>0.82722089632036666</v>
          </cell>
        </row>
        <row r="17">
          <cell r="J17">
            <v>0.75230938292136096</v>
          </cell>
          <cell r="K17">
            <v>0.78767532471842938</v>
          </cell>
          <cell r="R17">
            <v>40.512</v>
          </cell>
          <cell r="S17">
            <v>382.89099999999996</v>
          </cell>
          <cell r="AF17">
            <v>125.90409198261973</v>
          </cell>
          <cell r="AG17">
            <v>117.52815594151373</v>
          </cell>
          <cell r="AL17">
            <v>1.5797788309636651</v>
          </cell>
          <cell r="AM17">
            <v>1.4842344165833097</v>
          </cell>
          <cell r="AX17">
            <v>915.89603080568793</v>
          </cell>
          <cell r="AY17">
            <v>951.37211373471814</v>
          </cell>
          <cell r="BD17">
            <v>656.59557661927442</v>
          </cell>
          <cell r="BE17">
            <v>284.25113152307262</v>
          </cell>
          <cell r="BJ17">
            <v>0</v>
          </cell>
          <cell r="BK17">
            <v>0</v>
          </cell>
          <cell r="BN17">
            <v>0.75230938292136096</v>
          </cell>
          <cell r="BO17">
            <v>0.81859646470278979</v>
          </cell>
        </row>
        <row r="18">
          <cell r="J18">
            <v>0.92388267199715368</v>
          </cell>
          <cell r="K18">
            <v>0.80216849704584903</v>
          </cell>
          <cell r="R18">
            <v>53.476999999999997</v>
          </cell>
          <cell r="S18">
            <v>436.36799999999994</v>
          </cell>
          <cell r="AF18">
            <v>104.12891784524957</v>
          </cell>
          <cell r="AG18">
            <v>115.8860761930585</v>
          </cell>
          <cell r="AL18">
            <v>1.3463732071731773</v>
          </cell>
          <cell r="AM18">
            <v>1.4673394932717341</v>
          </cell>
          <cell r="AX18">
            <v>742.0225517512207</v>
          </cell>
          <cell r="AY18">
            <v>925.71627617057163</v>
          </cell>
          <cell r="BD18">
            <v>532.93939450605103</v>
          </cell>
          <cell r="BE18">
            <v>314.72793605397487</v>
          </cell>
          <cell r="BJ18">
            <v>0</v>
          </cell>
          <cell r="BK18">
            <v>0</v>
          </cell>
          <cell r="BN18">
            <v>0.92388267199715368</v>
          </cell>
          <cell r="BO18">
            <v>0.83019082331555694</v>
          </cell>
        </row>
        <row r="19">
          <cell r="J19">
            <v>1.0139383030223927</v>
          </cell>
          <cell r="K19">
            <v>0.8229111842751673</v>
          </cell>
          <cell r="R19">
            <v>59.892000000000003</v>
          </cell>
          <cell r="S19">
            <v>496.25999999999993</v>
          </cell>
          <cell r="AF19">
            <v>92.836452497481133</v>
          </cell>
          <cell r="AG19">
            <v>113.1042923249742</v>
          </cell>
          <cell r="AL19">
            <v>1.2155212716222532</v>
          </cell>
          <cell r="AM19">
            <v>1.4369483738362956</v>
          </cell>
          <cell r="AX19">
            <v>699.58692312829839</v>
          </cell>
          <cell r="AY19">
            <v>898.42546245919482</v>
          </cell>
          <cell r="BD19">
            <v>493.22113136979971</v>
          </cell>
          <cell r="BE19">
            <v>336.26969733607575</v>
          </cell>
          <cell r="BJ19">
            <v>0</v>
          </cell>
          <cell r="BK19">
            <v>0</v>
          </cell>
          <cell r="BN19">
            <v>1.0139383030223927</v>
          </cell>
          <cell r="BO19">
            <v>0.84875395376338991</v>
          </cell>
        </row>
        <row r="20">
          <cell r="J20">
            <v>0.9920114335333956</v>
          </cell>
          <cell r="K20">
            <v>0.83756560140641967</v>
          </cell>
          <cell r="R20">
            <v>56.762999999999998</v>
          </cell>
          <cell r="S20">
            <v>553.02299999999991</v>
          </cell>
          <cell r="AF20">
            <v>95.731144767382062</v>
          </cell>
          <cell r="AG20">
            <v>111.32108986357277</v>
          </cell>
          <cell r="AL20">
            <v>1.2649084791149163</v>
          </cell>
          <cell r="AM20">
            <v>1.4192899752813175</v>
          </cell>
          <cell r="AX20">
            <v>775.22611560347229</v>
          </cell>
          <cell r="AY20">
            <v>885.78012126077942</v>
          </cell>
          <cell r="BD20">
            <v>569.73732889382052</v>
          </cell>
          <cell r="BE20">
            <v>360.23311869488418</v>
          </cell>
          <cell r="BJ20">
            <v>0</v>
          </cell>
          <cell r="BK20">
            <v>0</v>
          </cell>
          <cell r="BN20">
            <v>0.9920114335333956</v>
          </cell>
          <cell r="BO20">
            <v>0.86152393094185487</v>
          </cell>
        </row>
        <row r="21">
          <cell r="J21">
            <v>0.34893925012492605</v>
          </cell>
          <cell r="K21">
            <v>0.80218463824646458</v>
          </cell>
          <cell r="R21">
            <v>17.984999999999999</v>
          </cell>
          <cell r="S21">
            <v>571.00799999999992</v>
          </cell>
          <cell r="AF21">
            <v>168.65122105426363</v>
          </cell>
          <cell r="AG21">
            <v>113.12681309243222</v>
          </cell>
          <cell r="AL21">
            <v>2.313038643313873</v>
          </cell>
          <cell r="AM21">
            <v>1.4474403160726295</v>
          </cell>
          <cell r="AX21">
            <v>1562.3653044203543</v>
          </cell>
          <cell r="AY21">
            <v>907.09047859224404</v>
          </cell>
          <cell r="BD21">
            <v>806.67778704475802</v>
          </cell>
          <cell r="BE21">
            <v>374.2947559403737</v>
          </cell>
          <cell r="BJ21">
            <v>0</v>
          </cell>
          <cell r="BK21">
            <v>0</v>
          </cell>
          <cell r="BN21">
            <v>0.51332475388189069</v>
          </cell>
          <cell r="BO21">
            <v>0.84350246407804408</v>
          </cell>
        </row>
        <row r="22">
          <cell r="J22">
            <v>0.90499382859417588</v>
          </cell>
          <cell r="K22">
            <v>0.80911047323395735</v>
          </cell>
          <cell r="R22">
            <v>46.530999999999999</v>
          </cell>
          <cell r="S22">
            <v>617.53899999999987</v>
          </cell>
          <cell r="AF22">
            <v>101.99696683233381</v>
          </cell>
          <cell r="AG22">
            <v>112.28818933534379</v>
          </cell>
          <cell r="AL22">
            <v>1.4420493864305517</v>
          </cell>
          <cell r="AM22">
            <v>1.447034114444594</v>
          </cell>
          <cell r="AX22">
            <v>820.57853903848991</v>
          </cell>
          <cell r="AY22">
            <v>900.57188290941974</v>
          </cell>
          <cell r="BD22">
            <v>467.0090907137178</v>
          </cell>
          <cell r="BE22">
            <v>381.28069644184558</v>
          </cell>
          <cell r="BJ22">
            <v>0</v>
          </cell>
          <cell r="BK22">
            <v>0</v>
          </cell>
          <cell r="BN22">
            <v>0.90499382859417588</v>
          </cell>
          <cell r="BO22">
            <v>0.84784318678382442</v>
          </cell>
        </row>
        <row r="23">
          <cell r="J23">
            <v>0.59950186584440734</v>
          </cell>
          <cell r="K23">
            <v>0.7954630546907463</v>
          </cell>
          <cell r="R23">
            <v>31.866</v>
          </cell>
          <cell r="S23">
            <v>649.40499999999986</v>
          </cell>
          <cell r="AF23">
            <v>137.95323376820588</v>
          </cell>
          <cell r="AG23">
            <v>113.54756107701128</v>
          </cell>
          <cell r="AL23">
            <v>2.1621791250862992</v>
          </cell>
          <cell r="AM23">
            <v>1.4821259460583152</v>
          </cell>
          <cell r="AX23">
            <v>1165.8934287328179</v>
          </cell>
          <cell r="AY23">
            <v>913.59108722599933</v>
          </cell>
          <cell r="BD23">
            <v>709.29203539823015</v>
          </cell>
          <cell r="BE23">
            <v>397.37605962381087</v>
          </cell>
          <cell r="BJ23">
            <v>0</v>
          </cell>
          <cell r="BK23">
            <v>0</v>
          </cell>
          <cell r="BN23">
            <v>0.59950186584440734</v>
          </cell>
          <cell r="BO23">
            <v>0.83095252814388587</v>
          </cell>
        </row>
        <row r="24">
          <cell r="J24">
            <v>0.9910484794483434</v>
          </cell>
          <cell r="K24">
            <v>0.80804158315142915</v>
          </cell>
          <cell r="R24">
            <v>55.61</v>
          </cell>
          <cell r="S24">
            <v>705.01499999999987</v>
          </cell>
          <cell r="AF24">
            <v>89.784385288392912</v>
          </cell>
          <cell r="AG24">
            <v>111.67317513400998</v>
          </cell>
          <cell r="AL24">
            <v>1.3109153030030571</v>
          </cell>
          <cell r="AM24">
            <v>1.4686212350091843</v>
          </cell>
          <cell r="AX24">
            <v>821.18935443265673</v>
          </cell>
          <cell r="AY24">
            <v>906.30264604299225</v>
          </cell>
          <cell r="BD24">
            <v>455.52418629742857</v>
          </cell>
          <cell r="BE24">
            <v>401.96265327688195</v>
          </cell>
          <cell r="BJ24">
            <v>0</v>
          </cell>
          <cell r="BK24">
            <v>0</v>
          </cell>
          <cell r="BN24">
            <v>0.9910484794483434</v>
          </cell>
          <cell r="BO24">
            <v>0.84167723845469677</v>
          </cell>
        </row>
        <row r="25">
          <cell r="J25">
            <v>0.9967740363851546</v>
          </cell>
          <cell r="K25">
            <v>0.81956726783464673</v>
          </cell>
          <cell r="R25">
            <v>56.564999999999998</v>
          </cell>
          <cell r="S25">
            <v>761.57999999999993</v>
          </cell>
          <cell r="AF25">
            <v>89.421841588167027</v>
          </cell>
          <cell r="AG25">
            <v>110.02049690976484</v>
          </cell>
          <cell r="AL25">
            <v>1.2887828162291171</v>
          </cell>
          <cell r="AM25">
            <v>1.4552640563039996</v>
          </cell>
          <cell r="AX25">
            <v>739.85397330504611</v>
          </cell>
          <cell r="AY25">
            <v>893.93996691089592</v>
          </cell>
          <cell r="BD25">
            <v>511.58843808008425</v>
          </cell>
          <cell r="BE25">
            <v>410.10491346936743</v>
          </cell>
          <cell r="BJ25">
            <v>0</v>
          </cell>
          <cell r="BK25">
            <v>0</v>
          </cell>
          <cell r="BN25">
            <v>0.9967740363851546</v>
          </cell>
          <cell r="BO25">
            <v>0.85151808023384956</v>
          </cell>
        </row>
        <row r="26">
          <cell r="J26">
            <v>0.94179490429861867</v>
          </cell>
          <cell r="K26">
            <v>0.82654326385816379</v>
          </cell>
          <cell r="R26">
            <v>52.972000000000001</v>
          </cell>
          <cell r="S26">
            <v>814.55199999999991</v>
          </cell>
          <cell r="AF26">
            <v>100.02650408039493</v>
          </cell>
          <cell r="AG26">
            <v>109.37056690141991</v>
          </cell>
          <cell r="AL26">
            <v>1.3308917918900551</v>
          </cell>
          <cell r="AM26">
            <v>1.4471758709081803</v>
          </cell>
          <cell r="AX26">
            <v>730.45722268368195</v>
          </cell>
          <cell r="AY26">
            <v>883.30834618293261</v>
          </cell>
          <cell r="BD26">
            <v>455.90123083893417</v>
          </cell>
          <cell r="BE26">
            <v>413.08314263546202</v>
          </cell>
          <cell r="BJ26">
            <v>0</v>
          </cell>
          <cell r="BK26">
            <v>0</v>
          </cell>
          <cell r="BN26">
            <v>0.94179490429861867</v>
          </cell>
          <cell r="BO26">
            <v>0.85685950493603136</v>
          </cell>
        </row>
        <row r="27">
          <cell r="J27">
            <v>0.75920939046577451</v>
          </cell>
          <cell r="K27">
            <v>0.82272059702571232</v>
          </cell>
          <cell r="R27">
            <v>45.033000000000001</v>
          </cell>
          <cell r="S27">
            <v>859.58499999999992</v>
          </cell>
          <cell r="AF27">
            <v>112.85831056182619</v>
          </cell>
          <cell r="AG27">
            <v>109.55328712136217</v>
          </cell>
          <cell r="AL27">
            <v>1.4766948682077587</v>
          </cell>
          <cell r="AM27">
            <v>1.4487223485751846</v>
          </cell>
          <cell r="AX27">
            <v>854.58352763529012</v>
          </cell>
          <cell r="AY27">
            <v>881.80347493267118</v>
          </cell>
          <cell r="BD27">
            <v>546.49923389514413</v>
          </cell>
          <cell r="BE27">
            <v>420.0727095051692</v>
          </cell>
          <cell r="BJ27">
            <v>0</v>
          </cell>
          <cell r="BK27">
            <v>0</v>
          </cell>
          <cell r="BN27">
            <v>0.75920939046577451</v>
          </cell>
          <cell r="BO27">
            <v>0.85112433560320921</v>
          </cell>
        </row>
        <row r="28">
          <cell r="J28">
            <v>0.93990133101080509</v>
          </cell>
          <cell r="K28">
            <v>0.82855937617866426</v>
          </cell>
          <cell r="R28">
            <v>51.497</v>
          </cell>
          <cell r="S28">
            <v>911.08199999999988</v>
          </cell>
          <cell r="AF28">
            <v>110.40824632767597</v>
          </cell>
          <cell r="AG28">
            <v>109.60161189810843</v>
          </cell>
          <cell r="AL28">
            <v>1.378721090548964</v>
          </cell>
          <cell r="AM28">
            <v>1.4447656742203228</v>
          </cell>
          <cell r="AX28">
            <v>859.16033943724869</v>
          </cell>
          <cell r="AY28">
            <v>880.52361916929544</v>
          </cell>
          <cell r="BD28">
            <v>542.82307707245263</v>
          </cell>
          <cell r="BE28">
            <v>427.01091669026601</v>
          </cell>
          <cell r="BJ28">
            <v>0</v>
          </cell>
          <cell r="BK28">
            <v>0</v>
          </cell>
          <cell r="BN28">
            <v>0.93990133101080509</v>
          </cell>
          <cell r="BO28">
            <v>0.85569269714270813</v>
          </cell>
        </row>
        <row r="29">
          <cell r="J29">
            <v>0.94492581866319225</v>
          </cell>
          <cell r="K29">
            <v>0.83410663713227484</v>
          </cell>
          <cell r="R29">
            <v>52.011000000000003</v>
          </cell>
          <cell r="S29">
            <v>963.09299999999985</v>
          </cell>
          <cell r="AF29">
            <v>112.02539728935362</v>
          </cell>
          <cell r="AG29">
            <v>109.73250632054122</v>
          </cell>
          <cell r="AL29">
            <v>1.3650958451096882</v>
          </cell>
          <cell r="AM29">
            <v>1.4404631743767218</v>
          </cell>
          <cell r="AX29">
            <v>868.80352233181475</v>
          </cell>
          <cell r="AY29">
            <v>879.8906855308885</v>
          </cell>
          <cell r="BD29">
            <v>416.08990405876295</v>
          </cell>
          <cell r="BE29">
            <v>426.42113689955306</v>
          </cell>
          <cell r="BJ29">
            <v>0</v>
          </cell>
          <cell r="BK29">
            <v>0</v>
          </cell>
          <cell r="BN29">
            <v>0.94492581866319225</v>
          </cell>
          <cell r="BO29">
            <v>0.86007895002146006</v>
          </cell>
        </row>
        <row r="30">
          <cell r="J30">
            <v>0.87102814498116943</v>
          </cell>
          <cell r="K30">
            <v>0.83578737525579461</v>
          </cell>
          <cell r="R30">
            <v>47.966000000000001</v>
          </cell>
          <cell r="S30">
            <v>1011.0589999999999</v>
          </cell>
          <cell r="AF30">
            <v>123.59002960046891</v>
          </cell>
          <cell r="AG30">
            <v>110.38992587928607</v>
          </cell>
          <cell r="AL30">
            <v>1.4718759121044072</v>
          </cell>
          <cell r="AM30">
            <v>1.4419534369408711</v>
          </cell>
          <cell r="AX30">
            <v>905.77075428428464</v>
          </cell>
          <cell r="AY30">
            <v>881.11847083107909</v>
          </cell>
          <cell r="BD30">
            <v>586.04136263185512</v>
          </cell>
          <cell r="BE30">
            <v>433.9937352815225</v>
          </cell>
          <cell r="BJ30">
            <v>0</v>
          </cell>
          <cell r="BK30">
            <v>0</v>
          </cell>
          <cell r="BN30">
            <v>0.87102814498116943</v>
          </cell>
          <cell r="BO30">
            <v>0.86059217099371466</v>
          </cell>
        </row>
        <row r="31">
          <cell r="J31">
            <v>0.86447264399425772</v>
          </cell>
          <cell r="K31">
            <v>0.83703632913237969</v>
          </cell>
          <cell r="R31">
            <v>47.604999999999997</v>
          </cell>
          <cell r="S31">
            <v>1058.6639999999998</v>
          </cell>
          <cell r="AF31">
            <v>121.11757283212896</v>
          </cell>
          <cell r="AG31">
            <v>110.87231654638167</v>
          </cell>
          <cell r="AL31">
            <v>1.4851381157441448</v>
          </cell>
          <cell r="AM31">
            <v>1.4438953246733621</v>
          </cell>
          <cell r="AX31">
            <v>920.5848125196934</v>
          </cell>
          <cell r="AY31">
            <v>882.89315590215608</v>
          </cell>
          <cell r="BD31">
            <v>552.65707383678034</v>
          </cell>
          <cell r="BE31">
            <v>439.32967589339097</v>
          </cell>
          <cell r="BJ31">
            <v>0</v>
          </cell>
          <cell r="BK31">
            <v>0</v>
          </cell>
          <cell r="BN31">
            <v>0.86447264399425772</v>
          </cell>
          <cell r="BO31">
            <v>0.86076591622665399</v>
          </cell>
        </row>
        <row r="32">
          <cell r="J32">
            <v>0.52850151054415917</v>
          </cell>
          <cell r="K32">
            <v>0.82416903365330396</v>
          </cell>
          <cell r="R32">
            <v>29.09</v>
          </cell>
          <cell r="S32">
            <v>1087.7539999999997</v>
          </cell>
          <cell r="AF32">
            <v>157.22126904659387</v>
          </cell>
          <cell r="AG32">
            <v>112.11183488254147</v>
          </cell>
          <cell r="AL32">
            <v>2.1106909590924716</v>
          </cell>
          <cell r="AM32">
            <v>1.4617275597239821</v>
          </cell>
          <cell r="AX32">
            <v>1185.5489859058098</v>
          </cell>
          <cell r="AY32">
            <v>890.9871349588235</v>
          </cell>
          <cell r="BD32">
            <v>687.60797524923623</v>
          </cell>
          <cell r="BE32">
            <v>445.96942691086508</v>
          </cell>
          <cell r="BJ32">
            <v>0</v>
          </cell>
          <cell r="BK32">
            <v>0</v>
          </cell>
          <cell r="BN32">
            <v>0.52850151054415917</v>
          </cell>
          <cell r="BO32">
            <v>0.84653298007611777</v>
          </cell>
        </row>
        <row r="33">
          <cell r="J33">
            <v>0.81573888620120216</v>
          </cell>
          <cell r="K33">
            <v>0.82383447329748039</v>
          </cell>
          <cell r="R33">
            <v>44.493000000000002</v>
          </cell>
          <cell r="S33">
            <v>1132.2469999999996</v>
          </cell>
          <cell r="AF33">
            <v>116.45676084716297</v>
          </cell>
          <cell r="AG33">
            <v>112.28257394472836</v>
          </cell>
          <cell r="AL33">
            <v>1.4878744971119053</v>
          </cell>
          <cell r="AM33">
            <v>1.4627550348996294</v>
          </cell>
          <cell r="AX33">
            <v>918.51302452071116</v>
          </cell>
          <cell r="AY33">
            <v>892.06879770933415</v>
          </cell>
          <cell r="BD33">
            <v>472.52149776368759</v>
          </cell>
          <cell r="BE33">
            <v>447.01282229054351</v>
          </cell>
          <cell r="BJ33">
            <v>0</v>
          </cell>
          <cell r="BK33">
            <v>0</v>
          </cell>
          <cell r="BN33">
            <v>0.81573888620120216</v>
          </cell>
          <cell r="BO33">
            <v>0.84527906856427137</v>
          </cell>
        </row>
        <row r="34">
          <cell r="J34">
            <v>0.89391465562917349</v>
          </cell>
          <cell r="K34">
            <v>0.82648836009248983</v>
          </cell>
          <cell r="R34">
            <v>48.356000000000002</v>
          </cell>
          <cell r="S34">
            <v>1180.6029999999996</v>
          </cell>
          <cell r="AF34">
            <v>111.92693439650921</v>
          </cell>
          <cell r="AG34">
            <v>112.26800740034919</v>
          </cell>
          <cell r="AL34">
            <v>1.4475969889982627</v>
          </cell>
          <cell r="AM34">
            <v>1.4621341805839903</v>
          </cell>
          <cell r="AX34">
            <v>905.35238646703624</v>
          </cell>
          <cell r="AY34">
            <v>892.61287664015788</v>
          </cell>
          <cell r="BD34">
            <v>494.98982546116355</v>
          </cell>
          <cell r="BE34">
            <v>448.97789942936026</v>
          </cell>
          <cell r="BJ34">
            <v>0</v>
          </cell>
          <cell r="BK34">
            <v>0</v>
          </cell>
          <cell r="BN34">
            <v>0.89391465562917349</v>
          </cell>
          <cell r="BO34">
            <v>0.84716694512068214</v>
          </cell>
        </row>
        <row r="35">
          <cell r="J35">
            <v>0.92818791585616678</v>
          </cell>
          <cell r="K35">
            <v>0.83019912605595303</v>
          </cell>
          <cell r="R35">
            <v>50.21</v>
          </cell>
          <cell r="S35">
            <v>1230.8129999999996</v>
          </cell>
          <cell r="AF35">
            <v>113.04885101077762</v>
          </cell>
          <cell r="AG35">
            <v>112.29986127066063</v>
          </cell>
          <cell r="AL35">
            <v>1.3742282413861779</v>
          </cell>
          <cell r="AM35">
            <v>1.4585481303821137</v>
          </cell>
          <cell r="AX35">
            <v>871.7725552678753</v>
          </cell>
          <cell r="AY35">
            <v>891.76271293852142</v>
          </cell>
          <cell r="BD35">
            <v>547.3013343955389</v>
          </cell>
          <cell r="BE35">
            <v>452.98892276893486</v>
          </cell>
          <cell r="BJ35">
            <v>0</v>
          </cell>
          <cell r="BK35">
            <v>0</v>
          </cell>
          <cell r="BN35">
            <v>0.92818791585616678</v>
          </cell>
          <cell r="BO35">
            <v>0.85019440167781013</v>
          </cell>
        </row>
        <row r="36">
          <cell r="J36">
            <v>0.76372011536425499</v>
          </cell>
          <cell r="K36">
            <v>0.82784439107594798</v>
          </cell>
          <cell r="R36">
            <v>41.578000000000003</v>
          </cell>
          <cell r="S36">
            <v>1272.3909999999996</v>
          </cell>
          <cell r="AF36">
            <v>122.89175063683075</v>
          </cell>
          <cell r="AG36">
            <v>112.64597309954547</v>
          </cell>
          <cell r="AL36">
            <v>1.5753523498003752</v>
          </cell>
          <cell r="AM36">
            <v>1.4623649491390622</v>
          </cell>
          <cell r="AX36">
            <v>1012.4132954928072</v>
          </cell>
          <cell r="AY36">
            <v>895.7052195433638</v>
          </cell>
          <cell r="BD36">
            <v>496.97676655923811</v>
          </cell>
          <cell r="BE36">
            <v>454.42631628170989</v>
          </cell>
          <cell r="BJ36">
            <v>0</v>
          </cell>
          <cell r="BK36">
            <v>0</v>
          </cell>
          <cell r="BN36">
            <v>0.7674985383702978</v>
          </cell>
          <cell r="BO36">
            <v>0.84721148536353053</v>
          </cell>
        </row>
        <row r="37">
          <cell r="J37">
            <v>0.18780806126747157</v>
          </cell>
          <cell r="K37">
            <v>0.80567967171673827</v>
          </cell>
          <cell r="R37">
            <v>10.355</v>
          </cell>
          <cell r="S37">
            <v>1282.7459999999996</v>
          </cell>
          <cell r="AF37">
            <v>211.80590358851873</v>
          </cell>
          <cell r="AG37">
            <v>113.44644418284126</v>
          </cell>
          <cell r="AL37">
            <v>3.9787542250120715</v>
          </cell>
          <cell r="AM37">
            <v>1.4826785661385813</v>
          </cell>
          <cell r="AX37">
            <v>2424.6972477064223</v>
          </cell>
          <cell r="AY37">
            <v>908.04804692433288</v>
          </cell>
          <cell r="BD37">
            <v>1159.7295992274267</v>
          </cell>
          <cell r="BE37">
            <v>460.11989513122717</v>
          </cell>
          <cell r="BJ37">
            <v>0</v>
          </cell>
          <cell r="BK37">
            <v>0</v>
          </cell>
          <cell r="BN37">
            <v>0.2282356993646994</v>
          </cell>
          <cell r="BO37">
            <v>0.82906109154141816</v>
          </cell>
        </row>
        <row r="38">
          <cell r="J38">
            <v>0.72386922077845806</v>
          </cell>
          <cell r="K38">
            <v>0.80293641826956408</v>
          </cell>
          <cell r="R38">
            <v>39.985999999999997</v>
          </cell>
          <cell r="S38">
            <v>1322.7319999999997</v>
          </cell>
          <cell r="AF38">
            <v>111.06931537194725</v>
          </cell>
          <cell r="AG38">
            <v>113.37458391739639</v>
          </cell>
          <cell r="AL38">
            <v>1.6480768268894115</v>
          </cell>
          <cell r="AM38">
            <v>1.4876785320079959</v>
          </cell>
          <cell r="AX38">
            <v>1002.5053768819097</v>
          </cell>
          <cell r="AY38">
            <v>910.90347855801463</v>
          </cell>
          <cell r="BD38">
            <v>559.16320712249296</v>
          </cell>
          <cell r="BE38">
            <v>463.11396034873349</v>
          </cell>
          <cell r="BJ38">
            <v>0</v>
          </cell>
          <cell r="BK38">
            <v>0</v>
          </cell>
          <cell r="BN38">
            <v>0.84198035373261682</v>
          </cell>
          <cell r="BO38">
            <v>0.82944582493292418</v>
          </cell>
        </row>
      </sheetData>
      <sheetData sheetId="3"/>
      <sheetData sheetId="4"/>
      <sheetData sheetId="5"/>
      <sheetData sheetId="6">
        <row r="175">
          <cell r="X175">
            <v>0.80293641826956397</v>
          </cell>
        </row>
      </sheetData>
      <sheetData sheetId="7">
        <row r="175">
          <cell r="X175">
            <v>0.82944582493292418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ff all value"/>
      <sheetName val="eff all value (2)"/>
      <sheetName val="Report1"/>
      <sheetName val="GRAFIK"/>
      <sheetName val="Listrik"/>
      <sheetName val="Trim Rwd"/>
      <sheetName val="Efficiency1"/>
      <sheetName val="Efficiency2"/>
      <sheetName val="Chem"/>
      <sheetName val="BB"/>
      <sheetName val="RBP"/>
      <sheetName val="Sheet1"/>
      <sheetName val="summary"/>
      <sheetName val="30"/>
      <sheetName val="29"/>
      <sheetName val="28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5"/>
      <sheetName val="4"/>
      <sheetName val="3"/>
      <sheetName val="2"/>
      <sheetName val="1"/>
      <sheetName val="31"/>
    </sheetNames>
    <sheetDataSet>
      <sheetData sheetId="0" refreshError="1"/>
      <sheetData sheetId="1" refreshError="1"/>
      <sheetData sheetId="2" refreshError="1">
        <row r="9">
          <cell r="J9">
            <v>0</v>
          </cell>
          <cell r="AR9">
            <v>0</v>
          </cell>
          <cell r="AS9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ff all value"/>
      <sheetName val="eff all value (2)"/>
      <sheetName val="eff all value (3)"/>
      <sheetName val="eff all value (4)"/>
      <sheetName val="Report1"/>
      <sheetName val="GRAFIK"/>
      <sheetName val="Listrik"/>
      <sheetName val="Trim Rwd"/>
      <sheetName val="Efficiency1"/>
      <sheetName val="Efficiency2"/>
      <sheetName val="Chem"/>
      <sheetName val="BB"/>
      <sheetName val="RBP"/>
      <sheetName val="Sheet1"/>
      <sheetName val="summary"/>
      <sheetName val="30"/>
      <sheetName val="29"/>
      <sheetName val="28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5"/>
      <sheetName val="4"/>
      <sheetName val="3"/>
      <sheetName val="2"/>
      <sheetName val="1"/>
      <sheetName val="31"/>
    </sheetNames>
    <sheetDataSet>
      <sheetData sheetId="0"/>
      <sheetData sheetId="1"/>
      <sheetData sheetId="2"/>
      <sheetData sheetId="3"/>
      <sheetData sheetId="4">
        <row r="9">
          <cell r="J9">
            <v>0.66499435987131972</v>
          </cell>
          <cell r="K9">
            <v>0.66499435987131972</v>
          </cell>
          <cell r="R9">
            <v>36.936999999999998</v>
          </cell>
          <cell r="S9">
            <v>36.936999999999998</v>
          </cell>
          <cell r="X9">
            <v>3.3002138776836238</v>
          </cell>
          <cell r="Y9">
            <v>3.3002138776836238</v>
          </cell>
          <cell r="AD9">
            <v>1328.2368989345775</v>
          </cell>
          <cell r="AE9">
            <v>1328.2368989345775</v>
          </cell>
          <cell r="AJ9">
            <v>0</v>
          </cell>
          <cell r="AK9">
            <v>0</v>
          </cell>
          <cell r="AN9">
            <v>0.66499435987131972</v>
          </cell>
          <cell r="AO9">
            <v>0.66499435987131972</v>
          </cell>
        </row>
        <row r="10">
          <cell r="J10">
            <v>0.96651656089264981</v>
          </cell>
          <cell r="K10">
            <v>0.81575546038198476</v>
          </cell>
          <cell r="R10">
            <v>53.685000000000002</v>
          </cell>
          <cell r="S10">
            <v>90.622</v>
          </cell>
          <cell r="X10">
            <v>2.3488870261711834</v>
          </cell>
          <cell r="Y10">
            <v>2.7366423164353026</v>
          </cell>
          <cell r="AD10">
            <v>1057.1209668246702</v>
          </cell>
          <cell r="AE10">
            <v>1167.6262435162421</v>
          </cell>
          <cell r="AJ10">
            <v>0</v>
          </cell>
          <cell r="AK10">
            <v>0</v>
          </cell>
          <cell r="AN10">
            <v>0.96651656089264981</v>
          </cell>
          <cell r="AO10">
            <v>0.81575546038198476</v>
          </cell>
        </row>
        <row r="11">
          <cell r="J11">
            <v>1.0974484167977767</v>
          </cell>
          <cell r="K11">
            <v>0.90459365107412826</v>
          </cell>
          <cell r="R11">
            <v>56.16</v>
          </cell>
          <cell r="S11">
            <v>146.78199999999998</v>
          </cell>
          <cell r="X11">
            <v>2.257834757834758</v>
          </cell>
          <cell r="Y11">
            <v>2.5534466078947013</v>
          </cell>
          <cell r="AD11">
            <v>964.26876401238894</v>
          </cell>
          <cell r="AE11">
            <v>1089.8199999105116</v>
          </cell>
          <cell r="AJ11">
            <v>0</v>
          </cell>
          <cell r="AK11">
            <v>0</v>
          </cell>
          <cell r="AN11">
            <v>1.0974484167977767</v>
          </cell>
          <cell r="AO11">
            <v>0.90459365107412826</v>
          </cell>
        </row>
        <row r="12">
          <cell r="J12">
            <v>0.85554476436593652</v>
          </cell>
          <cell r="K12">
            <v>0.89247976896733694</v>
          </cell>
          <cell r="R12">
            <v>45.530999999999999</v>
          </cell>
          <cell r="S12">
            <v>192.31299999999999</v>
          </cell>
          <cell r="X12">
            <v>2.701456150754431</v>
          </cell>
          <cell r="Y12">
            <v>2.5884885577158072</v>
          </cell>
          <cell r="AD12">
            <v>1007.4242523725412</v>
          </cell>
          <cell r="AE12">
            <v>1070.3124222576678</v>
          </cell>
          <cell r="AJ12">
            <v>0</v>
          </cell>
          <cell r="AK12">
            <v>0</v>
          </cell>
          <cell r="AN12">
            <v>0.85554476436593652</v>
          </cell>
          <cell r="AO12">
            <v>0.89247976896733694</v>
          </cell>
        </row>
        <row r="13">
          <cell r="J13">
            <v>0.67468890243097956</v>
          </cell>
          <cell r="K13">
            <v>0.84815678475867595</v>
          </cell>
          <cell r="R13">
            <v>37.146999999999998</v>
          </cell>
          <cell r="S13">
            <v>229.45999999999998</v>
          </cell>
          <cell r="X13">
            <v>3.1711847524699168</v>
          </cell>
          <cell r="Y13">
            <v>2.6828205351695287</v>
          </cell>
          <cell r="AD13">
            <v>1184.5070322655995</v>
          </cell>
          <cell r="AE13">
            <v>1088.7992486237649</v>
          </cell>
          <cell r="AJ13">
            <v>0</v>
          </cell>
          <cell r="AK13">
            <v>0</v>
          </cell>
          <cell r="AN13">
            <v>0.67468890243097956</v>
          </cell>
          <cell r="AO13">
            <v>0.84815678475867595</v>
          </cell>
        </row>
        <row r="14">
          <cell r="J14">
            <v>0.76259501421272791</v>
          </cell>
          <cell r="K14">
            <v>0.83349852733492558</v>
          </cell>
          <cell r="R14">
            <v>42.652000000000001</v>
          </cell>
          <cell r="S14">
            <v>272.11199999999997</v>
          </cell>
          <cell r="X14">
            <v>2.7923661258557626</v>
          </cell>
          <cell r="Y14">
            <v>2.6999911801023111</v>
          </cell>
          <cell r="AD14">
            <v>1012.7409182731128</v>
          </cell>
          <cell r="AE14">
            <v>1076.8775402606059</v>
          </cell>
          <cell r="AJ14">
            <v>0</v>
          </cell>
          <cell r="AK14">
            <v>0</v>
          </cell>
          <cell r="AN14">
            <v>0.76259501421272791</v>
          </cell>
          <cell r="AO14">
            <v>0.83349852733492558</v>
          </cell>
        </row>
        <row r="15">
          <cell r="J15">
            <v>1.1219331482593038</v>
          </cell>
          <cell r="K15">
            <v>0.87426577953758322</v>
          </cell>
          <cell r="R15">
            <v>60.290999999999997</v>
          </cell>
          <cell r="S15">
            <v>332.40299999999996</v>
          </cell>
          <cell r="X15">
            <v>1.9953226849778574</v>
          </cell>
          <cell r="Y15">
            <v>2.5721789514535072</v>
          </cell>
          <cell r="AD15">
            <v>826.72762859340799</v>
          </cell>
          <cell r="AE15">
            <v>1031.5055420405927</v>
          </cell>
          <cell r="AJ15">
            <v>0</v>
          </cell>
          <cell r="AK15">
            <v>0</v>
          </cell>
          <cell r="AN15">
            <v>1.1219331482593038</v>
          </cell>
          <cell r="AO15">
            <v>0.87426577953758322</v>
          </cell>
        </row>
        <row r="16">
          <cell r="J16">
            <v>0.86083540559080773</v>
          </cell>
          <cell r="K16">
            <v>0.87260260722126737</v>
          </cell>
          <cell r="R16">
            <v>46.26</v>
          </cell>
          <cell r="S16">
            <v>378.66299999999995</v>
          </cell>
          <cell r="X16">
            <v>2.4210981409424992</v>
          </cell>
          <cell r="Y16">
            <v>2.5537219110396316</v>
          </cell>
          <cell r="AD16">
            <v>988.15638897100143</v>
          </cell>
          <cell r="AE16">
            <v>1026.2097201065794</v>
          </cell>
          <cell r="AJ16">
            <v>0</v>
          </cell>
          <cell r="AK16">
            <v>0</v>
          </cell>
          <cell r="AN16">
            <v>0.86083540559080773</v>
          </cell>
          <cell r="AO16">
            <v>0.87260260722126737</v>
          </cell>
        </row>
        <row r="17">
          <cell r="J17">
            <v>0.9137955777549116</v>
          </cell>
          <cell r="K17">
            <v>0.8771417000907743</v>
          </cell>
          <cell r="R17">
            <v>49.106000000000002</v>
          </cell>
          <cell r="S17">
            <v>427.76899999999995</v>
          </cell>
          <cell r="X17">
            <v>2.5984604732619232</v>
          </cell>
          <cell r="Y17">
            <v>2.5588577012359477</v>
          </cell>
          <cell r="AD17">
            <v>996.83763548888339</v>
          </cell>
          <cell r="AE17">
            <v>1022.8379339621027</v>
          </cell>
          <cell r="AJ17">
            <v>0</v>
          </cell>
          <cell r="AK17">
            <v>0</v>
          </cell>
          <cell r="AN17">
            <v>0.9137955777549116</v>
          </cell>
          <cell r="AO17">
            <v>0.8771417000907743</v>
          </cell>
        </row>
        <row r="18">
          <cell r="J18">
            <v>1.0584032720230951</v>
          </cell>
          <cell r="K18">
            <v>0.89513264664878411</v>
          </cell>
          <cell r="R18">
            <v>56.877000000000002</v>
          </cell>
          <cell r="S18">
            <v>484.64599999999996</v>
          </cell>
          <cell r="X18">
            <v>2.2364048736747719</v>
          </cell>
          <cell r="Y18">
            <v>2.5210153390309631</v>
          </cell>
          <cell r="AD18">
            <v>853.82567797278671</v>
          </cell>
          <cell r="AE18">
            <v>1003.0030233595097</v>
          </cell>
          <cell r="AJ18">
            <v>0</v>
          </cell>
          <cell r="AK18">
            <v>0</v>
          </cell>
          <cell r="AN18">
            <v>1.0584032720230951</v>
          </cell>
          <cell r="AO18">
            <v>0.89513264664878411</v>
          </cell>
        </row>
        <row r="19">
          <cell r="J19">
            <v>0.81268286908475418</v>
          </cell>
          <cell r="K19">
            <v>0.88767526177684164</v>
          </cell>
          <cell r="R19">
            <v>43.755000000000003</v>
          </cell>
          <cell r="S19">
            <v>528.40099999999995</v>
          </cell>
          <cell r="X19">
            <v>2.9299508627585413</v>
          </cell>
          <cell r="Y19">
            <v>2.5548778295271966</v>
          </cell>
          <cell r="AD19">
            <v>1059.6520136418449</v>
          </cell>
          <cell r="AE19">
            <v>1007.6939239630351</v>
          </cell>
          <cell r="AJ19">
            <v>0</v>
          </cell>
          <cell r="AK19">
            <v>0</v>
          </cell>
          <cell r="AN19">
            <v>0.81268286908475418</v>
          </cell>
          <cell r="AO19">
            <v>0.88767526177684164</v>
          </cell>
        </row>
        <row r="20">
          <cell r="J20">
            <v>0.99683971035605357</v>
          </cell>
          <cell r="K20">
            <v>0.89604845086606999</v>
          </cell>
          <cell r="R20">
            <v>49.295000000000002</v>
          </cell>
          <cell r="S20">
            <v>577.69599999999991</v>
          </cell>
          <cell r="X20">
            <v>2.6290698853839132</v>
          </cell>
          <cell r="Y20">
            <v>2.5612086633800479</v>
          </cell>
          <cell r="AD20">
            <v>1043.9927463588967</v>
          </cell>
          <cell r="AE20">
            <v>1010.7913150649368</v>
          </cell>
          <cell r="AJ20">
            <v>0</v>
          </cell>
          <cell r="AK20">
            <v>0</v>
          </cell>
          <cell r="AN20">
            <v>0.99683971035605357</v>
          </cell>
          <cell r="AO20">
            <v>0.89604845086606999</v>
          </cell>
        </row>
        <row r="21">
          <cell r="J21">
            <v>0.37373128442927717</v>
          </cell>
          <cell r="K21">
            <v>0.85942820580249957</v>
          </cell>
          <cell r="R21">
            <v>18.167000000000002</v>
          </cell>
          <cell r="S21">
            <v>595.86299999999994</v>
          </cell>
          <cell r="X21">
            <v>4.5577145373479384</v>
          </cell>
          <cell r="Y21">
            <v>2.6220792363345264</v>
          </cell>
          <cell r="AD21">
            <v>2010.8702752411639</v>
          </cell>
          <cell r="AE21">
            <v>1041.282274345042</v>
          </cell>
          <cell r="AJ21">
            <v>0</v>
          </cell>
          <cell r="AK21">
            <v>0</v>
          </cell>
          <cell r="AN21">
            <v>0.51947205557737364</v>
          </cell>
          <cell r="AO21">
            <v>0.87667241007247232</v>
          </cell>
        </row>
        <row r="22">
          <cell r="J22">
            <v>1.0080822156168618</v>
          </cell>
          <cell r="K22">
            <v>0.8700999272328982</v>
          </cell>
          <cell r="R22">
            <v>54.055999999999997</v>
          </cell>
          <cell r="S22">
            <v>649.91899999999998</v>
          </cell>
          <cell r="X22">
            <v>2.2828178185585322</v>
          </cell>
          <cell r="Y22">
            <v>2.5938616966114241</v>
          </cell>
          <cell r="AD22">
            <v>730.90340662310871</v>
          </cell>
          <cell r="AE22">
            <v>1015.4669957125097</v>
          </cell>
          <cell r="AJ22">
            <v>0</v>
          </cell>
          <cell r="AK22">
            <v>0</v>
          </cell>
          <cell r="AN22">
            <v>1.0080822156168618</v>
          </cell>
          <cell r="AO22">
            <v>0.88628163238204949</v>
          </cell>
        </row>
        <row r="23">
          <cell r="J23">
            <v>0.90977081719246977</v>
          </cell>
          <cell r="K23">
            <v>0.87285248586676989</v>
          </cell>
          <cell r="R23">
            <v>50.665999999999997</v>
          </cell>
          <cell r="S23">
            <v>700.58500000000004</v>
          </cell>
          <cell r="X23">
            <v>2.4829274069395653</v>
          </cell>
          <cell r="Y23">
            <v>2.585838977426008</v>
          </cell>
          <cell r="AD23">
            <v>792.96912129723057</v>
          </cell>
          <cell r="AE23">
            <v>999.37604699804319</v>
          </cell>
          <cell r="AJ23">
            <v>0</v>
          </cell>
          <cell r="AK23">
            <v>0</v>
          </cell>
          <cell r="AN23">
            <v>0.90977081719246977</v>
          </cell>
          <cell r="AO23">
            <v>0.88793959658923238</v>
          </cell>
        </row>
        <row r="24">
          <cell r="J24">
            <v>0.76458268864379975</v>
          </cell>
          <cell r="K24">
            <v>0.86619276542317447</v>
          </cell>
          <cell r="R24">
            <v>40.222000000000001</v>
          </cell>
          <cell r="S24">
            <v>740.80700000000002</v>
          </cell>
          <cell r="X24">
            <v>3.0754313559743425</v>
          </cell>
          <cell r="Y24">
            <v>2.612421318913023</v>
          </cell>
          <cell r="AD24">
            <v>1155.2908598015288</v>
          </cell>
          <cell r="AE24">
            <v>1007.8414173314522</v>
          </cell>
          <cell r="AJ24">
            <v>0</v>
          </cell>
          <cell r="AK24">
            <v>0</v>
          </cell>
          <cell r="AN24">
            <v>0.76458268864379975</v>
          </cell>
          <cell r="AO24">
            <v>0.88022890690735356</v>
          </cell>
        </row>
        <row r="25">
          <cell r="J25">
            <v>0.8131617384883596</v>
          </cell>
          <cell r="K25">
            <v>0.86319475218325747</v>
          </cell>
          <cell r="R25">
            <v>41.671999999999997</v>
          </cell>
          <cell r="S25">
            <v>782.47900000000004</v>
          </cell>
          <cell r="X25">
            <v>3.0164138990209257</v>
          </cell>
          <cell r="Y25">
            <v>2.6339365018102723</v>
          </cell>
          <cell r="AD25">
            <v>1171.9906078780884</v>
          </cell>
          <cell r="AE25">
            <v>1016.5834092168058</v>
          </cell>
          <cell r="AJ25">
            <v>0</v>
          </cell>
          <cell r="AK25">
            <v>0</v>
          </cell>
          <cell r="AN25">
            <v>0.8131617384883596</v>
          </cell>
          <cell r="AO25">
            <v>0.87637947284156259</v>
          </cell>
        </row>
        <row r="26">
          <cell r="J26">
            <v>1.0060094716179373</v>
          </cell>
          <cell r="K26">
            <v>0.87081309976728094</v>
          </cell>
          <cell r="R26">
            <v>51.387999999999998</v>
          </cell>
          <cell r="S26">
            <v>833.86700000000008</v>
          </cell>
          <cell r="X26">
            <v>2.3779870786954156</v>
          </cell>
          <cell r="Y26">
            <v>2.6181633282046173</v>
          </cell>
          <cell r="AD26">
            <v>858.69827466476499</v>
          </cell>
          <cell r="AE26">
            <v>1006.8535586598699</v>
          </cell>
          <cell r="AJ26">
            <v>0</v>
          </cell>
          <cell r="AK26">
            <v>0</v>
          </cell>
          <cell r="AN26">
            <v>1.0060094716179373</v>
          </cell>
          <cell r="AO26">
            <v>0.88339439758568106</v>
          </cell>
        </row>
        <row r="27">
          <cell r="J27">
            <v>1.0552248565192892</v>
          </cell>
          <cell r="K27">
            <v>0.880275505152602</v>
          </cell>
          <cell r="R27">
            <v>54.652000000000001</v>
          </cell>
          <cell r="S27">
            <v>888.51900000000012</v>
          </cell>
          <cell r="X27">
            <v>2.235965746907707</v>
          </cell>
          <cell r="Y27">
            <v>2.5946547006873226</v>
          </cell>
          <cell r="AD27">
            <v>831.91981244449562</v>
          </cell>
          <cell r="AE27">
            <v>996.09354216257191</v>
          </cell>
          <cell r="AJ27">
            <v>0</v>
          </cell>
          <cell r="AK27">
            <v>0</v>
          </cell>
          <cell r="AN27">
            <v>1.0552248565192892</v>
          </cell>
          <cell r="AO27">
            <v>0.89233199821216358</v>
          </cell>
        </row>
        <row r="28">
          <cell r="J28">
            <v>0.88036595973103915</v>
          </cell>
          <cell r="K28">
            <v>0.8802798622950837</v>
          </cell>
          <cell r="R28">
            <v>44.97</v>
          </cell>
          <cell r="S28">
            <v>933.48900000000015</v>
          </cell>
          <cell r="X28">
            <v>2.695130086724483</v>
          </cell>
          <cell r="Y28">
            <v>2.599495012796079</v>
          </cell>
          <cell r="AD28">
            <v>1017.2422083351136</v>
          </cell>
          <cell r="AE28">
            <v>997.11236029302574</v>
          </cell>
          <cell r="AJ28">
            <v>0</v>
          </cell>
          <cell r="AK28">
            <v>0</v>
          </cell>
          <cell r="AN28">
            <v>0.88036595973103915</v>
          </cell>
          <cell r="AO28">
            <v>0.89174809209497219</v>
          </cell>
        </row>
        <row r="29">
          <cell r="J29">
            <v>1.0139967811925483</v>
          </cell>
          <cell r="K29">
            <v>0.88642492181081955</v>
          </cell>
          <cell r="R29">
            <v>51.795999999999999</v>
          </cell>
          <cell r="S29">
            <v>985.2850000000002</v>
          </cell>
          <cell r="X29">
            <v>2.2974747084716967</v>
          </cell>
          <cell r="Y29">
            <v>2.5836179379570368</v>
          </cell>
          <cell r="AD29">
            <v>942.66847837807802</v>
          </cell>
          <cell r="AE29">
            <v>994.25026931664149</v>
          </cell>
          <cell r="AJ29">
            <v>0</v>
          </cell>
          <cell r="AK29">
            <v>0</v>
          </cell>
          <cell r="AN29">
            <v>1.0139967811925483</v>
          </cell>
          <cell r="AO29">
            <v>0.89743590663658313</v>
          </cell>
        </row>
        <row r="30">
          <cell r="J30">
            <v>0.9557755589501622</v>
          </cell>
          <cell r="K30">
            <v>0.88947195287323189</v>
          </cell>
          <cell r="R30">
            <v>48.822000000000003</v>
          </cell>
          <cell r="S30">
            <v>1034.1070000000002</v>
          </cell>
          <cell r="X30">
            <v>2.4456187784195649</v>
          </cell>
          <cell r="Y30">
            <v>2.5771027562911759</v>
          </cell>
          <cell r="AD30">
            <v>910.26206867876704</v>
          </cell>
          <cell r="AE30">
            <v>990.28503947916602</v>
          </cell>
          <cell r="AJ30">
            <v>0</v>
          </cell>
          <cell r="AK30">
            <v>0</v>
          </cell>
          <cell r="AN30">
            <v>0.9557755589501622</v>
          </cell>
          <cell r="AO30">
            <v>0.90002957703824993</v>
          </cell>
        </row>
        <row r="31">
          <cell r="J31">
            <v>0.93962474914855865</v>
          </cell>
          <cell r="K31">
            <v>0.89158275466994019</v>
          </cell>
          <cell r="R31">
            <v>47.997</v>
          </cell>
          <cell r="S31">
            <v>1082.1040000000003</v>
          </cell>
          <cell r="X31">
            <v>2.485572014917599</v>
          </cell>
          <cell r="Y31">
            <v>2.5730428868204895</v>
          </cell>
          <cell r="AD31">
            <v>928.90121207658888</v>
          </cell>
          <cell r="AE31">
            <v>987.56234409698334</v>
          </cell>
          <cell r="AJ31">
            <v>0</v>
          </cell>
          <cell r="AK31">
            <v>0</v>
          </cell>
          <cell r="AN31">
            <v>0.93962474914855865</v>
          </cell>
          <cell r="AO31">
            <v>0.90171497381911048</v>
          </cell>
        </row>
        <row r="32">
          <cell r="J32">
            <v>1.0526608410206295</v>
          </cell>
          <cell r="K32">
            <v>0.89808831354115959</v>
          </cell>
          <cell r="R32">
            <v>53.771000000000001</v>
          </cell>
          <cell r="S32">
            <v>1135.8750000000002</v>
          </cell>
          <cell r="X32">
            <v>2.2316862249167766</v>
          </cell>
          <cell r="Y32">
            <v>2.556883459887751</v>
          </cell>
          <cell r="AD32">
            <v>865.71494277079182</v>
          </cell>
          <cell r="AE32">
            <v>981.79422998520988</v>
          </cell>
          <cell r="AJ32">
            <v>0</v>
          </cell>
          <cell r="AK32">
            <v>0</v>
          </cell>
          <cell r="AN32">
            <v>1.0526608410206295</v>
          </cell>
          <cell r="AO32">
            <v>0.90787776870055559</v>
          </cell>
        </row>
        <row r="33">
          <cell r="J33">
            <v>0.86080879731673376</v>
          </cell>
          <cell r="K33">
            <v>0.89664113122711309</v>
          </cell>
          <cell r="R33">
            <v>43.970999999999997</v>
          </cell>
          <cell r="S33">
            <v>1179.8460000000002</v>
          </cell>
          <cell r="X33">
            <v>2.7427167906119942</v>
          </cell>
          <cell r="Y33">
            <v>2.5638091750957321</v>
          </cell>
          <cell r="AD33">
            <v>1072.1570328731118</v>
          </cell>
          <cell r="AE33">
            <v>985.16190916180074</v>
          </cell>
          <cell r="AJ33">
            <v>0</v>
          </cell>
          <cell r="AK33">
            <v>0</v>
          </cell>
          <cell r="AN33">
            <v>0.86080879731673376</v>
          </cell>
          <cell r="AO33">
            <v>0.90603142609873311</v>
          </cell>
        </row>
        <row r="34">
          <cell r="J34">
            <v>0.88373315886543413</v>
          </cell>
          <cell r="K34">
            <v>0.89615877176924541</v>
          </cell>
          <cell r="R34">
            <v>45.142000000000003</v>
          </cell>
          <cell r="S34">
            <v>1224.9880000000003</v>
          </cell>
          <cell r="X34">
            <v>2.6848611049576889</v>
          </cell>
          <cell r="Y34">
            <v>2.5682700565230014</v>
          </cell>
          <cell r="AD34">
            <v>1084.9948630853203</v>
          </cell>
          <cell r="AE34">
            <v>988.84085067470983</v>
          </cell>
          <cell r="AJ34">
            <v>0</v>
          </cell>
          <cell r="AK34">
            <v>0</v>
          </cell>
          <cell r="AN34">
            <v>0.88373315886543413</v>
          </cell>
          <cell r="AO34">
            <v>0.9051897624685713</v>
          </cell>
        </row>
        <row r="35">
          <cell r="J35">
            <v>0.98523372841485601</v>
          </cell>
          <cell r="K35">
            <v>0.89936439633157828</v>
          </cell>
          <cell r="R35">
            <v>50.276000000000003</v>
          </cell>
          <cell r="S35">
            <v>1275.2640000000004</v>
          </cell>
          <cell r="X35">
            <v>2.1242740074787174</v>
          </cell>
          <cell r="Y35">
            <v>2.5507659590484786</v>
          </cell>
          <cell r="AD35">
            <v>836.51902930327037</v>
          </cell>
          <cell r="AE35">
            <v>982.83571613686445</v>
          </cell>
          <cell r="AJ35">
            <v>0</v>
          </cell>
          <cell r="AK35">
            <v>0</v>
          </cell>
          <cell r="AN35">
            <v>0.98523372841485601</v>
          </cell>
          <cell r="AO35">
            <v>0.90809835466030409</v>
          </cell>
        </row>
        <row r="36">
          <cell r="J36">
            <v>0.4267926946479671</v>
          </cell>
          <cell r="K36">
            <v>0.88198630995041005</v>
          </cell>
          <cell r="R36">
            <v>23.103999999999999</v>
          </cell>
          <cell r="S36">
            <v>1298.3680000000004</v>
          </cell>
          <cell r="X36">
            <v>3.5621537396121883</v>
          </cell>
          <cell r="Y36">
            <v>2.5687632473998119</v>
          </cell>
          <cell r="AD36">
            <v>1105.2046539048558</v>
          </cell>
          <cell r="AE36">
            <v>985.01322816595928</v>
          </cell>
          <cell r="AJ36">
            <v>0</v>
          </cell>
          <cell r="AK36">
            <v>0</v>
          </cell>
          <cell r="AN36">
            <v>0.46980518040938829</v>
          </cell>
          <cell r="AO36">
            <v>0.89326912463919084</v>
          </cell>
        </row>
        <row r="37">
          <cell r="J37">
            <v>0.75217360140008027</v>
          </cell>
          <cell r="K37">
            <v>0.8774005309236117</v>
          </cell>
          <cell r="R37">
            <v>40.548000000000002</v>
          </cell>
          <cell r="S37">
            <v>1338.9160000000004</v>
          </cell>
          <cell r="X37">
            <v>2.7374963006806747</v>
          </cell>
          <cell r="Y37">
            <v>2.5738731929411545</v>
          </cell>
          <cell r="AD37">
            <v>972.93598346362501</v>
          </cell>
          <cell r="AE37">
            <v>984.64747847128808</v>
          </cell>
          <cell r="AJ37">
            <v>0</v>
          </cell>
          <cell r="AK37">
            <v>0</v>
          </cell>
          <cell r="AN37">
            <v>0.88705964012523331</v>
          </cell>
          <cell r="AO37">
            <v>0.89307979914425772</v>
          </cell>
        </row>
        <row r="38">
          <cell r="J38">
            <v>0.73780096681363549</v>
          </cell>
          <cell r="K38">
            <v>0.87269494091770761</v>
          </cell>
          <cell r="R38">
            <v>39.274999999999999</v>
          </cell>
          <cell r="S38">
            <v>1378.1910000000005</v>
          </cell>
          <cell r="X38">
            <v>2.6734563971992364</v>
          </cell>
          <cell r="Y38">
            <v>2.5767110654473862</v>
          </cell>
          <cell r="AD38">
            <v>1071.4267066801951</v>
          </cell>
          <cell r="AE38">
            <v>987.12046965168679</v>
          </cell>
          <cell r="AJ38">
            <v>0</v>
          </cell>
          <cell r="AK38">
            <v>0</v>
          </cell>
          <cell r="AN38">
            <v>0.80465211067286135</v>
          </cell>
          <cell r="AO38">
            <v>0.89029162951574892</v>
          </cell>
        </row>
      </sheetData>
      <sheetData sheetId="5"/>
      <sheetData sheetId="6"/>
      <sheetData sheetId="7"/>
      <sheetData sheetId="8">
        <row r="143">
          <cell r="X143">
            <v>0.87269494091770738</v>
          </cell>
        </row>
      </sheetData>
      <sheetData sheetId="9">
        <row r="143">
          <cell r="X143">
            <v>0.89029162951574847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ff all value"/>
      <sheetName val="Report1"/>
      <sheetName val="GRAFIK"/>
      <sheetName val="Trim Rwd"/>
      <sheetName val="Listrik"/>
      <sheetName val="Efficiency1"/>
      <sheetName val="Efficiency2"/>
      <sheetName val="Chem"/>
      <sheetName val="BB"/>
      <sheetName val="RBP"/>
      <sheetName val="Sheet1"/>
      <sheetName val="summary"/>
      <sheetName val="30"/>
      <sheetName val="29"/>
      <sheetName val="28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5"/>
      <sheetName val="4"/>
      <sheetName val="3"/>
      <sheetName val="2"/>
      <sheetName val="1"/>
      <sheetName val="31"/>
    </sheetNames>
    <sheetDataSet>
      <sheetData sheetId="0"/>
      <sheetData sheetId="1">
        <row r="9">
          <cell r="J9">
            <v>0.97171609589607599</v>
          </cell>
          <cell r="K9">
            <v>0.97171609589607599</v>
          </cell>
          <cell r="R9">
            <v>50.847000000000001</v>
          </cell>
          <cell r="S9">
            <v>50.847000000000001</v>
          </cell>
          <cell r="X9">
            <v>76.698011654833479</v>
          </cell>
          <cell r="Y9">
            <v>76.698011654833465</v>
          </cell>
          <cell r="AD9">
            <v>1.8644167797510176</v>
          </cell>
          <cell r="AE9">
            <v>1.8644167797510176</v>
          </cell>
          <cell r="AP9">
            <v>826.0147828594113</v>
          </cell>
          <cell r="AQ9">
            <v>826.0147828594113</v>
          </cell>
          <cell r="AV9">
            <v>393.44700768973701</v>
          </cell>
          <cell r="AW9">
            <v>393.44700768973701</v>
          </cell>
          <cell r="BB9">
            <v>0</v>
          </cell>
          <cell r="BG9">
            <v>0.97171609589607599</v>
          </cell>
          <cell r="BH9">
            <v>0.97171609589607599</v>
          </cell>
        </row>
        <row r="10">
          <cell r="J10">
            <v>0.36971172035649852</v>
          </cell>
          <cell r="K10">
            <v>0.6626868849711951</v>
          </cell>
          <cell r="R10">
            <v>20.405999999999999</v>
          </cell>
          <cell r="S10">
            <v>71.253</v>
          </cell>
          <cell r="X10">
            <v>103.06726051713967</v>
          </cell>
          <cell r="Y10">
            <v>84.249846557002087</v>
          </cell>
          <cell r="AD10">
            <v>2.3718514162501227</v>
          </cell>
          <cell r="AE10">
            <v>2.0097399407744234</v>
          </cell>
          <cell r="AP10">
            <v>1190.1166762725595</v>
          </cell>
          <cell r="AQ10">
            <v>930.28917463223058</v>
          </cell>
          <cell r="AV10">
            <v>0</v>
          </cell>
          <cell r="AW10">
            <v>280.76852904439193</v>
          </cell>
          <cell r="BB10">
            <v>0</v>
          </cell>
          <cell r="BG10">
            <v>0.55786699803881512</v>
          </cell>
          <cell r="BH10">
            <v>0.80144536770058028</v>
          </cell>
        </row>
        <row r="11">
          <cell r="J11">
            <v>0.84087781056235023</v>
          </cell>
          <cell r="K11">
            <v>0.72268332256073287</v>
          </cell>
          <cell r="R11">
            <v>45.893999999999998</v>
          </cell>
          <cell r="S11">
            <v>117.14699999999999</v>
          </cell>
          <cell r="X11">
            <v>66.486506716944703</v>
          </cell>
          <cell r="Y11">
            <v>77.29080604704798</v>
          </cell>
          <cell r="AD11">
            <v>1.9109251754041925</v>
          </cell>
          <cell r="AE11">
            <v>1.971027853892972</v>
          </cell>
          <cell r="AP11">
            <v>854.65041646105578</v>
          </cell>
          <cell r="AQ11">
            <v>900.65661752442691</v>
          </cell>
          <cell r="AV11">
            <v>0</v>
          </cell>
          <cell r="AW11">
            <v>170.77347264548013</v>
          </cell>
          <cell r="BB11">
            <v>0</v>
          </cell>
          <cell r="BG11">
            <v>0.84087781056235023</v>
          </cell>
          <cell r="BH11">
            <v>0.81644471329372459</v>
          </cell>
        </row>
        <row r="12">
          <cell r="J12">
            <v>0.91430190010131684</v>
          </cell>
          <cell r="K12">
            <v>0.76954130045799252</v>
          </cell>
          <cell r="R12">
            <v>47.973999999999997</v>
          </cell>
          <cell r="S12">
            <v>165.12099999999998</v>
          </cell>
          <cell r="X12">
            <v>73.70972707487087</v>
          </cell>
          <cell r="Y12">
            <v>76.250364900184621</v>
          </cell>
          <cell r="AD12">
            <v>1.9760703714512029</v>
          </cell>
          <cell r="AE12">
            <v>1.9724928991466866</v>
          </cell>
          <cell r="AP12">
            <v>883.4599234007153</v>
          </cell>
          <cell r="AQ12">
            <v>895.66031660636736</v>
          </cell>
          <cell r="AV12">
            <v>0</v>
          </cell>
          <cell r="AW12">
            <v>121.15721198393942</v>
          </cell>
          <cell r="BB12">
            <v>0</v>
          </cell>
          <cell r="BG12">
            <v>0.91430190010131684</v>
          </cell>
          <cell r="BH12">
            <v>0.84264782255576653</v>
          </cell>
        </row>
        <row r="13">
          <cell r="J13">
            <v>0.85042371165635389</v>
          </cell>
          <cell r="K13">
            <v>0.78551459977227689</v>
          </cell>
          <cell r="R13">
            <v>44.905000000000001</v>
          </cell>
          <cell r="S13">
            <v>210.02599999999998</v>
          </cell>
          <cell r="X13">
            <v>75.685700012017364</v>
          </cell>
          <cell r="Y13">
            <v>76.12963567235974</v>
          </cell>
          <cell r="AD13">
            <v>1.9730542255873509</v>
          </cell>
          <cell r="AE13">
            <v>1.9726129145915268</v>
          </cell>
          <cell r="AP13">
            <v>957.88347115977353</v>
          </cell>
          <cell r="AQ13">
            <v>908.96405402564267</v>
          </cell>
          <cell r="AV13">
            <v>0</v>
          </cell>
          <cell r="AW13">
            <v>95.252968680068463</v>
          </cell>
          <cell r="BB13">
            <v>0</v>
          </cell>
          <cell r="BG13">
            <v>0.90644694580352858</v>
          </cell>
          <cell r="BH13">
            <v>0.85552217008995268</v>
          </cell>
        </row>
        <row r="14">
          <cell r="J14">
            <v>0.81748289425142562</v>
          </cell>
          <cell r="K14">
            <v>0.79082387624784822</v>
          </cell>
          <cell r="R14">
            <v>43.53</v>
          </cell>
          <cell r="S14">
            <v>253.55599999999998</v>
          </cell>
          <cell r="X14">
            <v>81.84095073204351</v>
          </cell>
          <cell r="Y14">
            <v>77.110143112720195</v>
          </cell>
          <cell r="AD14">
            <v>2.0721341603491843</v>
          </cell>
          <cell r="AE14">
            <v>1.9896985281357964</v>
          </cell>
          <cell r="AP14">
            <v>1012.1128957917573</v>
          </cell>
          <cell r="AQ14">
            <v>926.67244618389941</v>
          </cell>
          <cell r="AV14">
            <v>0</v>
          </cell>
          <cell r="AW14">
            <v>78.900124627301508</v>
          </cell>
          <cell r="BB14">
            <v>0</v>
          </cell>
          <cell r="BG14">
            <v>0.81748289425142562</v>
          </cell>
          <cell r="BH14">
            <v>0.84874194661376856</v>
          </cell>
        </row>
        <row r="15">
          <cell r="J15">
            <v>0.96795653214739297</v>
          </cell>
          <cell r="K15">
            <v>0.81568874145533454</v>
          </cell>
          <cell r="R15">
            <v>50.679000000000002</v>
          </cell>
          <cell r="S15">
            <v>304.23500000000001</v>
          </cell>
          <cell r="X15">
            <v>70.399536241497415</v>
          </cell>
          <cell r="Y15">
            <v>75.992300505437328</v>
          </cell>
          <cell r="AD15">
            <v>1.9179541822056474</v>
          </cell>
          <cell r="AE15">
            <v>1.9777474649530786</v>
          </cell>
          <cell r="AP15">
            <v>899.63623087423207</v>
          </cell>
          <cell r="AQ15">
            <v>922.16879487593474</v>
          </cell>
          <cell r="AV15">
            <v>0</v>
          </cell>
          <cell r="AW15">
            <v>65.757062796851301</v>
          </cell>
          <cell r="BB15">
            <v>0</v>
          </cell>
          <cell r="BG15">
            <v>0.96795653214739297</v>
          </cell>
          <cell r="BH15">
            <v>0.8665194477191922</v>
          </cell>
        </row>
        <row r="16">
          <cell r="J16">
            <v>0.72379670261637452</v>
          </cell>
          <cell r="K16">
            <v>0.80435416795299985</v>
          </cell>
          <cell r="R16">
            <v>37.984000000000002</v>
          </cell>
          <cell r="S16">
            <v>342.21899999999999</v>
          </cell>
          <cell r="X16">
            <v>89.31474711267245</v>
          </cell>
          <cell r="Y16">
            <v>77.471002190408711</v>
          </cell>
          <cell r="AD16">
            <v>2.4299705139005896</v>
          </cell>
          <cell r="AE16">
            <v>2.027941172173374</v>
          </cell>
          <cell r="AP16">
            <v>1126.4386438026816</v>
          </cell>
          <cell r="AQ16">
            <v>944.84136986923875</v>
          </cell>
          <cell r="AV16">
            <v>0</v>
          </cell>
          <cell r="AW16">
            <v>58.458472498604863</v>
          </cell>
          <cell r="BB16">
            <v>0</v>
          </cell>
          <cell r="BG16">
            <v>0.72379670261637452</v>
          </cell>
          <cell r="BH16">
            <v>0.84796069055404699</v>
          </cell>
        </row>
        <row r="17">
          <cell r="J17">
            <v>0.90800433541419712</v>
          </cell>
          <cell r="K17">
            <v>0.81573524900343608</v>
          </cell>
          <cell r="R17">
            <v>47.651000000000003</v>
          </cell>
          <cell r="S17">
            <v>389.87</v>
          </cell>
          <cell r="X17">
            <v>84.441705680003594</v>
          </cell>
          <cell r="Y17">
            <v>78.322981034594434</v>
          </cell>
          <cell r="AD17">
            <v>2.0608171916643929</v>
          </cell>
          <cell r="AE17">
            <v>2.0319593710724084</v>
          </cell>
          <cell r="AP17">
            <v>892.18759462935873</v>
          </cell>
          <cell r="AQ17">
            <v>938.40587843887613</v>
          </cell>
          <cell r="AV17">
            <v>0</v>
          </cell>
          <cell r="AW17">
            <v>51.313514761330843</v>
          </cell>
          <cell r="BB17">
            <v>0</v>
          </cell>
          <cell r="BG17">
            <v>0.90800433541419712</v>
          </cell>
          <cell r="BH17">
            <v>0.85486994802374938</v>
          </cell>
        </row>
        <row r="18">
          <cell r="J18">
            <v>0.87730645200379209</v>
          </cell>
          <cell r="K18">
            <v>0.82184158478513536</v>
          </cell>
          <cell r="R18">
            <v>46.161999999999999</v>
          </cell>
          <cell r="S18">
            <v>436.03199999999998</v>
          </cell>
          <cell r="X18">
            <v>82.269407013608202</v>
          </cell>
          <cell r="Y18">
            <v>78.74078274649456</v>
          </cell>
          <cell r="AD18">
            <v>2.1597851046315153</v>
          </cell>
          <cell r="AE18">
            <v>2.0454920739762219</v>
          </cell>
          <cell r="AP18">
            <v>958.37218738228796</v>
          </cell>
          <cell r="AQ18">
            <v>940.51967915406624</v>
          </cell>
          <cell r="AV18">
            <v>0</v>
          </cell>
          <cell r="AW18">
            <v>45.881036254220007</v>
          </cell>
          <cell r="BB18">
            <v>0</v>
          </cell>
          <cell r="BG18">
            <v>0.87730645200379209</v>
          </cell>
          <cell r="BH18">
            <v>0.85719080094503286</v>
          </cell>
        </row>
        <row r="19">
          <cell r="J19">
            <v>0.99944396243782274</v>
          </cell>
          <cell r="K19">
            <v>0.83805477346431445</v>
          </cell>
          <cell r="R19">
            <v>53.27</v>
          </cell>
          <cell r="S19">
            <v>489.30199999999996</v>
          </cell>
          <cell r="X19">
            <v>72.722178525286722</v>
          </cell>
          <cell r="Y19">
            <v>78.085541102553307</v>
          </cell>
          <cell r="AD19">
            <v>1.8678430636380701</v>
          </cell>
          <cell r="AE19">
            <v>2.0261515383137612</v>
          </cell>
          <cell r="AP19">
            <v>843.13696532946994</v>
          </cell>
          <cell r="AQ19">
            <v>929.91768454657188</v>
          </cell>
          <cell r="AV19">
            <v>0</v>
          </cell>
          <cell r="AW19">
            <v>40.885996787260339</v>
          </cell>
          <cell r="BB19">
            <v>0</v>
          </cell>
          <cell r="BG19">
            <v>0.99944396243782274</v>
          </cell>
          <cell r="BH19">
            <v>0.87068257429555329</v>
          </cell>
        </row>
        <row r="20">
          <cell r="J20">
            <v>0.76135675550880233</v>
          </cell>
          <cell r="K20">
            <v>0.8320330327945471</v>
          </cell>
          <cell r="R20">
            <v>37.874000000000002</v>
          </cell>
          <cell r="S20">
            <v>527.17599999999993</v>
          </cell>
          <cell r="X20">
            <v>101.74130004903685</v>
          </cell>
          <cell r="Y20">
            <v>79.785046038929636</v>
          </cell>
          <cell r="AD20">
            <v>2.2125996725986163</v>
          </cell>
          <cell r="AE20">
            <v>2.0395465650940108</v>
          </cell>
          <cell r="AP20">
            <v>1200.0015199936179</v>
          </cell>
          <cell r="AQ20">
            <v>949.32136601864465</v>
          </cell>
          <cell r="AV20">
            <v>0</v>
          </cell>
          <cell r="AW20">
            <v>37.948616780733687</v>
          </cell>
          <cell r="BB20">
            <v>0</v>
          </cell>
          <cell r="BG20">
            <v>0.76135675550880233</v>
          </cell>
          <cell r="BH20">
            <v>0.86179214750733912</v>
          </cell>
        </row>
        <row r="21">
          <cell r="J21">
            <v>0.21014267007828072</v>
          </cell>
          <cell r="K21">
            <v>0.78431286089659269</v>
          </cell>
          <cell r="R21">
            <v>11.066000000000001</v>
          </cell>
          <cell r="S21">
            <v>538.24199999999996</v>
          </cell>
          <cell r="X21">
            <v>135.03772826832321</v>
          </cell>
          <cell r="Y21">
            <v>80.921014955421597</v>
          </cell>
          <cell r="AD21">
            <v>3.7954093620097593</v>
          </cell>
          <cell r="AE21">
            <v>2.0756462706366285</v>
          </cell>
          <cell r="AP21">
            <v>1491.590640298499</v>
          </cell>
          <cell r="AQ21">
            <v>960.4701648659676</v>
          </cell>
          <cell r="AV21">
            <v>911.06994397252697</v>
          </cell>
          <cell r="AW21">
            <v>55.89957677030042</v>
          </cell>
          <cell r="BB21">
            <v>0</v>
          </cell>
          <cell r="BG21">
            <v>0.43481147372806106</v>
          </cell>
          <cell r="BH21">
            <v>0.8447375257412657</v>
          </cell>
        </row>
        <row r="22">
          <cell r="J22">
            <v>0.94080191820507475</v>
          </cell>
          <cell r="K22">
            <v>0.7956870124836144</v>
          </cell>
          <cell r="R22">
            <v>50.604999999999997</v>
          </cell>
          <cell r="S22">
            <v>588.84699999999998</v>
          </cell>
          <cell r="X22">
            <v>66.845501673673766</v>
          </cell>
          <cell r="Y22">
            <v>79.711377562987138</v>
          </cell>
          <cell r="AD22">
            <v>1.9385436221717223</v>
          </cell>
          <cell r="AE22">
            <v>2.06386378804681</v>
          </cell>
          <cell r="AP22">
            <v>650.47535720938731</v>
          </cell>
          <cell r="AQ22">
            <v>933.82948020346396</v>
          </cell>
          <cell r="AV22">
            <v>504.09248098014035</v>
          </cell>
          <cell r="AW22">
            <v>94.416885880373073</v>
          </cell>
          <cell r="BB22">
            <v>0</v>
          </cell>
          <cell r="BG22">
            <v>0.94080191820507475</v>
          </cell>
          <cell r="BH22">
            <v>0.85221585909826636</v>
          </cell>
        </row>
        <row r="23">
          <cell r="J23">
            <v>0.93572826471668835</v>
          </cell>
          <cell r="K23">
            <v>0.80519688636582643</v>
          </cell>
          <cell r="R23">
            <v>50.451000000000001</v>
          </cell>
          <cell r="S23">
            <v>639.298</v>
          </cell>
          <cell r="X23">
            <v>78.141951711852698</v>
          </cell>
          <cell r="Y23">
            <v>79.58752436210807</v>
          </cell>
          <cell r="AD23">
            <v>1.9920318725099602</v>
          </cell>
          <cell r="AE23">
            <v>2.0581950827313711</v>
          </cell>
          <cell r="AP23">
            <v>723.68251373321652</v>
          </cell>
          <cell r="AQ23">
            <v>917.24546992126307</v>
          </cell>
          <cell r="AV23">
            <v>505.19712195992162</v>
          </cell>
          <cell r="AW23">
            <v>126.83412117666573</v>
          </cell>
          <cell r="BB23">
            <v>0</v>
          </cell>
          <cell r="BG23">
            <v>0.96722294173926193</v>
          </cell>
          <cell r="BH23">
            <v>0.86028836704692768</v>
          </cell>
        </row>
        <row r="24">
          <cell r="J24">
            <v>0.92155099723313738</v>
          </cell>
          <cell r="K24">
            <v>0.81282279007101355</v>
          </cell>
          <cell r="R24">
            <v>51.317999999999998</v>
          </cell>
          <cell r="S24">
            <v>690.61599999999999</v>
          </cell>
          <cell r="X24">
            <v>77.802244347322997</v>
          </cell>
          <cell r="Y24">
            <v>79.454864534072314</v>
          </cell>
          <cell r="AD24">
            <v>1.9837094196967926</v>
          </cell>
          <cell r="AE24">
            <v>2.0526602337623223</v>
          </cell>
          <cell r="AP24">
            <v>802.46523709152871</v>
          </cell>
          <cell r="AQ24">
            <v>908.7164291976826</v>
          </cell>
          <cell r="AV24">
            <v>474.2643906621459</v>
          </cell>
          <cell r="AW24">
            <v>152.65082187496387</v>
          </cell>
          <cell r="BB24">
            <v>0</v>
          </cell>
          <cell r="BG24">
            <v>0.92155099723313738</v>
          </cell>
          <cell r="BH24">
            <v>0.86455911602939395</v>
          </cell>
        </row>
        <row r="25">
          <cell r="J25">
            <v>0.82645030590281643</v>
          </cell>
          <cell r="K25">
            <v>0.81363320157868002</v>
          </cell>
          <cell r="R25">
            <v>44.399000000000001</v>
          </cell>
          <cell r="S25">
            <v>735.01499999999999</v>
          </cell>
          <cell r="X25">
            <v>89.876521270564467</v>
          </cell>
          <cell r="Y25">
            <v>80.084390649108755</v>
          </cell>
          <cell r="AD25">
            <v>2.2545552827766389</v>
          </cell>
          <cell r="AE25">
            <v>2.0648558192689941</v>
          </cell>
          <cell r="AP25">
            <v>906.10886255330877</v>
          </cell>
          <cell r="AQ25">
            <v>908.5589176483353</v>
          </cell>
          <cell r="AV25">
            <v>577.9859906754649</v>
          </cell>
          <cell r="AW25">
            <v>178.34343516798978</v>
          </cell>
          <cell r="BB25">
            <v>0</v>
          </cell>
          <cell r="BG25">
            <v>0.82645030590281643</v>
          </cell>
          <cell r="BH25">
            <v>0.86215767277813871</v>
          </cell>
        </row>
        <row r="26">
          <cell r="J26">
            <v>0.86552458972066693</v>
          </cell>
          <cell r="K26">
            <v>0.81676678934504376</v>
          </cell>
          <cell r="R26">
            <v>50.250999999999998</v>
          </cell>
          <cell r="S26">
            <v>785.26599999999996</v>
          </cell>
          <cell r="X26">
            <v>65.533752255361222</v>
          </cell>
          <cell r="Y26">
            <v>79.153261414016185</v>
          </cell>
          <cell r="AD26">
            <v>2.0258303317346917</v>
          </cell>
          <cell r="AE26">
            <v>2.0623584874424714</v>
          </cell>
          <cell r="AP26">
            <v>654.20694237979365</v>
          </cell>
          <cell r="AQ26">
            <v>892.28234243787222</v>
          </cell>
          <cell r="AV26">
            <v>480.58745099600054</v>
          </cell>
          <cell r="AW26">
            <v>197.68473358072299</v>
          </cell>
          <cell r="BB26">
            <v>0</v>
          </cell>
          <cell r="BG26">
            <v>0.86552458972066693</v>
          </cell>
          <cell r="BH26">
            <v>0.86237234493895742</v>
          </cell>
        </row>
        <row r="27">
          <cell r="J27">
            <v>0.97804333617052686</v>
          </cell>
          <cell r="K27">
            <v>0.8259549529747271</v>
          </cell>
          <cell r="R27">
            <v>56.808</v>
          </cell>
          <cell r="S27">
            <v>842.07399999999996</v>
          </cell>
          <cell r="X27">
            <v>59.431080061953374</v>
          </cell>
          <cell r="Y27">
            <v>77.822763526362635</v>
          </cell>
          <cell r="AD27">
            <v>1.7638360794254331</v>
          </cell>
          <cell r="AE27">
            <v>2.0422195674014398</v>
          </cell>
          <cell r="AP27">
            <v>575.92765825734386</v>
          </cell>
          <cell r="AQ27">
            <v>870.94042130157368</v>
          </cell>
          <cell r="AV27">
            <v>529.49408534009331</v>
          </cell>
          <cell r="AW27">
            <v>220.06925757118739</v>
          </cell>
          <cell r="BB27">
            <v>0</v>
          </cell>
          <cell r="BG27">
            <v>0.97804333617052686</v>
          </cell>
          <cell r="BH27">
            <v>0.86930818981650693</v>
          </cell>
        </row>
        <row r="28">
          <cell r="J28">
            <v>1.172729191075053</v>
          </cell>
          <cell r="K28">
            <v>0.84464631984894312</v>
          </cell>
          <cell r="R28">
            <v>68.116</v>
          </cell>
          <cell r="S28">
            <v>910.18999999999994</v>
          </cell>
          <cell r="X28">
            <v>48.830798765642086</v>
          </cell>
          <cell r="Y28">
            <v>75.653088324875867</v>
          </cell>
          <cell r="AD28">
            <v>1.4871689470902578</v>
          </cell>
          <cell r="AE28">
            <v>2.0006811764576624</v>
          </cell>
          <cell r="AP28">
            <v>523.19804291461401</v>
          </cell>
          <cell r="AQ28">
            <v>844.91638253361748</v>
          </cell>
          <cell r="AV28">
            <v>444.58335780139907</v>
          </cell>
          <cell r="AW28">
            <v>236.87124666278493</v>
          </cell>
          <cell r="BB28">
            <v>0</v>
          </cell>
          <cell r="BG28">
            <v>1.172729191075053</v>
          </cell>
          <cell r="BH28">
            <v>0.88647265685688514</v>
          </cell>
        </row>
        <row r="29">
          <cell r="J29">
            <v>0.98103903291207162</v>
          </cell>
          <cell r="K29">
            <v>0.85162198651670018</v>
          </cell>
          <cell r="R29">
            <v>56.981999999999999</v>
          </cell>
          <cell r="S29">
            <v>967.17199999999991</v>
          </cell>
          <cell r="X29">
            <v>59.420782923194459</v>
          </cell>
          <cell r="Y29">
            <v>74.696744234684459</v>
          </cell>
          <cell r="AD29">
            <v>1.7742444982626091</v>
          </cell>
          <cell r="AE29">
            <v>1.9873404110127255</v>
          </cell>
          <cell r="AP29">
            <v>612.11195630070927</v>
          </cell>
          <cell r="AQ29">
            <v>831.20045422344765</v>
          </cell>
          <cell r="AV29">
            <v>445.84163420028034</v>
          </cell>
          <cell r="AW29">
            <v>249.18296642169187</v>
          </cell>
          <cell r="BB29">
            <v>0</v>
          </cell>
          <cell r="BG29">
            <v>0.98103903291207162</v>
          </cell>
          <cell r="BH29">
            <v>0.89153583533949099</v>
          </cell>
        </row>
        <row r="30">
          <cell r="J30">
            <v>1.0520749223121488</v>
          </cell>
          <cell r="K30">
            <v>0.86137513337730565</v>
          </cell>
          <cell r="R30">
            <v>61.107999999999997</v>
          </cell>
          <cell r="S30">
            <v>1028.28</v>
          </cell>
          <cell r="X30">
            <v>55.770207617873091</v>
          </cell>
          <cell r="Y30">
            <v>73.571989499028689</v>
          </cell>
          <cell r="AD30">
            <v>1.6217189238724881</v>
          </cell>
          <cell r="AE30">
            <v>1.9656124790912977</v>
          </cell>
          <cell r="AP30">
            <v>551.6787537305396</v>
          </cell>
          <cell r="AQ30">
            <v>814.5892081876201</v>
          </cell>
          <cell r="AV30">
            <v>562.22982260914239</v>
          </cell>
          <cell r="AW30">
            <v>267.78652507099235</v>
          </cell>
          <cell r="BB30">
            <v>0</v>
          </cell>
          <cell r="BG30">
            <v>1.0520749223121488</v>
          </cell>
          <cell r="BH30">
            <v>0.89969443902439283</v>
          </cell>
        </row>
        <row r="31">
          <cell r="J31">
            <v>1.0008969980149847</v>
          </cell>
          <cell r="K31">
            <v>0.86783843331033517</v>
          </cell>
          <cell r="R31">
            <v>58.039000000000001</v>
          </cell>
          <cell r="S31">
            <v>1086.319</v>
          </cell>
          <cell r="X31">
            <v>58.368435567905856</v>
          </cell>
          <cell r="Y31">
            <v>72.759705937194241</v>
          </cell>
          <cell r="AD31">
            <v>1.7178104378090595</v>
          </cell>
          <cell r="AE31">
            <v>1.952373105874057</v>
          </cell>
          <cell r="AP31">
            <v>536.9983721973158</v>
          </cell>
          <cell r="AQ31">
            <v>799.75830259723523</v>
          </cell>
          <cell r="AV31">
            <v>532.1380451075986</v>
          </cell>
          <cell r="AW31">
            <v>281.91009086649501</v>
          </cell>
          <cell r="BB31">
            <v>0</v>
          </cell>
          <cell r="BG31">
            <v>1.0008969980149847</v>
          </cell>
          <cell r="BH31">
            <v>0.904581099464558</v>
          </cell>
        </row>
        <row r="32">
          <cell r="J32">
            <v>0.97541657494037493</v>
          </cell>
          <cell r="K32">
            <v>0.87266939613878414</v>
          </cell>
          <cell r="R32">
            <v>57.408000000000001</v>
          </cell>
          <cell r="S32">
            <v>1143.7269999999999</v>
          </cell>
          <cell r="X32">
            <v>60.711923303636155</v>
          </cell>
          <cell r="Y32">
            <v>72.154981990459319</v>
          </cell>
          <cell r="AD32">
            <v>1.7332079152731326</v>
          </cell>
          <cell r="AE32">
            <v>1.9413723729526364</v>
          </cell>
          <cell r="AP32">
            <v>586.99661740987153</v>
          </cell>
          <cell r="AQ32">
            <v>789.07898592180834</v>
          </cell>
          <cell r="AV32">
            <v>568.48669175028681</v>
          </cell>
          <cell r="AW32">
            <v>296.29445838036565</v>
          </cell>
          <cell r="BB32">
            <v>0</v>
          </cell>
          <cell r="BG32">
            <v>0.97541657494037493</v>
          </cell>
          <cell r="BH32">
            <v>0.90789046072418533</v>
          </cell>
        </row>
        <row r="33">
          <cell r="J33">
            <v>0.94562310526503668</v>
          </cell>
          <cell r="K33">
            <v>0.87555914972117055</v>
          </cell>
          <cell r="R33">
            <v>51.116</v>
          </cell>
          <cell r="S33">
            <v>1194.8429999999998</v>
          </cell>
          <cell r="X33">
            <v>66.573206943925726</v>
          </cell>
          <cell r="Y33">
            <v>71.916190774141683</v>
          </cell>
          <cell r="AD33">
            <v>1.8682995539557086</v>
          </cell>
          <cell r="AE33">
            <v>1.9382462800552038</v>
          </cell>
          <cell r="AP33">
            <v>704.39164072971562</v>
          </cell>
          <cell r="AQ33">
            <v>785.45601760141892</v>
          </cell>
          <cell r="AV33">
            <v>463.80391658188677</v>
          </cell>
          <cell r="AW33">
            <v>303.46059942603358</v>
          </cell>
          <cell r="BB33">
            <v>0</v>
          </cell>
          <cell r="BG33">
            <v>0.94562310526503668</v>
          </cell>
          <cell r="BH33">
            <v>0.90944292149249795</v>
          </cell>
        </row>
        <row r="34">
          <cell r="J34">
            <v>0.96121992656477828</v>
          </cell>
          <cell r="K34">
            <v>0.87877113875862145</v>
          </cell>
          <cell r="R34">
            <v>51.101999999999997</v>
          </cell>
          <cell r="S34">
            <v>1245.9449999999999</v>
          </cell>
          <cell r="X34">
            <v>66.402723955508378</v>
          </cell>
          <cell r="Y34">
            <v>71.690057853855635</v>
          </cell>
          <cell r="AD34">
            <v>1.9373018668545263</v>
          </cell>
          <cell r="AE34">
            <v>1.9382075452768781</v>
          </cell>
          <cell r="AP34">
            <v>749.45641835161223</v>
          </cell>
          <cell r="AQ34">
            <v>783.97950658298407</v>
          </cell>
          <cell r="AV34">
            <v>507.42381902861013</v>
          </cell>
          <cell r="AW34">
            <v>311.82607980288071</v>
          </cell>
          <cell r="BB34">
            <v>0</v>
          </cell>
          <cell r="BG34">
            <v>0.96121992656477828</v>
          </cell>
          <cell r="BH34">
            <v>0.91145659556682279</v>
          </cell>
        </row>
        <row r="35">
          <cell r="J35">
            <v>0.92224922923067465</v>
          </cell>
          <cell r="K35">
            <v>0.88031949865542503</v>
          </cell>
          <cell r="R35">
            <v>48.286000000000001</v>
          </cell>
          <cell r="S35">
            <v>1294.231</v>
          </cell>
          <cell r="X35">
            <v>71.113174218260653</v>
          </cell>
          <cell r="Y35">
            <v>71.668535109285031</v>
          </cell>
          <cell r="AD35">
            <v>2.0337157768297227</v>
          </cell>
          <cell r="AE35">
            <v>1.9417708276188714</v>
          </cell>
          <cell r="AP35">
            <v>774.92998555998247</v>
          </cell>
          <cell r="AQ35">
            <v>783.64188125016744</v>
          </cell>
          <cell r="AV35">
            <v>569.10905852628105</v>
          </cell>
          <cell r="AW35">
            <v>321.4249581411666</v>
          </cell>
          <cell r="BB35">
            <v>0</v>
          </cell>
          <cell r="BG35">
            <v>0.92224922923067465</v>
          </cell>
          <cell r="BH35">
            <v>0.91185471576860677</v>
          </cell>
        </row>
        <row r="36">
          <cell r="J36">
            <v>0.92037745636763757</v>
          </cell>
          <cell r="K36">
            <v>0.88169700309473453</v>
          </cell>
          <cell r="R36">
            <v>48.188000000000002</v>
          </cell>
          <cell r="S36">
            <v>1342.4190000000001</v>
          </cell>
          <cell r="X36">
            <v>72.137708251278923</v>
          </cell>
          <cell r="Y36">
            <v>71.685376732776945</v>
          </cell>
          <cell r="AD36">
            <v>1.9569187349547603</v>
          </cell>
          <cell r="AE36">
            <v>1.9423145828537882</v>
          </cell>
          <cell r="AP36">
            <v>796.83140358972105</v>
          </cell>
          <cell r="AQ36">
            <v>784.11533752760272</v>
          </cell>
          <cell r="AV36">
            <v>446.30820951274188</v>
          </cell>
          <cell r="AW36">
            <v>325.9078164120146</v>
          </cell>
          <cell r="BB36">
            <v>0</v>
          </cell>
          <cell r="BG36">
            <v>0.9831925349921351</v>
          </cell>
          <cell r="BH36">
            <v>0.91423588538281364</v>
          </cell>
        </row>
        <row r="37">
          <cell r="J37">
            <v>0.57988669280272775</v>
          </cell>
          <cell r="K37">
            <v>0.87166344679611563</v>
          </cell>
          <cell r="R37">
            <v>30.361000000000001</v>
          </cell>
          <cell r="S37">
            <v>1372.7800000000002</v>
          </cell>
          <cell r="X37">
            <v>86.03394689715455</v>
          </cell>
          <cell r="Y37">
            <v>72.002715955930441</v>
          </cell>
          <cell r="AD37">
            <v>2.3451137973057543</v>
          </cell>
          <cell r="AE37">
            <v>1.9512230656041019</v>
          </cell>
          <cell r="AP37">
            <v>924.29800541871066</v>
          </cell>
          <cell r="AQ37">
            <v>787.21567842697607</v>
          </cell>
          <cell r="AV37">
            <v>922.92743980764828</v>
          </cell>
          <cell r="AW37">
            <v>339.11176226343633</v>
          </cell>
          <cell r="BB37">
            <v>0</v>
          </cell>
          <cell r="BG37">
            <v>0.71554142042495972</v>
          </cell>
          <cell r="BH37">
            <v>0.90865548485294279</v>
          </cell>
        </row>
        <row r="38">
          <cell r="J38">
            <v>0.83708289183368101</v>
          </cell>
          <cell r="K38">
            <v>0.87054860765188713</v>
          </cell>
          <cell r="R38">
            <v>43.917000000000002</v>
          </cell>
          <cell r="S38">
            <v>1416.6970000000001</v>
          </cell>
          <cell r="X38">
            <v>73.803993236428269</v>
          </cell>
          <cell r="Y38">
            <v>72.058554779848066</v>
          </cell>
          <cell r="AD38">
            <v>2.0470432861989662</v>
          </cell>
          <cell r="AE38">
            <v>1.9541934513872756</v>
          </cell>
          <cell r="AP38">
            <v>946.51857128527718</v>
          </cell>
          <cell r="AQ38">
            <v>792.15399985044087</v>
          </cell>
          <cell r="AV38">
            <v>529.8927522371747</v>
          </cell>
          <cell r="AW38">
            <v>345.02589121032952</v>
          </cell>
          <cell r="BB38">
            <v>0</v>
          </cell>
          <cell r="BG38">
            <v>0.93939138499331198</v>
          </cell>
          <cell r="BH38">
            <v>0.90957804570983836</v>
          </cell>
        </row>
      </sheetData>
      <sheetData sheetId="2"/>
      <sheetData sheetId="3"/>
      <sheetData sheetId="4"/>
      <sheetData sheetId="5">
        <row r="177">
          <cell r="X177">
            <v>0.87054860765188713</v>
          </cell>
        </row>
      </sheetData>
      <sheetData sheetId="6">
        <row r="176">
          <cell r="X176">
            <v>0.90957804570983825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ff all value"/>
      <sheetName val="Report1"/>
      <sheetName val="GRAFIK"/>
      <sheetName val="Listrik"/>
      <sheetName val="Trim Rwd"/>
      <sheetName val="Efficiency1"/>
      <sheetName val="Efficiency2"/>
      <sheetName val="Chem"/>
      <sheetName val="RBP"/>
      <sheetName val="BB"/>
      <sheetName val="Sheet1"/>
      <sheetName val="summary"/>
      <sheetName val="30"/>
      <sheetName val="29"/>
      <sheetName val="28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5"/>
      <sheetName val="4"/>
      <sheetName val="3"/>
      <sheetName val="2"/>
      <sheetName val="1"/>
      <sheetName val="31"/>
      <sheetName val="eff all value (2)"/>
    </sheetNames>
    <sheetDataSet>
      <sheetData sheetId="0" refreshError="1"/>
      <sheetData sheetId="1" refreshError="1">
        <row r="9">
          <cell r="J9">
            <v>0.65849772065240852</v>
          </cell>
        </row>
        <row r="10">
          <cell r="AR10">
            <v>0</v>
          </cell>
          <cell r="AS10">
            <v>0</v>
          </cell>
        </row>
        <row r="11">
          <cell r="AR11">
            <v>0</v>
          </cell>
          <cell r="AS11">
            <v>0</v>
          </cell>
        </row>
        <row r="12">
          <cell r="AR12">
            <v>0</v>
          </cell>
          <cell r="AS12">
            <v>0</v>
          </cell>
        </row>
        <row r="13">
          <cell r="AR13">
            <v>0</v>
          </cell>
          <cell r="AS13">
            <v>0</v>
          </cell>
        </row>
        <row r="14">
          <cell r="AR14">
            <v>0</v>
          </cell>
          <cell r="AS14">
            <v>0</v>
          </cell>
        </row>
        <row r="15">
          <cell r="AR15">
            <v>0</v>
          </cell>
          <cell r="AS15">
            <v>0</v>
          </cell>
        </row>
        <row r="16">
          <cell r="AR16">
            <v>0</v>
          </cell>
          <cell r="AS16">
            <v>0</v>
          </cell>
        </row>
        <row r="17">
          <cell r="AR17">
            <v>0</v>
          </cell>
          <cell r="AS17">
            <v>0</v>
          </cell>
        </row>
        <row r="18">
          <cell r="AR18">
            <v>0</v>
          </cell>
          <cell r="AS18">
            <v>0</v>
          </cell>
        </row>
        <row r="19">
          <cell r="AR19">
            <v>0</v>
          </cell>
          <cell r="AS19">
            <v>0</v>
          </cell>
        </row>
        <row r="20">
          <cell r="AR20">
            <v>0</v>
          </cell>
          <cell r="AS20">
            <v>0</v>
          </cell>
        </row>
        <row r="21">
          <cell r="AR21">
            <v>0</v>
          </cell>
          <cell r="AS21">
            <v>0</v>
          </cell>
        </row>
        <row r="22">
          <cell r="AR22">
            <v>0</v>
          </cell>
          <cell r="AS22">
            <v>0</v>
          </cell>
        </row>
        <row r="23">
          <cell r="AR23">
            <v>0</v>
          </cell>
          <cell r="AS23">
            <v>0</v>
          </cell>
        </row>
        <row r="24">
          <cell r="AR24">
            <v>0</v>
          </cell>
          <cell r="AS24">
            <v>0</v>
          </cell>
        </row>
        <row r="25">
          <cell r="AR25">
            <v>0</v>
          </cell>
          <cell r="AS25">
            <v>0</v>
          </cell>
        </row>
        <row r="26">
          <cell r="AR26">
            <v>0</v>
          </cell>
          <cell r="AS26">
            <v>0</v>
          </cell>
        </row>
        <row r="27">
          <cell r="AR27">
            <v>0</v>
          </cell>
          <cell r="AS27">
            <v>0</v>
          </cell>
        </row>
        <row r="28">
          <cell r="AR28">
            <v>0</v>
          </cell>
          <cell r="AS28">
            <v>0</v>
          </cell>
        </row>
        <row r="29">
          <cell r="AR29">
            <v>0</v>
          </cell>
          <cell r="AS29">
            <v>0</v>
          </cell>
        </row>
        <row r="30">
          <cell r="AR30">
            <v>0</v>
          </cell>
          <cell r="AS30">
            <v>0</v>
          </cell>
        </row>
        <row r="31">
          <cell r="AR31">
            <v>0</v>
          </cell>
          <cell r="AS31">
            <v>0</v>
          </cell>
        </row>
        <row r="32">
          <cell r="AR32">
            <v>0</v>
          </cell>
          <cell r="AS32">
            <v>0</v>
          </cell>
        </row>
        <row r="33">
          <cell r="AR33">
            <v>0</v>
          </cell>
          <cell r="AS33">
            <v>0</v>
          </cell>
        </row>
        <row r="34">
          <cell r="AR34">
            <v>0</v>
          </cell>
          <cell r="AS34">
            <v>0</v>
          </cell>
        </row>
        <row r="35">
          <cell r="AR35">
            <v>0</v>
          </cell>
          <cell r="AS35">
            <v>0</v>
          </cell>
        </row>
        <row r="36">
          <cell r="AR36">
            <v>0</v>
          </cell>
          <cell r="AS36">
            <v>0</v>
          </cell>
        </row>
        <row r="37">
          <cell r="AR37">
            <v>0</v>
          </cell>
          <cell r="AS37">
            <v>0</v>
          </cell>
        </row>
        <row r="38">
          <cell r="AR38">
            <v>0</v>
          </cell>
          <cell r="AS38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"/>
      <sheetName val="DailyJan"/>
      <sheetName val="Feb"/>
      <sheetName val="DailyFeb"/>
      <sheetName val="Mar"/>
      <sheetName val="Dailymar"/>
      <sheetName val="Apr"/>
      <sheetName val="Apr 13"/>
      <sheetName val="DailyApr"/>
      <sheetName val="Mei"/>
      <sheetName val="DailyMe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D7">
            <v>0</v>
          </cell>
          <cell r="E7">
            <v>0</v>
          </cell>
          <cell r="F7">
            <v>5500</v>
          </cell>
          <cell r="G7">
            <v>8500</v>
          </cell>
          <cell r="H7">
            <v>6600.0000000003638</v>
          </cell>
          <cell r="I7">
            <v>19833.009999999271</v>
          </cell>
          <cell r="J7">
            <v>6383.0100000015009</v>
          </cell>
          <cell r="K7">
            <v>8000</v>
          </cell>
          <cell r="L7">
            <v>370</v>
          </cell>
          <cell r="M7">
            <v>500</v>
          </cell>
        </row>
        <row r="8">
          <cell r="D8">
            <v>0</v>
          </cell>
          <cell r="E8">
            <v>0</v>
          </cell>
          <cell r="F8">
            <v>6000</v>
          </cell>
          <cell r="G8">
            <v>8700.0000000007276</v>
          </cell>
          <cell r="H8">
            <v>7699.9999999998181</v>
          </cell>
          <cell r="I8">
            <v>21705.210000000727</v>
          </cell>
          <cell r="J8">
            <v>7425.2099999984976</v>
          </cell>
          <cell r="K8">
            <v>8100.0000000003638</v>
          </cell>
          <cell r="L8">
            <v>370</v>
          </cell>
          <cell r="M8">
            <v>550</v>
          </cell>
        </row>
        <row r="9">
          <cell r="D9">
            <v>0</v>
          </cell>
          <cell r="E9">
            <v>0</v>
          </cell>
          <cell r="F9">
            <v>5800</v>
          </cell>
          <cell r="G9">
            <v>8499.9999999992724</v>
          </cell>
          <cell r="H9">
            <v>7300.0000000001819</v>
          </cell>
          <cell r="I9">
            <v>18601.109999999273</v>
          </cell>
          <cell r="J9">
            <v>6331.1100000004099</v>
          </cell>
          <cell r="K9">
            <v>7600.0000000003638</v>
          </cell>
          <cell r="L9">
            <v>400</v>
          </cell>
          <cell r="M9">
            <v>560</v>
          </cell>
        </row>
        <row r="10">
          <cell r="D10">
            <v>0</v>
          </cell>
          <cell r="E10">
            <v>0</v>
          </cell>
          <cell r="F10">
            <v>5800</v>
          </cell>
          <cell r="G10">
            <v>8099.9999999996362</v>
          </cell>
          <cell r="H10">
            <v>7000</v>
          </cell>
          <cell r="I10">
            <v>17213.689999999635</v>
          </cell>
          <cell r="J10">
            <v>5883.6900000007281</v>
          </cell>
          <cell r="K10">
            <v>7500</v>
          </cell>
          <cell r="L10">
            <v>380</v>
          </cell>
          <cell r="M10">
            <v>500</v>
          </cell>
        </row>
        <row r="11">
          <cell r="D11">
            <v>0</v>
          </cell>
          <cell r="E11">
            <v>0</v>
          </cell>
          <cell r="F11">
            <v>6000</v>
          </cell>
          <cell r="G11">
            <v>8100.0000000003638</v>
          </cell>
          <cell r="H11">
            <v>6199.9999999998181</v>
          </cell>
          <cell r="I11">
            <v>13857.440000001456</v>
          </cell>
          <cell r="J11">
            <v>5927.4400000002997</v>
          </cell>
          <cell r="K11">
            <v>7399.9999999996362</v>
          </cell>
          <cell r="L11">
            <v>350</v>
          </cell>
          <cell r="M11">
            <v>530</v>
          </cell>
        </row>
        <row r="12">
          <cell r="D12">
            <v>0</v>
          </cell>
          <cell r="E12">
            <v>0</v>
          </cell>
          <cell r="F12">
            <v>6000</v>
          </cell>
          <cell r="G12">
            <v>8300.0000000010914</v>
          </cell>
          <cell r="H12">
            <v>7399.9999999996362</v>
          </cell>
          <cell r="I12">
            <v>16320.449999999637</v>
          </cell>
          <cell r="J12">
            <v>6160.4499999993168</v>
          </cell>
          <cell r="K12">
            <v>7299.9999999992724</v>
          </cell>
          <cell r="L12">
            <v>350</v>
          </cell>
          <cell r="M12">
            <v>550</v>
          </cell>
        </row>
        <row r="13">
          <cell r="D13">
            <v>0</v>
          </cell>
          <cell r="E13">
            <v>0</v>
          </cell>
          <cell r="F13">
            <v>6000</v>
          </cell>
          <cell r="G13">
            <v>8500</v>
          </cell>
          <cell r="H13">
            <v>7900.0000000005457</v>
          </cell>
          <cell r="I13">
            <v>18091.150000000365</v>
          </cell>
          <cell r="J13">
            <v>6121.150000000659</v>
          </cell>
          <cell r="K13">
            <v>7400.0000000014552</v>
          </cell>
          <cell r="L13">
            <v>360</v>
          </cell>
          <cell r="M13">
            <v>560</v>
          </cell>
        </row>
        <row r="14">
          <cell r="D14">
            <v>0</v>
          </cell>
          <cell r="E14">
            <v>0</v>
          </cell>
          <cell r="F14">
            <v>6100</v>
          </cell>
          <cell r="G14">
            <v>8699.9999999992724</v>
          </cell>
          <cell r="H14">
            <v>7899.9999999996362</v>
          </cell>
          <cell r="I14">
            <v>19886.46</v>
          </cell>
          <cell r="J14">
            <v>7316.4600000000673</v>
          </cell>
          <cell r="K14">
            <v>7699.9999999989086</v>
          </cell>
          <cell r="L14">
            <v>370</v>
          </cell>
          <cell r="M14">
            <v>590</v>
          </cell>
        </row>
        <row r="15">
          <cell r="D15">
            <v>0</v>
          </cell>
          <cell r="E15">
            <v>0</v>
          </cell>
          <cell r="F15">
            <v>5700</v>
          </cell>
          <cell r="G15">
            <v>8300</v>
          </cell>
          <cell r="H15">
            <v>7500</v>
          </cell>
          <cell r="I15">
            <v>17677.39</v>
          </cell>
          <cell r="J15">
            <v>5837.3899999995883</v>
          </cell>
          <cell r="K15">
            <v>7500</v>
          </cell>
          <cell r="L15">
            <v>370</v>
          </cell>
          <cell r="M15">
            <v>540</v>
          </cell>
        </row>
        <row r="16">
          <cell r="D16">
            <v>0</v>
          </cell>
          <cell r="E16">
            <v>0</v>
          </cell>
          <cell r="F16">
            <v>6000</v>
          </cell>
          <cell r="G16">
            <v>9000</v>
          </cell>
          <cell r="H16">
            <v>5300.0000000001819</v>
          </cell>
          <cell r="I16">
            <v>13700.569999999272</v>
          </cell>
          <cell r="J16">
            <v>7840.5700000000697</v>
          </cell>
          <cell r="K16">
            <v>14700.000000000728</v>
          </cell>
          <cell r="L16">
            <v>470</v>
          </cell>
          <cell r="M16">
            <v>700</v>
          </cell>
        </row>
        <row r="17">
          <cell r="D17">
            <v>0</v>
          </cell>
          <cell r="E17">
            <v>0</v>
          </cell>
          <cell r="F17">
            <v>5900</v>
          </cell>
          <cell r="G17">
            <v>8100</v>
          </cell>
          <cell r="H17">
            <v>5199.9999999998181</v>
          </cell>
          <cell r="I17">
            <v>13119.830000000364</v>
          </cell>
          <cell r="J17">
            <v>8079.8299999999981</v>
          </cell>
          <cell r="K17">
            <v>14899.999999999636</v>
          </cell>
          <cell r="L17">
            <v>480</v>
          </cell>
          <cell r="M17">
            <v>750</v>
          </cell>
        </row>
        <row r="18">
          <cell r="D18">
            <v>0</v>
          </cell>
          <cell r="E18">
            <v>0</v>
          </cell>
          <cell r="F18">
            <v>6000</v>
          </cell>
          <cell r="G18">
            <v>9000</v>
          </cell>
          <cell r="H18">
            <v>5300.0000000001819</v>
          </cell>
          <cell r="I18">
            <v>14352.079999999272</v>
          </cell>
          <cell r="J18">
            <v>8092.0800000002973</v>
          </cell>
          <cell r="K18">
            <v>14899.999999999636</v>
          </cell>
          <cell r="L18">
            <v>510</v>
          </cell>
          <cell r="M18">
            <v>760</v>
          </cell>
        </row>
        <row r="19">
          <cell r="D19">
            <v>0</v>
          </cell>
          <cell r="E19">
            <v>0</v>
          </cell>
          <cell r="F19">
            <v>4700</v>
          </cell>
          <cell r="G19">
            <v>6300</v>
          </cell>
          <cell r="H19">
            <v>3800.0000000001819</v>
          </cell>
          <cell r="I19">
            <v>9704.5699999996359</v>
          </cell>
          <cell r="J19">
            <v>5704.5699999989756</v>
          </cell>
          <cell r="K19">
            <v>10899.999999999636</v>
          </cell>
          <cell r="L19">
            <v>390</v>
          </cell>
          <cell r="M19">
            <v>580</v>
          </cell>
        </row>
        <row r="20">
          <cell r="D20">
            <v>0</v>
          </cell>
          <cell r="E20">
            <v>0</v>
          </cell>
          <cell r="F20">
            <v>5900</v>
          </cell>
          <cell r="G20">
            <v>8899.9999999992724</v>
          </cell>
          <cell r="H20">
            <v>5300.0000000001819</v>
          </cell>
          <cell r="I20">
            <v>13111.170000001091</v>
          </cell>
          <cell r="J20">
            <v>7971.1699999999564</v>
          </cell>
          <cell r="K20">
            <v>14200.000000000728</v>
          </cell>
          <cell r="L20">
            <v>500</v>
          </cell>
          <cell r="M20">
            <v>740</v>
          </cell>
        </row>
        <row r="21">
          <cell r="D21">
            <v>0</v>
          </cell>
          <cell r="E21">
            <v>0</v>
          </cell>
          <cell r="F21">
            <v>6000</v>
          </cell>
          <cell r="G21">
            <v>9200.0000000007276</v>
          </cell>
          <cell r="H21">
            <v>5299.9999999992724</v>
          </cell>
          <cell r="I21">
            <v>13696.179999999636</v>
          </cell>
          <cell r="J21">
            <v>7446.1800000004096</v>
          </cell>
          <cell r="K21">
            <v>14000</v>
          </cell>
          <cell r="L21">
            <v>500</v>
          </cell>
          <cell r="M21">
            <v>730</v>
          </cell>
        </row>
        <row r="22">
          <cell r="D22">
            <v>0</v>
          </cell>
          <cell r="E22">
            <v>0</v>
          </cell>
          <cell r="F22">
            <v>6100</v>
          </cell>
          <cell r="G22">
            <v>8100.0000000007276</v>
          </cell>
          <cell r="H22">
            <v>5300.0000000001819</v>
          </cell>
          <cell r="I22">
            <v>14503.170000000364</v>
          </cell>
          <cell r="J22">
            <v>9353.1699999999546</v>
          </cell>
          <cell r="K22">
            <v>14600.000000000364</v>
          </cell>
          <cell r="L22">
            <v>520</v>
          </cell>
          <cell r="M22">
            <v>740</v>
          </cell>
        </row>
        <row r="23">
          <cell r="D23">
            <v>0</v>
          </cell>
          <cell r="E23">
            <v>0</v>
          </cell>
          <cell r="F23">
            <v>5900</v>
          </cell>
          <cell r="G23">
            <v>8799.9999999989086</v>
          </cell>
          <cell r="H23">
            <v>5300.0000000001819</v>
          </cell>
          <cell r="I23">
            <v>13094.920000000364</v>
          </cell>
          <cell r="J23">
            <v>7844.919999999227</v>
          </cell>
          <cell r="K23">
            <v>14399.999999999636</v>
          </cell>
          <cell r="L23">
            <v>490</v>
          </cell>
          <cell r="M23">
            <v>750</v>
          </cell>
        </row>
        <row r="24">
          <cell r="D24">
            <v>0</v>
          </cell>
          <cell r="E24">
            <v>0</v>
          </cell>
          <cell r="F24">
            <v>5800</v>
          </cell>
          <cell r="G24">
            <v>8300.0000000003638</v>
          </cell>
          <cell r="H24">
            <v>5100.0000000003638</v>
          </cell>
          <cell r="I24">
            <v>12216.889999998908</v>
          </cell>
          <cell r="J24">
            <v>6986.8900000003632</v>
          </cell>
          <cell r="K24">
            <v>13799.999999999272</v>
          </cell>
          <cell r="L24">
            <v>480</v>
          </cell>
          <cell r="M24">
            <v>690</v>
          </cell>
        </row>
        <row r="25">
          <cell r="D25">
            <v>0</v>
          </cell>
          <cell r="E25">
            <v>0</v>
          </cell>
          <cell r="F25">
            <v>6100</v>
          </cell>
          <cell r="G25">
            <v>8900</v>
          </cell>
          <cell r="H25">
            <v>5299.9999999992724</v>
          </cell>
          <cell r="I25">
            <v>14462.230000000363</v>
          </cell>
          <cell r="J25">
            <v>8888.2300000004325</v>
          </cell>
          <cell r="K25">
            <v>15200.000000000728</v>
          </cell>
          <cell r="L25">
            <v>527</v>
          </cell>
          <cell r="M25">
            <v>765</v>
          </cell>
        </row>
        <row r="26">
          <cell r="D26">
            <v>0</v>
          </cell>
          <cell r="E26">
            <v>0</v>
          </cell>
          <cell r="F26">
            <v>5600</v>
          </cell>
          <cell r="G26">
            <v>7400</v>
          </cell>
          <cell r="H26">
            <v>4300.0000000001819</v>
          </cell>
          <cell r="I26">
            <v>10792.09</v>
          </cell>
          <cell r="J26">
            <v>8374.089999999931</v>
          </cell>
          <cell r="K26">
            <v>13000</v>
          </cell>
          <cell r="L26">
            <v>443</v>
          </cell>
          <cell r="M26">
            <v>675</v>
          </cell>
        </row>
        <row r="27">
          <cell r="D27">
            <v>0</v>
          </cell>
          <cell r="E27">
            <v>0</v>
          </cell>
          <cell r="F27">
            <v>5900</v>
          </cell>
          <cell r="G27">
            <v>7100</v>
          </cell>
          <cell r="H27">
            <v>5699.9999999998181</v>
          </cell>
          <cell r="I27">
            <v>14713.67</v>
          </cell>
          <cell r="J27">
            <v>9057.6700000000455</v>
          </cell>
          <cell r="K27">
            <v>12000</v>
          </cell>
          <cell r="L27">
            <v>360</v>
          </cell>
          <cell r="M27">
            <v>500</v>
          </cell>
        </row>
        <row r="28">
          <cell r="D28">
            <v>0</v>
          </cell>
          <cell r="E28">
            <v>0</v>
          </cell>
          <cell r="F28">
            <v>5900</v>
          </cell>
          <cell r="G28">
            <v>3100</v>
          </cell>
          <cell r="H28">
            <v>7800.0000000001819</v>
          </cell>
          <cell r="I28">
            <v>19893.099999999999</v>
          </cell>
          <cell r="J28">
            <v>7145.1000000000449</v>
          </cell>
          <cell r="K28">
            <v>8000</v>
          </cell>
          <cell r="L28">
            <v>380</v>
          </cell>
          <cell r="M28">
            <v>620</v>
          </cell>
        </row>
        <row r="29">
          <cell r="D29">
            <v>0</v>
          </cell>
          <cell r="E29">
            <v>0</v>
          </cell>
          <cell r="F29">
            <v>6000</v>
          </cell>
          <cell r="G29">
            <v>12600.000000000364</v>
          </cell>
          <cell r="H29">
            <v>5100.0000000003638</v>
          </cell>
          <cell r="I29">
            <v>11382.219999999272</v>
          </cell>
          <cell r="J29">
            <v>7998.2200000006869</v>
          </cell>
          <cell r="K29">
            <v>9899.9999999996362</v>
          </cell>
          <cell r="L29">
            <v>360</v>
          </cell>
          <cell r="M29">
            <v>620</v>
          </cell>
        </row>
        <row r="30">
          <cell r="D30">
            <v>0</v>
          </cell>
          <cell r="E30">
            <v>0</v>
          </cell>
          <cell r="F30">
            <v>5900</v>
          </cell>
          <cell r="G30">
            <v>7700.0000000003638</v>
          </cell>
          <cell r="H30">
            <v>4899.9999999996362</v>
          </cell>
          <cell r="I30">
            <v>10813.810000001455</v>
          </cell>
          <cell r="J30">
            <v>8253.809999999221</v>
          </cell>
          <cell r="K30">
            <v>9399.9999999996362</v>
          </cell>
          <cell r="L30">
            <v>450</v>
          </cell>
          <cell r="M30">
            <v>610</v>
          </cell>
        </row>
        <row r="31">
          <cell r="D31">
            <v>0</v>
          </cell>
          <cell r="E31">
            <v>0</v>
          </cell>
          <cell r="F31">
            <v>5800</v>
          </cell>
          <cell r="G31">
            <v>7799.9999999985448</v>
          </cell>
          <cell r="H31">
            <v>7900.0000000005457</v>
          </cell>
          <cell r="I31">
            <v>18503.699999999637</v>
          </cell>
          <cell r="J31">
            <v>8153.6999999996369</v>
          </cell>
          <cell r="K31">
            <v>7900.0000000014552</v>
          </cell>
          <cell r="L31">
            <v>370</v>
          </cell>
          <cell r="M31">
            <v>590</v>
          </cell>
        </row>
        <row r="32">
          <cell r="D32">
            <v>0</v>
          </cell>
          <cell r="E32">
            <v>0</v>
          </cell>
          <cell r="F32">
            <v>5900</v>
          </cell>
          <cell r="G32">
            <v>7300.0000000007276</v>
          </cell>
          <cell r="H32">
            <v>8099.9999999994543</v>
          </cell>
          <cell r="I32">
            <v>19459.609999999637</v>
          </cell>
          <cell r="J32">
            <v>9305.6100000004117</v>
          </cell>
          <cell r="K32">
            <v>7799.9999999992724</v>
          </cell>
          <cell r="L32">
            <v>378.76000000000931</v>
          </cell>
          <cell r="M32">
            <v>620.11999999999534</v>
          </cell>
        </row>
        <row r="33">
          <cell r="D33">
            <v>0</v>
          </cell>
          <cell r="E33">
            <v>0</v>
          </cell>
          <cell r="F33">
            <v>5700</v>
          </cell>
          <cell r="G33">
            <v>8300</v>
          </cell>
          <cell r="H33">
            <v>8100.0000000003638</v>
          </cell>
          <cell r="I33">
            <v>17505.849999999999</v>
          </cell>
          <cell r="J33">
            <v>6766.8499999999576</v>
          </cell>
          <cell r="K33">
            <v>8000</v>
          </cell>
          <cell r="L33">
            <v>334.67999999993481</v>
          </cell>
          <cell r="M33">
            <v>677.55999999999767</v>
          </cell>
        </row>
        <row r="34">
          <cell r="D34">
            <v>0</v>
          </cell>
          <cell r="E34">
            <v>0</v>
          </cell>
          <cell r="F34">
            <v>5600</v>
          </cell>
          <cell r="G34">
            <v>7400</v>
          </cell>
          <cell r="H34">
            <v>6300.0000000001819</v>
          </cell>
          <cell r="I34">
            <v>14117.06</v>
          </cell>
          <cell r="J34">
            <v>6258.060000000045</v>
          </cell>
          <cell r="K34">
            <v>14000</v>
          </cell>
          <cell r="L34">
            <v>426.1600000000326</v>
          </cell>
          <cell r="M34">
            <v>667.9199999999837</v>
          </cell>
        </row>
        <row r="35">
          <cell r="D35">
            <v>9.9999997764825821E-3</v>
          </cell>
          <cell r="E35">
            <v>0</v>
          </cell>
          <cell r="F35">
            <v>5200</v>
          </cell>
          <cell r="G35">
            <v>6799.9900000002235</v>
          </cell>
          <cell r="H35">
            <v>5599.9999999994543</v>
          </cell>
          <cell r="I35">
            <v>14223.87</v>
          </cell>
          <cell r="J35">
            <v>6876.8699999999553</v>
          </cell>
          <cell r="K35">
            <v>13000</v>
          </cell>
          <cell r="L35">
            <v>422.47999999998137</v>
          </cell>
          <cell r="M35">
            <v>659.48000000003958</v>
          </cell>
        </row>
        <row r="36">
          <cell r="D36">
            <v>0</v>
          </cell>
          <cell r="E36">
            <v>0</v>
          </cell>
          <cell r="F36">
            <v>5800</v>
          </cell>
          <cell r="G36">
            <v>7200</v>
          </cell>
          <cell r="H36">
            <v>5900.0000000005457</v>
          </cell>
          <cell r="I36">
            <v>15113.09</v>
          </cell>
          <cell r="J36">
            <v>8962.0899999999492</v>
          </cell>
          <cell r="K36">
            <v>14000</v>
          </cell>
          <cell r="L36">
            <v>418.80000000004657</v>
          </cell>
          <cell r="M36">
            <v>694.76000000000931</v>
          </cell>
        </row>
        <row r="38">
          <cell r="N38">
            <v>1647061.9000000015</v>
          </cell>
        </row>
      </sheetData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CK152"/>
    </sheetView>
  </sheetViews>
  <sheetFormatPr defaultRowHeight="12.75"/>
  <cols>
    <col min="1" max="1" width="11.5703125" customWidth="1"/>
    <col min="2" max="9" width="9.140625" customWidth="1"/>
    <col min="10" max="10" width="10.28515625" customWidth="1"/>
    <col min="11" max="11" width="9.140625" customWidth="1"/>
    <col min="12" max="25" width="9.42578125" customWidth="1"/>
    <col min="26" max="34" width="9.140625" customWidth="1"/>
    <col min="35" max="35" width="9.28515625" customWidth="1"/>
    <col min="36" max="36" width="10.28515625" customWidth="1"/>
    <col min="37" max="51" width="9.140625" customWidth="1"/>
    <col min="52" max="52" width="12.85546875" customWidth="1"/>
    <col min="53" max="71" width="9.14062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CK152"/>
    </sheetView>
  </sheetViews>
  <sheetFormatPr defaultRowHeight="12.75"/>
  <cols>
    <col min="1" max="1" width="11.5703125" customWidth="1"/>
    <col min="2" max="9" width="9.140625" customWidth="1"/>
    <col min="10" max="10" width="10.28515625" customWidth="1"/>
    <col min="11" max="11" width="9.140625" customWidth="1"/>
    <col min="12" max="25" width="9.42578125" customWidth="1"/>
    <col min="26" max="34" width="9.140625" customWidth="1"/>
    <col min="35" max="35" width="9.28515625" customWidth="1"/>
    <col min="36" max="36" width="10.28515625" customWidth="1"/>
    <col min="37" max="51" width="9.140625" customWidth="1"/>
    <col min="52" max="52" width="12.85546875" customWidth="1"/>
    <col min="53" max="71" width="9.1406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CK152"/>
    </sheetView>
  </sheetViews>
  <sheetFormatPr defaultRowHeight="12.75"/>
  <cols>
    <col min="1" max="1" width="11.5703125" customWidth="1"/>
    <col min="2" max="9" width="9.140625" customWidth="1"/>
    <col min="10" max="10" width="10.28515625" customWidth="1"/>
    <col min="11" max="11" width="9.140625" customWidth="1"/>
    <col min="12" max="25" width="9.42578125" customWidth="1"/>
    <col min="26" max="34" width="9.140625" customWidth="1"/>
    <col min="35" max="35" width="9.28515625" customWidth="1"/>
    <col min="36" max="36" width="10.28515625" customWidth="1"/>
    <col min="37" max="51" width="9.140625" customWidth="1"/>
    <col min="52" max="52" width="12.85546875" customWidth="1"/>
    <col min="53" max="71" width="9.1406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CK152"/>
    </sheetView>
  </sheetViews>
  <sheetFormatPr defaultRowHeight="12.75"/>
  <cols>
    <col min="1" max="1" width="11.5703125" customWidth="1"/>
    <col min="2" max="9" width="9.140625" customWidth="1"/>
    <col min="10" max="10" width="10.28515625" customWidth="1"/>
    <col min="11" max="11" width="9.140625" customWidth="1"/>
    <col min="12" max="25" width="9.42578125" customWidth="1"/>
    <col min="26" max="34" width="9.140625" customWidth="1"/>
    <col min="35" max="35" width="9.28515625" customWidth="1"/>
    <col min="36" max="36" width="10.28515625" customWidth="1"/>
    <col min="37" max="51" width="9.140625" customWidth="1"/>
    <col min="52" max="52" width="12.85546875" customWidth="1"/>
    <col min="53" max="71" width="9.140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CK152"/>
    </sheetView>
  </sheetViews>
  <sheetFormatPr defaultRowHeight="12.75"/>
  <cols>
    <col min="1" max="1" width="11.5703125" customWidth="1"/>
    <col min="2" max="9" width="9.140625" customWidth="1"/>
    <col min="10" max="10" width="10.28515625" customWidth="1"/>
    <col min="11" max="11" width="9.140625" customWidth="1"/>
    <col min="12" max="25" width="9.42578125" customWidth="1"/>
    <col min="26" max="34" width="9.140625" customWidth="1"/>
    <col min="35" max="35" width="9.28515625" customWidth="1"/>
    <col min="36" max="36" width="10.28515625" customWidth="1"/>
    <col min="37" max="51" width="9.140625" customWidth="1"/>
    <col min="52" max="52" width="12.85546875" customWidth="1"/>
    <col min="53" max="71" width="9.14062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152"/>
  <sheetViews>
    <sheetView workbookViewId="0">
      <selection sqref="A1:CM152"/>
    </sheetView>
  </sheetViews>
  <sheetFormatPr defaultRowHeight="12.75"/>
  <cols>
    <col min="1" max="1" width="11.5703125" customWidth="1"/>
    <col min="2" max="9" width="9.140625" customWidth="1"/>
    <col min="10" max="10" width="10.28515625" customWidth="1"/>
    <col min="11" max="11" width="9.140625" customWidth="1"/>
    <col min="12" max="25" width="9.42578125" customWidth="1"/>
    <col min="26" max="27" width="9.85546875" customWidth="1"/>
    <col min="28" max="36" width="9.140625" customWidth="1"/>
    <col min="37" max="37" width="9.28515625" customWidth="1"/>
    <col min="38" max="38" width="10.28515625" customWidth="1"/>
    <col min="39" max="53" width="9.140625" customWidth="1"/>
    <col min="54" max="54" width="12.85546875" customWidth="1"/>
    <col min="55" max="73" width="9.140625" customWidth="1"/>
  </cols>
  <sheetData>
    <row r="1" spans="1:91" ht="13.5" thickBot="1">
      <c r="A1" s="629" t="s">
        <v>29</v>
      </c>
      <c r="B1" s="632" t="s">
        <v>149</v>
      </c>
      <c r="C1" s="633"/>
      <c r="D1" s="633"/>
      <c r="E1" s="633"/>
      <c r="F1" s="633"/>
      <c r="G1" s="633"/>
      <c r="H1" s="633"/>
      <c r="I1" s="633"/>
      <c r="J1" s="633"/>
      <c r="K1" s="634"/>
      <c r="L1" s="635" t="s">
        <v>212</v>
      </c>
      <c r="M1" s="636"/>
      <c r="N1" s="636"/>
      <c r="O1" s="636"/>
      <c r="P1" s="636"/>
      <c r="Q1" s="636"/>
      <c r="R1" s="636"/>
      <c r="S1" s="636"/>
      <c r="T1" s="636"/>
      <c r="U1" s="636"/>
      <c r="V1" s="636"/>
      <c r="W1" s="636"/>
      <c r="X1" s="636"/>
      <c r="Y1" s="636"/>
      <c r="Z1" s="636"/>
      <c r="AA1" s="637"/>
      <c r="AB1" s="638" t="s">
        <v>314</v>
      </c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40"/>
      <c r="AP1" s="641" t="s">
        <v>315</v>
      </c>
      <c r="AQ1" s="642"/>
      <c r="AR1" s="642"/>
      <c r="AS1" s="642"/>
      <c r="AT1" s="642"/>
      <c r="AU1" s="642"/>
      <c r="AV1" s="642"/>
      <c r="AW1" s="642"/>
      <c r="AX1" s="642"/>
      <c r="AY1" s="642"/>
      <c r="AZ1" s="642"/>
      <c r="BA1" s="642"/>
      <c r="BB1" s="642"/>
      <c r="BC1" s="642"/>
      <c r="BD1" s="642"/>
      <c r="BE1" s="642"/>
      <c r="BF1" s="642"/>
      <c r="BG1" s="643"/>
      <c r="BH1" s="644" t="s">
        <v>213</v>
      </c>
      <c r="BI1" s="645"/>
      <c r="BJ1" s="645"/>
      <c r="BK1" s="645"/>
      <c r="BL1" s="645"/>
      <c r="BM1" s="645"/>
      <c r="BN1" s="645"/>
      <c r="BO1" s="645"/>
      <c r="BP1" s="645"/>
      <c r="BQ1" s="645"/>
      <c r="BR1" s="645"/>
      <c r="BS1" s="645"/>
      <c r="BT1" s="645"/>
      <c r="BU1" s="646"/>
      <c r="BV1" s="651" t="s">
        <v>316</v>
      </c>
      <c r="BW1" s="652"/>
      <c r="BX1" s="652"/>
      <c r="BY1" s="652"/>
      <c r="BZ1" s="652"/>
      <c r="CA1" s="652"/>
      <c r="CB1" s="652"/>
      <c r="CC1" s="652"/>
      <c r="CD1" s="652"/>
      <c r="CE1" s="652"/>
      <c r="CF1" s="652"/>
      <c r="CG1" s="652"/>
      <c r="CH1" s="652"/>
      <c r="CI1" s="652"/>
      <c r="CJ1" s="652"/>
      <c r="CK1" s="652"/>
      <c r="CL1" s="652"/>
      <c r="CM1" s="652"/>
    </row>
    <row r="2" spans="1:91">
      <c r="A2" s="630"/>
      <c r="B2" s="653" t="s">
        <v>404</v>
      </c>
      <c r="C2" s="648"/>
      <c r="D2" s="647" t="s">
        <v>405</v>
      </c>
      <c r="E2" s="648"/>
      <c r="F2" s="647" t="s">
        <v>214</v>
      </c>
      <c r="G2" s="648"/>
      <c r="H2" s="647" t="s">
        <v>215</v>
      </c>
      <c r="I2" s="648"/>
      <c r="J2" s="647" t="s">
        <v>216</v>
      </c>
      <c r="K2" s="650"/>
      <c r="L2" s="653" t="s">
        <v>404</v>
      </c>
      <c r="M2" s="648"/>
      <c r="N2" s="647" t="s">
        <v>405</v>
      </c>
      <c r="O2" s="648"/>
      <c r="P2" s="647" t="s">
        <v>214</v>
      </c>
      <c r="Q2" s="648"/>
      <c r="R2" s="647" t="s">
        <v>317</v>
      </c>
      <c r="S2" s="648"/>
      <c r="T2" s="647" t="s">
        <v>318</v>
      </c>
      <c r="U2" s="648"/>
      <c r="V2" s="647" t="s">
        <v>216</v>
      </c>
      <c r="W2" s="648"/>
      <c r="X2" s="647" t="s">
        <v>319</v>
      </c>
      <c r="Y2" s="648"/>
      <c r="Z2" s="649" t="s">
        <v>430</v>
      </c>
      <c r="AA2" s="650"/>
      <c r="AB2" s="653" t="s">
        <v>404</v>
      </c>
      <c r="AC2" s="648"/>
      <c r="AD2" s="647" t="s">
        <v>405</v>
      </c>
      <c r="AE2" s="648"/>
      <c r="AF2" s="647" t="s">
        <v>214</v>
      </c>
      <c r="AG2" s="648"/>
      <c r="AH2" s="647" t="s">
        <v>320</v>
      </c>
      <c r="AI2" s="648"/>
      <c r="AJ2" s="647" t="s">
        <v>217</v>
      </c>
      <c r="AK2" s="648"/>
      <c r="AL2" s="647" t="s">
        <v>218</v>
      </c>
      <c r="AM2" s="648"/>
      <c r="AN2" s="654" t="s">
        <v>428</v>
      </c>
      <c r="AO2" s="654"/>
      <c r="AP2" s="653" t="s">
        <v>404</v>
      </c>
      <c r="AQ2" s="648"/>
      <c r="AR2" s="647" t="s">
        <v>405</v>
      </c>
      <c r="AS2" s="648"/>
      <c r="AT2" s="647" t="s">
        <v>214</v>
      </c>
      <c r="AU2" s="648"/>
      <c r="AV2" s="647" t="s">
        <v>320</v>
      </c>
      <c r="AW2" s="648"/>
      <c r="AX2" s="647" t="s">
        <v>217</v>
      </c>
      <c r="AY2" s="648"/>
      <c r="AZ2" s="647" t="s">
        <v>321</v>
      </c>
      <c r="BA2" s="648"/>
      <c r="BB2" s="647" t="s">
        <v>218</v>
      </c>
      <c r="BC2" s="648"/>
      <c r="BD2" s="647" t="s">
        <v>322</v>
      </c>
      <c r="BE2" s="648"/>
      <c r="BF2" s="648" t="s">
        <v>428</v>
      </c>
      <c r="BG2" s="655"/>
      <c r="BH2" s="653" t="s">
        <v>404</v>
      </c>
      <c r="BI2" s="648"/>
      <c r="BJ2" s="647" t="s">
        <v>405</v>
      </c>
      <c r="BK2" s="648"/>
      <c r="BL2" s="647" t="s">
        <v>214</v>
      </c>
      <c r="BM2" s="648"/>
      <c r="BN2" s="647" t="s">
        <v>217</v>
      </c>
      <c r="BO2" s="648"/>
      <c r="BP2" s="647" t="s">
        <v>318</v>
      </c>
      <c r="BQ2" s="648"/>
      <c r="BR2" s="647" t="s">
        <v>218</v>
      </c>
      <c r="BS2" s="648"/>
      <c r="BT2" s="647" t="s">
        <v>430</v>
      </c>
      <c r="BU2" s="650"/>
      <c r="BV2" s="653" t="s">
        <v>404</v>
      </c>
      <c r="BW2" s="648"/>
      <c r="BX2" s="647" t="s">
        <v>405</v>
      </c>
      <c r="BY2" s="648"/>
      <c r="BZ2" s="647" t="s">
        <v>214</v>
      </c>
      <c r="CA2" s="648"/>
      <c r="CB2" s="647" t="s">
        <v>320</v>
      </c>
      <c r="CC2" s="648"/>
      <c r="CD2" s="647" t="s">
        <v>217</v>
      </c>
      <c r="CE2" s="648"/>
      <c r="CF2" s="647" t="s">
        <v>321</v>
      </c>
      <c r="CG2" s="648"/>
      <c r="CH2" s="647" t="s">
        <v>218</v>
      </c>
      <c r="CI2" s="648"/>
      <c r="CJ2" s="666" t="s">
        <v>322</v>
      </c>
      <c r="CK2" s="666"/>
      <c r="CL2" s="666" t="s">
        <v>431</v>
      </c>
      <c r="CM2" s="655"/>
    </row>
    <row r="3" spans="1:91" ht="13.5" thickBot="1">
      <c r="A3" s="631"/>
      <c r="B3" s="508" t="s">
        <v>219</v>
      </c>
      <c r="C3" s="509" t="s">
        <v>220</v>
      </c>
      <c r="D3" s="509" t="s">
        <v>219</v>
      </c>
      <c r="E3" s="509" t="s">
        <v>220</v>
      </c>
      <c r="F3" s="509" t="s">
        <v>219</v>
      </c>
      <c r="G3" s="509" t="s">
        <v>220</v>
      </c>
      <c r="H3" s="509" t="s">
        <v>219</v>
      </c>
      <c r="I3" s="509" t="s">
        <v>220</v>
      </c>
      <c r="J3" s="509" t="s">
        <v>219</v>
      </c>
      <c r="K3" s="510" t="s">
        <v>220</v>
      </c>
      <c r="L3" s="508" t="s">
        <v>219</v>
      </c>
      <c r="M3" s="509" t="s">
        <v>220</v>
      </c>
      <c r="N3" s="509" t="s">
        <v>219</v>
      </c>
      <c r="O3" s="509" t="s">
        <v>220</v>
      </c>
      <c r="P3" s="583" t="s">
        <v>219</v>
      </c>
      <c r="Q3" s="583" t="s">
        <v>220</v>
      </c>
      <c r="R3" s="583" t="s">
        <v>219</v>
      </c>
      <c r="S3" s="583" t="s">
        <v>220</v>
      </c>
      <c r="T3" s="583" t="s">
        <v>219</v>
      </c>
      <c r="U3" s="583" t="s">
        <v>220</v>
      </c>
      <c r="V3" s="583" t="s">
        <v>219</v>
      </c>
      <c r="W3" s="583" t="s">
        <v>220</v>
      </c>
      <c r="X3" s="509" t="s">
        <v>219</v>
      </c>
      <c r="Y3" s="509" t="s">
        <v>220</v>
      </c>
      <c r="Z3" s="592" t="s">
        <v>219</v>
      </c>
      <c r="AA3" s="584" t="s">
        <v>220</v>
      </c>
      <c r="AB3" s="581" t="s">
        <v>219</v>
      </c>
      <c r="AC3" s="583" t="s">
        <v>220</v>
      </c>
      <c r="AD3" s="583" t="s">
        <v>219</v>
      </c>
      <c r="AE3" s="583" t="s">
        <v>220</v>
      </c>
      <c r="AF3" s="583" t="s">
        <v>219</v>
      </c>
      <c r="AG3" s="583" t="s">
        <v>220</v>
      </c>
      <c r="AH3" s="583" t="s">
        <v>219</v>
      </c>
      <c r="AI3" s="583" t="s">
        <v>220</v>
      </c>
      <c r="AJ3" s="583" t="s">
        <v>219</v>
      </c>
      <c r="AK3" s="583" t="s">
        <v>220</v>
      </c>
      <c r="AL3" s="509" t="s">
        <v>219</v>
      </c>
      <c r="AM3" s="509" t="s">
        <v>220</v>
      </c>
      <c r="AN3" s="592" t="s">
        <v>219</v>
      </c>
      <c r="AO3" s="585" t="s">
        <v>220</v>
      </c>
      <c r="AP3" s="581" t="s">
        <v>219</v>
      </c>
      <c r="AQ3" s="583" t="s">
        <v>220</v>
      </c>
      <c r="AR3" s="583" t="s">
        <v>219</v>
      </c>
      <c r="AS3" s="583" t="s">
        <v>220</v>
      </c>
      <c r="AT3" s="583" t="s">
        <v>219</v>
      </c>
      <c r="AU3" s="583" t="s">
        <v>220</v>
      </c>
      <c r="AV3" s="583" t="s">
        <v>219</v>
      </c>
      <c r="AW3" s="583" t="s">
        <v>220</v>
      </c>
      <c r="AX3" s="583" t="s">
        <v>219</v>
      </c>
      <c r="AY3" s="583" t="s">
        <v>220</v>
      </c>
      <c r="AZ3" s="583" t="s">
        <v>219</v>
      </c>
      <c r="BA3" s="583" t="s">
        <v>220</v>
      </c>
      <c r="BB3" s="583" t="s">
        <v>219</v>
      </c>
      <c r="BC3" s="583" t="s">
        <v>220</v>
      </c>
      <c r="BD3" s="509" t="s">
        <v>219</v>
      </c>
      <c r="BE3" s="509" t="s">
        <v>220</v>
      </c>
      <c r="BF3" s="592" t="s">
        <v>219</v>
      </c>
      <c r="BG3" s="584" t="s">
        <v>220</v>
      </c>
      <c r="BH3" s="581" t="s">
        <v>219</v>
      </c>
      <c r="BI3" s="583" t="s">
        <v>220</v>
      </c>
      <c r="BJ3" s="583" t="s">
        <v>219</v>
      </c>
      <c r="BK3" s="583" t="s">
        <v>220</v>
      </c>
      <c r="BL3" s="583" t="s">
        <v>219</v>
      </c>
      <c r="BM3" s="583" t="s">
        <v>220</v>
      </c>
      <c r="BN3" s="583" t="s">
        <v>219</v>
      </c>
      <c r="BO3" s="583" t="s">
        <v>220</v>
      </c>
      <c r="BP3" s="583" t="s">
        <v>219</v>
      </c>
      <c r="BQ3" s="583" t="s">
        <v>220</v>
      </c>
      <c r="BR3" s="583" t="s">
        <v>219</v>
      </c>
      <c r="BS3" s="583" t="s">
        <v>220</v>
      </c>
      <c r="BT3" s="583" t="s">
        <v>219</v>
      </c>
      <c r="BU3" s="584" t="s">
        <v>220</v>
      </c>
      <c r="BV3" s="581" t="s">
        <v>219</v>
      </c>
      <c r="BW3" s="583" t="s">
        <v>220</v>
      </c>
      <c r="BX3" s="583" t="s">
        <v>219</v>
      </c>
      <c r="BY3" s="583" t="s">
        <v>220</v>
      </c>
      <c r="BZ3" s="583" t="s">
        <v>219</v>
      </c>
      <c r="CA3" s="583" t="s">
        <v>220</v>
      </c>
      <c r="CB3" s="583" t="s">
        <v>219</v>
      </c>
      <c r="CC3" s="583" t="s">
        <v>220</v>
      </c>
      <c r="CD3" s="583" t="s">
        <v>219</v>
      </c>
      <c r="CE3" s="583" t="s">
        <v>220</v>
      </c>
      <c r="CF3" s="583" t="s">
        <v>219</v>
      </c>
      <c r="CG3" s="583" t="s">
        <v>220</v>
      </c>
      <c r="CH3" s="509" t="s">
        <v>219</v>
      </c>
      <c r="CI3" s="509" t="s">
        <v>220</v>
      </c>
      <c r="CJ3" s="509" t="s">
        <v>219</v>
      </c>
      <c r="CK3" s="509" t="s">
        <v>220</v>
      </c>
      <c r="CL3" s="509" t="s">
        <v>219</v>
      </c>
      <c r="CM3" s="510" t="s">
        <v>220</v>
      </c>
    </row>
    <row r="4" spans="1:91" ht="13.5" thickTop="1">
      <c r="A4" s="557">
        <v>46113</v>
      </c>
      <c r="B4" s="519">
        <v>0.88350182457804671</v>
      </c>
      <c r="C4" s="520">
        <v>0.88350182457804671</v>
      </c>
      <c r="D4" s="520">
        <v>0.88350182457804671</v>
      </c>
      <c r="E4" s="520">
        <v>0.88350182457804671</v>
      </c>
      <c r="F4" s="521">
        <v>63.094000000000001</v>
      </c>
      <c r="G4" s="521">
        <v>63.094000000000001</v>
      </c>
      <c r="H4" s="521">
        <v>2.3357213047199417</v>
      </c>
      <c r="I4" s="521">
        <v>2.3357213047199417</v>
      </c>
      <c r="J4" s="521">
        <v>882.5882017307689</v>
      </c>
      <c r="K4" s="547">
        <v>882.5882017307689</v>
      </c>
      <c r="L4" s="519">
        <v>0.84320977610655468</v>
      </c>
      <c r="M4" s="520">
        <v>0.84320977610655468</v>
      </c>
      <c r="N4" s="520">
        <v>0.84320977610655468</v>
      </c>
      <c r="O4" s="520">
        <v>0.84320977610655468</v>
      </c>
      <c r="P4" s="521">
        <v>58.884</v>
      </c>
      <c r="Q4" s="521">
        <v>58.884</v>
      </c>
      <c r="R4" s="521">
        <v>2.5994667481828682</v>
      </c>
      <c r="S4" s="521">
        <v>2.5994667481828682</v>
      </c>
      <c r="T4" s="521">
        <v>0</v>
      </c>
      <c r="U4" s="521">
        <v>0</v>
      </c>
      <c r="V4" s="521">
        <v>593.88849262956705</v>
      </c>
      <c r="W4" s="521">
        <v>593.88849262956705</v>
      </c>
      <c r="X4" s="521">
        <v>429.35262550098497</v>
      </c>
      <c r="Y4" s="555">
        <v>429.35262550098497</v>
      </c>
      <c r="Z4" s="521">
        <v>0</v>
      </c>
      <c r="AA4" s="521">
        <v>0</v>
      </c>
      <c r="AB4" s="519">
        <v>0.83776420495737336</v>
      </c>
      <c r="AC4" s="520">
        <v>0.83776420495737336</v>
      </c>
      <c r="AD4" s="520">
        <v>0.83776420495737336</v>
      </c>
      <c r="AE4" s="520">
        <v>0.83776420495737336</v>
      </c>
      <c r="AF4" s="521">
        <v>34.951000000000001</v>
      </c>
      <c r="AG4" s="521">
        <v>34.951000000000001</v>
      </c>
      <c r="AH4" s="521">
        <v>151.7219843344526</v>
      </c>
      <c r="AI4" s="521">
        <v>151.72198433445263</v>
      </c>
      <c r="AJ4" s="521">
        <v>1.5507424680266659</v>
      </c>
      <c r="AK4" s="521">
        <v>1.5507424680266659</v>
      </c>
      <c r="AL4" s="521">
        <v>1053.6471059483379</v>
      </c>
      <c r="AM4" s="521">
        <v>1053.6471059483379</v>
      </c>
      <c r="AN4" s="521">
        <v>0</v>
      </c>
      <c r="AO4" s="547">
        <v>0</v>
      </c>
      <c r="AP4" s="593">
        <v>0.19239198151558753</v>
      </c>
      <c r="AQ4" s="520">
        <v>0.19239198151558753</v>
      </c>
      <c r="AR4" s="520">
        <v>0.28942501267377768</v>
      </c>
      <c r="AS4" s="520">
        <v>0.28942501267377768</v>
      </c>
      <c r="AT4" s="521">
        <v>10.537000000000001</v>
      </c>
      <c r="AU4" s="521">
        <v>10.537000000000001</v>
      </c>
      <c r="AV4" s="522">
        <v>158.80242259782003</v>
      </c>
      <c r="AW4" s="522">
        <v>158.80242259782003</v>
      </c>
      <c r="AX4" s="521">
        <v>3.302647812470342</v>
      </c>
      <c r="AY4" s="521">
        <v>3.302647812470342</v>
      </c>
      <c r="AZ4" s="521">
        <v>0</v>
      </c>
      <c r="BA4" s="521">
        <v>0</v>
      </c>
      <c r="BB4" s="521">
        <v>1923.3197304735659</v>
      </c>
      <c r="BC4" s="521">
        <v>1923.3197304735659</v>
      </c>
      <c r="BD4" s="521">
        <v>0</v>
      </c>
      <c r="BE4" s="555">
        <v>0</v>
      </c>
      <c r="BF4" s="521">
        <v>0</v>
      </c>
      <c r="BG4" s="547">
        <v>0</v>
      </c>
      <c r="BH4" s="519">
        <v>0.66499435987131972</v>
      </c>
      <c r="BI4" s="520">
        <v>0.66499435987131972</v>
      </c>
      <c r="BJ4" s="520">
        <v>0.66499435987131972</v>
      </c>
      <c r="BK4" s="520">
        <v>0.66499435987131972</v>
      </c>
      <c r="BL4" s="521">
        <v>36.936999999999998</v>
      </c>
      <c r="BM4" s="521">
        <v>36.936999999999998</v>
      </c>
      <c r="BN4" s="521">
        <v>3.3002138776836238</v>
      </c>
      <c r="BO4" s="521">
        <v>3.3002138776836238</v>
      </c>
      <c r="BP4" s="522">
        <v>0</v>
      </c>
      <c r="BQ4" s="522">
        <v>0</v>
      </c>
      <c r="BR4" s="522">
        <v>1328.2368989345775</v>
      </c>
      <c r="BS4" s="522">
        <v>1328.2368989345775</v>
      </c>
      <c r="BT4" s="522">
        <v>0</v>
      </c>
      <c r="BU4" s="523">
        <v>0</v>
      </c>
      <c r="BV4" s="519">
        <v>0.97171609589607599</v>
      </c>
      <c r="BW4" s="520">
        <v>0.97171609589607599</v>
      </c>
      <c r="BX4" s="520">
        <v>0.97171609589607599</v>
      </c>
      <c r="BY4" s="520">
        <v>0.97171609589607599</v>
      </c>
      <c r="BZ4" s="521">
        <v>50.847000000000001</v>
      </c>
      <c r="CA4" s="521">
        <v>50.847000000000001</v>
      </c>
      <c r="CB4" s="522">
        <v>76.698011654833479</v>
      </c>
      <c r="CC4" s="522">
        <v>76.698011654833465</v>
      </c>
      <c r="CD4" s="521">
        <v>1.8644167797510176</v>
      </c>
      <c r="CE4" s="521">
        <v>1.8644167797510176</v>
      </c>
      <c r="CF4" s="522">
        <v>0</v>
      </c>
      <c r="CG4" s="522">
        <v>0</v>
      </c>
      <c r="CH4" s="522">
        <v>826.0147828594113</v>
      </c>
      <c r="CI4" s="522">
        <v>826.0147828594113</v>
      </c>
      <c r="CJ4" s="522">
        <v>393.44700768973701</v>
      </c>
      <c r="CK4" s="522">
        <v>393.44700768973701</v>
      </c>
      <c r="CL4" s="522">
        <v>0</v>
      </c>
      <c r="CM4" s="523">
        <v>0</v>
      </c>
    </row>
    <row r="5" spans="1:91">
      <c r="A5" s="558">
        <v>46114</v>
      </c>
      <c r="B5" s="513">
        <v>0.94830449899454505</v>
      </c>
      <c r="C5" s="514">
        <v>0.91513347202202944</v>
      </c>
      <c r="D5" s="514">
        <v>0.94830449899454505</v>
      </c>
      <c r="E5" s="514">
        <v>0.91513347202202944</v>
      </c>
      <c r="F5" s="511">
        <v>64.578999999999994</v>
      </c>
      <c r="G5" s="511">
        <v>127.673</v>
      </c>
      <c r="H5" s="511">
        <v>2.1749485126743995</v>
      </c>
      <c r="I5" s="511">
        <v>2.2543999122758924</v>
      </c>
      <c r="J5" s="511">
        <v>937.61780145248679</v>
      </c>
      <c r="K5" s="512">
        <v>910.42303384428408</v>
      </c>
      <c r="L5" s="513">
        <v>1.0435369648691895</v>
      </c>
      <c r="M5" s="514">
        <v>0.94491050032358892</v>
      </c>
      <c r="N5" s="514">
        <v>1.0435369648691895</v>
      </c>
      <c r="O5" s="514">
        <v>0.94491050032358892</v>
      </c>
      <c r="P5" s="511">
        <v>75.144999999999996</v>
      </c>
      <c r="Q5" s="511">
        <v>134.029</v>
      </c>
      <c r="R5" s="511">
        <v>2.0241399960077184</v>
      </c>
      <c r="S5" s="511">
        <v>2.2769027598504801</v>
      </c>
      <c r="T5" s="511">
        <v>0</v>
      </c>
      <c r="U5" s="511">
        <v>0</v>
      </c>
      <c r="V5" s="511">
        <v>549.8812961607332</v>
      </c>
      <c r="W5" s="511">
        <v>569.21531907272094</v>
      </c>
      <c r="X5" s="511">
        <v>389.99268081708698</v>
      </c>
      <c r="Y5" s="576">
        <v>407.28499056174411</v>
      </c>
      <c r="Z5" s="511">
        <v>0</v>
      </c>
      <c r="AA5" s="576">
        <v>0</v>
      </c>
      <c r="AB5" s="513">
        <v>0.89284652428992595</v>
      </c>
      <c r="AC5" s="514">
        <v>0.86530536462364971</v>
      </c>
      <c r="AD5" s="514">
        <v>0.89284652428992595</v>
      </c>
      <c r="AE5" s="514">
        <v>0.86530536462364971</v>
      </c>
      <c r="AF5" s="511">
        <v>37.249000000000002</v>
      </c>
      <c r="AG5" s="511">
        <v>72.2</v>
      </c>
      <c r="AH5" s="511">
        <v>148.23423884150426</v>
      </c>
      <c r="AI5" s="511">
        <v>149.9226071617818</v>
      </c>
      <c r="AJ5" s="511">
        <v>1.4309108969368303</v>
      </c>
      <c r="AK5" s="511">
        <v>1.4889196675900276</v>
      </c>
      <c r="AL5" s="511">
        <v>1040.8445864318603</v>
      </c>
      <c r="AM5" s="511">
        <v>1047.042105263168</v>
      </c>
      <c r="AN5" s="511">
        <v>0</v>
      </c>
      <c r="AO5" s="512">
        <v>0</v>
      </c>
      <c r="AP5" s="594">
        <v>0.82991067442209676</v>
      </c>
      <c r="AQ5" s="514">
        <v>0.50505895514933941</v>
      </c>
      <c r="AR5" s="514">
        <v>0.82991067442209676</v>
      </c>
      <c r="AS5" s="514">
        <v>0.60911724340830908</v>
      </c>
      <c r="AT5" s="511">
        <v>43.747999999999998</v>
      </c>
      <c r="AU5" s="511">
        <v>54.284999999999997</v>
      </c>
      <c r="AV5" s="515">
        <v>122.86806983816527</v>
      </c>
      <c r="AW5" s="515">
        <v>129.843114049798</v>
      </c>
      <c r="AX5" s="511">
        <v>1.5292127640120694</v>
      </c>
      <c r="AY5" s="511">
        <v>1.8734457032329375</v>
      </c>
      <c r="AZ5" s="511">
        <v>0</v>
      </c>
      <c r="BA5" s="511">
        <v>0</v>
      </c>
      <c r="BB5" s="511">
        <v>978.34003840175535</v>
      </c>
      <c r="BC5" s="511">
        <v>1161.7654969144323</v>
      </c>
      <c r="BD5" s="511">
        <v>42.223644509482476</v>
      </c>
      <c r="BE5" s="576">
        <v>34.027816155491195</v>
      </c>
      <c r="BF5" s="511">
        <v>0</v>
      </c>
      <c r="BG5" s="512">
        <v>0</v>
      </c>
      <c r="BH5" s="513">
        <v>0.96651656089264981</v>
      </c>
      <c r="BI5" s="514">
        <v>0.81575546038198476</v>
      </c>
      <c r="BJ5" s="514">
        <v>0.96651656089264981</v>
      </c>
      <c r="BK5" s="514">
        <v>0.81575546038198476</v>
      </c>
      <c r="BL5" s="511">
        <v>53.685000000000002</v>
      </c>
      <c r="BM5" s="511">
        <v>90.622</v>
      </c>
      <c r="BN5" s="511">
        <v>2.3488870261711834</v>
      </c>
      <c r="BO5" s="511">
        <v>2.7366423164353026</v>
      </c>
      <c r="BP5" s="515">
        <v>0</v>
      </c>
      <c r="BQ5" s="515">
        <v>0</v>
      </c>
      <c r="BR5" s="515">
        <v>1057.1209668246702</v>
      </c>
      <c r="BS5" s="515">
        <v>1167.6262435162421</v>
      </c>
      <c r="BT5" s="515">
        <v>0</v>
      </c>
      <c r="BU5" s="516">
        <v>0</v>
      </c>
      <c r="BV5" s="513">
        <v>0.36971172035649852</v>
      </c>
      <c r="BW5" s="514">
        <v>0.6626868849711951</v>
      </c>
      <c r="BX5" s="514">
        <v>0.55786699803881512</v>
      </c>
      <c r="BY5" s="514">
        <v>0.80144536770058028</v>
      </c>
      <c r="BZ5" s="511">
        <v>20.405999999999999</v>
      </c>
      <c r="CA5" s="511">
        <v>71.253</v>
      </c>
      <c r="CB5" s="515">
        <v>103.06726051713967</v>
      </c>
      <c r="CC5" s="515">
        <v>84.249846557002087</v>
      </c>
      <c r="CD5" s="511">
        <v>2.3718514162501227</v>
      </c>
      <c r="CE5" s="511">
        <v>2.0097399407744234</v>
      </c>
      <c r="CF5" s="515">
        <v>0</v>
      </c>
      <c r="CG5" s="515">
        <v>0</v>
      </c>
      <c r="CH5" s="515">
        <v>1190.1166762725595</v>
      </c>
      <c r="CI5" s="515">
        <v>930.28917463223058</v>
      </c>
      <c r="CJ5" s="515">
        <v>0</v>
      </c>
      <c r="CK5" s="515">
        <v>280.76852904439193</v>
      </c>
      <c r="CL5" s="515">
        <v>0</v>
      </c>
      <c r="CM5" s="516">
        <v>0</v>
      </c>
    </row>
    <row r="6" spans="1:91">
      <c r="A6" s="558">
        <v>46115</v>
      </c>
      <c r="B6" s="513">
        <v>1.0052149374740189</v>
      </c>
      <c r="C6" s="514">
        <v>0.94320346245799869</v>
      </c>
      <c r="D6" s="514">
        <v>1.0052149374740189</v>
      </c>
      <c r="E6" s="514">
        <v>0.94320346245799869</v>
      </c>
      <c r="F6" s="511">
        <v>63.481000000000002</v>
      </c>
      <c r="G6" s="511">
        <v>191.154</v>
      </c>
      <c r="H6" s="511">
        <v>2.1226193664245989</v>
      </c>
      <c r="I6" s="511">
        <v>2.2106364501919917</v>
      </c>
      <c r="J6" s="511">
        <v>867.85368850521411</v>
      </c>
      <c r="K6" s="512">
        <v>896.2860311581278</v>
      </c>
      <c r="L6" s="513">
        <v>0.9851470948318759</v>
      </c>
      <c r="M6" s="514">
        <v>0.95878204681649803</v>
      </c>
      <c r="N6" s="514">
        <v>0.9851470948318759</v>
      </c>
      <c r="O6" s="514">
        <v>0.95878204681649803</v>
      </c>
      <c r="P6" s="511">
        <v>73.52</v>
      </c>
      <c r="Q6" s="511">
        <v>207.54899999999998</v>
      </c>
      <c r="R6" s="511">
        <v>2.0845076169749728</v>
      </c>
      <c r="S6" s="511">
        <v>2.2087507046528772</v>
      </c>
      <c r="T6" s="511">
        <v>0</v>
      </c>
      <c r="U6" s="511">
        <v>0</v>
      </c>
      <c r="V6" s="511">
        <v>498.2947497279888</v>
      </c>
      <c r="W6" s="511">
        <v>544.09315390582219</v>
      </c>
      <c r="X6" s="511">
        <v>357.61697497279653</v>
      </c>
      <c r="Y6" s="576">
        <v>389.69110908749263</v>
      </c>
      <c r="Z6" s="511">
        <v>0</v>
      </c>
      <c r="AA6" s="576">
        <v>0</v>
      </c>
      <c r="AB6" s="513">
        <v>0.89720900562957973</v>
      </c>
      <c r="AC6" s="514">
        <v>0.87593991162562634</v>
      </c>
      <c r="AD6" s="514">
        <v>0.89720900562957973</v>
      </c>
      <c r="AE6" s="514">
        <v>0.87593991162562634</v>
      </c>
      <c r="AF6" s="511">
        <v>37.430999999999997</v>
      </c>
      <c r="AG6" s="511">
        <v>109.631</v>
      </c>
      <c r="AH6" s="511">
        <v>125.06908700352326</v>
      </c>
      <c r="AI6" s="511">
        <v>141.43694057984993</v>
      </c>
      <c r="AJ6" s="511">
        <v>1.5468461970024847</v>
      </c>
      <c r="AK6" s="511">
        <v>1.5086973574992475</v>
      </c>
      <c r="AL6" s="511">
        <v>1054.2657155833595</v>
      </c>
      <c r="AM6" s="511">
        <v>1049.5084419552995</v>
      </c>
      <c r="AN6" s="511">
        <v>0</v>
      </c>
      <c r="AO6" s="512">
        <v>0</v>
      </c>
      <c r="AP6" s="594">
        <v>0.87046367871888464</v>
      </c>
      <c r="AQ6" s="514">
        <v>0.62687822169859797</v>
      </c>
      <c r="AR6" s="514">
        <v>0.87046367871888464</v>
      </c>
      <c r="AS6" s="514">
        <v>0.70744283658112561</v>
      </c>
      <c r="AT6" s="511">
        <v>46.79</v>
      </c>
      <c r="AU6" s="511">
        <v>101.07499999999999</v>
      </c>
      <c r="AV6" s="515">
        <v>113.49021724949048</v>
      </c>
      <c r="AW6" s="515">
        <v>122.27297265690768</v>
      </c>
      <c r="AX6" s="511">
        <v>1.429792690745886</v>
      </c>
      <c r="AY6" s="511">
        <v>1.6680682661390061</v>
      </c>
      <c r="AZ6" s="511">
        <v>0</v>
      </c>
      <c r="BA6" s="511">
        <v>0</v>
      </c>
      <c r="BB6" s="511">
        <v>975.04210301346473</v>
      </c>
      <c r="BC6" s="511">
        <v>1075.3268365075439</v>
      </c>
      <c r="BD6" s="511">
        <v>75.443470827099802</v>
      </c>
      <c r="BE6" s="576">
        <v>53.200098936441655</v>
      </c>
      <c r="BF6" s="511">
        <v>0</v>
      </c>
      <c r="BG6" s="512">
        <v>0</v>
      </c>
      <c r="BH6" s="513">
        <v>1.0974484167977767</v>
      </c>
      <c r="BI6" s="514">
        <v>0.90459365107412826</v>
      </c>
      <c r="BJ6" s="514">
        <v>1.0974484167977767</v>
      </c>
      <c r="BK6" s="514">
        <v>0.90459365107412826</v>
      </c>
      <c r="BL6" s="511">
        <v>56.16</v>
      </c>
      <c r="BM6" s="511">
        <v>146.78199999999998</v>
      </c>
      <c r="BN6" s="511">
        <v>2.257834757834758</v>
      </c>
      <c r="BO6" s="511">
        <v>2.5534466078947013</v>
      </c>
      <c r="BP6" s="515">
        <v>0</v>
      </c>
      <c r="BQ6" s="515">
        <v>0</v>
      </c>
      <c r="BR6" s="515">
        <v>964.26876401238894</v>
      </c>
      <c r="BS6" s="515">
        <v>1089.8199999105116</v>
      </c>
      <c r="BT6" s="515">
        <v>0</v>
      </c>
      <c r="BU6" s="516">
        <v>0</v>
      </c>
      <c r="BV6" s="513">
        <v>0.84087781056235023</v>
      </c>
      <c r="BW6" s="514">
        <v>0.72268332256073287</v>
      </c>
      <c r="BX6" s="514">
        <v>0.84087781056235023</v>
      </c>
      <c r="BY6" s="514">
        <v>0.81644471329372459</v>
      </c>
      <c r="BZ6" s="511">
        <v>45.893999999999998</v>
      </c>
      <c r="CA6" s="511">
        <v>117.14699999999999</v>
      </c>
      <c r="CB6" s="515">
        <v>66.486506716944703</v>
      </c>
      <c r="CC6" s="515">
        <v>77.29080604704798</v>
      </c>
      <c r="CD6" s="511">
        <v>1.9109251754041925</v>
      </c>
      <c r="CE6" s="511">
        <v>1.971027853892972</v>
      </c>
      <c r="CF6" s="515">
        <v>0</v>
      </c>
      <c r="CG6" s="515">
        <v>0</v>
      </c>
      <c r="CH6" s="515">
        <v>854.65041646105578</v>
      </c>
      <c r="CI6" s="515">
        <v>900.65661752442691</v>
      </c>
      <c r="CJ6" s="515">
        <v>0</v>
      </c>
      <c r="CK6" s="515">
        <v>170.77347264548013</v>
      </c>
      <c r="CL6" s="515">
        <v>0</v>
      </c>
      <c r="CM6" s="516">
        <v>0</v>
      </c>
    </row>
    <row r="7" spans="1:91">
      <c r="A7" s="558">
        <v>46116</v>
      </c>
      <c r="B7" s="513">
        <v>0.88577419544239522</v>
      </c>
      <c r="C7" s="514">
        <v>0.92987355695749951</v>
      </c>
      <c r="D7" s="514">
        <v>0.88577419544239522</v>
      </c>
      <c r="E7" s="514">
        <v>0.92987355695749951</v>
      </c>
      <c r="F7" s="511">
        <v>54.262</v>
      </c>
      <c r="G7" s="511">
        <v>245.416</v>
      </c>
      <c r="H7" s="511">
        <v>2.4079834875234969</v>
      </c>
      <c r="I7" s="511">
        <v>2.254270300224924</v>
      </c>
      <c r="J7" s="511">
        <v>965.26814345213973</v>
      </c>
      <c r="K7" s="512">
        <v>911.53812302376684</v>
      </c>
      <c r="L7" s="513">
        <v>0.97578069359020725</v>
      </c>
      <c r="M7" s="514">
        <v>0.96313994037327055</v>
      </c>
      <c r="N7" s="514">
        <v>0.97578069359020725</v>
      </c>
      <c r="O7" s="514">
        <v>0.96313994037327055</v>
      </c>
      <c r="P7" s="511">
        <v>72.820999999999998</v>
      </c>
      <c r="Q7" s="511">
        <v>280.37</v>
      </c>
      <c r="R7" s="511">
        <v>2.1298114554867413</v>
      </c>
      <c r="S7" s="511">
        <v>2.1882476727181936</v>
      </c>
      <c r="T7" s="511">
        <v>0</v>
      </c>
      <c r="U7" s="511">
        <v>0</v>
      </c>
      <c r="V7" s="511">
        <v>485.78253525767263</v>
      </c>
      <c r="W7" s="511">
        <v>528.94803295644476</v>
      </c>
      <c r="X7" s="511">
        <v>371.63730242649785</v>
      </c>
      <c r="Y7" s="576">
        <v>385.00196169347652</v>
      </c>
      <c r="Z7" s="511">
        <v>0</v>
      </c>
      <c r="AA7" s="576">
        <v>0</v>
      </c>
      <c r="AB7" s="513">
        <v>0.91752820960639481</v>
      </c>
      <c r="AC7" s="514">
        <v>0.88707124335004905</v>
      </c>
      <c r="AD7" s="514">
        <v>0.91752820960639481</v>
      </c>
      <c r="AE7" s="514">
        <v>0.88707124335004905</v>
      </c>
      <c r="AF7" s="511">
        <v>41.97</v>
      </c>
      <c r="AG7" s="511">
        <v>151.601</v>
      </c>
      <c r="AH7" s="511">
        <v>120.95144365840378</v>
      </c>
      <c r="AI7" s="511">
        <v>135.76563032600532</v>
      </c>
      <c r="AJ7" s="511">
        <v>1.3771741720276387</v>
      </c>
      <c r="AK7" s="511">
        <v>1.472285802864097</v>
      </c>
      <c r="AL7" s="511">
        <v>890.8120085775206</v>
      </c>
      <c r="AM7" s="511">
        <v>1005.5741057117039</v>
      </c>
      <c r="AN7" s="511">
        <v>0</v>
      </c>
      <c r="AO7" s="512">
        <v>0</v>
      </c>
      <c r="AP7" s="594">
        <v>0.87951424020594138</v>
      </c>
      <c r="AQ7" s="514">
        <v>0.68996441685851018</v>
      </c>
      <c r="AR7" s="514">
        <v>0.87951424020594138</v>
      </c>
      <c r="AS7" s="514">
        <v>0.75442547701971641</v>
      </c>
      <c r="AT7" s="511">
        <v>47.197000000000003</v>
      </c>
      <c r="AU7" s="511">
        <v>148.27199999999999</v>
      </c>
      <c r="AV7" s="515">
        <v>118.34475629736929</v>
      </c>
      <c r="AW7" s="515">
        <v>121.02256780959237</v>
      </c>
      <c r="AX7" s="511">
        <v>1.4111066381337796</v>
      </c>
      <c r="AY7" s="511">
        <v>1.5862738750404664</v>
      </c>
      <c r="AZ7" s="511">
        <v>0</v>
      </c>
      <c r="BA7" s="511">
        <v>0</v>
      </c>
      <c r="BB7" s="511">
        <v>967.37885882577314</v>
      </c>
      <c r="BC7" s="511">
        <v>1040.9655228229201</v>
      </c>
      <c r="BD7" s="511">
        <v>49.367544547320996</v>
      </c>
      <c r="BE7" s="576">
        <v>51.980144599120187</v>
      </c>
      <c r="BF7" s="511">
        <v>0</v>
      </c>
      <c r="BG7" s="512">
        <v>0</v>
      </c>
      <c r="BH7" s="513">
        <v>0.85554476436593652</v>
      </c>
      <c r="BI7" s="514">
        <v>0.89247976896733694</v>
      </c>
      <c r="BJ7" s="514">
        <v>0.85554476436593652</v>
      </c>
      <c r="BK7" s="514">
        <v>0.89247976896733694</v>
      </c>
      <c r="BL7" s="511">
        <v>45.530999999999999</v>
      </c>
      <c r="BM7" s="511">
        <v>192.31299999999999</v>
      </c>
      <c r="BN7" s="511">
        <v>2.701456150754431</v>
      </c>
      <c r="BO7" s="511">
        <v>2.5884885577158072</v>
      </c>
      <c r="BP7" s="515">
        <v>0</v>
      </c>
      <c r="BQ7" s="515">
        <v>0</v>
      </c>
      <c r="BR7" s="515">
        <v>1007.4242523725412</v>
      </c>
      <c r="BS7" s="515">
        <v>1070.3124222576678</v>
      </c>
      <c r="BT7" s="515">
        <v>0</v>
      </c>
      <c r="BU7" s="516">
        <v>0</v>
      </c>
      <c r="BV7" s="513">
        <v>0.91430190010131684</v>
      </c>
      <c r="BW7" s="514">
        <v>0.76954130045799252</v>
      </c>
      <c r="BX7" s="514">
        <v>0.91430190010131684</v>
      </c>
      <c r="BY7" s="514">
        <v>0.84264782255576653</v>
      </c>
      <c r="BZ7" s="511">
        <v>47.973999999999997</v>
      </c>
      <c r="CA7" s="511">
        <v>165.12099999999998</v>
      </c>
      <c r="CB7" s="515">
        <v>73.70972707487087</v>
      </c>
      <c r="CC7" s="515">
        <v>76.250364900184621</v>
      </c>
      <c r="CD7" s="511">
        <v>1.9760703714512029</v>
      </c>
      <c r="CE7" s="511">
        <v>1.9724928991466866</v>
      </c>
      <c r="CF7" s="515">
        <v>0</v>
      </c>
      <c r="CG7" s="515">
        <v>0</v>
      </c>
      <c r="CH7" s="515">
        <v>883.4599234007153</v>
      </c>
      <c r="CI7" s="515">
        <v>895.66031660636736</v>
      </c>
      <c r="CJ7" s="515">
        <v>0</v>
      </c>
      <c r="CK7" s="515">
        <v>121.15721198393942</v>
      </c>
      <c r="CL7" s="515">
        <v>0</v>
      </c>
      <c r="CM7" s="516">
        <v>0</v>
      </c>
    </row>
    <row r="8" spans="1:91">
      <c r="A8" s="558">
        <v>46117</v>
      </c>
      <c r="B8" s="513">
        <v>0.76882602427068336</v>
      </c>
      <c r="C8" s="514">
        <v>0.8995158465493841</v>
      </c>
      <c r="D8" s="514">
        <v>0.76882602427068336</v>
      </c>
      <c r="E8" s="514">
        <v>0.8995158465493841</v>
      </c>
      <c r="F8" s="511">
        <v>47.134</v>
      </c>
      <c r="G8" s="511">
        <v>292.55</v>
      </c>
      <c r="H8" s="511">
        <v>2.3987143038995207</v>
      </c>
      <c r="I8" s="511">
        <v>2.2775423004614592</v>
      </c>
      <c r="J8" s="511">
        <v>1026.114482114855</v>
      </c>
      <c r="K8" s="512">
        <v>929.99801743292551</v>
      </c>
      <c r="L8" s="513">
        <v>0.94859080178956723</v>
      </c>
      <c r="M8" s="514">
        <v>0.96026188601745766</v>
      </c>
      <c r="N8" s="514">
        <v>0.94859080178956723</v>
      </c>
      <c r="O8" s="514">
        <v>0.96026188601745766</v>
      </c>
      <c r="P8" s="511">
        <v>68.093999999999994</v>
      </c>
      <c r="Q8" s="511">
        <v>348.464</v>
      </c>
      <c r="R8" s="511">
        <v>2.0620318970834437</v>
      </c>
      <c r="S8" s="511">
        <v>2.1635836126543921</v>
      </c>
      <c r="T8" s="511">
        <v>0</v>
      </c>
      <c r="U8" s="511">
        <v>0</v>
      </c>
      <c r="V8" s="511">
        <v>542.75883337739413</v>
      </c>
      <c r="W8" s="511">
        <v>531.64682721887687</v>
      </c>
      <c r="X8" s="511">
        <v>401.2394630951332</v>
      </c>
      <c r="Y8" s="576">
        <v>388.17496211947287</v>
      </c>
      <c r="Z8" s="511">
        <v>0</v>
      </c>
      <c r="AA8" s="576">
        <v>0</v>
      </c>
      <c r="AB8" s="513">
        <v>0.94174466677835378</v>
      </c>
      <c r="AC8" s="514">
        <v>0.89779902750586116</v>
      </c>
      <c r="AD8" s="514">
        <v>0.94174466677835378</v>
      </c>
      <c r="AE8" s="514">
        <v>0.89779902750586116</v>
      </c>
      <c r="AF8" s="511">
        <v>39.289000000000001</v>
      </c>
      <c r="AG8" s="511">
        <v>190.89</v>
      </c>
      <c r="AH8" s="511">
        <v>130.37427392410524</v>
      </c>
      <c r="AI8" s="511">
        <v>134.65598078085236</v>
      </c>
      <c r="AJ8" s="511">
        <v>1.4635139606505636</v>
      </c>
      <c r="AK8" s="511">
        <v>1.4704803813714706</v>
      </c>
      <c r="AL8" s="511">
        <v>989.45964519333882</v>
      </c>
      <c r="AM8" s="511">
        <v>1002.25742574258</v>
      </c>
      <c r="AN8" s="511">
        <v>0</v>
      </c>
      <c r="AO8" s="512">
        <v>0</v>
      </c>
      <c r="AP8" s="594">
        <v>0.93757074558490405</v>
      </c>
      <c r="AQ8" s="514">
        <v>0.73876139691597908</v>
      </c>
      <c r="AR8" s="514">
        <v>0.93757074558490405</v>
      </c>
      <c r="AS8" s="514">
        <v>0.79317738002115812</v>
      </c>
      <c r="AT8" s="511">
        <v>49.453000000000003</v>
      </c>
      <c r="AU8" s="511">
        <v>197.72499999999999</v>
      </c>
      <c r="AV8" s="515">
        <v>112.97714583050954</v>
      </c>
      <c r="AW8" s="515">
        <v>119.01032730823147</v>
      </c>
      <c r="AX8" s="511">
        <v>1.3285341637514407</v>
      </c>
      <c r="AY8" s="511">
        <v>1.5218105955240866</v>
      </c>
      <c r="AZ8" s="511">
        <v>0</v>
      </c>
      <c r="BA8" s="511">
        <v>0</v>
      </c>
      <c r="BB8" s="511">
        <v>944.83408488868179</v>
      </c>
      <c r="BC8" s="511">
        <v>1016.9220887596406</v>
      </c>
      <c r="BD8" s="511">
        <v>47.115442945830111</v>
      </c>
      <c r="BE8" s="576">
        <v>50.76343406246496</v>
      </c>
      <c r="BF8" s="511">
        <v>0</v>
      </c>
      <c r="BG8" s="512">
        <v>0</v>
      </c>
      <c r="BH8" s="513">
        <v>0.67468890243097956</v>
      </c>
      <c r="BI8" s="514">
        <v>0.84815678475867595</v>
      </c>
      <c r="BJ8" s="514">
        <v>0.67468890243097956</v>
      </c>
      <c r="BK8" s="514">
        <v>0.84815678475867595</v>
      </c>
      <c r="BL8" s="511">
        <v>37.146999999999998</v>
      </c>
      <c r="BM8" s="511">
        <v>229.45999999999998</v>
      </c>
      <c r="BN8" s="511">
        <v>3.1711847524699168</v>
      </c>
      <c r="BO8" s="511">
        <v>2.6828205351695287</v>
      </c>
      <c r="BP8" s="515">
        <v>0</v>
      </c>
      <c r="BQ8" s="515">
        <v>0</v>
      </c>
      <c r="BR8" s="515">
        <v>1184.5070322655995</v>
      </c>
      <c r="BS8" s="515">
        <v>1088.7992486237649</v>
      </c>
      <c r="BT8" s="515">
        <v>0</v>
      </c>
      <c r="BU8" s="516">
        <v>0</v>
      </c>
      <c r="BV8" s="513">
        <v>0.85042371165635389</v>
      </c>
      <c r="BW8" s="514">
        <v>0.78551459977227689</v>
      </c>
      <c r="BX8" s="514">
        <v>0.90644694580352858</v>
      </c>
      <c r="BY8" s="514">
        <v>0.85552217008995268</v>
      </c>
      <c r="BZ8" s="511">
        <v>44.905000000000001</v>
      </c>
      <c r="CA8" s="511">
        <v>210.02599999999998</v>
      </c>
      <c r="CB8" s="515">
        <v>75.685700012017364</v>
      </c>
      <c r="CC8" s="515">
        <v>76.12963567235974</v>
      </c>
      <c r="CD8" s="511">
        <v>1.9730542255873509</v>
      </c>
      <c r="CE8" s="511">
        <v>1.9726129145915268</v>
      </c>
      <c r="CF8" s="515">
        <v>0</v>
      </c>
      <c r="CG8" s="515">
        <v>0</v>
      </c>
      <c r="CH8" s="515">
        <v>957.88347115977353</v>
      </c>
      <c r="CI8" s="515">
        <v>908.96405402564267</v>
      </c>
      <c r="CJ8" s="515">
        <v>0</v>
      </c>
      <c r="CK8" s="515">
        <v>95.252968680068463</v>
      </c>
      <c r="CL8" s="515">
        <v>0</v>
      </c>
      <c r="CM8" s="516">
        <v>0</v>
      </c>
    </row>
    <row r="9" spans="1:91">
      <c r="A9" s="558">
        <v>46118</v>
      </c>
      <c r="B9" s="513">
        <v>0.90679342184358558</v>
      </c>
      <c r="C9" s="514">
        <v>0.90072892351478073</v>
      </c>
      <c r="D9" s="514">
        <v>0.90679342184358558</v>
      </c>
      <c r="E9" s="514">
        <v>0.90072892351478073</v>
      </c>
      <c r="F9" s="511">
        <v>58.991999999999997</v>
      </c>
      <c r="G9" s="511">
        <v>351.54200000000003</v>
      </c>
      <c r="H9" s="511">
        <v>2.1711079468402499</v>
      </c>
      <c r="I9" s="511">
        <v>2.2596816312133399</v>
      </c>
      <c r="J9" s="511">
        <v>887.9322620016095</v>
      </c>
      <c r="K9" s="512">
        <v>922.93899448714888</v>
      </c>
      <c r="L9" s="513">
        <v>0.97736912336124138</v>
      </c>
      <c r="M9" s="514">
        <v>0.9631539938736744</v>
      </c>
      <c r="N9" s="514">
        <v>0.97736912336124138</v>
      </c>
      <c r="O9" s="514">
        <v>0.9631539938736744</v>
      </c>
      <c r="P9" s="511">
        <v>72.159000000000006</v>
      </c>
      <c r="Q9" s="511">
        <v>420.62299999999999</v>
      </c>
      <c r="R9" s="511">
        <v>2.0569159772169789</v>
      </c>
      <c r="S9" s="511">
        <v>2.145284494666245</v>
      </c>
      <c r="T9" s="511">
        <v>0</v>
      </c>
      <c r="U9" s="511">
        <v>0</v>
      </c>
      <c r="V9" s="511">
        <v>499.44497567869536</v>
      </c>
      <c r="W9" s="511">
        <v>526.12251350971701</v>
      </c>
      <c r="X9" s="511">
        <v>319.22559902437678</v>
      </c>
      <c r="Y9" s="576">
        <v>376.34651457480925</v>
      </c>
      <c r="Z9" s="511">
        <v>0</v>
      </c>
      <c r="AA9" s="576">
        <v>0</v>
      </c>
      <c r="AB9" s="513">
        <v>0.83363160760019694</v>
      </c>
      <c r="AC9" s="514">
        <v>0.88621722146215776</v>
      </c>
      <c r="AD9" s="514">
        <v>0.83363160760019694</v>
      </c>
      <c r="AE9" s="514">
        <v>0.88621722146215776</v>
      </c>
      <c r="AF9" s="511">
        <v>39.037999999999997</v>
      </c>
      <c r="AG9" s="511">
        <v>229.928</v>
      </c>
      <c r="AH9" s="511">
        <v>134.82156601286661</v>
      </c>
      <c r="AI9" s="511">
        <v>134.68409443507181</v>
      </c>
      <c r="AJ9" s="511">
        <v>1.4216916850248478</v>
      </c>
      <c r="AK9" s="511">
        <v>1.4621968616262482</v>
      </c>
      <c r="AL9" s="511">
        <v>968.31036426044557</v>
      </c>
      <c r="AM9" s="511">
        <v>996.49377196339879</v>
      </c>
      <c r="AN9" s="511">
        <v>0</v>
      </c>
      <c r="AO9" s="512">
        <v>0</v>
      </c>
      <c r="AP9" s="594">
        <v>0.9101351062941333</v>
      </c>
      <c r="AQ9" s="514">
        <v>0.76684749863098522</v>
      </c>
      <c r="AR9" s="514">
        <v>0.9101351062941333</v>
      </c>
      <c r="AS9" s="514">
        <v>0.81351176380963142</v>
      </c>
      <c r="AT9" s="511">
        <v>47.747</v>
      </c>
      <c r="AU9" s="511">
        <v>245.47199999999998</v>
      </c>
      <c r="AV9" s="515">
        <v>115.0710855262919</v>
      </c>
      <c r="AW9" s="515">
        <v>118.24410151725625</v>
      </c>
      <c r="AX9" s="511">
        <v>1.4262676189079941</v>
      </c>
      <c r="AY9" s="511">
        <v>1.5032264372311304</v>
      </c>
      <c r="AZ9" s="511">
        <v>0</v>
      </c>
      <c r="BA9" s="511">
        <v>0</v>
      </c>
      <c r="BB9" s="511">
        <v>935.15613546400766</v>
      </c>
      <c r="BC9" s="511">
        <v>1001.0177128144959</v>
      </c>
      <c r="BD9" s="511">
        <v>414.05742769179216</v>
      </c>
      <c r="BE9" s="576">
        <v>121.42810585321702</v>
      </c>
      <c r="BF9" s="511">
        <v>0</v>
      </c>
      <c r="BG9" s="512">
        <v>0</v>
      </c>
      <c r="BH9" s="513">
        <v>0.76259501421272791</v>
      </c>
      <c r="BI9" s="514">
        <v>0.83349852733492558</v>
      </c>
      <c r="BJ9" s="514">
        <v>0.76259501421272791</v>
      </c>
      <c r="BK9" s="514">
        <v>0.83349852733492558</v>
      </c>
      <c r="BL9" s="511">
        <v>42.652000000000001</v>
      </c>
      <c r="BM9" s="511">
        <v>272.11199999999997</v>
      </c>
      <c r="BN9" s="511">
        <v>2.7923661258557626</v>
      </c>
      <c r="BO9" s="511">
        <v>2.6999911801023111</v>
      </c>
      <c r="BP9" s="515">
        <v>0</v>
      </c>
      <c r="BQ9" s="515">
        <v>0</v>
      </c>
      <c r="BR9" s="515">
        <v>1012.7409182731128</v>
      </c>
      <c r="BS9" s="515">
        <v>1076.8775402606059</v>
      </c>
      <c r="BT9" s="515">
        <v>0</v>
      </c>
      <c r="BU9" s="516">
        <v>0</v>
      </c>
      <c r="BV9" s="513">
        <v>0.81748289425142562</v>
      </c>
      <c r="BW9" s="514">
        <v>0.79082387624784822</v>
      </c>
      <c r="BX9" s="514">
        <v>0.81748289425142562</v>
      </c>
      <c r="BY9" s="514">
        <v>0.84874194661376856</v>
      </c>
      <c r="BZ9" s="511">
        <v>43.53</v>
      </c>
      <c r="CA9" s="511">
        <v>253.55599999999998</v>
      </c>
      <c r="CB9" s="515">
        <v>81.84095073204351</v>
      </c>
      <c r="CC9" s="515">
        <v>77.110143112720195</v>
      </c>
      <c r="CD9" s="511">
        <v>2.0721341603491843</v>
      </c>
      <c r="CE9" s="511">
        <v>1.9896985281357964</v>
      </c>
      <c r="CF9" s="515">
        <v>0</v>
      </c>
      <c r="CG9" s="515">
        <v>0</v>
      </c>
      <c r="CH9" s="515">
        <v>1012.1128957917573</v>
      </c>
      <c r="CI9" s="515">
        <v>926.67244618389941</v>
      </c>
      <c r="CJ9" s="515">
        <v>0</v>
      </c>
      <c r="CK9" s="515">
        <v>78.900124627301508</v>
      </c>
      <c r="CL9" s="515">
        <v>0</v>
      </c>
      <c r="CM9" s="516">
        <v>0</v>
      </c>
    </row>
    <row r="10" spans="1:91">
      <c r="A10" s="558">
        <v>46119</v>
      </c>
      <c r="B10" s="513">
        <v>0.94432381228372031</v>
      </c>
      <c r="C10" s="514">
        <v>0.90686825456373543</v>
      </c>
      <c r="D10" s="514">
        <v>0.94432381228372031</v>
      </c>
      <c r="E10" s="514">
        <v>0.90686825456373543</v>
      </c>
      <c r="F10" s="511">
        <v>60.41</v>
      </c>
      <c r="G10" s="511">
        <v>411.952</v>
      </c>
      <c r="H10" s="511">
        <v>2.1756993875186228</v>
      </c>
      <c r="I10" s="511">
        <v>2.2473661980036508</v>
      </c>
      <c r="J10" s="511">
        <v>909.32461512999544</v>
      </c>
      <c r="K10" s="512">
        <v>920.94253699461194</v>
      </c>
      <c r="L10" s="513">
        <v>0.94195743496396411</v>
      </c>
      <c r="M10" s="514">
        <v>0.96057275042977908</v>
      </c>
      <c r="N10" s="514">
        <v>1.0538149078638601</v>
      </c>
      <c r="O10" s="514">
        <v>0.97315171286799473</v>
      </c>
      <c r="P10" s="511">
        <v>57.040999999999997</v>
      </c>
      <c r="Q10" s="511">
        <v>477.66399999999999</v>
      </c>
      <c r="R10" s="511">
        <v>1.7015304780771727</v>
      </c>
      <c r="S10" s="511">
        <v>2.0922929088229383</v>
      </c>
      <c r="T10" s="511">
        <v>0</v>
      </c>
      <c r="U10" s="511">
        <v>0</v>
      </c>
      <c r="V10" s="511">
        <v>527.97899756318975</v>
      </c>
      <c r="W10" s="511">
        <v>526.34420848127468</v>
      </c>
      <c r="X10" s="511">
        <v>356.41030136217813</v>
      </c>
      <c r="Y10" s="576">
        <v>373.96580022777516</v>
      </c>
      <c r="Z10" s="511">
        <v>0</v>
      </c>
      <c r="AA10" s="576">
        <v>0</v>
      </c>
      <c r="AB10" s="513">
        <v>0.80586375766861051</v>
      </c>
      <c r="AC10" s="514">
        <v>0.8733562843039816</v>
      </c>
      <c r="AD10" s="514">
        <v>0.80586375766861051</v>
      </c>
      <c r="AE10" s="514">
        <v>0.8733562843039816</v>
      </c>
      <c r="AF10" s="511">
        <v>39.841000000000001</v>
      </c>
      <c r="AG10" s="511">
        <v>269.76900000000001</v>
      </c>
      <c r="AH10" s="511">
        <v>131.86547308711329</v>
      </c>
      <c r="AI10" s="511">
        <v>134.26782461487744</v>
      </c>
      <c r="AJ10" s="511">
        <v>1.3353078486985768</v>
      </c>
      <c r="AK10" s="511">
        <v>1.4434571800318048</v>
      </c>
      <c r="AL10" s="511">
        <v>902.14352049399099</v>
      </c>
      <c r="AM10" s="511">
        <v>982.55959728509004</v>
      </c>
      <c r="AN10" s="511">
        <v>0</v>
      </c>
      <c r="AO10" s="512">
        <v>0</v>
      </c>
      <c r="AP10" s="594">
        <v>0.8671083265975158</v>
      </c>
      <c r="AQ10" s="514">
        <v>0.78175744174485873</v>
      </c>
      <c r="AR10" s="514">
        <v>0.8671083265975158</v>
      </c>
      <c r="AS10" s="514">
        <v>0.82189137830005365</v>
      </c>
      <c r="AT10" s="511">
        <v>48.488</v>
      </c>
      <c r="AU10" s="511">
        <v>293.95999999999998</v>
      </c>
      <c r="AV10" s="515">
        <v>116.06107881441741</v>
      </c>
      <c r="AW10" s="515">
        <v>117.88401713565587</v>
      </c>
      <c r="AX10" s="511">
        <v>1.4354066985645932</v>
      </c>
      <c r="AY10" s="511">
        <v>1.4920397332970474</v>
      </c>
      <c r="AZ10" s="511">
        <v>0</v>
      </c>
      <c r="BA10" s="511">
        <v>0</v>
      </c>
      <c r="BB10" s="511">
        <v>866.85984161029751</v>
      </c>
      <c r="BC10" s="511">
        <v>978.88869233909372</v>
      </c>
      <c r="BD10" s="511">
        <v>569.41923774954626</v>
      </c>
      <c r="BE10" s="576">
        <v>195.32317322084938</v>
      </c>
      <c r="BF10" s="511">
        <v>0</v>
      </c>
      <c r="BG10" s="512">
        <v>0</v>
      </c>
      <c r="BH10" s="513">
        <v>1.1219331482593038</v>
      </c>
      <c r="BI10" s="514">
        <v>0.87426577953758322</v>
      </c>
      <c r="BJ10" s="514">
        <v>1.1219331482593038</v>
      </c>
      <c r="BK10" s="514">
        <v>0.87426577953758322</v>
      </c>
      <c r="BL10" s="511">
        <v>60.290999999999997</v>
      </c>
      <c r="BM10" s="511">
        <v>332.40299999999996</v>
      </c>
      <c r="BN10" s="511">
        <v>1.9953226849778574</v>
      </c>
      <c r="BO10" s="511">
        <v>2.5721789514535072</v>
      </c>
      <c r="BP10" s="515">
        <v>0</v>
      </c>
      <c r="BQ10" s="515">
        <v>0</v>
      </c>
      <c r="BR10" s="515">
        <v>826.72762859340799</v>
      </c>
      <c r="BS10" s="515">
        <v>1031.5055420405927</v>
      </c>
      <c r="BT10" s="515">
        <v>0</v>
      </c>
      <c r="BU10" s="516">
        <v>0</v>
      </c>
      <c r="BV10" s="513">
        <v>0.96795653214739297</v>
      </c>
      <c r="BW10" s="514">
        <v>0.81568874145533454</v>
      </c>
      <c r="BX10" s="514">
        <v>0.96795653214739297</v>
      </c>
      <c r="BY10" s="514">
        <v>0.8665194477191922</v>
      </c>
      <c r="BZ10" s="511">
        <v>50.679000000000002</v>
      </c>
      <c r="CA10" s="511">
        <v>304.23500000000001</v>
      </c>
      <c r="CB10" s="515">
        <v>70.399536241497415</v>
      </c>
      <c r="CC10" s="515">
        <v>75.992300505437328</v>
      </c>
      <c r="CD10" s="511">
        <v>1.9179541822056474</v>
      </c>
      <c r="CE10" s="511">
        <v>1.9777474649530786</v>
      </c>
      <c r="CF10" s="515">
        <v>0</v>
      </c>
      <c r="CG10" s="515">
        <v>0</v>
      </c>
      <c r="CH10" s="515">
        <v>899.63623087423207</v>
      </c>
      <c r="CI10" s="515">
        <v>922.16879487593474</v>
      </c>
      <c r="CJ10" s="515">
        <v>0</v>
      </c>
      <c r="CK10" s="515">
        <v>65.757062796851301</v>
      </c>
      <c r="CL10" s="515">
        <v>0</v>
      </c>
      <c r="CM10" s="516">
        <v>0</v>
      </c>
    </row>
    <row r="11" spans="1:91">
      <c r="A11" s="558">
        <v>46120</v>
      </c>
      <c r="B11" s="513">
        <v>0.92692772797605072</v>
      </c>
      <c r="C11" s="514">
        <v>0.90934195733146672</v>
      </c>
      <c r="D11" s="514">
        <v>0.92692772797605072</v>
      </c>
      <c r="E11" s="514">
        <v>0.90934195733146672</v>
      </c>
      <c r="F11" s="511">
        <v>59.228999999999999</v>
      </c>
      <c r="G11" s="511">
        <v>471.18099999999998</v>
      </c>
      <c r="H11" s="511">
        <v>2.2471762143544551</v>
      </c>
      <c r="I11" s="511">
        <v>2.2473423164346609</v>
      </c>
      <c r="J11" s="511">
        <v>988.75415759168447</v>
      </c>
      <c r="K11" s="512">
        <v>929.46668053253904</v>
      </c>
      <c r="L11" s="513">
        <v>0.88077379823315094</v>
      </c>
      <c r="M11" s="514">
        <v>0.95191378817151717</v>
      </c>
      <c r="N11" s="514">
        <v>0.88077379823315094</v>
      </c>
      <c r="O11" s="514">
        <v>0.96301095479379095</v>
      </c>
      <c r="P11" s="511">
        <v>53.31</v>
      </c>
      <c r="Q11" s="511">
        <v>530.97399999999993</v>
      </c>
      <c r="R11" s="511">
        <v>2.1079159632339146</v>
      </c>
      <c r="S11" s="511">
        <v>2.0938614696764817</v>
      </c>
      <c r="T11" s="511">
        <v>0</v>
      </c>
      <c r="U11" s="511">
        <v>0</v>
      </c>
      <c r="V11" s="511">
        <v>675.658975801878</v>
      </c>
      <c r="W11" s="511">
        <v>541.33547028667647</v>
      </c>
      <c r="X11" s="511">
        <v>428.49371600075034</v>
      </c>
      <c r="Y11" s="576">
        <v>379.44042457822803</v>
      </c>
      <c r="Z11" s="511">
        <v>0</v>
      </c>
      <c r="AA11" s="576">
        <v>0</v>
      </c>
      <c r="AB11" s="513">
        <v>0.81688570620441436</v>
      </c>
      <c r="AC11" s="514">
        <v>0.86494480631832837</v>
      </c>
      <c r="AD11" s="514">
        <v>0.81688570620441436</v>
      </c>
      <c r="AE11" s="514">
        <v>0.86494480631832837</v>
      </c>
      <c r="AF11" s="511">
        <v>44.162999999999997</v>
      </c>
      <c r="AG11" s="511">
        <v>313.93200000000002</v>
      </c>
      <c r="AH11" s="511">
        <v>111.15204448672891</v>
      </c>
      <c r="AI11" s="511">
        <v>131.01596689473607</v>
      </c>
      <c r="AJ11" s="511">
        <v>1.2000996309127552</v>
      </c>
      <c r="AK11" s="511">
        <v>1.4092223793687804</v>
      </c>
      <c r="AL11" s="511">
        <v>775.14933315216967</v>
      </c>
      <c r="AM11" s="511">
        <v>953.38175146210244</v>
      </c>
      <c r="AN11" s="511">
        <v>0</v>
      </c>
      <c r="AO11" s="512">
        <v>0</v>
      </c>
      <c r="AP11" s="594">
        <v>0.86112173841226947</v>
      </c>
      <c r="AQ11" s="514">
        <v>0.79208122877339082</v>
      </c>
      <c r="AR11" s="514">
        <v>0.86112173841226947</v>
      </c>
      <c r="AS11" s="514">
        <v>0.82722089632036666</v>
      </c>
      <c r="AT11" s="511">
        <v>48.418999999999997</v>
      </c>
      <c r="AU11" s="511">
        <v>342.37899999999996</v>
      </c>
      <c r="AV11" s="515">
        <v>108.3595469754609</v>
      </c>
      <c r="AW11" s="515">
        <v>116.53707319141141</v>
      </c>
      <c r="AX11" s="511">
        <v>1.3569053470744956</v>
      </c>
      <c r="AY11" s="511">
        <v>1.4729291224052878</v>
      </c>
      <c r="AZ11" s="511">
        <v>0</v>
      </c>
      <c r="BA11" s="511">
        <v>0</v>
      </c>
      <c r="BB11" s="511">
        <v>813.9969846547823</v>
      </c>
      <c r="BC11" s="511">
        <v>955.56982174724487</v>
      </c>
      <c r="BD11" s="511">
        <v>512.60868667258433</v>
      </c>
      <c r="BE11" s="576">
        <v>240.1934698097744</v>
      </c>
      <c r="BF11" s="511">
        <v>0</v>
      </c>
      <c r="BG11" s="512">
        <v>0</v>
      </c>
      <c r="BH11" s="513">
        <v>0.86083540559080773</v>
      </c>
      <c r="BI11" s="514">
        <v>0.87260260722126737</v>
      </c>
      <c r="BJ11" s="514">
        <v>0.86083540559080773</v>
      </c>
      <c r="BK11" s="514">
        <v>0.87260260722126737</v>
      </c>
      <c r="BL11" s="511">
        <v>46.26</v>
      </c>
      <c r="BM11" s="511">
        <v>378.66299999999995</v>
      </c>
      <c r="BN11" s="511">
        <v>2.4210981409424992</v>
      </c>
      <c r="BO11" s="511">
        <v>2.5537219110396316</v>
      </c>
      <c r="BP11" s="515">
        <v>0</v>
      </c>
      <c r="BQ11" s="515">
        <v>0</v>
      </c>
      <c r="BR11" s="515">
        <v>988.15638897100143</v>
      </c>
      <c r="BS11" s="515">
        <v>1026.2097201065794</v>
      </c>
      <c r="BT11" s="515">
        <v>0</v>
      </c>
      <c r="BU11" s="516">
        <v>0</v>
      </c>
      <c r="BV11" s="513">
        <v>0.72379670261637452</v>
      </c>
      <c r="BW11" s="514">
        <v>0.80435416795299985</v>
      </c>
      <c r="BX11" s="514">
        <v>0.72379670261637452</v>
      </c>
      <c r="BY11" s="514">
        <v>0.84796069055404699</v>
      </c>
      <c r="BZ11" s="511">
        <v>37.984000000000002</v>
      </c>
      <c r="CA11" s="511">
        <v>342.21899999999999</v>
      </c>
      <c r="CB11" s="515">
        <v>89.31474711267245</v>
      </c>
      <c r="CC11" s="515">
        <v>77.471002190408711</v>
      </c>
      <c r="CD11" s="511">
        <v>2.4299705139005896</v>
      </c>
      <c r="CE11" s="511">
        <v>2.027941172173374</v>
      </c>
      <c r="CF11" s="515">
        <v>0</v>
      </c>
      <c r="CG11" s="515">
        <v>0</v>
      </c>
      <c r="CH11" s="515">
        <v>1126.4386438026816</v>
      </c>
      <c r="CI11" s="515">
        <v>944.84136986923875</v>
      </c>
      <c r="CJ11" s="515">
        <v>0</v>
      </c>
      <c r="CK11" s="515">
        <v>58.458472498604863</v>
      </c>
      <c r="CL11" s="515">
        <v>0</v>
      </c>
      <c r="CM11" s="516">
        <v>0</v>
      </c>
    </row>
    <row r="12" spans="1:91">
      <c r="A12" s="558">
        <v>46121</v>
      </c>
      <c r="B12" s="513">
        <v>0.94365129194850539</v>
      </c>
      <c r="C12" s="514">
        <v>0.91317566690724805</v>
      </c>
      <c r="D12" s="514">
        <v>0.94365129194850539</v>
      </c>
      <c r="E12" s="514">
        <v>0.91317566690724805</v>
      </c>
      <c r="F12" s="511">
        <v>61.509</v>
      </c>
      <c r="G12" s="511">
        <v>532.68999999999994</v>
      </c>
      <c r="H12" s="511">
        <v>2.1663821554569251</v>
      </c>
      <c r="I12" s="511">
        <v>2.2379939552084704</v>
      </c>
      <c r="J12" s="511">
        <v>868.56850217040744</v>
      </c>
      <c r="K12" s="512">
        <v>922.43484953725795</v>
      </c>
      <c r="L12" s="513">
        <v>0.87403084162558697</v>
      </c>
      <c r="M12" s="514">
        <v>0.94374022445655315</v>
      </c>
      <c r="N12" s="514">
        <v>0.87403084162558697</v>
      </c>
      <c r="O12" s="514">
        <v>0.95357546101127011</v>
      </c>
      <c r="P12" s="511">
        <v>57.164000000000001</v>
      </c>
      <c r="Q12" s="511">
        <v>588.13799999999992</v>
      </c>
      <c r="R12" s="511">
        <v>1.8584773633755509</v>
      </c>
      <c r="S12" s="511">
        <v>2.0709833406445433</v>
      </c>
      <c r="T12" s="511">
        <v>0</v>
      </c>
      <c r="U12" s="511">
        <v>0</v>
      </c>
      <c r="V12" s="511">
        <v>527.73196417326324</v>
      </c>
      <c r="W12" s="511">
        <v>540.01327919637606</v>
      </c>
      <c r="X12" s="511">
        <v>395.42369323350363</v>
      </c>
      <c r="Y12" s="576">
        <v>380.9939163937716</v>
      </c>
      <c r="Z12" s="511">
        <v>0</v>
      </c>
      <c r="AA12" s="576">
        <v>0</v>
      </c>
      <c r="AB12" s="513">
        <v>7.6207396674792843E-2</v>
      </c>
      <c r="AC12" s="514">
        <v>0.76433591035556048</v>
      </c>
      <c r="AD12" s="514">
        <v>7.6207396674792843E-2</v>
      </c>
      <c r="AE12" s="514">
        <v>0.76433591035556048</v>
      </c>
      <c r="AF12" s="511">
        <v>4.0439999999999996</v>
      </c>
      <c r="AG12" s="511">
        <v>317.976</v>
      </c>
      <c r="AH12" s="511">
        <v>305.79666375921352</v>
      </c>
      <c r="AI12" s="511">
        <v>133.23881748132104</v>
      </c>
      <c r="AJ12" s="511">
        <v>4.6488625123639968</v>
      </c>
      <c r="AK12" s="511">
        <v>1.4504239313658893</v>
      </c>
      <c r="AL12" s="511">
        <v>3366.6617210683394</v>
      </c>
      <c r="AM12" s="511">
        <v>984.07370367575265</v>
      </c>
      <c r="AN12" s="511">
        <v>0</v>
      </c>
      <c r="AO12" s="512">
        <v>0</v>
      </c>
      <c r="AP12" s="594">
        <v>0.75230938292136096</v>
      </c>
      <c r="AQ12" s="514">
        <v>0.78767532471842938</v>
      </c>
      <c r="AR12" s="514">
        <v>0.75230938292136096</v>
      </c>
      <c r="AS12" s="514">
        <v>0.81859646470278979</v>
      </c>
      <c r="AT12" s="511">
        <v>40.512</v>
      </c>
      <c r="AU12" s="511">
        <v>382.89099999999996</v>
      </c>
      <c r="AV12" s="515">
        <v>125.90409198261973</v>
      </c>
      <c r="AW12" s="515">
        <v>117.52815594151373</v>
      </c>
      <c r="AX12" s="511">
        <v>1.5797788309636651</v>
      </c>
      <c r="AY12" s="511">
        <v>1.4842344165833097</v>
      </c>
      <c r="AZ12" s="511">
        <v>0</v>
      </c>
      <c r="BA12" s="511">
        <v>0</v>
      </c>
      <c r="BB12" s="511">
        <v>915.89603080568793</v>
      </c>
      <c r="BC12" s="511">
        <v>951.37211373471814</v>
      </c>
      <c r="BD12" s="511">
        <v>656.59557661927442</v>
      </c>
      <c r="BE12" s="576">
        <v>284.25113152307262</v>
      </c>
      <c r="BF12" s="511">
        <v>0</v>
      </c>
      <c r="BG12" s="512">
        <v>0</v>
      </c>
      <c r="BH12" s="513">
        <v>0.9137955777549116</v>
      </c>
      <c r="BI12" s="514">
        <v>0.8771417000907743</v>
      </c>
      <c r="BJ12" s="514">
        <v>0.9137955777549116</v>
      </c>
      <c r="BK12" s="514">
        <v>0.8771417000907743</v>
      </c>
      <c r="BL12" s="511">
        <v>49.106000000000002</v>
      </c>
      <c r="BM12" s="511">
        <v>427.76899999999995</v>
      </c>
      <c r="BN12" s="511">
        <v>2.5984604732619232</v>
      </c>
      <c r="BO12" s="511">
        <v>2.5588577012359477</v>
      </c>
      <c r="BP12" s="515">
        <v>0</v>
      </c>
      <c r="BQ12" s="515">
        <v>0</v>
      </c>
      <c r="BR12" s="515">
        <v>996.83763548888339</v>
      </c>
      <c r="BS12" s="515">
        <v>1022.8379339621027</v>
      </c>
      <c r="BT12" s="515">
        <v>0</v>
      </c>
      <c r="BU12" s="516">
        <v>0</v>
      </c>
      <c r="BV12" s="513">
        <v>0.90800433541419712</v>
      </c>
      <c r="BW12" s="514">
        <v>0.81573524900343608</v>
      </c>
      <c r="BX12" s="514">
        <v>0.90800433541419712</v>
      </c>
      <c r="BY12" s="514">
        <v>0.85486994802374938</v>
      </c>
      <c r="BZ12" s="511">
        <v>47.651000000000003</v>
      </c>
      <c r="CA12" s="511">
        <v>389.87</v>
      </c>
      <c r="CB12" s="515">
        <v>84.441705680003594</v>
      </c>
      <c r="CC12" s="515">
        <v>78.322981034594434</v>
      </c>
      <c r="CD12" s="511">
        <v>2.0608171916643929</v>
      </c>
      <c r="CE12" s="511">
        <v>2.0319593710724084</v>
      </c>
      <c r="CF12" s="515">
        <v>0</v>
      </c>
      <c r="CG12" s="515">
        <v>0</v>
      </c>
      <c r="CH12" s="515">
        <v>892.18759462935873</v>
      </c>
      <c r="CI12" s="515">
        <v>938.40587843887613</v>
      </c>
      <c r="CJ12" s="515">
        <v>0</v>
      </c>
      <c r="CK12" s="515">
        <v>51.313514761330843</v>
      </c>
      <c r="CL12" s="515">
        <v>0</v>
      </c>
      <c r="CM12" s="516">
        <v>0</v>
      </c>
    </row>
    <row r="13" spans="1:91">
      <c r="A13" s="558">
        <v>46122</v>
      </c>
      <c r="B13" s="513">
        <v>0.83113884425451567</v>
      </c>
      <c r="C13" s="514">
        <v>0.90346802185403419</v>
      </c>
      <c r="D13" s="514">
        <v>0.83113884425451567</v>
      </c>
      <c r="E13" s="514">
        <v>0.90346802185403419</v>
      </c>
      <c r="F13" s="511">
        <v>65.072000000000003</v>
      </c>
      <c r="G13" s="511">
        <v>597.76199999999994</v>
      </c>
      <c r="H13" s="511">
        <v>2.3505655274157853</v>
      </c>
      <c r="I13" s="511">
        <v>2.2502484266313347</v>
      </c>
      <c r="J13" s="511">
        <v>886.88130071306023</v>
      </c>
      <c r="K13" s="512">
        <v>918.56451229753986</v>
      </c>
      <c r="L13" s="513">
        <v>0.97044671957673512</v>
      </c>
      <c r="M13" s="514">
        <v>0.94618740926064027</v>
      </c>
      <c r="N13" s="514">
        <v>0.97044671957673512</v>
      </c>
      <c r="O13" s="514">
        <v>0.95513603879359266</v>
      </c>
      <c r="P13" s="511">
        <v>61.008000000000003</v>
      </c>
      <c r="Q13" s="511">
        <v>649.14599999999996</v>
      </c>
      <c r="R13" s="511">
        <v>1.8442007605559925</v>
      </c>
      <c r="S13" s="511">
        <v>2.0496698739574768</v>
      </c>
      <c r="T13" s="511">
        <v>0</v>
      </c>
      <c r="U13" s="511">
        <v>0</v>
      </c>
      <c r="V13" s="511">
        <v>498.51347364279678</v>
      </c>
      <c r="W13" s="511">
        <v>536.11304698788558</v>
      </c>
      <c r="X13" s="511">
        <v>375.19669551534224</v>
      </c>
      <c r="Y13" s="576">
        <v>380.44908233278801</v>
      </c>
      <c r="Z13" s="511">
        <v>0</v>
      </c>
      <c r="AA13" s="576">
        <v>0</v>
      </c>
      <c r="AB13" s="513">
        <v>0.67229957799797813</v>
      </c>
      <c r="AC13" s="514">
        <v>0.7553528640261109</v>
      </c>
      <c r="AD13" s="514">
        <v>0.67229957799797813</v>
      </c>
      <c r="AE13" s="514">
        <v>0.7553528640261109</v>
      </c>
      <c r="AF13" s="511">
        <v>30.251000000000001</v>
      </c>
      <c r="AG13" s="511">
        <v>348.22699999999998</v>
      </c>
      <c r="AH13" s="511">
        <v>164.0863936341743</v>
      </c>
      <c r="AI13" s="511">
        <v>135.9185925309294</v>
      </c>
      <c r="AJ13" s="511">
        <v>1.9602657763379721</v>
      </c>
      <c r="AK13" s="511">
        <v>1.4947146545213326</v>
      </c>
      <c r="AL13" s="511">
        <v>1112.7281742751945</v>
      </c>
      <c r="AM13" s="511">
        <v>995.25010984214327</v>
      </c>
      <c r="AN13" s="511">
        <v>0</v>
      </c>
      <c r="AO13" s="512">
        <v>0</v>
      </c>
      <c r="AP13" s="594">
        <v>0.92388267199715368</v>
      </c>
      <c r="AQ13" s="514">
        <v>0.80216849704584903</v>
      </c>
      <c r="AR13" s="514">
        <v>0.92388267199715368</v>
      </c>
      <c r="AS13" s="514">
        <v>0.83019082331555694</v>
      </c>
      <c r="AT13" s="511">
        <v>53.476999999999997</v>
      </c>
      <c r="AU13" s="511">
        <v>436.36799999999994</v>
      </c>
      <c r="AV13" s="515">
        <v>104.12891784524957</v>
      </c>
      <c r="AW13" s="515">
        <v>115.8860761930585</v>
      </c>
      <c r="AX13" s="511">
        <v>1.3463732071731773</v>
      </c>
      <c r="AY13" s="511">
        <v>1.4673394932717341</v>
      </c>
      <c r="AZ13" s="511">
        <v>0</v>
      </c>
      <c r="BA13" s="511">
        <v>0</v>
      </c>
      <c r="BB13" s="511">
        <v>742.0225517512207</v>
      </c>
      <c r="BC13" s="511">
        <v>925.71627617057163</v>
      </c>
      <c r="BD13" s="511">
        <v>532.93939450605103</v>
      </c>
      <c r="BE13" s="576">
        <v>314.72793605397487</v>
      </c>
      <c r="BF13" s="511">
        <v>0</v>
      </c>
      <c r="BG13" s="512">
        <v>0</v>
      </c>
      <c r="BH13" s="513">
        <v>1.0584032720230951</v>
      </c>
      <c r="BI13" s="514">
        <v>0.89513264664878411</v>
      </c>
      <c r="BJ13" s="514">
        <v>1.0584032720230951</v>
      </c>
      <c r="BK13" s="514">
        <v>0.89513264664878411</v>
      </c>
      <c r="BL13" s="511">
        <v>56.877000000000002</v>
      </c>
      <c r="BM13" s="511">
        <v>484.64599999999996</v>
      </c>
      <c r="BN13" s="511">
        <v>2.2364048736747719</v>
      </c>
      <c r="BO13" s="511">
        <v>2.5210153390309631</v>
      </c>
      <c r="BP13" s="515">
        <v>0</v>
      </c>
      <c r="BQ13" s="515">
        <v>0</v>
      </c>
      <c r="BR13" s="515">
        <v>853.82567797278671</v>
      </c>
      <c r="BS13" s="515">
        <v>1003.0030233595097</v>
      </c>
      <c r="BT13" s="515">
        <v>0</v>
      </c>
      <c r="BU13" s="516">
        <v>0</v>
      </c>
      <c r="BV13" s="513">
        <v>0.87730645200379209</v>
      </c>
      <c r="BW13" s="514">
        <v>0.82184158478513536</v>
      </c>
      <c r="BX13" s="514">
        <v>0.87730645200379209</v>
      </c>
      <c r="BY13" s="514">
        <v>0.85719080094503286</v>
      </c>
      <c r="BZ13" s="511">
        <v>46.161999999999999</v>
      </c>
      <c r="CA13" s="511">
        <v>436.03199999999998</v>
      </c>
      <c r="CB13" s="515">
        <v>82.269407013608202</v>
      </c>
      <c r="CC13" s="515">
        <v>78.74078274649456</v>
      </c>
      <c r="CD13" s="511">
        <v>2.1597851046315153</v>
      </c>
      <c r="CE13" s="511">
        <v>2.0454920739762219</v>
      </c>
      <c r="CF13" s="515">
        <v>0</v>
      </c>
      <c r="CG13" s="515">
        <v>0</v>
      </c>
      <c r="CH13" s="515">
        <v>958.37218738228796</v>
      </c>
      <c r="CI13" s="515">
        <v>940.51967915406624</v>
      </c>
      <c r="CJ13" s="515">
        <v>0</v>
      </c>
      <c r="CK13" s="515">
        <v>45.881036254220007</v>
      </c>
      <c r="CL13" s="515">
        <v>0</v>
      </c>
      <c r="CM13" s="516">
        <v>0</v>
      </c>
    </row>
    <row r="14" spans="1:91">
      <c r="A14" s="558">
        <v>46123</v>
      </c>
      <c r="B14" s="513">
        <v>0.96245606085571489</v>
      </c>
      <c r="C14" s="514">
        <v>0.91010622676596453</v>
      </c>
      <c r="D14" s="514">
        <v>0.96245606085571489</v>
      </c>
      <c r="E14" s="514">
        <v>0.91010622676596453</v>
      </c>
      <c r="F14" s="511">
        <v>80.748000000000005</v>
      </c>
      <c r="G14" s="511">
        <v>678.51</v>
      </c>
      <c r="H14" s="511">
        <v>1.8942388665973149</v>
      </c>
      <c r="I14" s="511">
        <v>2.2078805028665749</v>
      </c>
      <c r="J14" s="511">
        <v>700.07504829840764</v>
      </c>
      <c r="K14" s="512">
        <v>892.56255618929993</v>
      </c>
      <c r="L14" s="513">
        <v>8.2479420626900973E-2</v>
      </c>
      <c r="M14" s="514">
        <v>0.87150460585215761</v>
      </c>
      <c r="N14" s="514">
        <v>1.6967195100391057</v>
      </c>
      <c r="O14" s="514">
        <v>0.95856451330608949</v>
      </c>
      <c r="P14" s="511">
        <v>5.3559999999999999</v>
      </c>
      <c r="Q14" s="511">
        <v>654.50199999999995</v>
      </c>
      <c r="R14" s="511">
        <v>1.2042569081404031</v>
      </c>
      <c r="S14" s="511">
        <v>2.0427515882304412</v>
      </c>
      <c r="T14" s="511">
        <v>0</v>
      </c>
      <c r="U14" s="511">
        <v>0</v>
      </c>
      <c r="V14" s="511">
        <v>870.42382374932595</v>
      </c>
      <c r="W14" s="511">
        <v>538.84881940773187</v>
      </c>
      <c r="X14" s="511">
        <v>160.56758775205375</v>
      </c>
      <c r="Y14" s="576">
        <v>378.64972146761966</v>
      </c>
      <c r="Z14" s="511">
        <v>0</v>
      </c>
      <c r="AA14" s="576">
        <v>0</v>
      </c>
      <c r="AB14" s="513">
        <v>0.88267107079737062</v>
      </c>
      <c r="AC14" s="514">
        <v>0.7665731471738898</v>
      </c>
      <c r="AD14" s="514">
        <v>0.88267107079737062</v>
      </c>
      <c r="AE14" s="514">
        <v>0.7665731471738898</v>
      </c>
      <c r="AF14" s="511">
        <v>39.326999999999998</v>
      </c>
      <c r="AG14" s="511">
        <v>387.55399999999997</v>
      </c>
      <c r="AH14" s="511">
        <v>137.9187005614167</v>
      </c>
      <c r="AI14" s="511">
        <v>136.12155327579327</v>
      </c>
      <c r="AJ14" s="511">
        <v>1.4748137411956164</v>
      </c>
      <c r="AK14" s="511">
        <v>1.4926952115060095</v>
      </c>
      <c r="AL14" s="511">
        <v>910.30742238157927</v>
      </c>
      <c r="AM14" s="511">
        <v>986.63055987036751</v>
      </c>
      <c r="AN14" s="511">
        <v>0</v>
      </c>
      <c r="AO14" s="512">
        <v>0</v>
      </c>
      <c r="AP14" s="594">
        <v>1.0139383030223927</v>
      </c>
      <c r="AQ14" s="514">
        <v>0.8229111842751673</v>
      </c>
      <c r="AR14" s="514">
        <v>1.0139383030223927</v>
      </c>
      <c r="AS14" s="514">
        <v>0.84875395376338991</v>
      </c>
      <c r="AT14" s="511">
        <v>59.892000000000003</v>
      </c>
      <c r="AU14" s="511">
        <v>496.25999999999993</v>
      </c>
      <c r="AV14" s="515">
        <v>92.836452497481133</v>
      </c>
      <c r="AW14" s="515">
        <v>113.1042923249742</v>
      </c>
      <c r="AX14" s="511">
        <v>1.2155212716222532</v>
      </c>
      <c r="AY14" s="511">
        <v>1.4369483738362956</v>
      </c>
      <c r="AZ14" s="511">
        <v>0</v>
      </c>
      <c r="BA14" s="511">
        <v>0</v>
      </c>
      <c r="BB14" s="511">
        <v>699.58692312829839</v>
      </c>
      <c r="BC14" s="511">
        <v>898.42546245919482</v>
      </c>
      <c r="BD14" s="511">
        <v>493.22113136979971</v>
      </c>
      <c r="BE14" s="576">
        <v>336.26969733607575</v>
      </c>
      <c r="BF14" s="511">
        <v>0</v>
      </c>
      <c r="BG14" s="512">
        <v>0</v>
      </c>
      <c r="BH14" s="513">
        <v>0.81268286908475418</v>
      </c>
      <c r="BI14" s="514">
        <v>0.88767526177684164</v>
      </c>
      <c r="BJ14" s="514">
        <v>0.81268286908475418</v>
      </c>
      <c r="BK14" s="514">
        <v>0.88767526177684164</v>
      </c>
      <c r="BL14" s="511">
        <v>43.755000000000003</v>
      </c>
      <c r="BM14" s="511">
        <v>528.40099999999995</v>
      </c>
      <c r="BN14" s="511">
        <v>2.9299508627585413</v>
      </c>
      <c r="BO14" s="511">
        <v>2.5548778295271966</v>
      </c>
      <c r="BP14" s="515">
        <v>0</v>
      </c>
      <c r="BQ14" s="515">
        <v>0</v>
      </c>
      <c r="BR14" s="515">
        <v>1059.6520136418449</v>
      </c>
      <c r="BS14" s="515">
        <v>1007.6939239630351</v>
      </c>
      <c r="BT14" s="515">
        <v>0</v>
      </c>
      <c r="BU14" s="516">
        <v>0</v>
      </c>
      <c r="BV14" s="513">
        <v>0.99944396243782274</v>
      </c>
      <c r="BW14" s="514">
        <v>0.83805477346431445</v>
      </c>
      <c r="BX14" s="514">
        <v>0.99944396243782274</v>
      </c>
      <c r="BY14" s="514">
        <v>0.87068257429555329</v>
      </c>
      <c r="BZ14" s="511">
        <v>53.27</v>
      </c>
      <c r="CA14" s="511">
        <v>489.30199999999996</v>
      </c>
      <c r="CB14" s="515">
        <v>72.722178525286722</v>
      </c>
      <c r="CC14" s="515">
        <v>78.085541102553307</v>
      </c>
      <c r="CD14" s="511">
        <v>1.8678430636380701</v>
      </c>
      <c r="CE14" s="511">
        <v>2.0261515383137612</v>
      </c>
      <c r="CF14" s="515">
        <v>0</v>
      </c>
      <c r="CG14" s="515">
        <v>0</v>
      </c>
      <c r="CH14" s="515">
        <v>843.13696532946994</v>
      </c>
      <c r="CI14" s="515">
        <v>929.91768454657188</v>
      </c>
      <c r="CJ14" s="515">
        <v>0</v>
      </c>
      <c r="CK14" s="515">
        <v>40.885996787260339</v>
      </c>
      <c r="CL14" s="515">
        <v>0</v>
      </c>
      <c r="CM14" s="516">
        <v>0</v>
      </c>
    </row>
    <row r="15" spans="1:91">
      <c r="A15" s="558">
        <v>46124</v>
      </c>
      <c r="B15" s="513">
        <v>1.0960021047342328</v>
      </c>
      <c r="C15" s="514">
        <v>0.92839434958834022</v>
      </c>
      <c r="D15" s="514">
        <v>1.0960021047342328</v>
      </c>
      <c r="E15" s="514">
        <v>0.92839434958834022</v>
      </c>
      <c r="F15" s="511">
        <v>89.156000000000006</v>
      </c>
      <c r="G15" s="511">
        <v>767.66599999999994</v>
      </c>
      <c r="H15" s="511">
        <v>1.7666898470097356</v>
      </c>
      <c r="I15" s="511">
        <v>2.1566410392019444</v>
      </c>
      <c r="J15" s="511">
        <v>660.79860020637307</v>
      </c>
      <c r="K15" s="512">
        <v>865.64571050430948</v>
      </c>
      <c r="L15" s="513">
        <v>0.33826628115870461</v>
      </c>
      <c r="M15" s="514">
        <v>0.8370119838293687</v>
      </c>
      <c r="N15" s="514">
        <v>0.44894326715993982</v>
      </c>
      <c r="O15" s="514">
        <v>0.93093907302440637</v>
      </c>
      <c r="P15" s="511">
        <v>17.568999999999999</v>
      </c>
      <c r="Q15" s="511">
        <v>672.07099999999991</v>
      </c>
      <c r="R15" s="511">
        <v>6.1137799533268833</v>
      </c>
      <c r="S15" s="511">
        <v>2.1491747151714629</v>
      </c>
      <c r="T15" s="511">
        <v>0</v>
      </c>
      <c r="U15" s="511">
        <v>0</v>
      </c>
      <c r="V15" s="511">
        <v>1523.9307871818935</v>
      </c>
      <c r="W15" s="511">
        <v>564.60042168163488</v>
      </c>
      <c r="X15" s="511">
        <v>1122.4884740167324</v>
      </c>
      <c r="Y15" s="576">
        <v>398.09484414593112</v>
      </c>
      <c r="Z15" s="511">
        <v>25.102737776765991</v>
      </c>
      <c r="AA15" s="576">
        <v>0.65622530952831148</v>
      </c>
      <c r="AB15" s="513">
        <v>0.79522767333947764</v>
      </c>
      <c r="AC15" s="514">
        <v>0.76889388776541223</v>
      </c>
      <c r="AD15" s="514">
        <v>0.79522767333947764</v>
      </c>
      <c r="AE15" s="514">
        <v>0.76889388776541223</v>
      </c>
      <c r="AF15" s="511">
        <v>35.430999999999997</v>
      </c>
      <c r="AG15" s="511">
        <v>422.98499999999996</v>
      </c>
      <c r="AH15" s="511">
        <v>152.76630723129097</v>
      </c>
      <c r="AI15" s="511">
        <v>137.51578776968134</v>
      </c>
      <c r="AJ15" s="511">
        <v>1.6341621743670798</v>
      </c>
      <c r="AK15" s="511">
        <v>1.5045450784306773</v>
      </c>
      <c r="AL15" s="511">
        <v>1046.0940983884479</v>
      </c>
      <c r="AM15" s="511">
        <v>991.6114755842442</v>
      </c>
      <c r="AN15" s="511">
        <v>0</v>
      </c>
      <c r="AO15" s="512">
        <v>0</v>
      </c>
      <c r="AP15" s="594">
        <v>0.9920114335333956</v>
      </c>
      <c r="AQ15" s="514">
        <v>0.83756560140641967</v>
      </c>
      <c r="AR15" s="514">
        <v>0.9920114335333956</v>
      </c>
      <c r="AS15" s="514">
        <v>0.86152393094185487</v>
      </c>
      <c r="AT15" s="511">
        <v>56.762999999999998</v>
      </c>
      <c r="AU15" s="511">
        <v>553.02299999999991</v>
      </c>
      <c r="AV15" s="515">
        <v>95.731144767382062</v>
      </c>
      <c r="AW15" s="515">
        <v>111.32108986357277</v>
      </c>
      <c r="AX15" s="511">
        <v>1.2649084791149163</v>
      </c>
      <c r="AY15" s="511">
        <v>1.4192899752813175</v>
      </c>
      <c r="AZ15" s="511">
        <v>0</v>
      </c>
      <c r="BA15" s="511">
        <v>0</v>
      </c>
      <c r="BB15" s="511">
        <v>775.22611560347229</v>
      </c>
      <c r="BC15" s="511">
        <v>885.78012126077942</v>
      </c>
      <c r="BD15" s="511">
        <v>569.73732889382052</v>
      </c>
      <c r="BE15" s="576">
        <v>360.23311869488418</v>
      </c>
      <c r="BF15" s="511">
        <v>0</v>
      </c>
      <c r="BG15" s="512">
        <v>0</v>
      </c>
      <c r="BH15" s="513">
        <v>0.99683971035605357</v>
      </c>
      <c r="BI15" s="514">
        <v>0.89604845086606999</v>
      </c>
      <c r="BJ15" s="514">
        <v>0.99683971035605357</v>
      </c>
      <c r="BK15" s="514">
        <v>0.89604845086606999</v>
      </c>
      <c r="BL15" s="511">
        <v>49.295000000000002</v>
      </c>
      <c r="BM15" s="511">
        <v>577.69599999999991</v>
      </c>
      <c r="BN15" s="511">
        <v>2.6290698853839132</v>
      </c>
      <c r="BO15" s="511">
        <v>2.5612086633800479</v>
      </c>
      <c r="BP15" s="515">
        <v>0</v>
      </c>
      <c r="BQ15" s="515">
        <v>0</v>
      </c>
      <c r="BR15" s="515">
        <v>1043.9927463588967</v>
      </c>
      <c r="BS15" s="515">
        <v>1010.7913150649368</v>
      </c>
      <c r="BT15" s="515">
        <v>0</v>
      </c>
      <c r="BU15" s="516">
        <v>0</v>
      </c>
      <c r="BV15" s="513">
        <v>0.76135675550880233</v>
      </c>
      <c r="BW15" s="514">
        <v>0.8320330327945471</v>
      </c>
      <c r="BX15" s="514">
        <v>0.76135675550880233</v>
      </c>
      <c r="BY15" s="514">
        <v>0.86179214750733912</v>
      </c>
      <c r="BZ15" s="511">
        <v>37.874000000000002</v>
      </c>
      <c r="CA15" s="511">
        <v>527.17599999999993</v>
      </c>
      <c r="CB15" s="515">
        <v>101.74130004903685</v>
      </c>
      <c r="CC15" s="515">
        <v>79.785046038929636</v>
      </c>
      <c r="CD15" s="511">
        <v>2.2125996725986163</v>
      </c>
      <c r="CE15" s="511">
        <v>2.0395465650940108</v>
      </c>
      <c r="CF15" s="515">
        <v>0</v>
      </c>
      <c r="CG15" s="515">
        <v>0</v>
      </c>
      <c r="CH15" s="515">
        <v>1200.0015199936179</v>
      </c>
      <c r="CI15" s="515">
        <v>949.32136601864465</v>
      </c>
      <c r="CJ15" s="515">
        <v>0</v>
      </c>
      <c r="CK15" s="515">
        <v>37.948616780733687</v>
      </c>
      <c r="CL15" s="515">
        <v>0</v>
      </c>
      <c r="CM15" s="516">
        <v>0</v>
      </c>
    </row>
    <row r="16" spans="1:91">
      <c r="A16" s="558">
        <v>46125</v>
      </c>
      <c r="B16" s="513">
        <v>0.72887552343170847</v>
      </c>
      <c r="C16" s="514">
        <v>0.91146560145020183</v>
      </c>
      <c r="D16" s="514">
        <v>0.91987796121092036</v>
      </c>
      <c r="E16" s="514">
        <v>0.92781152340700046</v>
      </c>
      <c r="F16" s="511">
        <v>55.878</v>
      </c>
      <c r="G16" s="511">
        <v>823.54399999999998</v>
      </c>
      <c r="H16" s="511">
        <v>2.0969612369805648</v>
      </c>
      <c r="I16" s="511">
        <v>2.1525917255180049</v>
      </c>
      <c r="J16" s="511">
        <v>753.05379576932648</v>
      </c>
      <c r="K16" s="512">
        <v>858.00627531740815</v>
      </c>
      <c r="L16" s="513">
        <v>0.54438734452432347</v>
      </c>
      <c r="M16" s="514">
        <v>0.81922145602627194</v>
      </c>
      <c r="N16" s="514">
        <v>0.67231370164238924</v>
      </c>
      <c r="O16" s="514">
        <v>0.91669259437368078</v>
      </c>
      <c r="P16" s="511">
        <v>28.295000000000002</v>
      </c>
      <c r="Q16" s="511">
        <v>700.36599999999987</v>
      </c>
      <c r="R16" s="511">
        <v>3.8024739353242625</v>
      </c>
      <c r="S16" s="511">
        <v>2.215968507894444</v>
      </c>
      <c r="T16" s="511">
        <v>0</v>
      </c>
      <c r="U16" s="511">
        <v>0</v>
      </c>
      <c r="V16" s="511">
        <v>842.63332744308309</v>
      </c>
      <c r="W16" s="511">
        <v>575.83303586981674</v>
      </c>
      <c r="X16" s="511">
        <v>530.94186251987981</v>
      </c>
      <c r="Y16" s="576">
        <v>403.46190420437324</v>
      </c>
      <c r="Z16" s="511">
        <v>0</v>
      </c>
      <c r="AA16" s="576">
        <v>0.62971360688554523</v>
      </c>
      <c r="AB16" s="513">
        <v>0.56789341976200725</v>
      </c>
      <c r="AC16" s="514">
        <v>0.75388855401956911</v>
      </c>
      <c r="AD16" s="514">
        <v>0.67187835433932197</v>
      </c>
      <c r="AE16" s="514">
        <v>0.76270071695299579</v>
      </c>
      <c r="AF16" s="511">
        <v>25.204000000000001</v>
      </c>
      <c r="AG16" s="511">
        <v>448.18899999999996</v>
      </c>
      <c r="AH16" s="511">
        <v>158.88272846856864</v>
      </c>
      <c r="AI16" s="511">
        <v>138.71736204610212</v>
      </c>
      <c r="AJ16" s="511">
        <v>1.6505316616410093</v>
      </c>
      <c r="AK16" s="511">
        <v>1.5127546637690796</v>
      </c>
      <c r="AL16" s="511">
        <v>1215.2491667988775</v>
      </c>
      <c r="AM16" s="511">
        <v>1004.1877868488527</v>
      </c>
      <c r="AN16" s="511">
        <v>0</v>
      </c>
      <c r="AO16" s="512">
        <v>0</v>
      </c>
      <c r="AP16" s="594">
        <v>0.34893925012492605</v>
      </c>
      <c r="AQ16" s="514">
        <v>0.80218463824646458</v>
      </c>
      <c r="AR16" s="514">
        <v>0.51332475388189069</v>
      </c>
      <c r="AS16" s="514">
        <v>0.84350246407804408</v>
      </c>
      <c r="AT16" s="511">
        <v>17.984999999999999</v>
      </c>
      <c r="AU16" s="511">
        <v>571.00799999999992</v>
      </c>
      <c r="AV16" s="515">
        <v>168.65122105426363</v>
      </c>
      <c r="AW16" s="515">
        <v>113.12681309243222</v>
      </c>
      <c r="AX16" s="511">
        <v>2.313038643313873</v>
      </c>
      <c r="AY16" s="511">
        <v>1.4474403160726295</v>
      </c>
      <c r="AZ16" s="511">
        <v>0</v>
      </c>
      <c r="BA16" s="511">
        <v>0</v>
      </c>
      <c r="BB16" s="511">
        <v>1562.3653044203543</v>
      </c>
      <c r="BC16" s="511">
        <v>907.09047859224404</v>
      </c>
      <c r="BD16" s="511">
        <v>806.67778704475802</v>
      </c>
      <c r="BE16" s="576">
        <v>374.2947559403737</v>
      </c>
      <c r="BF16" s="511">
        <v>0</v>
      </c>
      <c r="BG16" s="512">
        <v>0</v>
      </c>
      <c r="BH16" s="513">
        <v>0.37373128442927717</v>
      </c>
      <c r="BI16" s="514">
        <v>0.85942820580249957</v>
      </c>
      <c r="BJ16" s="514">
        <v>0.51947205557737364</v>
      </c>
      <c r="BK16" s="514">
        <v>0.87667241007247232</v>
      </c>
      <c r="BL16" s="511">
        <v>18.167000000000002</v>
      </c>
      <c r="BM16" s="511">
        <v>595.86299999999994</v>
      </c>
      <c r="BN16" s="511">
        <v>4.5577145373479384</v>
      </c>
      <c r="BO16" s="511">
        <v>2.6220792363345264</v>
      </c>
      <c r="BP16" s="515">
        <v>0</v>
      </c>
      <c r="BQ16" s="515">
        <v>0</v>
      </c>
      <c r="BR16" s="515">
        <v>2010.8702752411639</v>
      </c>
      <c r="BS16" s="515">
        <v>1041.282274345042</v>
      </c>
      <c r="BT16" s="515">
        <v>0</v>
      </c>
      <c r="BU16" s="516">
        <v>0</v>
      </c>
      <c r="BV16" s="513">
        <v>0.21014267007828072</v>
      </c>
      <c r="BW16" s="514">
        <v>0.78431286089659269</v>
      </c>
      <c r="BX16" s="514">
        <v>0.43481147372806106</v>
      </c>
      <c r="BY16" s="514">
        <v>0.8447375257412657</v>
      </c>
      <c r="BZ16" s="511">
        <v>11.066000000000001</v>
      </c>
      <c r="CA16" s="511">
        <v>538.24199999999996</v>
      </c>
      <c r="CB16" s="515">
        <v>135.03772826832321</v>
      </c>
      <c r="CC16" s="515">
        <v>80.921014955421597</v>
      </c>
      <c r="CD16" s="511">
        <v>3.7954093620097593</v>
      </c>
      <c r="CE16" s="511">
        <v>2.0756462706366285</v>
      </c>
      <c r="CF16" s="515">
        <v>0</v>
      </c>
      <c r="CG16" s="515">
        <v>0</v>
      </c>
      <c r="CH16" s="515">
        <v>1491.590640298499</v>
      </c>
      <c r="CI16" s="515">
        <v>960.4701648659676</v>
      </c>
      <c r="CJ16" s="515">
        <v>911.06994397252697</v>
      </c>
      <c r="CK16" s="515">
        <v>55.89957677030042</v>
      </c>
      <c r="CL16" s="515">
        <v>0</v>
      </c>
      <c r="CM16" s="516">
        <v>0</v>
      </c>
    </row>
    <row r="17" spans="1:91">
      <c r="A17" s="558">
        <v>46126</v>
      </c>
      <c r="B17" s="513">
        <v>0.93899208518203148</v>
      </c>
      <c r="C17" s="514">
        <v>0.91367216154916076</v>
      </c>
      <c r="D17" s="514">
        <v>0.93899208518203148</v>
      </c>
      <c r="E17" s="514">
        <v>0.92872253570520835</v>
      </c>
      <c r="F17" s="511">
        <v>73.936999999999998</v>
      </c>
      <c r="G17" s="511">
        <v>897.48099999999999</v>
      </c>
      <c r="H17" s="511">
        <v>2.0645008588392821</v>
      </c>
      <c r="I17" s="511">
        <v>2.1453345530434627</v>
      </c>
      <c r="J17" s="511">
        <v>765.81873757389712</v>
      </c>
      <c r="K17" s="512">
        <v>850.41160759949332</v>
      </c>
      <c r="L17" s="513">
        <v>0.47997295543705643</v>
      </c>
      <c r="M17" s="514">
        <v>0.79808877113443721</v>
      </c>
      <c r="N17" s="514">
        <v>0.47997295543705643</v>
      </c>
      <c r="O17" s="514">
        <v>0.88647534534117411</v>
      </c>
      <c r="P17" s="511">
        <v>27.259</v>
      </c>
      <c r="Q17" s="511">
        <v>727.62499999999989</v>
      </c>
      <c r="R17" s="511">
        <v>4.3815987380314763</v>
      </c>
      <c r="S17" s="511">
        <v>2.2970994674454568</v>
      </c>
      <c r="T17" s="511">
        <v>0</v>
      </c>
      <c r="U17" s="511">
        <v>0</v>
      </c>
      <c r="V17" s="511">
        <v>1070.1386697971236</v>
      </c>
      <c r="W17" s="511">
        <v>594.3511973887646</v>
      </c>
      <c r="X17" s="511">
        <v>708.94016655049711</v>
      </c>
      <c r="Y17" s="576">
        <v>414.9060298917712</v>
      </c>
      <c r="Z17" s="511">
        <v>0</v>
      </c>
      <c r="AA17" s="576">
        <v>0.60612265933688614</v>
      </c>
      <c r="AB17" s="513">
        <v>1.0083233107335434</v>
      </c>
      <c r="AC17" s="514">
        <v>0.77196118077633546</v>
      </c>
      <c r="AD17" s="514">
        <v>1.0083233107335434</v>
      </c>
      <c r="AE17" s="514">
        <v>0.78033670223163987</v>
      </c>
      <c r="AF17" s="511">
        <v>45.835000000000001</v>
      </c>
      <c r="AG17" s="511">
        <v>494.02399999999994</v>
      </c>
      <c r="AH17" s="511">
        <v>122.18310295905783</v>
      </c>
      <c r="AI17" s="511">
        <v>137.18333178592312</v>
      </c>
      <c r="AJ17" s="511">
        <v>1.2457728809861459</v>
      </c>
      <c r="AK17" s="511">
        <v>1.4879843894223765</v>
      </c>
      <c r="AL17" s="511">
        <v>815.58503327152516</v>
      </c>
      <c r="AM17" s="511">
        <v>986.68943209236966</v>
      </c>
      <c r="AN17" s="511">
        <v>0</v>
      </c>
      <c r="AO17" s="512">
        <v>0</v>
      </c>
      <c r="AP17" s="594">
        <v>0.90499382859417588</v>
      </c>
      <c r="AQ17" s="514">
        <v>0.80911047323395735</v>
      </c>
      <c r="AR17" s="514">
        <v>0.90499382859417588</v>
      </c>
      <c r="AS17" s="514">
        <v>0.84784318678382442</v>
      </c>
      <c r="AT17" s="511">
        <v>46.530999999999999</v>
      </c>
      <c r="AU17" s="511">
        <v>617.53899999999987</v>
      </c>
      <c r="AV17" s="515">
        <v>101.99696683233381</v>
      </c>
      <c r="AW17" s="515">
        <v>112.28818933534379</v>
      </c>
      <c r="AX17" s="511">
        <v>1.4420493864305517</v>
      </c>
      <c r="AY17" s="511">
        <v>1.447034114444594</v>
      </c>
      <c r="AZ17" s="511">
        <v>0</v>
      </c>
      <c r="BA17" s="511">
        <v>0</v>
      </c>
      <c r="BB17" s="511">
        <v>820.57853903848991</v>
      </c>
      <c r="BC17" s="511">
        <v>900.57188290941974</v>
      </c>
      <c r="BD17" s="511">
        <v>467.0090907137178</v>
      </c>
      <c r="BE17" s="576">
        <v>381.28069644184558</v>
      </c>
      <c r="BF17" s="511">
        <v>0</v>
      </c>
      <c r="BG17" s="512">
        <v>0</v>
      </c>
      <c r="BH17" s="513">
        <v>1.0080822156168618</v>
      </c>
      <c r="BI17" s="514">
        <v>0.8700999272328982</v>
      </c>
      <c r="BJ17" s="514">
        <v>1.0080822156168618</v>
      </c>
      <c r="BK17" s="514">
        <v>0.88628163238204949</v>
      </c>
      <c r="BL17" s="511">
        <v>54.055999999999997</v>
      </c>
      <c r="BM17" s="511">
        <v>649.91899999999998</v>
      </c>
      <c r="BN17" s="511">
        <v>2.2828178185585322</v>
      </c>
      <c r="BO17" s="511">
        <v>2.5938616966114241</v>
      </c>
      <c r="BP17" s="515">
        <v>0</v>
      </c>
      <c r="BQ17" s="515">
        <v>0</v>
      </c>
      <c r="BR17" s="515">
        <v>730.90340662310871</v>
      </c>
      <c r="BS17" s="515">
        <v>1015.4669957125097</v>
      </c>
      <c r="BT17" s="515">
        <v>0</v>
      </c>
      <c r="BU17" s="516">
        <v>0</v>
      </c>
      <c r="BV17" s="513">
        <v>0.94080191820507475</v>
      </c>
      <c r="BW17" s="514">
        <v>0.7956870124836144</v>
      </c>
      <c r="BX17" s="514">
        <v>0.94080191820507475</v>
      </c>
      <c r="BY17" s="514">
        <v>0.85221585909826636</v>
      </c>
      <c r="BZ17" s="511">
        <v>50.604999999999997</v>
      </c>
      <c r="CA17" s="511">
        <v>588.84699999999998</v>
      </c>
      <c r="CB17" s="515">
        <v>66.845501673673766</v>
      </c>
      <c r="CC17" s="515">
        <v>79.711377562987138</v>
      </c>
      <c r="CD17" s="511">
        <v>1.9385436221717223</v>
      </c>
      <c r="CE17" s="511">
        <v>2.06386378804681</v>
      </c>
      <c r="CF17" s="515">
        <v>0</v>
      </c>
      <c r="CG17" s="515">
        <v>0</v>
      </c>
      <c r="CH17" s="515">
        <v>650.47535720938731</v>
      </c>
      <c r="CI17" s="515">
        <v>933.82948020346396</v>
      </c>
      <c r="CJ17" s="515">
        <v>504.09248098014035</v>
      </c>
      <c r="CK17" s="515">
        <v>94.416885880373073</v>
      </c>
      <c r="CL17" s="515">
        <v>0</v>
      </c>
      <c r="CM17" s="516">
        <v>0</v>
      </c>
    </row>
    <row r="18" spans="1:91">
      <c r="A18" s="558">
        <v>46127</v>
      </c>
      <c r="B18" s="513">
        <v>1.0224381050192495</v>
      </c>
      <c r="C18" s="514">
        <v>0.92170507129414136</v>
      </c>
      <c r="D18" s="514">
        <v>1.0224381050192495</v>
      </c>
      <c r="E18" s="514">
        <v>0.93574936279408527</v>
      </c>
      <c r="F18" s="511">
        <v>80.088999999999999</v>
      </c>
      <c r="G18" s="511">
        <v>977.56999999999994</v>
      </c>
      <c r="H18" s="511">
        <v>1.9288416636491905</v>
      </c>
      <c r="I18" s="511">
        <v>2.1275980236709389</v>
      </c>
      <c r="J18" s="511">
        <v>710.11449762139682</v>
      </c>
      <c r="K18" s="512">
        <v>838.91754043188814</v>
      </c>
      <c r="L18" s="513">
        <v>0.65127176250783325</v>
      </c>
      <c r="M18" s="514">
        <v>0.78923110082680736</v>
      </c>
      <c r="N18" s="514">
        <v>0.65127176250783325</v>
      </c>
      <c r="O18" s="514">
        <v>0.87081827804080092</v>
      </c>
      <c r="P18" s="511">
        <v>38.122999999999998</v>
      </c>
      <c r="Q18" s="511">
        <v>765.74799999999993</v>
      </c>
      <c r="R18" s="511">
        <v>2.9317472391994337</v>
      </c>
      <c r="S18" s="511">
        <v>2.3286956022085601</v>
      </c>
      <c r="T18" s="511">
        <v>0</v>
      </c>
      <c r="U18" s="511">
        <v>0</v>
      </c>
      <c r="V18" s="511">
        <v>724.88366602834981</v>
      </c>
      <c r="W18" s="511">
        <v>600.84979653880737</v>
      </c>
      <c r="X18" s="511">
        <v>448.57435144138708</v>
      </c>
      <c r="Y18" s="576">
        <v>416.58221764862594</v>
      </c>
      <c r="Z18" s="511">
        <v>0</v>
      </c>
      <c r="AA18" s="576">
        <v>0.57594665608007056</v>
      </c>
      <c r="AB18" s="513">
        <v>0.9564264209284794</v>
      </c>
      <c r="AC18" s="514">
        <v>0.78434818504000203</v>
      </c>
      <c r="AD18" s="514">
        <v>0.9564264209284794</v>
      </c>
      <c r="AE18" s="514">
        <v>0.79228087346648401</v>
      </c>
      <c r="AF18" s="511">
        <v>44.06</v>
      </c>
      <c r="AG18" s="511">
        <v>538.08399999999995</v>
      </c>
      <c r="AH18" s="511">
        <v>127.34095884992452</v>
      </c>
      <c r="AI18" s="511">
        <v>136.3774075221277</v>
      </c>
      <c r="AJ18" s="511">
        <v>1.348161597821153</v>
      </c>
      <c r="AK18" s="511">
        <v>1.4765352621523777</v>
      </c>
      <c r="AL18" s="511">
        <v>813.7167498865266</v>
      </c>
      <c r="AM18" s="511">
        <v>972.52588815129445</v>
      </c>
      <c r="AN18" s="511">
        <v>0</v>
      </c>
      <c r="AO18" s="512">
        <v>0</v>
      </c>
      <c r="AP18" s="594">
        <v>0.59950186584440734</v>
      </c>
      <c r="AQ18" s="514">
        <v>0.7954630546907463</v>
      </c>
      <c r="AR18" s="514">
        <v>0.59950186584440734</v>
      </c>
      <c r="AS18" s="514">
        <v>0.83095252814388587</v>
      </c>
      <c r="AT18" s="511">
        <v>31.866</v>
      </c>
      <c r="AU18" s="511">
        <v>649.40499999999986</v>
      </c>
      <c r="AV18" s="515">
        <v>137.95323376820588</v>
      </c>
      <c r="AW18" s="515">
        <v>113.54756107701128</v>
      </c>
      <c r="AX18" s="511">
        <v>2.1621791250862992</v>
      </c>
      <c r="AY18" s="511">
        <v>1.4821259460583152</v>
      </c>
      <c r="AZ18" s="511">
        <v>0</v>
      </c>
      <c r="BA18" s="511">
        <v>0</v>
      </c>
      <c r="BB18" s="511">
        <v>1165.8934287328179</v>
      </c>
      <c r="BC18" s="511">
        <v>913.59108722599933</v>
      </c>
      <c r="BD18" s="511">
        <v>709.29203539823015</v>
      </c>
      <c r="BE18" s="576">
        <v>397.37605962381087</v>
      </c>
      <c r="BF18" s="511">
        <v>0</v>
      </c>
      <c r="BG18" s="512">
        <v>0</v>
      </c>
      <c r="BH18" s="513">
        <v>0.90977081719246977</v>
      </c>
      <c r="BI18" s="514">
        <v>0.87285248586676989</v>
      </c>
      <c r="BJ18" s="514">
        <v>0.90977081719246977</v>
      </c>
      <c r="BK18" s="514">
        <v>0.88793959658923238</v>
      </c>
      <c r="BL18" s="511">
        <v>50.665999999999997</v>
      </c>
      <c r="BM18" s="511">
        <v>700.58500000000004</v>
      </c>
      <c r="BN18" s="511">
        <v>2.4829274069395653</v>
      </c>
      <c r="BO18" s="511">
        <v>2.585838977426008</v>
      </c>
      <c r="BP18" s="515">
        <v>0</v>
      </c>
      <c r="BQ18" s="515">
        <v>0</v>
      </c>
      <c r="BR18" s="515">
        <v>792.96912129723057</v>
      </c>
      <c r="BS18" s="515">
        <v>999.37604699804319</v>
      </c>
      <c r="BT18" s="515">
        <v>0</v>
      </c>
      <c r="BU18" s="516">
        <v>0</v>
      </c>
      <c r="BV18" s="513">
        <v>0.93572826471668835</v>
      </c>
      <c r="BW18" s="514">
        <v>0.80519688636582643</v>
      </c>
      <c r="BX18" s="514">
        <v>0.96722294173926193</v>
      </c>
      <c r="BY18" s="514">
        <v>0.86028836704692768</v>
      </c>
      <c r="BZ18" s="511">
        <v>50.451000000000001</v>
      </c>
      <c r="CA18" s="511">
        <v>639.298</v>
      </c>
      <c r="CB18" s="515">
        <v>78.141951711852698</v>
      </c>
      <c r="CC18" s="515">
        <v>79.58752436210807</v>
      </c>
      <c r="CD18" s="511">
        <v>1.9920318725099602</v>
      </c>
      <c r="CE18" s="511">
        <v>2.0581950827313711</v>
      </c>
      <c r="CF18" s="515">
        <v>0</v>
      </c>
      <c r="CG18" s="515">
        <v>0</v>
      </c>
      <c r="CH18" s="515">
        <v>723.68251373321652</v>
      </c>
      <c r="CI18" s="515">
        <v>917.24546992126307</v>
      </c>
      <c r="CJ18" s="515">
        <v>505.19712195992162</v>
      </c>
      <c r="CK18" s="515">
        <v>126.83412117666573</v>
      </c>
      <c r="CL18" s="515">
        <v>0</v>
      </c>
      <c r="CM18" s="516">
        <v>0</v>
      </c>
    </row>
    <row r="19" spans="1:91">
      <c r="A19" s="558">
        <v>46128</v>
      </c>
      <c r="B19" s="513">
        <v>1.0002896019398828</v>
      </c>
      <c r="C19" s="514">
        <v>0.92721501980754695</v>
      </c>
      <c r="D19" s="514">
        <v>1.0002896019398828</v>
      </c>
      <c r="E19" s="514">
        <v>0.94033864616361362</v>
      </c>
      <c r="F19" s="511">
        <v>79.995000000000005</v>
      </c>
      <c r="G19" s="511">
        <v>1057.5650000000001</v>
      </c>
      <c r="H19" s="511">
        <v>1.9336708544284016</v>
      </c>
      <c r="I19" s="511">
        <v>2.1129292289362827</v>
      </c>
      <c r="J19" s="511">
        <v>740.25051565724846</v>
      </c>
      <c r="K19" s="512">
        <v>831.45429358952163</v>
      </c>
      <c r="L19" s="513">
        <v>0.85265470263058685</v>
      </c>
      <c r="M19" s="514">
        <v>0.79329568756335367</v>
      </c>
      <c r="N19" s="514">
        <v>0.85265470263058685</v>
      </c>
      <c r="O19" s="514">
        <v>0.86954236085898406</v>
      </c>
      <c r="P19" s="511">
        <v>56.648000000000003</v>
      </c>
      <c r="Q19" s="511">
        <v>822.39599999999996</v>
      </c>
      <c r="R19" s="511">
        <v>2.4486830956079646</v>
      </c>
      <c r="S19" s="511">
        <v>2.3369605396913413</v>
      </c>
      <c r="T19" s="511">
        <v>0</v>
      </c>
      <c r="U19" s="511">
        <v>0</v>
      </c>
      <c r="V19" s="511">
        <v>671.41134726733071</v>
      </c>
      <c r="W19" s="511">
        <v>605.71019314296075</v>
      </c>
      <c r="X19" s="511">
        <v>377.91272419149834</v>
      </c>
      <c r="Y19" s="576">
        <v>413.91859882586976</v>
      </c>
      <c r="Z19" s="511">
        <v>0</v>
      </c>
      <c r="AA19" s="576">
        <v>0.53627449549852113</v>
      </c>
      <c r="AB19" s="513">
        <v>1.0124531252502316</v>
      </c>
      <c r="AC19" s="514">
        <v>0.79870177737689774</v>
      </c>
      <c r="AD19" s="514">
        <v>1.0124531252502316</v>
      </c>
      <c r="AE19" s="514">
        <v>0.80626651763638202</v>
      </c>
      <c r="AF19" s="511">
        <v>46.640999999999998</v>
      </c>
      <c r="AG19" s="511">
        <v>584.72499999999991</v>
      </c>
      <c r="AH19" s="511">
        <v>118.46733043237815</v>
      </c>
      <c r="AI19" s="511">
        <v>134.94879765331243</v>
      </c>
      <c r="AJ19" s="511">
        <v>1.2778456722626017</v>
      </c>
      <c r="AK19" s="511">
        <v>1.4606866475693705</v>
      </c>
      <c r="AL19" s="511">
        <v>818.30020797150371</v>
      </c>
      <c r="AM19" s="511">
        <v>960.22396853221642</v>
      </c>
      <c r="AN19" s="511">
        <v>0</v>
      </c>
      <c r="AO19" s="512">
        <v>0</v>
      </c>
      <c r="AP19" s="594">
        <v>0.9910484794483434</v>
      </c>
      <c r="AQ19" s="514">
        <v>0.80804158315142915</v>
      </c>
      <c r="AR19" s="514">
        <v>0.9910484794483434</v>
      </c>
      <c r="AS19" s="514">
        <v>0.84167723845469677</v>
      </c>
      <c r="AT19" s="511">
        <v>55.61</v>
      </c>
      <c r="AU19" s="511">
        <v>705.01499999999987</v>
      </c>
      <c r="AV19" s="515">
        <v>89.784385288392912</v>
      </c>
      <c r="AW19" s="515">
        <v>111.67317513400998</v>
      </c>
      <c r="AX19" s="511">
        <v>1.3109153030030571</v>
      </c>
      <c r="AY19" s="511">
        <v>1.4686212350091843</v>
      </c>
      <c r="AZ19" s="511">
        <v>0</v>
      </c>
      <c r="BA19" s="511">
        <v>0</v>
      </c>
      <c r="BB19" s="511">
        <v>821.18935443265673</v>
      </c>
      <c r="BC19" s="511">
        <v>906.30264604299225</v>
      </c>
      <c r="BD19" s="511">
        <v>455.52418629742857</v>
      </c>
      <c r="BE19" s="576">
        <v>401.96265327688195</v>
      </c>
      <c r="BF19" s="511">
        <v>0</v>
      </c>
      <c r="BG19" s="512">
        <v>0</v>
      </c>
      <c r="BH19" s="513">
        <v>0.76458268864379975</v>
      </c>
      <c r="BI19" s="514">
        <v>0.86619276542317447</v>
      </c>
      <c r="BJ19" s="514">
        <v>0.76458268864379975</v>
      </c>
      <c r="BK19" s="514">
        <v>0.88022890690735356</v>
      </c>
      <c r="BL19" s="511">
        <v>40.222000000000001</v>
      </c>
      <c r="BM19" s="511">
        <v>740.80700000000002</v>
      </c>
      <c r="BN19" s="511">
        <v>3.0754313559743425</v>
      </c>
      <c r="BO19" s="511">
        <v>2.612421318913023</v>
      </c>
      <c r="BP19" s="515">
        <v>0</v>
      </c>
      <c r="BQ19" s="515">
        <v>0</v>
      </c>
      <c r="BR19" s="515">
        <v>1155.2908598015288</v>
      </c>
      <c r="BS19" s="515">
        <v>1007.8414173314522</v>
      </c>
      <c r="BT19" s="515">
        <v>0</v>
      </c>
      <c r="BU19" s="516">
        <v>0</v>
      </c>
      <c r="BV19" s="513">
        <v>0.92155099723313738</v>
      </c>
      <c r="BW19" s="514">
        <v>0.81282279007101355</v>
      </c>
      <c r="BX19" s="514">
        <v>0.92155099723313738</v>
      </c>
      <c r="BY19" s="514">
        <v>0.86455911602939395</v>
      </c>
      <c r="BZ19" s="511">
        <v>51.317999999999998</v>
      </c>
      <c r="CA19" s="511">
        <v>690.61599999999999</v>
      </c>
      <c r="CB19" s="515">
        <v>77.802244347322997</v>
      </c>
      <c r="CC19" s="515">
        <v>79.454864534072314</v>
      </c>
      <c r="CD19" s="511">
        <v>1.9837094196967926</v>
      </c>
      <c r="CE19" s="511">
        <v>2.0526602337623223</v>
      </c>
      <c r="CF19" s="515">
        <v>0</v>
      </c>
      <c r="CG19" s="515">
        <v>0</v>
      </c>
      <c r="CH19" s="515">
        <v>802.46523709152871</v>
      </c>
      <c r="CI19" s="515">
        <v>908.7164291976826</v>
      </c>
      <c r="CJ19" s="515">
        <v>474.2643906621459</v>
      </c>
      <c r="CK19" s="515">
        <v>152.65082187496387</v>
      </c>
      <c r="CL19" s="515">
        <v>0</v>
      </c>
      <c r="CM19" s="516">
        <v>0</v>
      </c>
    </row>
    <row r="20" spans="1:91">
      <c r="A20" s="558">
        <v>46129</v>
      </c>
      <c r="B20" s="513">
        <v>0.99328624982802594</v>
      </c>
      <c r="C20" s="514">
        <v>0.9317169429582024</v>
      </c>
      <c r="D20" s="514">
        <v>0.99328624982802594</v>
      </c>
      <c r="E20" s="514">
        <v>0.9439938970242564</v>
      </c>
      <c r="F20" s="511">
        <v>82.838999999999999</v>
      </c>
      <c r="G20" s="511">
        <v>1140.404</v>
      </c>
      <c r="H20" s="511">
        <v>1.877473170849479</v>
      </c>
      <c r="I20" s="511">
        <v>2.0958256898432484</v>
      </c>
      <c r="J20" s="511">
        <v>683.00969350183277</v>
      </c>
      <c r="K20" s="512">
        <v>820.67127088295092</v>
      </c>
      <c r="L20" s="513">
        <v>0.86545860097688077</v>
      </c>
      <c r="M20" s="514">
        <v>0.79776174828965452</v>
      </c>
      <c r="N20" s="514">
        <v>0.86545860097688077</v>
      </c>
      <c r="O20" s="514">
        <v>0.86926696923141988</v>
      </c>
      <c r="P20" s="511">
        <v>59.19</v>
      </c>
      <c r="Q20" s="511">
        <v>881.58600000000001</v>
      </c>
      <c r="R20" s="511">
        <v>2.3873289406994429</v>
      </c>
      <c r="S20" s="511">
        <v>2.340342292187036</v>
      </c>
      <c r="T20" s="511">
        <v>0</v>
      </c>
      <c r="U20" s="511">
        <v>0</v>
      </c>
      <c r="V20" s="511">
        <v>590.11589795575912</v>
      </c>
      <c r="W20" s="511">
        <v>604.66318657510408</v>
      </c>
      <c r="X20" s="511">
        <v>435.07349214394327</v>
      </c>
      <c r="Y20" s="576">
        <v>415.33894594514885</v>
      </c>
      <c r="Z20" s="511">
        <v>44.264233823280961</v>
      </c>
      <c r="AA20" s="576">
        <v>3.4721853568455052</v>
      </c>
      <c r="AB20" s="513">
        <v>0.92818514145439968</v>
      </c>
      <c r="AC20" s="514">
        <v>0.8063672177425284</v>
      </c>
      <c r="AD20" s="514">
        <v>0.92818514145439968</v>
      </c>
      <c r="AE20" s="514">
        <v>0.81354840101451076</v>
      </c>
      <c r="AF20" s="511">
        <v>42.759</v>
      </c>
      <c r="AG20" s="511">
        <v>627.48399999999992</v>
      </c>
      <c r="AH20" s="511">
        <v>131.23379552079192</v>
      </c>
      <c r="AI20" s="511">
        <v>134.69564414472185</v>
      </c>
      <c r="AJ20" s="511">
        <v>1.405552047522159</v>
      </c>
      <c r="AK20" s="511">
        <v>1.4569295790809011</v>
      </c>
      <c r="AL20" s="511">
        <v>826.72279520102722</v>
      </c>
      <c r="AM20" s="511">
        <v>951.12672195625851</v>
      </c>
      <c r="AN20" s="511">
        <v>0</v>
      </c>
      <c r="AO20" s="512">
        <v>0</v>
      </c>
      <c r="AP20" s="594">
        <v>0.9967740363851546</v>
      </c>
      <c r="AQ20" s="514">
        <v>0.81956726783464673</v>
      </c>
      <c r="AR20" s="514">
        <v>0.9967740363851546</v>
      </c>
      <c r="AS20" s="514">
        <v>0.85151808023384956</v>
      </c>
      <c r="AT20" s="511">
        <v>56.564999999999998</v>
      </c>
      <c r="AU20" s="511">
        <v>761.57999999999993</v>
      </c>
      <c r="AV20" s="515">
        <v>89.421841588167027</v>
      </c>
      <c r="AW20" s="515">
        <v>110.02049690976484</v>
      </c>
      <c r="AX20" s="511">
        <v>1.2887828162291171</v>
      </c>
      <c r="AY20" s="511">
        <v>1.4552640563039996</v>
      </c>
      <c r="AZ20" s="511">
        <v>0</v>
      </c>
      <c r="BA20" s="511">
        <v>0</v>
      </c>
      <c r="BB20" s="511">
        <v>739.85397330504611</v>
      </c>
      <c r="BC20" s="511">
        <v>893.93996691089592</v>
      </c>
      <c r="BD20" s="511">
        <v>511.58843808008425</v>
      </c>
      <c r="BE20" s="576">
        <v>410.10491346936743</v>
      </c>
      <c r="BF20" s="511">
        <v>0</v>
      </c>
      <c r="BG20" s="512">
        <v>0</v>
      </c>
      <c r="BH20" s="513">
        <v>0.8131617384883596</v>
      </c>
      <c r="BI20" s="514">
        <v>0.86319475218325747</v>
      </c>
      <c r="BJ20" s="514">
        <v>0.8131617384883596</v>
      </c>
      <c r="BK20" s="514">
        <v>0.87637947284156259</v>
      </c>
      <c r="BL20" s="511">
        <v>41.671999999999997</v>
      </c>
      <c r="BM20" s="511">
        <v>782.47900000000004</v>
      </c>
      <c r="BN20" s="511">
        <v>3.0164138990209257</v>
      </c>
      <c r="BO20" s="511">
        <v>2.6339365018102723</v>
      </c>
      <c r="BP20" s="515">
        <v>0</v>
      </c>
      <c r="BQ20" s="515">
        <v>0</v>
      </c>
      <c r="BR20" s="515">
        <v>1171.9906078780884</v>
      </c>
      <c r="BS20" s="515">
        <v>1016.5834092168058</v>
      </c>
      <c r="BT20" s="515">
        <v>0</v>
      </c>
      <c r="BU20" s="516">
        <v>0</v>
      </c>
      <c r="BV20" s="513">
        <v>0.82645030590281643</v>
      </c>
      <c r="BW20" s="514">
        <v>0.81363320157868002</v>
      </c>
      <c r="BX20" s="514">
        <v>0.82645030590281643</v>
      </c>
      <c r="BY20" s="514">
        <v>0.86215767277813871</v>
      </c>
      <c r="BZ20" s="511">
        <v>44.399000000000001</v>
      </c>
      <c r="CA20" s="511">
        <v>735.01499999999999</v>
      </c>
      <c r="CB20" s="515">
        <v>89.876521270564467</v>
      </c>
      <c r="CC20" s="515">
        <v>80.084390649108755</v>
      </c>
      <c r="CD20" s="511">
        <v>2.2545552827766389</v>
      </c>
      <c r="CE20" s="511">
        <v>2.0648558192689941</v>
      </c>
      <c r="CF20" s="515">
        <v>0</v>
      </c>
      <c r="CG20" s="515">
        <v>0</v>
      </c>
      <c r="CH20" s="515">
        <v>906.10886255330877</v>
      </c>
      <c r="CI20" s="515">
        <v>908.5589176483353</v>
      </c>
      <c r="CJ20" s="515">
        <v>577.9859906754649</v>
      </c>
      <c r="CK20" s="515">
        <v>178.34343516798978</v>
      </c>
      <c r="CL20" s="515">
        <v>0</v>
      </c>
      <c r="CM20" s="516">
        <v>0</v>
      </c>
    </row>
    <row r="21" spans="1:91">
      <c r="A21" s="558">
        <v>46130</v>
      </c>
      <c r="B21" s="513">
        <v>0.9440063239886245</v>
      </c>
      <c r="C21" s="514">
        <v>0.93248022486220539</v>
      </c>
      <c r="D21" s="514">
        <v>0.9440063239886245</v>
      </c>
      <c r="E21" s="514">
        <v>0.94399467838200835</v>
      </c>
      <c r="F21" s="511">
        <v>76.516000000000005</v>
      </c>
      <c r="G21" s="511">
        <v>1216.92</v>
      </c>
      <c r="H21" s="511">
        <v>1.9766715458204818</v>
      </c>
      <c r="I21" s="511">
        <v>2.088333662032015</v>
      </c>
      <c r="J21" s="511">
        <v>697.55057765695119</v>
      </c>
      <c r="K21" s="512">
        <v>812.92983926634463</v>
      </c>
      <c r="L21" s="513">
        <v>0.92258355291454774</v>
      </c>
      <c r="M21" s="514">
        <v>0.80502344118671787</v>
      </c>
      <c r="N21" s="514">
        <v>0.92258355291454774</v>
      </c>
      <c r="O21" s="514">
        <v>0.87262922666821241</v>
      </c>
      <c r="P21" s="511">
        <v>62.975999999999999</v>
      </c>
      <c r="Q21" s="511">
        <v>944.56200000000001</v>
      </c>
      <c r="R21" s="511">
        <v>2.1619505843495936</v>
      </c>
      <c r="S21" s="511">
        <v>2.3284485295830235</v>
      </c>
      <c r="T21" s="511">
        <v>0</v>
      </c>
      <c r="U21" s="511">
        <v>0</v>
      </c>
      <c r="V21" s="511">
        <v>500.95544334350552</v>
      </c>
      <c r="W21" s="511">
        <v>597.74876609476178</v>
      </c>
      <c r="X21" s="511">
        <v>359.64494410569102</v>
      </c>
      <c r="Y21" s="576">
        <v>411.62570588272661</v>
      </c>
      <c r="Z21" s="511">
        <v>26.519626524389874</v>
      </c>
      <c r="AA21" s="576">
        <v>5.0088083153884853</v>
      </c>
      <c r="AB21" s="513">
        <v>0.83110066625776835</v>
      </c>
      <c r="AC21" s="514">
        <v>0.80768412320718586</v>
      </c>
      <c r="AD21" s="514">
        <v>0.83110066625776835</v>
      </c>
      <c r="AE21" s="514">
        <v>0.81449082808439788</v>
      </c>
      <c r="AF21" s="511">
        <v>36.371000000000002</v>
      </c>
      <c r="AG21" s="511">
        <v>663.8549999999999</v>
      </c>
      <c r="AH21" s="511">
        <v>154.74579861068329</v>
      </c>
      <c r="AI21" s="511">
        <v>135.79414331710362</v>
      </c>
      <c r="AJ21" s="511">
        <v>1.6166726237936817</v>
      </c>
      <c r="AK21" s="511">
        <v>1.4656815117759152</v>
      </c>
      <c r="AL21" s="511">
        <v>959.3846746034128</v>
      </c>
      <c r="AM21" s="511">
        <v>951.57915508657993</v>
      </c>
      <c r="AN21" s="511">
        <v>0</v>
      </c>
      <c r="AO21" s="512">
        <v>0</v>
      </c>
      <c r="AP21" s="594">
        <v>0.94179490429861867</v>
      </c>
      <c r="AQ21" s="514">
        <v>0.82654326385816379</v>
      </c>
      <c r="AR21" s="514">
        <v>0.94179490429861867</v>
      </c>
      <c r="AS21" s="514">
        <v>0.85685950493603136</v>
      </c>
      <c r="AT21" s="511">
        <v>52.972000000000001</v>
      </c>
      <c r="AU21" s="511">
        <v>814.55199999999991</v>
      </c>
      <c r="AV21" s="515">
        <v>100.02650408039493</v>
      </c>
      <c r="AW21" s="515">
        <v>109.37056690141991</v>
      </c>
      <c r="AX21" s="511">
        <v>1.3308917918900551</v>
      </c>
      <c r="AY21" s="511">
        <v>1.4471758709081803</v>
      </c>
      <c r="AZ21" s="511">
        <v>0</v>
      </c>
      <c r="BA21" s="511">
        <v>0</v>
      </c>
      <c r="BB21" s="511">
        <v>730.45722268368195</v>
      </c>
      <c r="BC21" s="511">
        <v>883.30834618293261</v>
      </c>
      <c r="BD21" s="511">
        <v>455.90123083893417</v>
      </c>
      <c r="BE21" s="576">
        <v>413.08314263546202</v>
      </c>
      <c r="BF21" s="511">
        <v>0</v>
      </c>
      <c r="BG21" s="512">
        <v>0</v>
      </c>
      <c r="BH21" s="513">
        <v>1.0060094716179373</v>
      </c>
      <c r="BI21" s="514">
        <v>0.87081309976728094</v>
      </c>
      <c r="BJ21" s="514">
        <v>1.0060094716179373</v>
      </c>
      <c r="BK21" s="514">
        <v>0.88339439758568106</v>
      </c>
      <c r="BL21" s="511">
        <v>51.387999999999998</v>
      </c>
      <c r="BM21" s="511">
        <v>833.86700000000008</v>
      </c>
      <c r="BN21" s="511">
        <v>2.3779870786954156</v>
      </c>
      <c r="BO21" s="511">
        <v>2.6181633282046173</v>
      </c>
      <c r="BP21" s="515">
        <v>0</v>
      </c>
      <c r="BQ21" s="515">
        <v>0</v>
      </c>
      <c r="BR21" s="515">
        <v>858.69827466476499</v>
      </c>
      <c r="BS21" s="515">
        <v>1006.8535586598699</v>
      </c>
      <c r="BT21" s="515">
        <v>0</v>
      </c>
      <c r="BU21" s="516">
        <v>0</v>
      </c>
      <c r="BV21" s="513">
        <v>0.86552458972066693</v>
      </c>
      <c r="BW21" s="514">
        <v>0.81676678934504376</v>
      </c>
      <c r="BX21" s="514">
        <v>0.86552458972066693</v>
      </c>
      <c r="BY21" s="514">
        <v>0.86237234493895742</v>
      </c>
      <c r="BZ21" s="511">
        <v>50.250999999999998</v>
      </c>
      <c r="CA21" s="511">
        <v>785.26599999999996</v>
      </c>
      <c r="CB21" s="515">
        <v>65.533752255361222</v>
      </c>
      <c r="CC21" s="515">
        <v>79.153261414016185</v>
      </c>
      <c r="CD21" s="511">
        <v>2.0258303317346917</v>
      </c>
      <c r="CE21" s="511">
        <v>2.0623584874424714</v>
      </c>
      <c r="CF21" s="515">
        <v>0</v>
      </c>
      <c r="CG21" s="515">
        <v>0</v>
      </c>
      <c r="CH21" s="515">
        <v>654.20694237979365</v>
      </c>
      <c r="CI21" s="515">
        <v>892.28234243787222</v>
      </c>
      <c r="CJ21" s="515">
        <v>480.58745099600054</v>
      </c>
      <c r="CK21" s="515">
        <v>197.68473358072299</v>
      </c>
      <c r="CL21" s="515">
        <v>0</v>
      </c>
      <c r="CM21" s="516">
        <v>0</v>
      </c>
    </row>
    <row r="22" spans="1:91">
      <c r="A22" s="558">
        <v>46131</v>
      </c>
      <c r="B22" s="513">
        <v>1.0044804784621215</v>
      </c>
      <c r="C22" s="514">
        <v>0.93628485075703105</v>
      </c>
      <c r="D22" s="514">
        <v>1.0044804784621215</v>
      </c>
      <c r="E22" s="514">
        <v>0.94722821656103873</v>
      </c>
      <c r="F22" s="511">
        <v>73.134</v>
      </c>
      <c r="G22" s="511">
        <v>1290.0540000000001</v>
      </c>
      <c r="H22" s="511">
        <v>1.9925615992561598</v>
      </c>
      <c r="I22" s="511">
        <v>2.0829042815261993</v>
      </c>
      <c r="J22" s="511">
        <v>822.35977794187102</v>
      </c>
      <c r="K22" s="512">
        <v>813.46442862081813</v>
      </c>
      <c r="L22" s="513">
        <v>0.89684422889631188</v>
      </c>
      <c r="M22" s="514">
        <v>0.81007024245071246</v>
      </c>
      <c r="N22" s="514">
        <v>0.89684422889631188</v>
      </c>
      <c r="O22" s="514">
        <v>0.87406531419395894</v>
      </c>
      <c r="P22" s="511">
        <v>61.201999999999998</v>
      </c>
      <c r="Q22" s="511">
        <v>1005.764</v>
      </c>
      <c r="R22" s="511">
        <v>2.3181105192640761</v>
      </c>
      <c r="S22" s="511">
        <v>2.3278194486977064</v>
      </c>
      <c r="T22" s="511">
        <v>0</v>
      </c>
      <c r="U22" s="511">
        <v>0</v>
      </c>
      <c r="V22" s="511">
        <v>643.61279043165723</v>
      </c>
      <c r="W22" s="511">
        <v>600.53964946050826</v>
      </c>
      <c r="X22" s="511">
        <v>475.32760367308259</v>
      </c>
      <c r="Y22" s="576">
        <v>415.50204620567047</v>
      </c>
      <c r="Z22" s="511">
        <v>33.657396817097862</v>
      </c>
      <c r="AA22" s="576">
        <v>6.7521108331576807</v>
      </c>
      <c r="AB22" s="513">
        <v>0.9045540267092278</v>
      </c>
      <c r="AC22" s="514">
        <v>0.8127153493091257</v>
      </c>
      <c r="AD22" s="514">
        <v>0.9045540267092278</v>
      </c>
      <c r="AE22" s="514">
        <v>0.81920588496362134</v>
      </c>
      <c r="AF22" s="511">
        <v>40.729999999999997</v>
      </c>
      <c r="AG22" s="511">
        <v>704.58499999999992</v>
      </c>
      <c r="AH22" s="511">
        <v>141.18563477313609</v>
      </c>
      <c r="AI22" s="511">
        <v>136.10580968383607</v>
      </c>
      <c r="AJ22" s="511">
        <v>1.4264669776577463</v>
      </c>
      <c r="AK22" s="511">
        <v>1.4634146341463414</v>
      </c>
      <c r="AL22" s="511">
        <v>947.32285784431394</v>
      </c>
      <c r="AM22" s="511">
        <v>951.33311098022307</v>
      </c>
      <c r="AN22" s="511">
        <v>0</v>
      </c>
      <c r="AO22" s="512">
        <v>0</v>
      </c>
      <c r="AP22" s="594">
        <v>0.75920939046577451</v>
      </c>
      <c r="AQ22" s="514">
        <v>0.82272059702571232</v>
      </c>
      <c r="AR22" s="514">
        <v>0.75920939046577451</v>
      </c>
      <c r="AS22" s="514">
        <v>0.85112433560320921</v>
      </c>
      <c r="AT22" s="511">
        <v>45.033000000000001</v>
      </c>
      <c r="AU22" s="511">
        <v>859.58499999999992</v>
      </c>
      <c r="AV22" s="515">
        <v>112.85831056182619</v>
      </c>
      <c r="AW22" s="515">
        <v>109.55328712136217</v>
      </c>
      <c r="AX22" s="511">
        <v>1.4766948682077587</v>
      </c>
      <c r="AY22" s="511">
        <v>1.4487223485751846</v>
      </c>
      <c r="AZ22" s="511">
        <v>0</v>
      </c>
      <c r="BA22" s="511">
        <v>0</v>
      </c>
      <c r="BB22" s="511">
        <v>854.58352763529012</v>
      </c>
      <c r="BC22" s="511">
        <v>881.80347493267118</v>
      </c>
      <c r="BD22" s="511">
        <v>546.49923389514413</v>
      </c>
      <c r="BE22" s="576">
        <v>420.0727095051692</v>
      </c>
      <c r="BF22" s="511">
        <v>0</v>
      </c>
      <c r="BG22" s="512">
        <v>0</v>
      </c>
      <c r="BH22" s="513">
        <v>1.0552248565192892</v>
      </c>
      <c r="BI22" s="514">
        <v>0.880275505152602</v>
      </c>
      <c r="BJ22" s="514">
        <v>1.0552248565192892</v>
      </c>
      <c r="BK22" s="514">
        <v>0.89233199821216358</v>
      </c>
      <c r="BL22" s="511">
        <v>54.652000000000001</v>
      </c>
      <c r="BM22" s="511">
        <v>888.51900000000012</v>
      </c>
      <c r="BN22" s="511">
        <v>2.235965746907707</v>
      </c>
      <c r="BO22" s="511">
        <v>2.5946547006873226</v>
      </c>
      <c r="BP22" s="515">
        <v>0</v>
      </c>
      <c r="BQ22" s="515">
        <v>0</v>
      </c>
      <c r="BR22" s="515">
        <v>831.91981244449562</v>
      </c>
      <c r="BS22" s="515">
        <v>996.09354216257191</v>
      </c>
      <c r="BT22" s="515">
        <v>0</v>
      </c>
      <c r="BU22" s="516">
        <v>0</v>
      </c>
      <c r="BV22" s="513">
        <v>0.97804333617052686</v>
      </c>
      <c r="BW22" s="514">
        <v>0.8259549529747271</v>
      </c>
      <c r="BX22" s="514">
        <v>0.97804333617052686</v>
      </c>
      <c r="BY22" s="514">
        <v>0.86930818981650693</v>
      </c>
      <c r="BZ22" s="511">
        <v>56.808</v>
      </c>
      <c r="CA22" s="511">
        <v>842.07399999999996</v>
      </c>
      <c r="CB22" s="515">
        <v>59.431080061953374</v>
      </c>
      <c r="CC22" s="515">
        <v>77.822763526362635</v>
      </c>
      <c r="CD22" s="511">
        <v>1.7638360794254331</v>
      </c>
      <c r="CE22" s="511">
        <v>2.0422195674014398</v>
      </c>
      <c r="CF22" s="515">
        <v>0</v>
      </c>
      <c r="CG22" s="515">
        <v>0</v>
      </c>
      <c r="CH22" s="515">
        <v>575.92765825734386</v>
      </c>
      <c r="CI22" s="515">
        <v>870.94042130157368</v>
      </c>
      <c r="CJ22" s="515">
        <v>529.49408534009331</v>
      </c>
      <c r="CK22" s="515">
        <v>220.06925757118739</v>
      </c>
      <c r="CL22" s="515">
        <v>0</v>
      </c>
      <c r="CM22" s="516">
        <v>0</v>
      </c>
    </row>
    <row r="23" spans="1:91">
      <c r="A23" s="558">
        <v>46132</v>
      </c>
      <c r="B23" s="513">
        <v>1.0754025512867882</v>
      </c>
      <c r="C23" s="514">
        <v>0.94378080773120521</v>
      </c>
      <c r="D23" s="514">
        <v>1.0754025512867882</v>
      </c>
      <c r="E23" s="514">
        <v>0.95421084565170788</v>
      </c>
      <c r="F23" s="511">
        <v>84.385999999999996</v>
      </c>
      <c r="G23" s="511">
        <v>1374.44</v>
      </c>
      <c r="H23" s="511">
        <v>1.7768350200270189</v>
      </c>
      <c r="I23" s="511">
        <v>2.0641126567911292</v>
      </c>
      <c r="J23" s="511">
        <v>599.43805844571511</v>
      </c>
      <c r="K23" s="512">
        <v>800.32392829079561</v>
      </c>
      <c r="L23" s="513">
        <v>0.9167184283544787</v>
      </c>
      <c r="M23" s="514">
        <v>0.81573936728497265</v>
      </c>
      <c r="N23" s="514">
        <v>0.9167184283544787</v>
      </c>
      <c r="O23" s="514">
        <v>0.87650152321127561</v>
      </c>
      <c r="P23" s="511">
        <v>63.899000000000001</v>
      </c>
      <c r="Q23" s="511">
        <v>1069.663</v>
      </c>
      <c r="R23" s="511">
        <v>2.2579383088937228</v>
      </c>
      <c r="S23" s="511">
        <v>2.3236449236815711</v>
      </c>
      <c r="T23" s="511">
        <v>0</v>
      </c>
      <c r="U23" s="511">
        <v>0</v>
      </c>
      <c r="V23" s="511">
        <v>584.61431321303962</v>
      </c>
      <c r="W23" s="511">
        <v>599.58830958909357</v>
      </c>
      <c r="X23" s="511">
        <v>391.24242945898993</v>
      </c>
      <c r="Y23" s="576">
        <v>414.05283720199725</v>
      </c>
      <c r="Z23" s="511">
        <v>46.520289832392287</v>
      </c>
      <c r="AA23" s="576">
        <v>9.1277626691771481</v>
      </c>
      <c r="AB23" s="513">
        <v>0.89882204575769642</v>
      </c>
      <c r="AC23" s="514">
        <v>0.81702353754508739</v>
      </c>
      <c r="AD23" s="514">
        <v>0.89882204575769642</v>
      </c>
      <c r="AE23" s="514">
        <v>0.82321954030908506</v>
      </c>
      <c r="AF23" s="511">
        <v>41.040999999999997</v>
      </c>
      <c r="AG23" s="511">
        <v>745.62599999999998</v>
      </c>
      <c r="AH23" s="511">
        <v>136.72054409354533</v>
      </c>
      <c r="AI23" s="511">
        <v>136.13964610438589</v>
      </c>
      <c r="AJ23" s="511">
        <v>1.3912916351940743</v>
      </c>
      <c r="AK23" s="511">
        <v>1.4594448154973134</v>
      </c>
      <c r="AL23" s="511">
        <v>866.06515435786389</v>
      </c>
      <c r="AM23" s="511">
        <v>946.63976309839177</v>
      </c>
      <c r="AN23" s="511">
        <v>0</v>
      </c>
      <c r="AO23" s="512">
        <v>0</v>
      </c>
      <c r="AP23" s="594">
        <v>0.93990133101080509</v>
      </c>
      <c r="AQ23" s="514">
        <v>0.82855937617866426</v>
      </c>
      <c r="AR23" s="514">
        <v>0.93990133101080509</v>
      </c>
      <c r="AS23" s="514">
        <v>0.85569269714270813</v>
      </c>
      <c r="AT23" s="511">
        <v>51.497</v>
      </c>
      <c r="AU23" s="511">
        <v>911.08199999999988</v>
      </c>
      <c r="AV23" s="515">
        <v>110.40824632767597</v>
      </c>
      <c r="AW23" s="515">
        <v>109.60161189810843</v>
      </c>
      <c r="AX23" s="511">
        <v>1.378721090548964</v>
      </c>
      <c r="AY23" s="511">
        <v>1.4447656742203228</v>
      </c>
      <c r="AZ23" s="511">
        <v>0</v>
      </c>
      <c r="BA23" s="511">
        <v>0</v>
      </c>
      <c r="BB23" s="511">
        <v>859.16033943724869</v>
      </c>
      <c r="BC23" s="511">
        <v>880.52361916929544</v>
      </c>
      <c r="BD23" s="511">
        <v>542.82307707245263</v>
      </c>
      <c r="BE23" s="576">
        <v>427.01091669026601</v>
      </c>
      <c r="BF23" s="511">
        <v>0</v>
      </c>
      <c r="BG23" s="512">
        <v>0</v>
      </c>
      <c r="BH23" s="513">
        <v>0.88036595973103915</v>
      </c>
      <c r="BI23" s="514">
        <v>0.8802798622950837</v>
      </c>
      <c r="BJ23" s="514">
        <v>0.88036595973103915</v>
      </c>
      <c r="BK23" s="514">
        <v>0.89174809209497219</v>
      </c>
      <c r="BL23" s="511">
        <v>44.97</v>
      </c>
      <c r="BM23" s="511">
        <v>933.48900000000015</v>
      </c>
      <c r="BN23" s="511">
        <v>2.695130086724483</v>
      </c>
      <c r="BO23" s="511">
        <v>2.599495012796079</v>
      </c>
      <c r="BP23" s="515">
        <v>0</v>
      </c>
      <c r="BQ23" s="515">
        <v>0</v>
      </c>
      <c r="BR23" s="515">
        <v>1017.2422083351136</v>
      </c>
      <c r="BS23" s="515">
        <v>997.11236029302574</v>
      </c>
      <c r="BT23" s="515">
        <v>0</v>
      </c>
      <c r="BU23" s="516">
        <v>0</v>
      </c>
      <c r="BV23" s="513">
        <v>1.172729191075053</v>
      </c>
      <c r="BW23" s="514">
        <v>0.84464631984894312</v>
      </c>
      <c r="BX23" s="514">
        <v>1.172729191075053</v>
      </c>
      <c r="BY23" s="514">
        <v>0.88647265685688514</v>
      </c>
      <c r="BZ23" s="511">
        <v>68.116</v>
      </c>
      <c r="CA23" s="511">
        <v>910.18999999999994</v>
      </c>
      <c r="CB23" s="515">
        <v>48.830798765642086</v>
      </c>
      <c r="CC23" s="515">
        <v>75.653088324875867</v>
      </c>
      <c r="CD23" s="511">
        <v>1.4871689470902578</v>
      </c>
      <c r="CE23" s="511">
        <v>2.0006811764576624</v>
      </c>
      <c r="CF23" s="515">
        <v>0</v>
      </c>
      <c r="CG23" s="515">
        <v>0</v>
      </c>
      <c r="CH23" s="515">
        <v>523.19804291461401</v>
      </c>
      <c r="CI23" s="515">
        <v>844.91638253361748</v>
      </c>
      <c r="CJ23" s="515">
        <v>444.58335780139907</v>
      </c>
      <c r="CK23" s="515">
        <v>236.87124666278493</v>
      </c>
      <c r="CL23" s="515">
        <v>0</v>
      </c>
      <c r="CM23" s="516">
        <v>0</v>
      </c>
    </row>
    <row r="24" spans="1:91">
      <c r="A24" s="558">
        <v>46133</v>
      </c>
      <c r="B24" s="513">
        <v>0.86719302409777588</v>
      </c>
      <c r="C24" s="514">
        <v>0.94024070535764159</v>
      </c>
      <c r="D24" s="514">
        <v>0.86719302409777588</v>
      </c>
      <c r="E24" s="514">
        <v>0.95014626316082751</v>
      </c>
      <c r="F24" s="511">
        <v>61.204000000000001</v>
      </c>
      <c r="G24" s="511">
        <v>1435.644</v>
      </c>
      <c r="H24" s="511">
        <v>2.3236879942487416</v>
      </c>
      <c r="I24" s="511">
        <v>2.0751788047733282</v>
      </c>
      <c r="J24" s="511">
        <v>904.0477746552491</v>
      </c>
      <c r="K24" s="512">
        <v>804.74585621505128</v>
      </c>
      <c r="L24" s="513">
        <v>0.73817790595394839</v>
      </c>
      <c r="M24" s="514">
        <v>0.81182451565859415</v>
      </c>
      <c r="N24" s="514">
        <v>0.73817790595394839</v>
      </c>
      <c r="O24" s="514">
        <v>0.86902779728416302</v>
      </c>
      <c r="P24" s="511">
        <v>51.454000000000001</v>
      </c>
      <c r="Q24" s="511">
        <v>1121.117</v>
      </c>
      <c r="R24" s="511">
        <v>2.4959381194853654</v>
      </c>
      <c r="S24" s="511">
        <v>2.3315523714295656</v>
      </c>
      <c r="T24" s="511">
        <v>0</v>
      </c>
      <c r="U24" s="511">
        <v>0</v>
      </c>
      <c r="V24" s="511">
        <v>710.75154506938145</v>
      </c>
      <c r="W24" s="511">
        <v>604.69017952631043</v>
      </c>
      <c r="X24" s="511">
        <v>351.77051346834065</v>
      </c>
      <c r="Y24" s="576">
        <v>411.19437132788107</v>
      </c>
      <c r="Z24" s="511">
        <v>45.767092937380276</v>
      </c>
      <c r="AA24" s="576">
        <v>10.809335689316995</v>
      </c>
      <c r="AB24" s="513">
        <v>0.9408533994348196</v>
      </c>
      <c r="AC24" s="514">
        <v>0.82293998119846234</v>
      </c>
      <c r="AD24" s="514">
        <v>0.9408533994348196</v>
      </c>
      <c r="AE24" s="514">
        <v>0.82888051820247366</v>
      </c>
      <c r="AF24" s="511">
        <v>43.082999999999998</v>
      </c>
      <c r="AG24" s="511">
        <v>788.70899999999995</v>
      </c>
      <c r="AH24" s="511">
        <v>135.54144347083448</v>
      </c>
      <c r="AI24" s="511">
        <v>136.10696945930982</v>
      </c>
      <c r="AJ24" s="511">
        <v>1.3160643409233341</v>
      </c>
      <c r="AK24" s="511">
        <v>1.4516126987266533</v>
      </c>
      <c r="AL24" s="511">
        <v>839.94475779306322</v>
      </c>
      <c r="AM24" s="511">
        <v>940.81157942916843</v>
      </c>
      <c r="AN24" s="511">
        <v>0</v>
      </c>
      <c r="AO24" s="512">
        <v>0</v>
      </c>
      <c r="AP24" s="594">
        <v>0.94492581866319225</v>
      </c>
      <c r="AQ24" s="514">
        <v>0.83410663713227484</v>
      </c>
      <c r="AR24" s="514">
        <v>0.94492581866319225</v>
      </c>
      <c r="AS24" s="514">
        <v>0.86007895002146006</v>
      </c>
      <c r="AT24" s="511">
        <v>52.011000000000003</v>
      </c>
      <c r="AU24" s="511">
        <v>963.09299999999985</v>
      </c>
      <c r="AV24" s="515">
        <v>112.02539728935362</v>
      </c>
      <c r="AW24" s="515">
        <v>109.73250632054122</v>
      </c>
      <c r="AX24" s="511">
        <v>1.3650958451096882</v>
      </c>
      <c r="AY24" s="511">
        <v>1.4404631743767218</v>
      </c>
      <c r="AZ24" s="511">
        <v>0</v>
      </c>
      <c r="BA24" s="511">
        <v>0</v>
      </c>
      <c r="BB24" s="511">
        <v>868.80352233181475</v>
      </c>
      <c r="BC24" s="511">
        <v>879.8906855308885</v>
      </c>
      <c r="BD24" s="511">
        <v>416.08990405876295</v>
      </c>
      <c r="BE24" s="576">
        <v>426.42113689955306</v>
      </c>
      <c r="BF24" s="511">
        <v>0</v>
      </c>
      <c r="BG24" s="512">
        <v>0</v>
      </c>
      <c r="BH24" s="513">
        <v>1.0139967811925483</v>
      </c>
      <c r="BI24" s="514">
        <v>0.88642492181081955</v>
      </c>
      <c r="BJ24" s="514">
        <v>1.0139967811925483</v>
      </c>
      <c r="BK24" s="514">
        <v>0.89743590663658313</v>
      </c>
      <c r="BL24" s="511">
        <v>51.795999999999999</v>
      </c>
      <c r="BM24" s="511">
        <v>985.2850000000002</v>
      </c>
      <c r="BN24" s="511">
        <v>2.2974747084716967</v>
      </c>
      <c r="BO24" s="511">
        <v>2.5836179379570368</v>
      </c>
      <c r="BP24" s="515">
        <v>0</v>
      </c>
      <c r="BQ24" s="515">
        <v>0</v>
      </c>
      <c r="BR24" s="515">
        <v>942.66847837807802</v>
      </c>
      <c r="BS24" s="515">
        <v>994.25026931664149</v>
      </c>
      <c r="BT24" s="515">
        <v>0</v>
      </c>
      <c r="BU24" s="516">
        <v>0</v>
      </c>
      <c r="BV24" s="513">
        <v>0.98103903291207162</v>
      </c>
      <c r="BW24" s="514">
        <v>0.85162198651670018</v>
      </c>
      <c r="BX24" s="514">
        <v>0.98103903291207162</v>
      </c>
      <c r="BY24" s="514">
        <v>0.89153583533949099</v>
      </c>
      <c r="BZ24" s="511">
        <v>56.981999999999999</v>
      </c>
      <c r="CA24" s="511">
        <v>967.17199999999991</v>
      </c>
      <c r="CB24" s="515">
        <v>59.420782923194459</v>
      </c>
      <c r="CC24" s="515">
        <v>74.696744234684459</v>
      </c>
      <c r="CD24" s="511">
        <v>1.7742444982626091</v>
      </c>
      <c r="CE24" s="511">
        <v>1.9873404110127255</v>
      </c>
      <c r="CF24" s="515">
        <v>0</v>
      </c>
      <c r="CG24" s="515">
        <v>0</v>
      </c>
      <c r="CH24" s="515">
        <v>612.11195630070927</v>
      </c>
      <c r="CI24" s="515">
        <v>831.20045422344765</v>
      </c>
      <c r="CJ24" s="515">
        <v>445.84163420028034</v>
      </c>
      <c r="CK24" s="515">
        <v>249.18296642169187</v>
      </c>
      <c r="CL24" s="515">
        <v>0</v>
      </c>
      <c r="CM24" s="516">
        <v>0</v>
      </c>
    </row>
    <row r="25" spans="1:91">
      <c r="A25" s="558">
        <v>46134</v>
      </c>
      <c r="B25" s="513">
        <v>0.86359075307645083</v>
      </c>
      <c r="C25" s="514">
        <v>0.93720852671895671</v>
      </c>
      <c r="D25" s="514">
        <v>0.86359075307645083</v>
      </c>
      <c r="E25" s="514">
        <v>0.94668760155146114</v>
      </c>
      <c r="F25" s="511">
        <v>54.311</v>
      </c>
      <c r="G25" s="511">
        <v>1489.9549999999999</v>
      </c>
      <c r="H25" s="511">
        <v>2.4400765959013828</v>
      </c>
      <c r="I25" s="511">
        <v>2.0884798534183919</v>
      </c>
      <c r="J25" s="511">
        <v>972.88210491429402</v>
      </c>
      <c r="K25" s="512">
        <v>810.87466399992024</v>
      </c>
      <c r="L25" s="513">
        <v>0.84303549359761853</v>
      </c>
      <c r="M25" s="514">
        <v>0.81332417050686068</v>
      </c>
      <c r="N25" s="514">
        <v>0.84303549359761853</v>
      </c>
      <c r="O25" s="514">
        <v>0.86769540432195535</v>
      </c>
      <c r="P25" s="511">
        <v>58.762999999999998</v>
      </c>
      <c r="Q25" s="511">
        <v>1179.8799999999999</v>
      </c>
      <c r="R25" s="511">
        <v>2.4490580807651074</v>
      </c>
      <c r="S25" s="511">
        <v>2.3374046513204738</v>
      </c>
      <c r="T25" s="511">
        <v>0</v>
      </c>
      <c r="U25" s="511">
        <v>0</v>
      </c>
      <c r="V25" s="511">
        <v>644.44123002569609</v>
      </c>
      <c r="W25" s="511">
        <v>606.66994948638728</v>
      </c>
      <c r="X25" s="511">
        <v>423.73602436907578</v>
      </c>
      <c r="Y25" s="576">
        <v>411.81899854222468</v>
      </c>
      <c r="Z25" s="511">
        <v>56.030155029525382</v>
      </c>
      <c r="AA25" s="576">
        <v>13.061523205749742</v>
      </c>
      <c r="AB25" s="513">
        <v>0.89758805925248297</v>
      </c>
      <c r="AC25" s="514">
        <v>0.82635343850007348</v>
      </c>
      <c r="AD25" s="514">
        <v>0.89758805925248297</v>
      </c>
      <c r="AE25" s="514">
        <v>0.83204396610842268</v>
      </c>
      <c r="AF25" s="511">
        <v>41.222000000000001</v>
      </c>
      <c r="AG25" s="511">
        <v>829.93099999999993</v>
      </c>
      <c r="AH25" s="511">
        <v>145.18642455656982</v>
      </c>
      <c r="AI25" s="511">
        <v>136.55793863387888</v>
      </c>
      <c r="AJ25" s="511">
        <v>1.3948862258017563</v>
      </c>
      <c r="AK25" s="511">
        <v>1.4487951408008617</v>
      </c>
      <c r="AL25" s="511">
        <v>859.88549803502974</v>
      </c>
      <c r="AM25" s="511">
        <v>936.79204656772686</v>
      </c>
      <c r="AN25" s="511">
        <v>0</v>
      </c>
      <c r="AO25" s="512">
        <v>0</v>
      </c>
      <c r="AP25" s="594">
        <v>0.87102814498116943</v>
      </c>
      <c r="AQ25" s="514">
        <v>0.83578737525579461</v>
      </c>
      <c r="AR25" s="514">
        <v>0.87102814498116943</v>
      </c>
      <c r="AS25" s="514">
        <v>0.86059217099371466</v>
      </c>
      <c r="AT25" s="511">
        <v>47.966000000000001</v>
      </c>
      <c r="AU25" s="511">
        <v>1011.0589999999999</v>
      </c>
      <c r="AV25" s="515">
        <v>123.59002960046891</v>
      </c>
      <c r="AW25" s="515">
        <v>110.38992587928607</v>
      </c>
      <c r="AX25" s="511">
        <v>1.4718759121044072</v>
      </c>
      <c r="AY25" s="511">
        <v>1.4419534369408711</v>
      </c>
      <c r="AZ25" s="511">
        <v>0</v>
      </c>
      <c r="BA25" s="511">
        <v>0</v>
      </c>
      <c r="BB25" s="511">
        <v>905.77075428428464</v>
      </c>
      <c r="BC25" s="511">
        <v>881.11847083107909</v>
      </c>
      <c r="BD25" s="511">
        <v>586.04136263185512</v>
      </c>
      <c r="BE25" s="576">
        <v>433.9937352815225</v>
      </c>
      <c r="BF25" s="511">
        <v>0</v>
      </c>
      <c r="BG25" s="512">
        <v>0</v>
      </c>
      <c r="BH25" s="513">
        <v>0.9557755589501622</v>
      </c>
      <c r="BI25" s="514">
        <v>0.88947195287323189</v>
      </c>
      <c r="BJ25" s="514">
        <v>0.9557755589501622</v>
      </c>
      <c r="BK25" s="514">
        <v>0.90002957703824993</v>
      </c>
      <c r="BL25" s="511">
        <v>48.822000000000003</v>
      </c>
      <c r="BM25" s="511">
        <v>1034.1070000000002</v>
      </c>
      <c r="BN25" s="511">
        <v>2.4456187784195649</v>
      </c>
      <c r="BO25" s="511">
        <v>2.5771027562911759</v>
      </c>
      <c r="BP25" s="515">
        <v>0</v>
      </c>
      <c r="BQ25" s="515">
        <v>0</v>
      </c>
      <c r="BR25" s="515">
        <v>910.26206867876704</v>
      </c>
      <c r="BS25" s="515">
        <v>990.28503947916602</v>
      </c>
      <c r="BT25" s="515">
        <v>0</v>
      </c>
      <c r="BU25" s="516">
        <v>0</v>
      </c>
      <c r="BV25" s="513">
        <v>1.0520749223121488</v>
      </c>
      <c r="BW25" s="514">
        <v>0.86137513337730565</v>
      </c>
      <c r="BX25" s="514">
        <v>1.0520749223121488</v>
      </c>
      <c r="BY25" s="514">
        <v>0.89969443902439283</v>
      </c>
      <c r="BZ25" s="511">
        <v>61.107999999999997</v>
      </c>
      <c r="CA25" s="511">
        <v>1028.28</v>
      </c>
      <c r="CB25" s="515">
        <v>55.770207617873091</v>
      </c>
      <c r="CC25" s="515">
        <v>73.571989499028689</v>
      </c>
      <c r="CD25" s="511">
        <v>1.6217189238724881</v>
      </c>
      <c r="CE25" s="511">
        <v>1.9656124790912977</v>
      </c>
      <c r="CF25" s="515">
        <v>0</v>
      </c>
      <c r="CG25" s="515">
        <v>0</v>
      </c>
      <c r="CH25" s="515">
        <v>551.6787537305396</v>
      </c>
      <c r="CI25" s="515">
        <v>814.5892081876201</v>
      </c>
      <c r="CJ25" s="515">
        <v>562.22982260914239</v>
      </c>
      <c r="CK25" s="515">
        <v>267.78652507099235</v>
      </c>
      <c r="CL25" s="515">
        <v>0</v>
      </c>
      <c r="CM25" s="516">
        <v>0</v>
      </c>
    </row>
    <row r="26" spans="1:91">
      <c r="A26" s="558">
        <v>46135</v>
      </c>
      <c r="B26" s="513">
        <v>0.83601893191862275</v>
      </c>
      <c r="C26" s="514">
        <v>0.93263007925164543</v>
      </c>
      <c r="D26" s="514">
        <v>0.83601893191862275</v>
      </c>
      <c r="E26" s="514">
        <v>0.94163193029327752</v>
      </c>
      <c r="F26" s="511">
        <v>62.985999999999997</v>
      </c>
      <c r="G26" s="511">
        <v>1552.941</v>
      </c>
      <c r="H26" s="511">
        <v>2.1684025021433335</v>
      </c>
      <c r="I26" s="511">
        <v>2.0917214498168315</v>
      </c>
      <c r="J26" s="511">
        <v>856.70529959039027</v>
      </c>
      <c r="K26" s="512">
        <v>812.73351659850664</v>
      </c>
      <c r="L26" s="513">
        <v>0.93662607160204137</v>
      </c>
      <c r="M26" s="514">
        <v>0.81898628058354817</v>
      </c>
      <c r="N26" s="514">
        <v>0.93662607160204137</v>
      </c>
      <c r="O26" s="514">
        <v>0.87106201944003248</v>
      </c>
      <c r="P26" s="511">
        <v>65.397999999999996</v>
      </c>
      <c r="Q26" s="511">
        <v>1245.2779999999998</v>
      </c>
      <c r="R26" s="511">
        <v>2.1941190862105873</v>
      </c>
      <c r="S26" s="511">
        <v>2.3298797537577962</v>
      </c>
      <c r="T26" s="511">
        <v>0</v>
      </c>
      <c r="U26" s="511">
        <v>0</v>
      </c>
      <c r="V26" s="511">
        <v>577.95742989079622</v>
      </c>
      <c r="W26" s="511">
        <v>605.16206019860374</v>
      </c>
      <c r="X26" s="511">
        <v>351.46334750298183</v>
      </c>
      <c r="Y26" s="576">
        <v>408.6493136472339</v>
      </c>
      <c r="Z26" s="511">
        <v>41.883543839261677</v>
      </c>
      <c r="AA26" s="576">
        <v>14.575163136263582</v>
      </c>
      <c r="AB26" s="513">
        <v>0.91038940820557634</v>
      </c>
      <c r="AC26" s="514">
        <v>0.83004277405187643</v>
      </c>
      <c r="AD26" s="514">
        <v>0.91038940820557634</v>
      </c>
      <c r="AE26" s="514">
        <v>0.83550611576275569</v>
      </c>
      <c r="AF26" s="511">
        <v>41.984000000000002</v>
      </c>
      <c r="AG26" s="511">
        <v>871.91499999999996</v>
      </c>
      <c r="AH26" s="511">
        <v>139.68541142818248</v>
      </c>
      <c r="AI26" s="511">
        <v>136.70853108589085</v>
      </c>
      <c r="AJ26" s="511">
        <v>1.3528963414634145</v>
      </c>
      <c r="AK26" s="511">
        <v>1.4441774714278339</v>
      </c>
      <c r="AL26" s="511">
        <v>829.46932164634154</v>
      </c>
      <c r="AM26" s="511">
        <v>931.62429824008063</v>
      </c>
      <c r="AN26" s="511">
        <v>0</v>
      </c>
      <c r="AO26" s="512">
        <v>0</v>
      </c>
      <c r="AP26" s="594">
        <v>0.86447264399425772</v>
      </c>
      <c r="AQ26" s="514">
        <v>0.83703632913237969</v>
      </c>
      <c r="AR26" s="514">
        <v>0.86447264399425772</v>
      </c>
      <c r="AS26" s="514">
        <v>0.86076591622665399</v>
      </c>
      <c r="AT26" s="511">
        <v>47.604999999999997</v>
      </c>
      <c r="AU26" s="511">
        <v>1058.6639999999998</v>
      </c>
      <c r="AV26" s="515">
        <v>121.11757283212896</v>
      </c>
      <c r="AW26" s="515">
        <v>110.87231654638167</v>
      </c>
      <c r="AX26" s="511">
        <v>1.4851381157441448</v>
      </c>
      <c r="AY26" s="511">
        <v>1.4438953246733621</v>
      </c>
      <c r="AZ26" s="511">
        <v>0</v>
      </c>
      <c r="BA26" s="511">
        <v>0</v>
      </c>
      <c r="BB26" s="511">
        <v>920.5848125196934</v>
      </c>
      <c r="BC26" s="511">
        <v>882.89315590215608</v>
      </c>
      <c r="BD26" s="511">
        <v>552.65707383678034</v>
      </c>
      <c r="BE26" s="576">
        <v>439.32967589339097</v>
      </c>
      <c r="BF26" s="511">
        <v>0</v>
      </c>
      <c r="BG26" s="512">
        <v>0</v>
      </c>
      <c r="BH26" s="513">
        <v>0.93962474914855865</v>
      </c>
      <c r="BI26" s="514">
        <v>0.89158275466994019</v>
      </c>
      <c r="BJ26" s="514">
        <v>0.93962474914855865</v>
      </c>
      <c r="BK26" s="514">
        <v>0.90171497381911048</v>
      </c>
      <c r="BL26" s="511">
        <v>47.997</v>
      </c>
      <c r="BM26" s="511">
        <v>1082.1040000000003</v>
      </c>
      <c r="BN26" s="511">
        <v>2.485572014917599</v>
      </c>
      <c r="BO26" s="511">
        <v>2.5730428868204895</v>
      </c>
      <c r="BP26" s="515">
        <v>0</v>
      </c>
      <c r="BQ26" s="515">
        <v>0</v>
      </c>
      <c r="BR26" s="515">
        <v>928.90121207658888</v>
      </c>
      <c r="BS26" s="515">
        <v>987.56234409698334</v>
      </c>
      <c r="BT26" s="515">
        <v>0</v>
      </c>
      <c r="BU26" s="516">
        <v>0</v>
      </c>
      <c r="BV26" s="513">
        <v>1.0008969980149847</v>
      </c>
      <c r="BW26" s="514">
        <v>0.86783843331033517</v>
      </c>
      <c r="BX26" s="514">
        <v>1.0008969980149847</v>
      </c>
      <c r="BY26" s="514">
        <v>0.904581099464558</v>
      </c>
      <c r="BZ26" s="511">
        <v>58.039000000000001</v>
      </c>
      <c r="CA26" s="511">
        <v>1086.319</v>
      </c>
      <c r="CB26" s="515">
        <v>58.368435567905856</v>
      </c>
      <c r="CC26" s="515">
        <v>72.759705937194241</v>
      </c>
      <c r="CD26" s="511">
        <v>1.7178104378090595</v>
      </c>
      <c r="CE26" s="511">
        <v>1.952373105874057</v>
      </c>
      <c r="CF26" s="515">
        <v>0</v>
      </c>
      <c r="CG26" s="515">
        <v>0</v>
      </c>
      <c r="CH26" s="515">
        <v>536.9983721973158</v>
      </c>
      <c r="CI26" s="515">
        <v>799.75830259723523</v>
      </c>
      <c r="CJ26" s="515">
        <v>532.1380451075986</v>
      </c>
      <c r="CK26" s="515">
        <v>281.91009086649501</v>
      </c>
      <c r="CL26" s="515">
        <v>0</v>
      </c>
      <c r="CM26" s="516">
        <v>0</v>
      </c>
    </row>
    <row r="27" spans="1:91">
      <c r="A27" s="558">
        <v>46136</v>
      </c>
      <c r="B27" s="513">
        <v>0.96942085537937561</v>
      </c>
      <c r="C27" s="514">
        <v>0.93431424611065472</v>
      </c>
      <c r="D27" s="514">
        <v>0.96942085537937561</v>
      </c>
      <c r="E27" s="514">
        <v>0.94291573163751063</v>
      </c>
      <c r="F27" s="511">
        <v>77.438000000000002</v>
      </c>
      <c r="G27" s="511">
        <v>1630.3790000000001</v>
      </c>
      <c r="H27" s="511">
        <v>1.8427774477646632</v>
      </c>
      <c r="I27" s="511">
        <v>2.079897373555474</v>
      </c>
      <c r="J27" s="511">
        <v>620.20739171983143</v>
      </c>
      <c r="K27" s="512">
        <v>803.58911639563667</v>
      </c>
      <c r="L27" s="513">
        <v>0.91661539536372216</v>
      </c>
      <c r="M27" s="514">
        <v>0.82334137942807029</v>
      </c>
      <c r="N27" s="514">
        <v>0.91661539536372216</v>
      </c>
      <c r="O27" s="514">
        <v>0.87321718960460937</v>
      </c>
      <c r="P27" s="511">
        <v>65.075000000000003</v>
      </c>
      <c r="Q27" s="511">
        <v>1310.3529999999998</v>
      </c>
      <c r="R27" s="511">
        <v>2.2045332308874377</v>
      </c>
      <c r="S27" s="511">
        <v>2.3236547708899824</v>
      </c>
      <c r="T27" s="511">
        <v>0</v>
      </c>
      <c r="U27" s="511">
        <v>0</v>
      </c>
      <c r="V27" s="511">
        <v>572.75343834039268</v>
      </c>
      <c r="W27" s="511">
        <v>603.55257705366262</v>
      </c>
      <c r="X27" s="511">
        <v>368.45178640030736</v>
      </c>
      <c r="Y27" s="576">
        <v>406.65301640092412</v>
      </c>
      <c r="Z27" s="511">
        <v>42.125240107568011</v>
      </c>
      <c r="AA27" s="576">
        <v>15.943360300621306</v>
      </c>
      <c r="AB27" s="513">
        <v>0.85492535703840178</v>
      </c>
      <c r="AC27" s="514">
        <v>0.83106723166086804</v>
      </c>
      <c r="AD27" s="514">
        <v>0.85492535703840178</v>
      </c>
      <c r="AE27" s="514">
        <v>0.8363106828720368</v>
      </c>
      <c r="AF27" s="511">
        <v>38.561999999999998</v>
      </c>
      <c r="AG27" s="511">
        <v>910.47699999999998</v>
      </c>
      <c r="AH27" s="511">
        <v>138.42858748040663</v>
      </c>
      <c r="AI27" s="511">
        <v>136.78138170670314</v>
      </c>
      <c r="AJ27" s="511">
        <v>1.3432913230641563</v>
      </c>
      <c r="AK27" s="511">
        <v>1.4399045774906998</v>
      </c>
      <c r="AL27" s="511">
        <v>922.86758985530753</v>
      </c>
      <c r="AM27" s="511">
        <v>931.25341991066261</v>
      </c>
      <c r="AN27" s="511">
        <v>0</v>
      </c>
      <c r="AO27" s="512">
        <v>0</v>
      </c>
      <c r="AP27" s="594">
        <v>0.52850151054415917</v>
      </c>
      <c r="AQ27" s="514">
        <v>0.82416903365330396</v>
      </c>
      <c r="AR27" s="514">
        <v>0.52850151054415917</v>
      </c>
      <c r="AS27" s="514">
        <v>0.84653298007611777</v>
      </c>
      <c r="AT27" s="511">
        <v>29.09</v>
      </c>
      <c r="AU27" s="511">
        <v>1087.7539999999997</v>
      </c>
      <c r="AV27" s="515">
        <v>157.22126904659387</v>
      </c>
      <c r="AW27" s="515">
        <v>112.11183488254147</v>
      </c>
      <c r="AX27" s="511">
        <v>2.1106909590924716</v>
      </c>
      <c r="AY27" s="511">
        <v>1.4617275597239821</v>
      </c>
      <c r="AZ27" s="511">
        <v>0</v>
      </c>
      <c r="BA27" s="511">
        <v>0</v>
      </c>
      <c r="BB27" s="511">
        <v>1185.5489859058098</v>
      </c>
      <c r="BC27" s="511">
        <v>890.9871349588235</v>
      </c>
      <c r="BD27" s="511">
        <v>687.60797524923623</v>
      </c>
      <c r="BE27" s="576">
        <v>445.96942691086508</v>
      </c>
      <c r="BF27" s="511">
        <v>0</v>
      </c>
      <c r="BG27" s="512">
        <v>0</v>
      </c>
      <c r="BH27" s="513">
        <v>1.0526608410206295</v>
      </c>
      <c r="BI27" s="514">
        <v>0.89808831354115959</v>
      </c>
      <c r="BJ27" s="514">
        <v>1.0526608410206295</v>
      </c>
      <c r="BK27" s="514">
        <v>0.90787776870055559</v>
      </c>
      <c r="BL27" s="511">
        <v>53.771000000000001</v>
      </c>
      <c r="BM27" s="511">
        <v>1135.8750000000002</v>
      </c>
      <c r="BN27" s="511">
        <v>2.2316862249167766</v>
      </c>
      <c r="BO27" s="511">
        <v>2.556883459887751</v>
      </c>
      <c r="BP27" s="515">
        <v>0</v>
      </c>
      <c r="BQ27" s="515">
        <v>0</v>
      </c>
      <c r="BR27" s="515">
        <v>865.71494277079182</v>
      </c>
      <c r="BS27" s="515">
        <v>981.79422998520988</v>
      </c>
      <c r="BT27" s="515">
        <v>0</v>
      </c>
      <c r="BU27" s="516">
        <v>0</v>
      </c>
      <c r="BV27" s="513">
        <v>0.97541657494037493</v>
      </c>
      <c r="BW27" s="514">
        <v>0.87266939613878414</v>
      </c>
      <c r="BX27" s="514">
        <v>0.97541657494037493</v>
      </c>
      <c r="BY27" s="514">
        <v>0.90789046072418533</v>
      </c>
      <c r="BZ27" s="511">
        <v>57.408000000000001</v>
      </c>
      <c r="CA27" s="511">
        <v>1143.7269999999999</v>
      </c>
      <c r="CB27" s="515">
        <v>60.711923303636155</v>
      </c>
      <c r="CC27" s="515">
        <v>72.154981990459319</v>
      </c>
      <c r="CD27" s="511">
        <v>1.7332079152731326</v>
      </c>
      <c r="CE27" s="511">
        <v>1.9413723729526364</v>
      </c>
      <c r="CF27" s="515">
        <v>0</v>
      </c>
      <c r="CG27" s="515">
        <v>0</v>
      </c>
      <c r="CH27" s="515">
        <v>586.99661740987153</v>
      </c>
      <c r="CI27" s="515">
        <v>789.07898592180834</v>
      </c>
      <c r="CJ27" s="515">
        <v>568.48669175028681</v>
      </c>
      <c r="CK27" s="515">
        <v>296.29445838036565</v>
      </c>
      <c r="CL27" s="515">
        <v>0</v>
      </c>
      <c r="CM27" s="516">
        <v>0</v>
      </c>
    </row>
    <row r="28" spans="1:91">
      <c r="A28" s="558">
        <v>46137</v>
      </c>
      <c r="B28" s="513">
        <v>0.93639340526767023</v>
      </c>
      <c r="C28" s="514">
        <v>0.93438835769541484</v>
      </c>
      <c r="D28" s="514">
        <v>0.93639340526767023</v>
      </c>
      <c r="E28" s="514">
        <v>0.94268118008623514</v>
      </c>
      <c r="F28" s="511">
        <v>60.396999999999998</v>
      </c>
      <c r="G28" s="511">
        <v>1690.7760000000001</v>
      </c>
      <c r="H28" s="511">
        <v>2.2451777406162559</v>
      </c>
      <c r="I28" s="511">
        <v>2.085801430822297</v>
      </c>
      <c r="J28" s="511">
        <v>944.04357832342362</v>
      </c>
      <c r="K28" s="512">
        <v>808.60635589812125</v>
      </c>
      <c r="L28" s="513">
        <v>1.0079881816829608</v>
      </c>
      <c r="M28" s="514">
        <v>0.83122647307701736</v>
      </c>
      <c r="N28" s="514">
        <v>1.0079881816829608</v>
      </c>
      <c r="O28" s="514">
        <v>0.87930529006024483</v>
      </c>
      <c r="P28" s="511">
        <v>71.561999999999998</v>
      </c>
      <c r="Q28" s="511">
        <v>1381.9149999999997</v>
      </c>
      <c r="R28" s="511">
        <v>1.913319918392443</v>
      </c>
      <c r="S28" s="511">
        <v>2.3024057195992524</v>
      </c>
      <c r="T28" s="511">
        <v>0</v>
      </c>
      <c r="U28" s="511">
        <v>0</v>
      </c>
      <c r="V28" s="511">
        <v>513.96132025378984</v>
      </c>
      <c r="W28" s="511">
        <v>598.91312417912798</v>
      </c>
      <c r="X28" s="511">
        <v>314.5384421899891</v>
      </c>
      <c r="Y28" s="576">
        <v>401.88289438930764</v>
      </c>
      <c r="Z28" s="511">
        <v>36.995891674351498</v>
      </c>
      <c r="AA28" s="576">
        <v>17.033558503960066</v>
      </c>
      <c r="AB28" s="513">
        <v>0.88028283824555942</v>
      </c>
      <c r="AC28" s="514">
        <v>0.83297396903539256</v>
      </c>
      <c r="AD28" s="514">
        <v>0.88028283824555942</v>
      </c>
      <c r="AE28" s="514">
        <v>0.83802460518022071</v>
      </c>
      <c r="AF28" s="511">
        <v>38.869</v>
      </c>
      <c r="AG28" s="511">
        <v>949.346</v>
      </c>
      <c r="AH28" s="511">
        <v>146.78878523968905</v>
      </c>
      <c r="AI28" s="511">
        <v>137.19111405710399</v>
      </c>
      <c r="AJ28" s="511">
        <v>1.283799428850755</v>
      </c>
      <c r="AK28" s="511">
        <v>1.4335131764393592</v>
      </c>
      <c r="AL28" s="511">
        <v>951.07669350897538</v>
      </c>
      <c r="AM28" s="511">
        <v>932.06504267148193</v>
      </c>
      <c r="AN28" s="511">
        <v>0</v>
      </c>
      <c r="AO28" s="512">
        <v>0</v>
      </c>
      <c r="AP28" s="594">
        <v>0.81573888620120216</v>
      </c>
      <c r="AQ28" s="514">
        <v>0.82383447329748039</v>
      </c>
      <c r="AR28" s="514">
        <v>0.81573888620120216</v>
      </c>
      <c r="AS28" s="514">
        <v>0.84527906856427137</v>
      </c>
      <c r="AT28" s="511">
        <v>44.493000000000002</v>
      </c>
      <c r="AU28" s="511">
        <v>1132.2469999999996</v>
      </c>
      <c r="AV28" s="515">
        <v>116.45676084716297</v>
      </c>
      <c r="AW28" s="515">
        <v>112.28257394472836</v>
      </c>
      <c r="AX28" s="511">
        <v>1.4878744971119053</v>
      </c>
      <c r="AY28" s="511">
        <v>1.4627550348996294</v>
      </c>
      <c r="AZ28" s="511">
        <v>0</v>
      </c>
      <c r="BA28" s="511">
        <v>0</v>
      </c>
      <c r="BB28" s="511">
        <v>918.51302452071116</v>
      </c>
      <c r="BC28" s="511">
        <v>892.06879770933415</v>
      </c>
      <c r="BD28" s="511">
        <v>472.52149776368759</v>
      </c>
      <c r="BE28" s="576">
        <v>447.01282229054351</v>
      </c>
      <c r="BF28" s="511">
        <v>0</v>
      </c>
      <c r="BG28" s="512">
        <v>0</v>
      </c>
      <c r="BH28" s="513">
        <v>0.86080879731673376</v>
      </c>
      <c r="BI28" s="514">
        <v>0.89664113122711309</v>
      </c>
      <c r="BJ28" s="514">
        <v>0.86080879731673376</v>
      </c>
      <c r="BK28" s="514">
        <v>0.90603142609873311</v>
      </c>
      <c r="BL28" s="511">
        <v>43.970999999999997</v>
      </c>
      <c r="BM28" s="511">
        <v>1179.8460000000002</v>
      </c>
      <c r="BN28" s="511">
        <v>2.7427167906119942</v>
      </c>
      <c r="BO28" s="511">
        <v>2.5638091750957321</v>
      </c>
      <c r="BP28" s="515">
        <v>0</v>
      </c>
      <c r="BQ28" s="515">
        <v>0</v>
      </c>
      <c r="BR28" s="515">
        <v>1072.1570328731118</v>
      </c>
      <c r="BS28" s="515">
        <v>985.16190916180074</v>
      </c>
      <c r="BT28" s="515">
        <v>0</v>
      </c>
      <c r="BU28" s="516">
        <v>0</v>
      </c>
      <c r="BV28" s="513">
        <v>0.94562310526503668</v>
      </c>
      <c r="BW28" s="514">
        <v>0.87555914972117055</v>
      </c>
      <c r="BX28" s="514">
        <v>0.94562310526503668</v>
      </c>
      <c r="BY28" s="514">
        <v>0.90944292149249795</v>
      </c>
      <c r="BZ28" s="511">
        <v>51.116</v>
      </c>
      <c r="CA28" s="511">
        <v>1194.8429999999998</v>
      </c>
      <c r="CB28" s="515">
        <v>66.573206943925726</v>
      </c>
      <c r="CC28" s="515">
        <v>71.916190774141683</v>
      </c>
      <c r="CD28" s="511">
        <v>1.8682995539557086</v>
      </c>
      <c r="CE28" s="511">
        <v>1.9382462800552038</v>
      </c>
      <c r="CF28" s="515">
        <v>0</v>
      </c>
      <c r="CG28" s="515">
        <v>0</v>
      </c>
      <c r="CH28" s="515">
        <v>704.39164072971562</v>
      </c>
      <c r="CI28" s="515">
        <v>785.45601760141892</v>
      </c>
      <c r="CJ28" s="515">
        <v>463.80391658188677</v>
      </c>
      <c r="CK28" s="515">
        <v>303.46059942603358</v>
      </c>
      <c r="CL28" s="515">
        <v>0</v>
      </c>
      <c r="CM28" s="516">
        <v>0</v>
      </c>
    </row>
    <row r="29" spans="1:91">
      <c r="A29" s="558">
        <v>46138</v>
      </c>
      <c r="B29" s="513">
        <v>1.0042279582866636</v>
      </c>
      <c r="C29" s="514">
        <v>0.93684233332993194</v>
      </c>
      <c r="D29" s="514">
        <v>1.0042279582866636</v>
      </c>
      <c r="E29" s="514">
        <v>0.94486228134511974</v>
      </c>
      <c r="F29" s="511">
        <v>66.174999999999997</v>
      </c>
      <c r="G29" s="511">
        <v>1756.951</v>
      </c>
      <c r="H29" s="511">
        <v>2.1029240649792218</v>
      </c>
      <c r="I29" s="511">
        <v>2.0864463493859535</v>
      </c>
      <c r="J29" s="511">
        <v>889.52172270494157</v>
      </c>
      <c r="K29" s="512">
        <v>811.65400742536428</v>
      </c>
      <c r="L29" s="513">
        <v>0.70675519136027842</v>
      </c>
      <c r="M29" s="514">
        <v>0.82612878415470403</v>
      </c>
      <c r="N29" s="514">
        <v>0.70675519136027842</v>
      </c>
      <c r="O29" s="514">
        <v>0.87184746596371554</v>
      </c>
      <c r="P29" s="511">
        <v>50.176000000000002</v>
      </c>
      <c r="Q29" s="511">
        <v>1432.0909999999997</v>
      </c>
      <c r="R29" s="511">
        <v>2.7198262117346936</v>
      </c>
      <c r="S29" s="511">
        <v>2.3170308311413179</v>
      </c>
      <c r="T29" s="511">
        <v>0</v>
      </c>
      <c r="U29" s="511">
        <v>0</v>
      </c>
      <c r="V29" s="511">
        <v>722.83023756375439</v>
      </c>
      <c r="W29" s="511">
        <v>603.25479316607573</v>
      </c>
      <c r="X29" s="511">
        <v>458.96444515306121</v>
      </c>
      <c r="Y29" s="576">
        <v>403.88285381306082</v>
      </c>
      <c r="Z29" s="511">
        <v>51.859454719388452</v>
      </c>
      <c r="AA29" s="576">
        <v>18.253749238002339</v>
      </c>
      <c r="AB29" s="513">
        <v>0.83985882015978752</v>
      </c>
      <c r="AC29" s="514">
        <v>0.83325458228651816</v>
      </c>
      <c r="AD29" s="514">
        <v>0.83985882015978752</v>
      </c>
      <c r="AE29" s="514">
        <v>0.83809979895435183</v>
      </c>
      <c r="AF29" s="511">
        <v>40.670999999999999</v>
      </c>
      <c r="AG29" s="511">
        <v>990.01700000000005</v>
      </c>
      <c r="AH29" s="511">
        <v>136.17440340163782</v>
      </c>
      <c r="AI29" s="511">
        <v>137.14934645203411</v>
      </c>
      <c r="AJ29" s="511">
        <v>1.2220009343266702</v>
      </c>
      <c r="AK29" s="511">
        <v>1.4248240181734251</v>
      </c>
      <c r="AL29" s="511">
        <v>879.72314425512047</v>
      </c>
      <c r="AM29" s="511">
        <v>929.91477924116521</v>
      </c>
      <c r="AN29" s="511">
        <v>0</v>
      </c>
      <c r="AO29" s="512">
        <v>0</v>
      </c>
      <c r="AP29" s="594">
        <v>0.89391465562917349</v>
      </c>
      <c r="AQ29" s="514">
        <v>0.82648836009248983</v>
      </c>
      <c r="AR29" s="514">
        <v>0.89391465562917349</v>
      </c>
      <c r="AS29" s="514">
        <v>0.84716694512068214</v>
      </c>
      <c r="AT29" s="511">
        <v>48.356000000000002</v>
      </c>
      <c r="AU29" s="511">
        <v>1180.6029999999996</v>
      </c>
      <c r="AV29" s="515">
        <v>111.92693439650921</v>
      </c>
      <c r="AW29" s="515">
        <v>112.26800740034919</v>
      </c>
      <c r="AX29" s="511">
        <v>1.4475969889982627</v>
      </c>
      <c r="AY29" s="511">
        <v>1.4621341805839903</v>
      </c>
      <c r="AZ29" s="511">
        <v>0</v>
      </c>
      <c r="BA29" s="511">
        <v>0</v>
      </c>
      <c r="BB29" s="511">
        <v>905.35238646703624</v>
      </c>
      <c r="BC29" s="511">
        <v>892.61287664015788</v>
      </c>
      <c r="BD29" s="511">
        <v>494.98982546116355</v>
      </c>
      <c r="BE29" s="576">
        <v>448.97789942936026</v>
      </c>
      <c r="BF29" s="511">
        <v>0</v>
      </c>
      <c r="BG29" s="512">
        <v>0</v>
      </c>
      <c r="BH29" s="513">
        <v>0.88373315886543413</v>
      </c>
      <c r="BI29" s="514">
        <v>0.89615877176924541</v>
      </c>
      <c r="BJ29" s="514">
        <v>0.88373315886543413</v>
      </c>
      <c r="BK29" s="514">
        <v>0.9051897624685713</v>
      </c>
      <c r="BL29" s="511">
        <v>45.142000000000003</v>
      </c>
      <c r="BM29" s="511">
        <v>1224.9880000000003</v>
      </c>
      <c r="BN29" s="511">
        <v>2.6848611049576889</v>
      </c>
      <c r="BO29" s="511">
        <v>2.5682700565230014</v>
      </c>
      <c r="BP29" s="515">
        <v>0</v>
      </c>
      <c r="BQ29" s="515">
        <v>0</v>
      </c>
      <c r="BR29" s="515">
        <v>1084.9948630853203</v>
      </c>
      <c r="BS29" s="515">
        <v>988.84085067470983</v>
      </c>
      <c r="BT29" s="515">
        <v>0</v>
      </c>
      <c r="BU29" s="516">
        <v>0</v>
      </c>
      <c r="BV29" s="513">
        <v>0.96121992656477828</v>
      </c>
      <c r="BW29" s="514">
        <v>0.87877113875862145</v>
      </c>
      <c r="BX29" s="514">
        <v>0.96121992656477828</v>
      </c>
      <c r="BY29" s="514">
        <v>0.91145659556682279</v>
      </c>
      <c r="BZ29" s="511">
        <v>51.101999999999997</v>
      </c>
      <c r="CA29" s="511">
        <v>1245.9449999999999</v>
      </c>
      <c r="CB29" s="515">
        <v>66.402723955508378</v>
      </c>
      <c r="CC29" s="515">
        <v>71.690057853855635</v>
      </c>
      <c r="CD29" s="511">
        <v>1.9373018668545263</v>
      </c>
      <c r="CE29" s="511">
        <v>1.9382075452768781</v>
      </c>
      <c r="CF29" s="515">
        <v>0</v>
      </c>
      <c r="CG29" s="515">
        <v>0</v>
      </c>
      <c r="CH29" s="515">
        <v>749.45641835161223</v>
      </c>
      <c r="CI29" s="515">
        <v>783.97950658298407</v>
      </c>
      <c r="CJ29" s="515">
        <v>507.42381902861013</v>
      </c>
      <c r="CK29" s="515">
        <v>311.82607980288071</v>
      </c>
      <c r="CL29" s="515">
        <v>0</v>
      </c>
      <c r="CM29" s="516">
        <v>0</v>
      </c>
    </row>
    <row r="30" spans="1:91">
      <c r="A30" s="558">
        <v>46139</v>
      </c>
      <c r="B30" s="513">
        <v>0.92521364439820597</v>
      </c>
      <c r="C30" s="514">
        <v>0.93648162522631284</v>
      </c>
      <c r="D30" s="514">
        <v>0.92521364439820597</v>
      </c>
      <c r="E30" s="514">
        <v>0.94424774967103353</v>
      </c>
      <c r="F30" s="511">
        <v>55.545000000000002</v>
      </c>
      <c r="G30" s="511">
        <v>1812.4960000000001</v>
      </c>
      <c r="H30" s="511">
        <v>2.3363399045818709</v>
      </c>
      <c r="I30" s="511">
        <v>2.0941044835409293</v>
      </c>
      <c r="J30" s="511">
        <v>997.11837249077769</v>
      </c>
      <c r="K30" s="512">
        <v>817.3376713658962</v>
      </c>
      <c r="L30" s="513">
        <v>0.98123977391045669</v>
      </c>
      <c r="M30" s="514">
        <v>0.83223138395392349</v>
      </c>
      <c r="N30" s="514">
        <v>0.98123977391045669</v>
      </c>
      <c r="O30" s="514">
        <v>0.87637964753387054</v>
      </c>
      <c r="P30" s="511">
        <v>69.662999999999997</v>
      </c>
      <c r="Q30" s="511">
        <v>1501.7539999999997</v>
      </c>
      <c r="R30" s="511">
        <v>2.0563570331452854</v>
      </c>
      <c r="S30" s="511">
        <v>2.3049387582786531</v>
      </c>
      <c r="T30" s="511">
        <v>0</v>
      </c>
      <c r="U30" s="511">
        <v>0</v>
      </c>
      <c r="V30" s="511">
        <v>517.88682657938944</v>
      </c>
      <c r="W30" s="511">
        <v>599.29476465519565</v>
      </c>
      <c r="X30" s="511">
        <v>407.67695907440105</v>
      </c>
      <c r="Y30" s="576">
        <v>404.05885384690174</v>
      </c>
      <c r="Z30" s="511">
        <v>37.32253850681137</v>
      </c>
      <c r="AA30" s="576">
        <v>19.13830760563981</v>
      </c>
      <c r="AB30" s="513">
        <v>0.80918162988148223</v>
      </c>
      <c r="AC30" s="514">
        <v>0.83228093799443037</v>
      </c>
      <c r="AD30" s="514">
        <v>0.80918162988148223</v>
      </c>
      <c r="AE30" s="514">
        <v>0.83692366264778106</v>
      </c>
      <c r="AF30" s="511">
        <v>40.524000000000001</v>
      </c>
      <c r="AG30" s="511">
        <v>1030.5410000000002</v>
      </c>
      <c r="AH30" s="511">
        <v>141.84301797566684</v>
      </c>
      <c r="AI30" s="511">
        <v>137.33391586249294</v>
      </c>
      <c r="AJ30" s="511">
        <v>1.359688086072451</v>
      </c>
      <c r="AK30" s="511">
        <v>1.422262675623774</v>
      </c>
      <c r="AL30" s="511">
        <v>880.26107985391366</v>
      </c>
      <c r="AM30" s="511">
        <v>927.96224507321938</v>
      </c>
      <c r="AN30" s="511">
        <v>0</v>
      </c>
      <c r="AO30" s="512">
        <v>0</v>
      </c>
      <c r="AP30" s="594">
        <v>0.92818791585616678</v>
      </c>
      <c r="AQ30" s="514">
        <v>0.83019912605595303</v>
      </c>
      <c r="AR30" s="514">
        <v>0.92818791585616678</v>
      </c>
      <c r="AS30" s="514">
        <v>0.85019440167781013</v>
      </c>
      <c r="AT30" s="511">
        <v>50.21</v>
      </c>
      <c r="AU30" s="511">
        <v>1230.8129999999996</v>
      </c>
      <c r="AV30" s="515">
        <v>113.04885101077762</v>
      </c>
      <c r="AW30" s="515">
        <v>112.29986127066063</v>
      </c>
      <c r="AX30" s="511">
        <v>1.3742282413861779</v>
      </c>
      <c r="AY30" s="511">
        <v>1.4585481303821137</v>
      </c>
      <c r="AZ30" s="511">
        <v>0</v>
      </c>
      <c r="BA30" s="511">
        <v>0</v>
      </c>
      <c r="BB30" s="511">
        <v>871.7725552678753</v>
      </c>
      <c r="BC30" s="511">
        <v>891.76271293852142</v>
      </c>
      <c r="BD30" s="511">
        <v>547.3013343955389</v>
      </c>
      <c r="BE30" s="576">
        <v>452.98892276893486</v>
      </c>
      <c r="BF30" s="511">
        <v>0</v>
      </c>
      <c r="BG30" s="512">
        <v>0</v>
      </c>
      <c r="BH30" s="513">
        <v>0.98523372841485601</v>
      </c>
      <c r="BI30" s="514">
        <v>0.89936439633157828</v>
      </c>
      <c r="BJ30" s="514">
        <v>0.98523372841485601</v>
      </c>
      <c r="BK30" s="514">
        <v>0.90809835466030409</v>
      </c>
      <c r="BL30" s="511">
        <v>50.276000000000003</v>
      </c>
      <c r="BM30" s="511">
        <v>1275.2640000000004</v>
      </c>
      <c r="BN30" s="511">
        <v>2.1242740074787174</v>
      </c>
      <c r="BO30" s="511">
        <v>2.5507659590484786</v>
      </c>
      <c r="BP30" s="515">
        <v>0</v>
      </c>
      <c r="BQ30" s="515">
        <v>0</v>
      </c>
      <c r="BR30" s="515">
        <v>836.51902930327037</v>
      </c>
      <c r="BS30" s="515">
        <v>982.83571613686445</v>
      </c>
      <c r="BT30" s="515">
        <v>0</v>
      </c>
      <c r="BU30" s="516">
        <v>0</v>
      </c>
      <c r="BV30" s="513">
        <v>0.92224922923067465</v>
      </c>
      <c r="BW30" s="514">
        <v>0.88031949865542503</v>
      </c>
      <c r="BX30" s="514">
        <v>0.92224922923067465</v>
      </c>
      <c r="BY30" s="514">
        <v>0.91185471576860677</v>
      </c>
      <c r="BZ30" s="511">
        <v>48.286000000000001</v>
      </c>
      <c r="CA30" s="511">
        <v>1294.231</v>
      </c>
      <c r="CB30" s="515">
        <v>71.113174218260653</v>
      </c>
      <c r="CC30" s="515">
        <v>71.668535109285031</v>
      </c>
      <c r="CD30" s="511">
        <v>2.0337157768297227</v>
      </c>
      <c r="CE30" s="511">
        <v>1.9417708276188714</v>
      </c>
      <c r="CF30" s="515">
        <v>0</v>
      </c>
      <c r="CG30" s="515">
        <v>0</v>
      </c>
      <c r="CH30" s="515">
        <v>774.92998555998247</v>
      </c>
      <c r="CI30" s="515">
        <v>783.64188125016744</v>
      </c>
      <c r="CJ30" s="515">
        <v>569.10905852628105</v>
      </c>
      <c r="CK30" s="515">
        <v>321.4249581411666</v>
      </c>
      <c r="CL30" s="515">
        <v>0</v>
      </c>
      <c r="CM30" s="516">
        <v>0</v>
      </c>
    </row>
    <row r="31" spans="1:91">
      <c r="A31" s="558">
        <v>46140</v>
      </c>
      <c r="B31" s="513">
        <v>0.84650162026193498</v>
      </c>
      <c r="C31" s="514">
        <v>0.93384570229127561</v>
      </c>
      <c r="D31" s="514">
        <v>0.8897517921061967</v>
      </c>
      <c r="E31" s="514">
        <v>0.94271449263702944</v>
      </c>
      <c r="F31" s="511">
        <v>49.442999999999998</v>
      </c>
      <c r="G31" s="511">
        <v>1861.9390000000001</v>
      </c>
      <c r="H31" s="511">
        <v>2.4666990271625915</v>
      </c>
      <c r="I31" s="511">
        <v>2.1039985735300673</v>
      </c>
      <c r="J31" s="511">
        <v>1107.7240458710078</v>
      </c>
      <c r="K31" s="512">
        <v>825.04875831055779</v>
      </c>
      <c r="L31" s="513">
        <v>0.91831974362094848</v>
      </c>
      <c r="M31" s="514">
        <v>0.83549018371062744</v>
      </c>
      <c r="N31" s="514">
        <v>1.0412444337119415</v>
      </c>
      <c r="O31" s="514">
        <v>0.88219135601041687</v>
      </c>
      <c r="P31" s="511">
        <v>65.195999999999998</v>
      </c>
      <c r="Q31" s="511">
        <v>1566.9499999999996</v>
      </c>
      <c r="R31" s="511">
        <v>2.0437603533959141</v>
      </c>
      <c r="S31" s="511">
        <v>2.2940719231628326</v>
      </c>
      <c r="T31" s="511">
        <v>0</v>
      </c>
      <c r="U31" s="511">
        <v>0</v>
      </c>
      <c r="V31" s="511">
        <v>549.89846002822219</v>
      </c>
      <c r="W31" s="511">
        <v>597.23953540317098</v>
      </c>
      <c r="X31" s="511">
        <v>329.77483281182896</v>
      </c>
      <c r="Y31" s="576">
        <v>400.96812278630472</v>
      </c>
      <c r="Z31" s="511">
        <v>38.192527148904844</v>
      </c>
      <c r="AA31" s="576">
        <v>19.931095440186354</v>
      </c>
      <c r="AB31" s="513">
        <v>0.92749025110347572</v>
      </c>
      <c r="AC31" s="514">
        <v>0.83554845214370077</v>
      </c>
      <c r="AD31" s="514">
        <v>0.93192478293372505</v>
      </c>
      <c r="AE31" s="514">
        <v>0.84018652940375449</v>
      </c>
      <c r="AF31" s="511">
        <v>40.814</v>
      </c>
      <c r="AG31" s="511">
        <v>1071.3550000000002</v>
      </c>
      <c r="AH31" s="511">
        <v>131.74976495342827</v>
      </c>
      <c r="AI31" s="511">
        <v>137.12118382203712</v>
      </c>
      <c r="AJ31" s="511">
        <v>1.31327485666683</v>
      </c>
      <c r="AK31" s="511">
        <v>1.4181107102687711</v>
      </c>
      <c r="AL31" s="511">
        <v>933.35914147108178</v>
      </c>
      <c r="AM31" s="511">
        <v>928.16784352525633</v>
      </c>
      <c r="AN31" s="511">
        <v>0</v>
      </c>
      <c r="AO31" s="512">
        <v>0</v>
      </c>
      <c r="AP31" s="594">
        <v>0.76372011536425499</v>
      </c>
      <c r="AQ31" s="514">
        <v>0.82784439107594798</v>
      </c>
      <c r="AR31" s="514">
        <v>0.7674985383702978</v>
      </c>
      <c r="AS31" s="514">
        <v>0.84721148536353053</v>
      </c>
      <c r="AT31" s="511">
        <v>41.578000000000003</v>
      </c>
      <c r="AU31" s="511">
        <v>1272.3909999999996</v>
      </c>
      <c r="AV31" s="515">
        <v>122.89175063683075</v>
      </c>
      <c r="AW31" s="515">
        <v>112.64597309954547</v>
      </c>
      <c r="AX31" s="511">
        <v>1.5753523498003752</v>
      </c>
      <c r="AY31" s="511">
        <v>1.4623649491390622</v>
      </c>
      <c r="AZ31" s="511">
        <v>0</v>
      </c>
      <c r="BA31" s="511">
        <v>0</v>
      </c>
      <c r="BB31" s="511">
        <v>1012.4132954928072</v>
      </c>
      <c r="BC31" s="511">
        <v>895.7052195433638</v>
      </c>
      <c r="BD31" s="511">
        <v>496.97676655923811</v>
      </c>
      <c r="BE31" s="576">
        <v>454.42631628170989</v>
      </c>
      <c r="BF31" s="511">
        <v>0</v>
      </c>
      <c r="BG31" s="512">
        <v>0</v>
      </c>
      <c r="BH31" s="513">
        <v>0.4267926946479671</v>
      </c>
      <c r="BI31" s="514">
        <v>0.88198630995041005</v>
      </c>
      <c r="BJ31" s="514">
        <v>0.46980518040938829</v>
      </c>
      <c r="BK31" s="514">
        <v>0.89326912463919084</v>
      </c>
      <c r="BL31" s="511">
        <v>23.103999999999999</v>
      </c>
      <c r="BM31" s="511">
        <v>1298.3680000000004</v>
      </c>
      <c r="BN31" s="511">
        <v>3.5621537396121883</v>
      </c>
      <c r="BO31" s="511">
        <v>2.5687632473998119</v>
      </c>
      <c r="BP31" s="515">
        <v>0</v>
      </c>
      <c r="BQ31" s="515">
        <v>0</v>
      </c>
      <c r="BR31" s="515">
        <v>1105.2046539048558</v>
      </c>
      <c r="BS31" s="515">
        <v>985.01322816595928</v>
      </c>
      <c r="BT31" s="515">
        <v>0</v>
      </c>
      <c r="BU31" s="516">
        <v>0</v>
      </c>
      <c r="BV31" s="513">
        <v>0.92037745636763757</v>
      </c>
      <c r="BW31" s="514">
        <v>0.88169700309473453</v>
      </c>
      <c r="BX31" s="514">
        <v>0.9831925349921351</v>
      </c>
      <c r="BY31" s="514">
        <v>0.91423588538281364</v>
      </c>
      <c r="BZ31" s="511">
        <v>48.188000000000002</v>
      </c>
      <c r="CA31" s="511">
        <v>1342.4190000000001</v>
      </c>
      <c r="CB31" s="515">
        <v>72.137708251278923</v>
      </c>
      <c r="CC31" s="515">
        <v>71.685376732776945</v>
      </c>
      <c r="CD31" s="511">
        <v>1.9569187349547603</v>
      </c>
      <c r="CE31" s="511">
        <v>1.9423145828537882</v>
      </c>
      <c r="CF31" s="515">
        <v>0</v>
      </c>
      <c r="CG31" s="515">
        <v>0</v>
      </c>
      <c r="CH31" s="515">
        <v>796.83140358972105</v>
      </c>
      <c r="CI31" s="515">
        <v>784.11533752760272</v>
      </c>
      <c r="CJ31" s="515">
        <v>446.30820951274188</v>
      </c>
      <c r="CK31" s="515">
        <v>325.9078164120146</v>
      </c>
      <c r="CL31" s="515">
        <v>0</v>
      </c>
      <c r="CM31" s="516">
        <v>0</v>
      </c>
    </row>
    <row r="32" spans="1:91">
      <c r="A32" s="558">
        <v>46141</v>
      </c>
      <c r="B32" s="513">
        <v>0.83942855577470965</v>
      </c>
      <c r="C32" s="514">
        <v>0.93115861492112129</v>
      </c>
      <c r="D32" s="514">
        <v>1.0200650804350901</v>
      </c>
      <c r="E32" s="514">
        <v>0.94455209967427123</v>
      </c>
      <c r="F32" s="511">
        <v>49.027999999999999</v>
      </c>
      <c r="G32" s="511">
        <v>1910.9670000000001</v>
      </c>
      <c r="H32" s="511">
        <v>2.2109814799706293</v>
      </c>
      <c r="I32" s="511">
        <v>2.1067433398902229</v>
      </c>
      <c r="J32" s="511">
        <v>1076.5827690299304</v>
      </c>
      <c r="K32" s="512">
        <v>831.5021452489766</v>
      </c>
      <c r="L32" s="513">
        <v>0.61946834581195798</v>
      </c>
      <c r="M32" s="514">
        <v>0.82786883020637303</v>
      </c>
      <c r="N32" s="514">
        <v>0.76387836536530906</v>
      </c>
      <c r="O32" s="514">
        <v>0.87859890448291422</v>
      </c>
      <c r="P32" s="511">
        <v>42.488</v>
      </c>
      <c r="Q32" s="511">
        <v>1609.4379999999996</v>
      </c>
      <c r="R32" s="511">
        <v>2.8372717002447754</v>
      </c>
      <c r="S32" s="511">
        <v>2.3084120046873511</v>
      </c>
      <c r="T32" s="511">
        <v>0</v>
      </c>
      <c r="U32" s="511">
        <v>0</v>
      </c>
      <c r="V32" s="511">
        <v>724.71309546224938</v>
      </c>
      <c r="W32" s="511">
        <v>600.60474525890334</v>
      </c>
      <c r="X32" s="511">
        <v>477.78196196573151</v>
      </c>
      <c r="Y32" s="576">
        <v>402.99595262445661</v>
      </c>
      <c r="Z32" s="511">
        <v>46.601393334588593</v>
      </c>
      <c r="AA32" s="576">
        <v>20.635172028993978</v>
      </c>
      <c r="AB32" s="513">
        <v>0.65466171970423248</v>
      </c>
      <c r="AC32" s="514">
        <v>0.82959796080946202</v>
      </c>
      <c r="AD32" s="514">
        <v>0.80989078726296804</v>
      </c>
      <c r="AE32" s="514">
        <v>0.83937144100844263</v>
      </c>
      <c r="AF32" s="511">
        <v>28.553000000000001</v>
      </c>
      <c r="AG32" s="511">
        <v>1099.9080000000004</v>
      </c>
      <c r="AH32" s="511">
        <v>157.13491425056492</v>
      </c>
      <c r="AI32" s="511">
        <v>137.64072913394114</v>
      </c>
      <c r="AJ32" s="511">
        <v>1.7020978531152593</v>
      </c>
      <c r="AK32" s="511">
        <v>1.4254828585663519</v>
      </c>
      <c r="AL32" s="511">
        <v>1149.0120127481841</v>
      </c>
      <c r="AM32" s="511">
        <v>933.90083534259202</v>
      </c>
      <c r="AN32" s="511">
        <v>0</v>
      </c>
      <c r="AO32" s="512">
        <v>0</v>
      </c>
      <c r="AP32" s="594">
        <v>0.18780806126747157</v>
      </c>
      <c r="AQ32" s="514">
        <v>0.80567967171673827</v>
      </c>
      <c r="AR32" s="514">
        <v>0.2282356993646994</v>
      </c>
      <c r="AS32" s="514">
        <v>0.82906109154141816</v>
      </c>
      <c r="AT32" s="511">
        <v>10.355</v>
      </c>
      <c r="AU32" s="511">
        <v>1282.7459999999996</v>
      </c>
      <c r="AV32" s="515">
        <v>211.80590358851873</v>
      </c>
      <c r="AW32" s="515">
        <v>113.44644418284126</v>
      </c>
      <c r="AX32" s="511">
        <v>3.9787542250120715</v>
      </c>
      <c r="AY32" s="511">
        <v>1.4826785661385813</v>
      </c>
      <c r="AZ32" s="511">
        <v>0</v>
      </c>
      <c r="BA32" s="511">
        <v>0</v>
      </c>
      <c r="BB32" s="511">
        <v>2424.6972477064223</v>
      </c>
      <c r="BC32" s="511">
        <v>908.04804692433288</v>
      </c>
      <c r="BD32" s="511">
        <v>1159.7295992274267</v>
      </c>
      <c r="BE32" s="576">
        <v>460.11989513122717</v>
      </c>
      <c r="BF32" s="511">
        <v>0</v>
      </c>
      <c r="BG32" s="512">
        <v>0</v>
      </c>
      <c r="BH32" s="513">
        <v>0.75217360140008027</v>
      </c>
      <c r="BI32" s="514">
        <v>0.8774005309236117</v>
      </c>
      <c r="BJ32" s="514">
        <v>0.88705964012523331</v>
      </c>
      <c r="BK32" s="514">
        <v>0.89307979914425772</v>
      </c>
      <c r="BL32" s="511">
        <v>40.548000000000002</v>
      </c>
      <c r="BM32" s="511">
        <v>1338.9160000000004</v>
      </c>
      <c r="BN32" s="511">
        <v>2.7374963006806747</v>
      </c>
      <c r="BO32" s="511">
        <v>2.5738731929411545</v>
      </c>
      <c r="BP32" s="515">
        <v>0</v>
      </c>
      <c r="BQ32" s="515">
        <v>0</v>
      </c>
      <c r="BR32" s="515">
        <v>972.93598346362501</v>
      </c>
      <c r="BS32" s="515">
        <v>984.64747847128808</v>
      </c>
      <c r="BT32" s="515">
        <v>0</v>
      </c>
      <c r="BU32" s="516">
        <v>0</v>
      </c>
      <c r="BV32" s="513">
        <v>0.57988669280272775</v>
      </c>
      <c r="BW32" s="514">
        <v>0.87166344679611563</v>
      </c>
      <c r="BX32" s="514">
        <v>0.71554142042495972</v>
      </c>
      <c r="BY32" s="514">
        <v>0.90865548485294279</v>
      </c>
      <c r="BZ32" s="511">
        <v>30.361000000000001</v>
      </c>
      <c r="CA32" s="511">
        <v>1372.7800000000002</v>
      </c>
      <c r="CB32" s="515">
        <v>86.03394689715455</v>
      </c>
      <c r="CC32" s="515">
        <v>72.002715955930441</v>
      </c>
      <c r="CD32" s="511">
        <v>2.3451137973057543</v>
      </c>
      <c r="CE32" s="511">
        <v>1.9512230656041019</v>
      </c>
      <c r="CF32" s="515">
        <v>0</v>
      </c>
      <c r="CG32" s="515">
        <v>0</v>
      </c>
      <c r="CH32" s="515">
        <v>924.29800541871066</v>
      </c>
      <c r="CI32" s="515">
        <v>787.21567842697607</v>
      </c>
      <c r="CJ32" s="515">
        <v>922.92743980764828</v>
      </c>
      <c r="CK32" s="515">
        <v>339.11176226343633</v>
      </c>
      <c r="CL32" s="515">
        <v>0</v>
      </c>
      <c r="CM32" s="516">
        <v>0</v>
      </c>
    </row>
    <row r="33" spans="1:91">
      <c r="A33" s="558">
        <v>46142</v>
      </c>
      <c r="B33" s="513">
        <v>0.87709566074950696</v>
      </c>
      <c r="C33" s="514">
        <v>0.92966257426941035</v>
      </c>
      <c r="D33" s="514">
        <v>0.99922290465133701</v>
      </c>
      <c r="E33" s="514">
        <v>0.94590325427289101</v>
      </c>
      <c r="F33" s="511">
        <v>51.228000000000002</v>
      </c>
      <c r="G33" s="511">
        <v>1962.1950000000002</v>
      </c>
      <c r="H33" s="511">
        <v>2.3164089950808151</v>
      </c>
      <c r="I33" s="511">
        <v>2.1122171853460028</v>
      </c>
      <c r="J33" s="511">
        <v>1133.9255875693088</v>
      </c>
      <c r="K33" s="512">
        <v>839.39766435038382</v>
      </c>
      <c r="L33" s="513">
        <v>0.46463610272690969</v>
      </c>
      <c r="M33" s="514">
        <v>0.81724777582026975</v>
      </c>
      <c r="N33" s="514">
        <v>0.52779905068411526</v>
      </c>
      <c r="O33" s="514">
        <v>0.86899714082165391</v>
      </c>
      <c r="P33" s="511">
        <v>27.207999999999998</v>
      </c>
      <c r="Q33" s="511">
        <v>1636.6459999999997</v>
      </c>
      <c r="R33" s="511">
        <v>3.8064907380182302</v>
      </c>
      <c r="S33" s="511">
        <v>2.33331642884289</v>
      </c>
      <c r="T33" s="511">
        <v>0</v>
      </c>
      <c r="U33" s="511">
        <v>0</v>
      </c>
      <c r="V33" s="511">
        <v>1283.7867538959115</v>
      </c>
      <c r="W33" s="511">
        <v>611.96212864602285</v>
      </c>
      <c r="X33" s="511">
        <v>731.40252866803883</v>
      </c>
      <c r="Y33" s="576">
        <v>408.4554631850749</v>
      </c>
      <c r="Z33" s="511">
        <v>57.339753013818608</v>
      </c>
      <c r="AA33" s="576">
        <v>21.245357884356164</v>
      </c>
      <c r="AB33" s="513">
        <v>0.68385242043650274</v>
      </c>
      <c r="AC33" s="514">
        <v>0.82499207068408442</v>
      </c>
      <c r="AD33" s="514">
        <v>0.79533679755904152</v>
      </c>
      <c r="AE33" s="514">
        <v>0.83815581751591972</v>
      </c>
      <c r="AF33" s="511">
        <v>29.588000000000001</v>
      </c>
      <c r="AG33" s="511">
        <v>1129.4960000000003</v>
      </c>
      <c r="AH33" s="511">
        <v>160.28566934477141</v>
      </c>
      <c r="AI33" s="511">
        <v>138.23393042988027</v>
      </c>
      <c r="AJ33" s="511">
        <v>1.6121400567797757</v>
      </c>
      <c r="AK33" s="511">
        <v>1.4303724847188473</v>
      </c>
      <c r="AL33" s="511">
        <v>1273.6981208598449</v>
      </c>
      <c r="AM33" s="511">
        <v>942.80208163641225</v>
      </c>
      <c r="AN33" s="511">
        <v>0</v>
      </c>
      <c r="AO33" s="512">
        <v>0</v>
      </c>
      <c r="AP33" s="594">
        <v>0.72386922077845806</v>
      </c>
      <c r="AQ33" s="514">
        <v>0.80293641826956408</v>
      </c>
      <c r="AR33" s="514">
        <v>0.84198035373261682</v>
      </c>
      <c r="AS33" s="514">
        <v>0.82944582493292418</v>
      </c>
      <c r="AT33" s="511">
        <v>39.985999999999997</v>
      </c>
      <c r="AU33" s="511">
        <v>1322.7319999999997</v>
      </c>
      <c r="AV33" s="515">
        <v>111.06931537194725</v>
      </c>
      <c r="AW33" s="515">
        <v>113.37458391739639</v>
      </c>
      <c r="AX33" s="511">
        <v>1.6480768268894115</v>
      </c>
      <c r="AY33" s="511">
        <v>1.4876785320079959</v>
      </c>
      <c r="AZ33" s="511">
        <v>0</v>
      </c>
      <c r="BA33" s="511">
        <v>0</v>
      </c>
      <c r="BB33" s="511">
        <v>1002.5053768819097</v>
      </c>
      <c r="BC33" s="511">
        <v>910.90347855801463</v>
      </c>
      <c r="BD33" s="511">
        <v>559.16320712249296</v>
      </c>
      <c r="BE33" s="576">
        <v>463.11396034873349</v>
      </c>
      <c r="BF33" s="511">
        <v>0</v>
      </c>
      <c r="BG33" s="512">
        <v>0</v>
      </c>
      <c r="BH33" s="513">
        <v>0.73780096681363549</v>
      </c>
      <c r="BI33" s="514">
        <v>0.87269494091770761</v>
      </c>
      <c r="BJ33" s="514">
        <v>0.80465211067286135</v>
      </c>
      <c r="BK33" s="514">
        <v>0.89029162951574892</v>
      </c>
      <c r="BL33" s="511">
        <v>39.274999999999999</v>
      </c>
      <c r="BM33" s="511">
        <v>1378.1910000000005</v>
      </c>
      <c r="BN33" s="511">
        <v>2.6734563971992364</v>
      </c>
      <c r="BO33" s="511">
        <v>2.5767110654473862</v>
      </c>
      <c r="BP33" s="515">
        <v>0</v>
      </c>
      <c r="BQ33" s="515">
        <v>0</v>
      </c>
      <c r="BR33" s="515">
        <v>1071.4267066801951</v>
      </c>
      <c r="BS33" s="515">
        <v>987.12046965168679</v>
      </c>
      <c r="BT33" s="515">
        <v>0</v>
      </c>
      <c r="BU33" s="516">
        <v>0</v>
      </c>
      <c r="BV33" s="513">
        <v>0.83708289183368101</v>
      </c>
      <c r="BW33" s="514">
        <v>0.87054860765188713</v>
      </c>
      <c r="BX33" s="514">
        <v>0.93939138499331198</v>
      </c>
      <c r="BY33" s="514">
        <v>0.90957804570983836</v>
      </c>
      <c r="BZ33" s="511">
        <v>43.917000000000002</v>
      </c>
      <c r="CA33" s="511">
        <v>1416.6970000000001</v>
      </c>
      <c r="CB33" s="515">
        <v>73.803993236428269</v>
      </c>
      <c r="CC33" s="515">
        <v>72.058554779848066</v>
      </c>
      <c r="CD33" s="511">
        <v>2.0470432861989662</v>
      </c>
      <c r="CE33" s="511">
        <v>1.9541934513872756</v>
      </c>
      <c r="CF33" s="515">
        <v>0</v>
      </c>
      <c r="CG33" s="515">
        <v>0</v>
      </c>
      <c r="CH33" s="515">
        <v>946.51857128527718</v>
      </c>
      <c r="CI33" s="515">
        <v>792.15399985044087</v>
      </c>
      <c r="CJ33" s="515">
        <v>529.8927522371747</v>
      </c>
      <c r="CK33" s="515">
        <v>345.02589121032952</v>
      </c>
      <c r="CL33" s="515">
        <v>0</v>
      </c>
      <c r="CM33" s="516">
        <v>0</v>
      </c>
    </row>
    <row r="34" spans="1:91">
      <c r="A34" s="558"/>
      <c r="B34" s="513"/>
      <c r="C34" s="514"/>
      <c r="D34" s="514"/>
      <c r="E34" s="514"/>
      <c r="F34" s="511"/>
      <c r="G34" s="511"/>
      <c r="H34" s="511"/>
      <c r="I34" s="511"/>
      <c r="J34" s="511"/>
      <c r="K34" s="512"/>
      <c r="L34" s="513"/>
      <c r="M34" s="514"/>
      <c r="N34" s="514"/>
      <c r="O34" s="514"/>
      <c r="P34" s="511"/>
      <c r="Q34" s="511"/>
      <c r="R34" s="511"/>
      <c r="S34" s="511"/>
      <c r="T34" s="511"/>
      <c r="U34" s="511"/>
      <c r="V34" s="511"/>
      <c r="W34" s="511"/>
      <c r="X34" s="511">
        <v>0</v>
      </c>
      <c r="Y34" s="576">
        <v>0</v>
      </c>
      <c r="Z34" s="511">
        <v>0</v>
      </c>
      <c r="AA34" s="576">
        <v>0</v>
      </c>
      <c r="AB34" s="513"/>
      <c r="AC34" s="514"/>
      <c r="AD34" s="514"/>
      <c r="AE34" s="514"/>
      <c r="AF34" s="511"/>
      <c r="AG34" s="511"/>
      <c r="AH34" s="511"/>
      <c r="AI34" s="511"/>
      <c r="AJ34" s="511"/>
      <c r="AK34" s="511"/>
      <c r="AL34" s="511"/>
      <c r="AM34" s="511"/>
      <c r="AN34" s="511"/>
      <c r="AO34" s="512"/>
      <c r="AP34" s="594"/>
      <c r="AQ34" s="514"/>
      <c r="AR34" s="514"/>
      <c r="AS34" s="514"/>
      <c r="AT34" s="511"/>
      <c r="AU34" s="511"/>
      <c r="AV34" s="515"/>
      <c r="AW34" s="515"/>
      <c r="AX34" s="511"/>
      <c r="AY34" s="511"/>
      <c r="AZ34" s="511"/>
      <c r="BA34" s="511"/>
      <c r="BB34" s="511"/>
      <c r="BC34" s="511"/>
      <c r="BD34" s="511"/>
      <c r="BE34" s="576"/>
      <c r="BF34" s="511"/>
      <c r="BG34" s="512"/>
      <c r="BH34" s="513"/>
      <c r="BI34" s="514"/>
      <c r="BJ34" s="514"/>
      <c r="BK34" s="514"/>
      <c r="BL34" s="511"/>
      <c r="BM34" s="511"/>
      <c r="BN34" s="511"/>
      <c r="BO34" s="511"/>
      <c r="BP34" s="515"/>
      <c r="BQ34" s="515"/>
      <c r="BR34" s="515"/>
      <c r="BS34" s="515"/>
      <c r="BT34" s="515"/>
      <c r="BU34" s="516"/>
      <c r="BV34" s="513"/>
      <c r="BW34" s="514"/>
      <c r="BX34" s="514"/>
      <c r="BY34" s="514"/>
      <c r="BZ34" s="511"/>
      <c r="CA34" s="511"/>
      <c r="CB34" s="515"/>
      <c r="CC34" s="515"/>
      <c r="CD34" s="511"/>
      <c r="CE34" s="511"/>
      <c r="CF34" s="515"/>
      <c r="CG34" s="515"/>
      <c r="CH34" s="515"/>
      <c r="CI34" s="515"/>
      <c r="CJ34" s="515"/>
      <c r="CK34" s="515"/>
      <c r="CL34" s="515"/>
      <c r="CM34" s="516"/>
    </row>
    <row r="35" spans="1:91">
      <c r="A35" s="558"/>
      <c r="B35" s="513"/>
      <c r="C35" s="514"/>
      <c r="D35" s="514"/>
      <c r="E35" s="514"/>
      <c r="F35" s="511"/>
      <c r="G35" s="511"/>
      <c r="H35" s="511"/>
      <c r="I35" s="511"/>
      <c r="J35" s="511"/>
      <c r="K35" s="512"/>
      <c r="L35" s="513"/>
      <c r="M35" s="514"/>
      <c r="N35" s="514"/>
      <c r="O35" s="514"/>
      <c r="P35" s="511"/>
      <c r="Q35" s="511"/>
      <c r="R35" s="511"/>
      <c r="S35" s="511"/>
      <c r="T35" s="511"/>
      <c r="U35" s="511"/>
      <c r="V35" s="511"/>
      <c r="W35" s="511"/>
      <c r="X35" s="511"/>
      <c r="Y35" s="576"/>
      <c r="Z35" s="511"/>
      <c r="AA35" s="576"/>
      <c r="AB35" s="513"/>
      <c r="AC35" s="514"/>
      <c r="AD35" s="514"/>
      <c r="AE35" s="514"/>
      <c r="AF35" s="511"/>
      <c r="AG35" s="511"/>
      <c r="AH35" s="511"/>
      <c r="AI35" s="511"/>
      <c r="AJ35" s="511"/>
      <c r="AK35" s="511"/>
      <c r="AL35" s="511"/>
      <c r="AM35" s="576"/>
      <c r="AN35" s="513"/>
      <c r="AO35" s="514"/>
      <c r="AP35" s="514"/>
      <c r="AQ35" s="514"/>
      <c r="AR35" s="511"/>
      <c r="AS35" s="511"/>
      <c r="AT35" s="515"/>
      <c r="AU35" s="515"/>
      <c r="AV35" s="511"/>
      <c r="AW35" s="511"/>
      <c r="AX35" s="511"/>
      <c r="AY35" s="511"/>
      <c r="AZ35" s="511"/>
      <c r="BA35" s="511"/>
      <c r="BB35" s="511"/>
      <c r="BC35" s="576"/>
      <c r="BD35" s="513"/>
      <c r="BE35" s="514"/>
      <c r="BF35" s="514"/>
      <c r="BG35" s="514"/>
      <c r="BH35" s="511"/>
      <c r="BI35" s="511"/>
      <c r="BJ35" s="511"/>
      <c r="BK35" s="511"/>
      <c r="BL35" s="515"/>
      <c r="BM35" s="515"/>
      <c r="BN35" s="515"/>
      <c r="BO35" s="515"/>
      <c r="BP35" s="515"/>
      <c r="BQ35" s="515"/>
      <c r="BR35" s="513"/>
      <c r="BS35" s="514"/>
      <c r="BT35" s="514"/>
      <c r="BU35" s="514"/>
      <c r="BV35" s="511"/>
      <c r="BW35" s="511"/>
      <c r="BX35" s="511"/>
      <c r="BY35" s="511"/>
      <c r="BZ35" s="511"/>
      <c r="CA35" s="511"/>
      <c r="CB35" s="511"/>
      <c r="CC35" s="511"/>
      <c r="CD35" s="579"/>
      <c r="CE35" s="515"/>
      <c r="CF35" s="515"/>
      <c r="CG35" s="516"/>
      <c r="CH35" s="515"/>
      <c r="CI35" s="515"/>
      <c r="CJ35" s="515"/>
      <c r="CK35" s="515"/>
      <c r="CL35" s="515"/>
      <c r="CM35" s="516"/>
    </row>
    <row r="36" spans="1:91">
      <c r="A36" s="559" t="s">
        <v>323</v>
      </c>
      <c r="B36" s="667">
        <v>0</v>
      </c>
      <c r="C36" s="668"/>
      <c r="D36" s="669">
        <v>0</v>
      </c>
      <c r="E36" s="668"/>
      <c r="F36" s="656">
        <v>0</v>
      </c>
      <c r="G36" s="657"/>
      <c r="H36" s="670">
        <v>0</v>
      </c>
      <c r="I36" s="671"/>
      <c r="J36" s="670">
        <v>0</v>
      </c>
      <c r="K36" s="672"/>
      <c r="L36" s="667">
        <v>0</v>
      </c>
      <c r="M36" s="668"/>
      <c r="N36" s="669">
        <v>0</v>
      </c>
      <c r="O36" s="668"/>
      <c r="P36" s="656">
        <v>0</v>
      </c>
      <c r="Q36" s="657"/>
      <c r="R36" s="656">
        <v>0</v>
      </c>
      <c r="S36" s="657"/>
      <c r="T36" s="656">
        <v>0</v>
      </c>
      <c r="U36" s="657"/>
      <c r="V36" s="658">
        <v>0</v>
      </c>
      <c r="W36" s="659"/>
      <c r="X36" s="658">
        <v>0</v>
      </c>
      <c r="Y36" s="660"/>
      <c r="Z36" s="658">
        <v>0</v>
      </c>
      <c r="AA36" s="660"/>
      <c r="AB36" s="661">
        <v>0</v>
      </c>
      <c r="AC36" s="662"/>
      <c r="AD36" s="669">
        <v>0</v>
      </c>
      <c r="AE36" s="668"/>
      <c r="AF36" s="663">
        <v>0</v>
      </c>
      <c r="AG36" s="663"/>
      <c r="AH36" s="663">
        <v>0</v>
      </c>
      <c r="AI36" s="663"/>
      <c r="AJ36" s="663">
        <v>0</v>
      </c>
      <c r="AK36" s="663"/>
      <c r="AL36" s="664">
        <v>0</v>
      </c>
      <c r="AM36" s="665"/>
      <c r="AN36" s="661">
        <v>0</v>
      </c>
      <c r="AO36" s="662"/>
      <c r="AP36" s="662">
        <v>0</v>
      </c>
      <c r="AQ36" s="662"/>
      <c r="AR36" s="664">
        <v>0</v>
      </c>
      <c r="AS36" s="664"/>
      <c r="AT36" s="664">
        <v>0</v>
      </c>
      <c r="AU36" s="664"/>
      <c r="AV36" s="664">
        <v>0</v>
      </c>
      <c r="AW36" s="664"/>
      <c r="AX36" s="664">
        <v>0</v>
      </c>
      <c r="AY36" s="664"/>
      <c r="AZ36" s="664">
        <v>0</v>
      </c>
      <c r="BA36" s="664"/>
      <c r="BB36" s="664">
        <v>0</v>
      </c>
      <c r="BC36" s="658"/>
      <c r="BD36" s="667">
        <v>0</v>
      </c>
      <c r="BE36" s="668"/>
      <c r="BF36" s="669">
        <v>0</v>
      </c>
      <c r="BG36" s="668"/>
      <c r="BH36" s="658">
        <v>0</v>
      </c>
      <c r="BI36" s="659"/>
      <c r="BJ36" s="658">
        <v>0</v>
      </c>
      <c r="BK36" s="659"/>
      <c r="BL36" s="658">
        <v>0</v>
      </c>
      <c r="BM36" s="659"/>
      <c r="BN36" s="658">
        <v>0</v>
      </c>
      <c r="BO36" s="659"/>
      <c r="BP36" s="658">
        <v>0</v>
      </c>
      <c r="BQ36" s="673"/>
      <c r="BR36" s="667">
        <v>0</v>
      </c>
      <c r="BS36" s="668"/>
      <c r="BT36" s="669">
        <v>0</v>
      </c>
      <c r="BU36" s="668"/>
      <c r="BV36" s="658">
        <v>0</v>
      </c>
      <c r="BW36" s="659"/>
      <c r="BX36" s="658">
        <v>0</v>
      </c>
      <c r="BY36" s="659"/>
      <c r="BZ36" s="658">
        <v>0</v>
      </c>
      <c r="CA36" s="659"/>
      <c r="CB36" s="658">
        <v>0</v>
      </c>
      <c r="CC36" s="659"/>
      <c r="CD36" s="658">
        <v>0</v>
      </c>
      <c r="CE36" s="659"/>
      <c r="CF36" s="658">
        <v>0</v>
      </c>
      <c r="CG36" s="673"/>
      <c r="CH36" s="578"/>
      <c r="CI36" s="578"/>
      <c r="CJ36" s="578"/>
      <c r="CK36" s="578"/>
      <c r="CL36" s="578"/>
      <c r="CM36" s="578"/>
    </row>
    <row r="37" spans="1:91">
      <c r="A37" s="560" t="s">
        <v>221</v>
      </c>
      <c r="B37" s="674">
        <v>0</v>
      </c>
      <c r="C37" s="675"/>
      <c r="D37" s="676">
        <v>0</v>
      </c>
      <c r="E37" s="675"/>
      <c r="F37" s="677">
        <v>0</v>
      </c>
      <c r="G37" s="678"/>
      <c r="H37" s="679">
        <v>0</v>
      </c>
      <c r="I37" s="680"/>
      <c r="J37" s="679">
        <v>0</v>
      </c>
      <c r="K37" s="681"/>
      <c r="L37" s="674">
        <v>0</v>
      </c>
      <c r="M37" s="675"/>
      <c r="N37" s="676">
        <v>0</v>
      </c>
      <c r="O37" s="675"/>
      <c r="P37" s="677">
        <v>0</v>
      </c>
      <c r="Q37" s="678"/>
      <c r="R37" s="677">
        <v>0</v>
      </c>
      <c r="S37" s="678"/>
      <c r="T37" s="677">
        <v>0</v>
      </c>
      <c r="U37" s="678"/>
      <c r="V37" s="683">
        <v>0</v>
      </c>
      <c r="W37" s="684"/>
      <c r="X37" s="683">
        <v>0</v>
      </c>
      <c r="Y37" s="685"/>
      <c r="Z37" s="683">
        <v>0</v>
      </c>
      <c r="AA37" s="685"/>
      <c r="AB37" s="697">
        <v>0</v>
      </c>
      <c r="AC37" s="698"/>
      <c r="AD37" s="676">
        <v>0</v>
      </c>
      <c r="AE37" s="675"/>
      <c r="AF37" s="682">
        <v>0</v>
      </c>
      <c r="AG37" s="682"/>
      <c r="AH37" s="682">
        <v>0</v>
      </c>
      <c r="AI37" s="682"/>
      <c r="AJ37" s="682">
        <v>0</v>
      </c>
      <c r="AK37" s="682"/>
      <c r="AL37" s="695">
        <v>0</v>
      </c>
      <c r="AM37" s="696"/>
      <c r="AN37" s="697">
        <v>0</v>
      </c>
      <c r="AO37" s="698"/>
      <c r="AP37" s="698">
        <v>0</v>
      </c>
      <c r="AQ37" s="698"/>
      <c r="AR37" s="695">
        <v>0</v>
      </c>
      <c r="AS37" s="695"/>
      <c r="AT37" s="695">
        <v>0</v>
      </c>
      <c r="AU37" s="695"/>
      <c r="AV37" s="695">
        <v>0</v>
      </c>
      <c r="AW37" s="695"/>
      <c r="AX37" s="695">
        <v>0</v>
      </c>
      <c r="AY37" s="695"/>
      <c r="AZ37" s="695">
        <v>0</v>
      </c>
      <c r="BA37" s="695"/>
      <c r="BB37" s="695">
        <v>0</v>
      </c>
      <c r="BC37" s="683"/>
      <c r="BD37" s="674">
        <v>0</v>
      </c>
      <c r="BE37" s="675"/>
      <c r="BF37" s="676">
        <v>0</v>
      </c>
      <c r="BG37" s="675"/>
      <c r="BH37" s="683">
        <v>0</v>
      </c>
      <c r="BI37" s="684"/>
      <c r="BJ37" s="683">
        <v>0</v>
      </c>
      <c r="BK37" s="684"/>
      <c r="BL37" s="683">
        <v>0</v>
      </c>
      <c r="BM37" s="684"/>
      <c r="BN37" s="683">
        <v>0</v>
      </c>
      <c r="BO37" s="684"/>
      <c r="BP37" s="683">
        <v>0</v>
      </c>
      <c r="BQ37" s="686"/>
      <c r="BR37" s="674">
        <v>0</v>
      </c>
      <c r="BS37" s="675"/>
      <c r="BT37" s="676">
        <v>0</v>
      </c>
      <c r="BU37" s="675"/>
      <c r="BV37" s="683">
        <v>0</v>
      </c>
      <c r="BW37" s="684"/>
      <c r="BX37" s="683">
        <v>0</v>
      </c>
      <c r="BY37" s="684"/>
      <c r="BZ37" s="683">
        <v>0</v>
      </c>
      <c r="CA37" s="684"/>
      <c r="CB37" s="683">
        <v>0</v>
      </c>
      <c r="CC37" s="684"/>
      <c r="CD37" s="683">
        <v>0</v>
      </c>
      <c r="CE37" s="684"/>
      <c r="CF37" s="683">
        <v>0</v>
      </c>
      <c r="CG37" s="686"/>
      <c r="CH37" s="578"/>
      <c r="CI37" s="578"/>
      <c r="CJ37" s="578"/>
      <c r="CK37" s="578"/>
      <c r="CL37" s="578"/>
      <c r="CM37" s="578"/>
    </row>
    <row r="38" spans="1:91">
      <c r="A38" s="561" t="s">
        <v>222</v>
      </c>
      <c r="B38" s="687">
        <v>0</v>
      </c>
      <c r="C38" s="688"/>
      <c r="D38" s="689">
        <v>0</v>
      </c>
      <c r="E38" s="688"/>
      <c r="F38" s="690">
        <v>0</v>
      </c>
      <c r="G38" s="691"/>
      <c r="H38" s="692">
        <v>0</v>
      </c>
      <c r="I38" s="693"/>
      <c r="J38" s="692">
        <v>0</v>
      </c>
      <c r="K38" s="694"/>
      <c r="L38" s="687">
        <v>0</v>
      </c>
      <c r="M38" s="688"/>
      <c r="N38" s="689">
        <v>0</v>
      </c>
      <c r="O38" s="688"/>
      <c r="P38" s="690">
        <v>0</v>
      </c>
      <c r="Q38" s="691"/>
      <c r="R38" s="690">
        <v>0</v>
      </c>
      <c r="S38" s="691"/>
      <c r="T38" s="690">
        <v>0</v>
      </c>
      <c r="U38" s="691"/>
      <c r="V38" s="700">
        <v>0</v>
      </c>
      <c r="W38" s="701"/>
      <c r="X38" s="700">
        <v>0</v>
      </c>
      <c r="Y38" s="702"/>
      <c r="Z38" s="700">
        <v>0</v>
      </c>
      <c r="AA38" s="702"/>
      <c r="AB38" s="713">
        <v>0</v>
      </c>
      <c r="AC38" s="714"/>
      <c r="AD38" s="689">
        <v>0</v>
      </c>
      <c r="AE38" s="688"/>
      <c r="AF38" s="699">
        <v>0</v>
      </c>
      <c r="AG38" s="699"/>
      <c r="AH38" s="699">
        <v>0</v>
      </c>
      <c r="AI38" s="699"/>
      <c r="AJ38" s="699">
        <v>0</v>
      </c>
      <c r="AK38" s="699"/>
      <c r="AL38" s="711">
        <v>0</v>
      </c>
      <c r="AM38" s="712"/>
      <c r="AN38" s="713">
        <v>0</v>
      </c>
      <c r="AO38" s="714"/>
      <c r="AP38" s="714">
        <v>0</v>
      </c>
      <c r="AQ38" s="714"/>
      <c r="AR38" s="711">
        <v>0</v>
      </c>
      <c r="AS38" s="711"/>
      <c r="AT38" s="711">
        <v>0</v>
      </c>
      <c r="AU38" s="711"/>
      <c r="AV38" s="711">
        <v>0</v>
      </c>
      <c r="AW38" s="711"/>
      <c r="AX38" s="711">
        <v>0</v>
      </c>
      <c r="AY38" s="711"/>
      <c r="AZ38" s="711">
        <v>0</v>
      </c>
      <c r="BA38" s="711"/>
      <c r="BB38" s="711">
        <v>0</v>
      </c>
      <c r="BC38" s="700"/>
      <c r="BD38" s="687">
        <v>0</v>
      </c>
      <c r="BE38" s="688"/>
      <c r="BF38" s="689">
        <v>0</v>
      </c>
      <c r="BG38" s="688"/>
      <c r="BH38" s="700">
        <v>0</v>
      </c>
      <c r="BI38" s="701"/>
      <c r="BJ38" s="700">
        <v>0</v>
      </c>
      <c r="BK38" s="701"/>
      <c r="BL38" s="700">
        <v>0</v>
      </c>
      <c r="BM38" s="701"/>
      <c r="BN38" s="700">
        <v>0</v>
      </c>
      <c r="BO38" s="701"/>
      <c r="BP38" s="700">
        <v>0</v>
      </c>
      <c r="BQ38" s="703"/>
      <c r="BR38" s="687">
        <v>0</v>
      </c>
      <c r="BS38" s="688"/>
      <c r="BT38" s="689">
        <v>0</v>
      </c>
      <c r="BU38" s="688"/>
      <c r="BV38" s="700">
        <v>0</v>
      </c>
      <c r="BW38" s="701"/>
      <c r="BX38" s="700">
        <v>0</v>
      </c>
      <c r="BY38" s="701"/>
      <c r="BZ38" s="700">
        <v>0</v>
      </c>
      <c r="CA38" s="701"/>
      <c r="CB38" s="700">
        <v>0</v>
      </c>
      <c r="CC38" s="701"/>
      <c r="CD38" s="700">
        <v>0</v>
      </c>
      <c r="CE38" s="701"/>
      <c r="CF38" s="700">
        <v>0</v>
      </c>
      <c r="CG38" s="703"/>
      <c r="CH38" s="578"/>
      <c r="CI38" s="578"/>
      <c r="CJ38" s="578"/>
      <c r="CK38" s="578"/>
      <c r="CL38" s="578"/>
      <c r="CM38" s="578"/>
    </row>
    <row r="39" spans="1:91">
      <c r="A39" s="562" t="s">
        <v>423</v>
      </c>
      <c r="B39" s="704">
        <v>0</v>
      </c>
      <c r="C39" s="705"/>
      <c r="D39" s="706">
        <v>0</v>
      </c>
      <c r="E39" s="705"/>
      <c r="F39" s="707">
        <v>0</v>
      </c>
      <c r="G39" s="708"/>
      <c r="H39" s="709">
        <v>0</v>
      </c>
      <c r="I39" s="710"/>
      <c r="J39" s="707">
        <v>0</v>
      </c>
      <c r="K39" s="708"/>
      <c r="L39" s="704">
        <v>0</v>
      </c>
      <c r="M39" s="705"/>
      <c r="N39" s="706">
        <v>0</v>
      </c>
      <c r="O39" s="705"/>
      <c r="P39" s="707">
        <v>0</v>
      </c>
      <c r="Q39" s="708"/>
      <c r="R39" s="709">
        <v>0</v>
      </c>
      <c r="S39" s="710"/>
      <c r="T39" s="709">
        <v>0</v>
      </c>
      <c r="U39" s="710"/>
      <c r="V39" s="707">
        <v>0</v>
      </c>
      <c r="W39" s="708"/>
      <c r="X39" s="709">
        <v>0</v>
      </c>
      <c r="Y39" s="718"/>
      <c r="Z39" s="709">
        <v>0</v>
      </c>
      <c r="AA39" s="718"/>
      <c r="AB39" s="729">
        <v>0</v>
      </c>
      <c r="AC39" s="727"/>
      <c r="AD39" s="706">
        <v>0</v>
      </c>
      <c r="AE39" s="705"/>
      <c r="AF39" s="715">
        <v>0</v>
      </c>
      <c r="AG39" s="715"/>
      <c r="AH39" s="716">
        <v>0</v>
      </c>
      <c r="AI39" s="716"/>
      <c r="AJ39" s="717">
        <v>0</v>
      </c>
      <c r="AK39" s="717"/>
      <c r="AL39" s="715">
        <v>0</v>
      </c>
      <c r="AM39" s="720"/>
      <c r="AN39" s="705">
        <v>0</v>
      </c>
      <c r="AO39" s="727"/>
      <c r="AP39" s="727">
        <v>0</v>
      </c>
      <c r="AQ39" s="727"/>
      <c r="AR39" s="728">
        <v>0</v>
      </c>
      <c r="AS39" s="728"/>
      <c r="AT39" s="716">
        <v>0</v>
      </c>
      <c r="AU39" s="716"/>
      <c r="AV39" s="716">
        <v>0</v>
      </c>
      <c r="AW39" s="716"/>
      <c r="AX39" s="716">
        <v>0</v>
      </c>
      <c r="AY39" s="716"/>
      <c r="AZ39" s="715">
        <v>0</v>
      </c>
      <c r="BA39" s="715"/>
      <c r="BB39" s="715">
        <v>0</v>
      </c>
      <c r="BC39" s="726"/>
      <c r="BD39" s="704">
        <v>0</v>
      </c>
      <c r="BE39" s="705"/>
      <c r="BF39" s="706">
        <v>0</v>
      </c>
      <c r="BG39" s="705"/>
      <c r="BH39" s="715">
        <v>0</v>
      </c>
      <c r="BI39" s="715"/>
      <c r="BJ39" s="716">
        <v>0</v>
      </c>
      <c r="BK39" s="716"/>
      <c r="BL39" s="716">
        <v>0</v>
      </c>
      <c r="BM39" s="716"/>
      <c r="BN39" s="715">
        <v>0</v>
      </c>
      <c r="BO39" s="715"/>
      <c r="BP39" s="715">
        <v>0</v>
      </c>
      <c r="BQ39" s="720"/>
      <c r="BR39" s="704">
        <v>0</v>
      </c>
      <c r="BS39" s="705"/>
      <c r="BT39" s="706">
        <v>0</v>
      </c>
      <c r="BU39" s="705"/>
      <c r="BV39" s="707">
        <v>0</v>
      </c>
      <c r="BW39" s="708"/>
      <c r="BX39" s="716">
        <v>0</v>
      </c>
      <c r="BY39" s="716"/>
      <c r="BZ39" s="716">
        <v>0</v>
      </c>
      <c r="CA39" s="716"/>
      <c r="CB39" s="716">
        <v>0</v>
      </c>
      <c r="CC39" s="716"/>
      <c r="CD39" s="707">
        <v>0</v>
      </c>
      <c r="CE39" s="708"/>
      <c r="CF39" s="707">
        <v>0</v>
      </c>
      <c r="CG39" s="719"/>
      <c r="CH39" s="578"/>
      <c r="CI39" s="578"/>
      <c r="CJ39" s="578"/>
      <c r="CK39" s="578"/>
      <c r="CL39" s="578"/>
      <c r="CM39" s="578"/>
    </row>
    <row r="40" spans="1:91">
      <c r="A40" s="563" t="s">
        <v>422</v>
      </c>
      <c r="B40" s="721">
        <v>0</v>
      </c>
      <c r="C40" s="722"/>
      <c r="D40" s="723">
        <v>0</v>
      </c>
      <c r="E40" s="723"/>
      <c r="F40" s="724">
        <v>0</v>
      </c>
      <c r="G40" s="725"/>
      <c r="H40" s="724">
        <v>0</v>
      </c>
      <c r="I40" s="725"/>
      <c r="J40" s="724">
        <v>0</v>
      </c>
      <c r="K40" s="725"/>
      <c r="L40" s="721">
        <v>0</v>
      </c>
      <c r="M40" s="722"/>
      <c r="N40" s="723">
        <v>0</v>
      </c>
      <c r="O40" s="723"/>
      <c r="P40" s="724">
        <v>0</v>
      </c>
      <c r="Q40" s="725"/>
      <c r="R40" s="724">
        <v>0</v>
      </c>
      <c r="S40" s="725"/>
      <c r="T40" s="724">
        <v>0</v>
      </c>
      <c r="U40" s="725"/>
      <c r="V40" s="724">
        <v>0</v>
      </c>
      <c r="W40" s="725"/>
      <c r="X40" s="724">
        <v>0</v>
      </c>
      <c r="Y40" s="733"/>
      <c r="Z40" s="724">
        <v>0</v>
      </c>
      <c r="AA40" s="733"/>
      <c r="AB40" s="748">
        <v>0</v>
      </c>
      <c r="AC40" s="723"/>
      <c r="AD40" s="748">
        <v>0</v>
      </c>
      <c r="AE40" s="723"/>
      <c r="AF40" s="730">
        <v>0</v>
      </c>
      <c r="AG40" s="730"/>
      <c r="AH40" s="731">
        <v>0</v>
      </c>
      <c r="AI40" s="732"/>
      <c r="AJ40" s="731">
        <v>0</v>
      </c>
      <c r="AK40" s="732"/>
      <c r="AL40" s="730">
        <v>0</v>
      </c>
      <c r="AM40" s="735"/>
      <c r="AN40" s="736">
        <v>0</v>
      </c>
      <c r="AO40" s="723"/>
      <c r="AP40" s="723">
        <v>0</v>
      </c>
      <c r="AQ40" s="723"/>
      <c r="AR40" s="747">
        <v>0</v>
      </c>
      <c r="AS40" s="747"/>
      <c r="AT40" s="731">
        <v>0</v>
      </c>
      <c r="AU40" s="732"/>
      <c r="AV40" s="731">
        <v>0</v>
      </c>
      <c r="AW40" s="732"/>
      <c r="AX40" s="731">
        <v>0</v>
      </c>
      <c r="AY40" s="732"/>
      <c r="AZ40" s="730">
        <v>0</v>
      </c>
      <c r="BA40" s="730"/>
      <c r="BB40" s="730">
        <v>0</v>
      </c>
      <c r="BC40" s="724"/>
      <c r="BD40" s="721">
        <v>0</v>
      </c>
      <c r="BE40" s="736"/>
      <c r="BF40" s="737">
        <v>0</v>
      </c>
      <c r="BG40" s="736"/>
      <c r="BH40" s="730">
        <v>0</v>
      </c>
      <c r="BI40" s="730"/>
      <c r="BJ40" s="730">
        <v>0</v>
      </c>
      <c r="BK40" s="730"/>
      <c r="BL40" s="730">
        <v>0</v>
      </c>
      <c r="BM40" s="730"/>
      <c r="BN40" s="730">
        <v>0</v>
      </c>
      <c r="BO40" s="730"/>
      <c r="BP40" s="730">
        <v>0</v>
      </c>
      <c r="BQ40" s="735"/>
      <c r="BR40" s="721">
        <v>0</v>
      </c>
      <c r="BS40" s="736"/>
      <c r="BT40" s="737">
        <v>0</v>
      </c>
      <c r="BU40" s="736"/>
      <c r="BV40" s="724">
        <v>0</v>
      </c>
      <c r="BW40" s="725"/>
      <c r="BX40" s="724">
        <v>0</v>
      </c>
      <c r="BY40" s="725"/>
      <c r="BZ40" s="724">
        <v>0</v>
      </c>
      <c r="CA40" s="725"/>
      <c r="CB40" s="724">
        <v>0</v>
      </c>
      <c r="CC40" s="725"/>
      <c r="CD40" s="724">
        <v>0</v>
      </c>
      <c r="CE40" s="725"/>
      <c r="CF40" s="724">
        <v>0</v>
      </c>
      <c r="CG40" s="734"/>
      <c r="CH40" s="578"/>
      <c r="CI40" s="578"/>
      <c r="CJ40" s="578"/>
      <c r="CK40" s="578"/>
      <c r="CL40" s="578"/>
      <c r="CM40" s="578"/>
    </row>
    <row r="41" spans="1:91">
      <c r="A41" s="564" t="s">
        <v>223</v>
      </c>
      <c r="B41" s="738">
        <v>0</v>
      </c>
      <c r="C41" s="739"/>
      <c r="D41" s="740">
        <v>0</v>
      </c>
      <c r="E41" s="739"/>
      <c r="F41" s="741">
        <v>0</v>
      </c>
      <c r="G41" s="742"/>
      <c r="H41" s="743">
        <v>0</v>
      </c>
      <c r="I41" s="744"/>
      <c r="J41" s="745">
        <v>0</v>
      </c>
      <c r="K41" s="746"/>
      <c r="L41" s="738">
        <v>0</v>
      </c>
      <c r="M41" s="739"/>
      <c r="N41" s="740">
        <v>0</v>
      </c>
      <c r="O41" s="739"/>
      <c r="P41" s="745">
        <v>0</v>
      </c>
      <c r="Q41" s="752"/>
      <c r="R41" s="743">
        <v>0</v>
      </c>
      <c r="S41" s="744"/>
      <c r="T41" s="743">
        <v>0</v>
      </c>
      <c r="U41" s="744"/>
      <c r="V41" s="745">
        <v>0</v>
      </c>
      <c r="W41" s="752"/>
      <c r="X41" s="745">
        <v>0</v>
      </c>
      <c r="Y41" s="753"/>
      <c r="Z41" s="745">
        <v>0</v>
      </c>
      <c r="AA41" s="753"/>
      <c r="AB41" s="767">
        <v>0</v>
      </c>
      <c r="AC41" s="765"/>
      <c r="AD41" s="765">
        <v>0</v>
      </c>
      <c r="AE41" s="765"/>
      <c r="AF41" s="749">
        <v>0</v>
      </c>
      <c r="AG41" s="749"/>
      <c r="AH41" s="750">
        <v>0</v>
      </c>
      <c r="AI41" s="750"/>
      <c r="AJ41" s="751">
        <v>0</v>
      </c>
      <c r="AK41" s="751"/>
      <c r="AL41" s="750">
        <v>0</v>
      </c>
      <c r="AM41" s="764"/>
      <c r="AN41" s="739">
        <v>0</v>
      </c>
      <c r="AO41" s="765"/>
      <c r="AP41" s="765">
        <v>0</v>
      </c>
      <c r="AQ41" s="765"/>
      <c r="AR41" s="766">
        <v>0</v>
      </c>
      <c r="AS41" s="766"/>
      <c r="AT41" s="750">
        <v>0</v>
      </c>
      <c r="AU41" s="750"/>
      <c r="AV41" s="751">
        <v>0</v>
      </c>
      <c r="AW41" s="751"/>
      <c r="AX41" s="751">
        <v>0</v>
      </c>
      <c r="AY41" s="751"/>
      <c r="AZ41" s="750">
        <v>0</v>
      </c>
      <c r="BA41" s="750"/>
      <c r="BB41" s="750">
        <v>0</v>
      </c>
      <c r="BC41" s="745"/>
      <c r="BD41" s="738">
        <v>0</v>
      </c>
      <c r="BE41" s="739"/>
      <c r="BF41" s="762">
        <v>0</v>
      </c>
      <c r="BG41" s="763"/>
      <c r="BH41" s="741">
        <v>0</v>
      </c>
      <c r="BI41" s="742"/>
      <c r="BJ41" s="743">
        <v>0</v>
      </c>
      <c r="BK41" s="744"/>
      <c r="BL41" s="743">
        <v>0</v>
      </c>
      <c r="BM41" s="744"/>
      <c r="BN41" s="745">
        <v>0</v>
      </c>
      <c r="BO41" s="752"/>
      <c r="BP41" s="745">
        <v>0</v>
      </c>
      <c r="BQ41" s="746"/>
      <c r="BR41" s="738">
        <v>0</v>
      </c>
      <c r="BS41" s="739"/>
      <c r="BT41" s="740">
        <v>0</v>
      </c>
      <c r="BU41" s="739"/>
      <c r="BV41" s="741">
        <v>0</v>
      </c>
      <c r="BW41" s="742"/>
      <c r="BX41" s="745">
        <v>0</v>
      </c>
      <c r="BY41" s="752"/>
      <c r="BZ41" s="743">
        <v>0</v>
      </c>
      <c r="CA41" s="744"/>
      <c r="CB41" s="743">
        <v>0</v>
      </c>
      <c r="CC41" s="744"/>
      <c r="CD41" s="745">
        <v>0</v>
      </c>
      <c r="CE41" s="752"/>
      <c r="CF41" s="745">
        <v>0</v>
      </c>
      <c r="CG41" s="746"/>
      <c r="CH41" s="578"/>
      <c r="CI41" s="578"/>
      <c r="CJ41" s="578"/>
      <c r="CK41" s="578"/>
      <c r="CL41" s="578"/>
      <c r="CM41" s="578"/>
    </row>
    <row r="42" spans="1:91">
      <c r="A42" s="565" t="s">
        <v>224</v>
      </c>
      <c r="B42" s="754">
        <v>0</v>
      </c>
      <c r="C42" s="755"/>
      <c r="D42" s="756">
        <v>0</v>
      </c>
      <c r="E42" s="755"/>
      <c r="F42" s="757">
        <v>0</v>
      </c>
      <c r="G42" s="758"/>
      <c r="H42" s="759">
        <v>0</v>
      </c>
      <c r="I42" s="760"/>
      <c r="J42" s="757">
        <v>0</v>
      </c>
      <c r="K42" s="761"/>
      <c r="L42" s="754">
        <v>0</v>
      </c>
      <c r="M42" s="755"/>
      <c r="N42" s="756">
        <v>0</v>
      </c>
      <c r="O42" s="755"/>
      <c r="P42" s="757">
        <v>0</v>
      </c>
      <c r="Q42" s="758"/>
      <c r="R42" s="759">
        <v>0</v>
      </c>
      <c r="S42" s="760"/>
      <c r="T42" s="759">
        <v>0</v>
      </c>
      <c r="U42" s="760"/>
      <c r="V42" s="757">
        <v>0</v>
      </c>
      <c r="W42" s="758"/>
      <c r="X42" s="757">
        <v>0</v>
      </c>
      <c r="Y42" s="770"/>
      <c r="Z42" s="757">
        <v>0</v>
      </c>
      <c r="AA42" s="770"/>
      <c r="AB42" s="782">
        <v>0</v>
      </c>
      <c r="AC42" s="780"/>
      <c r="AD42" s="780">
        <v>0</v>
      </c>
      <c r="AE42" s="780"/>
      <c r="AF42" s="768">
        <v>0</v>
      </c>
      <c r="AG42" s="768"/>
      <c r="AH42" s="768">
        <v>0</v>
      </c>
      <c r="AI42" s="768"/>
      <c r="AJ42" s="769">
        <v>0</v>
      </c>
      <c r="AK42" s="769"/>
      <c r="AL42" s="768">
        <v>0</v>
      </c>
      <c r="AM42" s="779"/>
      <c r="AN42" s="755">
        <v>0</v>
      </c>
      <c r="AO42" s="780"/>
      <c r="AP42" s="780">
        <v>0</v>
      </c>
      <c r="AQ42" s="780"/>
      <c r="AR42" s="781">
        <v>0</v>
      </c>
      <c r="AS42" s="781"/>
      <c r="AT42" s="768">
        <v>0</v>
      </c>
      <c r="AU42" s="768"/>
      <c r="AV42" s="769">
        <v>0</v>
      </c>
      <c r="AW42" s="769"/>
      <c r="AX42" s="769">
        <v>0</v>
      </c>
      <c r="AY42" s="769"/>
      <c r="AZ42" s="768">
        <v>0</v>
      </c>
      <c r="BA42" s="768"/>
      <c r="BB42" s="768">
        <v>0</v>
      </c>
      <c r="BC42" s="757"/>
      <c r="BD42" s="754">
        <v>0</v>
      </c>
      <c r="BE42" s="755"/>
      <c r="BF42" s="756">
        <v>0</v>
      </c>
      <c r="BG42" s="755"/>
      <c r="BH42" s="757">
        <v>0</v>
      </c>
      <c r="BI42" s="758"/>
      <c r="BJ42" s="759">
        <v>0</v>
      </c>
      <c r="BK42" s="760"/>
      <c r="BL42" s="759">
        <v>0</v>
      </c>
      <c r="BM42" s="760"/>
      <c r="BN42" s="757">
        <v>0</v>
      </c>
      <c r="BO42" s="758"/>
      <c r="BP42" s="757">
        <v>0</v>
      </c>
      <c r="BQ42" s="761"/>
      <c r="BR42" s="754">
        <v>0</v>
      </c>
      <c r="BS42" s="755"/>
      <c r="BT42" s="756">
        <v>0</v>
      </c>
      <c r="BU42" s="755"/>
      <c r="BV42" s="757">
        <v>0</v>
      </c>
      <c r="BW42" s="758"/>
      <c r="BX42" s="757">
        <v>0</v>
      </c>
      <c r="BY42" s="758"/>
      <c r="BZ42" s="759">
        <v>0</v>
      </c>
      <c r="CA42" s="760"/>
      <c r="CB42" s="759">
        <v>0</v>
      </c>
      <c r="CC42" s="760"/>
      <c r="CD42" s="757">
        <v>0</v>
      </c>
      <c r="CE42" s="758"/>
      <c r="CF42" s="757">
        <v>0</v>
      </c>
      <c r="CG42" s="761"/>
      <c r="CH42" s="578"/>
      <c r="CI42" s="578"/>
      <c r="CJ42" s="578"/>
      <c r="CK42" s="578"/>
      <c r="CL42" s="578"/>
      <c r="CM42" s="578"/>
    </row>
    <row r="43" spans="1:91">
      <c r="A43" s="566" t="s">
        <v>225</v>
      </c>
      <c r="B43" s="771">
        <v>0</v>
      </c>
      <c r="C43" s="772"/>
      <c r="D43" s="773">
        <v>0</v>
      </c>
      <c r="E43" s="772"/>
      <c r="F43" s="774">
        <v>0</v>
      </c>
      <c r="G43" s="775"/>
      <c r="H43" s="776">
        <v>0</v>
      </c>
      <c r="I43" s="777"/>
      <c r="J43" s="774">
        <v>0</v>
      </c>
      <c r="K43" s="778"/>
      <c r="L43" s="771">
        <v>0</v>
      </c>
      <c r="M43" s="772"/>
      <c r="N43" s="773">
        <v>0</v>
      </c>
      <c r="O43" s="772"/>
      <c r="P43" s="774">
        <v>0</v>
      </c>
      <c r="Q43" s="775"/>
      <c r="R43" s="776">
        <v>0</v>
      </c>
      <c r="S43" s="777"/>
      <c r="T43" s="776">
        <v>0</v>
      </c>
      <c r="U43" s="777"/>
      <c r="V43" s="774">
        <v>0</v>
      </c>
      <c r="W43" s="775"/>
      <c r="X43" s="774">
        <v>0</v>
      </c>
      <c r="Y43" s="783"/>
      <c r="Z43" s="774">
        <v>0</v>
      </c>
      <c r="AA43" s="783"/>
      <c r="AB43" s="784">
        <v>0</v>
      </c>
      <c r="AC43" s="785"/>
      <c r="AD43" s="785">
        <v>0</v>
      </c>
      <c r="AE43" s="785"/>
      <c r="AF43" s="786">
        <v>0</v>
      </c>
      <c r="AG43" s="786"/>
      <c r="AH43" s="786">
        <v>0</v>
      </c>
      <c r="AI43" s="786"/>
      <c r="AJ43" s="787">
        <v>0</v>
      </c>
      <c r="AK43" s="787"/>
      <c r="AL43" s="786">
        <v>0</v>
      </c>
      <c r="AM43" s="788"/>
      <c r="AN43" s="772">
        <v>0</v>
      </c>
      <c r="AO43" s="785"/>
      <c r="AP43" s="785">
        <v>0</v>
      </c>
      <c r="AQ43" s="785"/>
      <c r="AR43" s="789">
        <v>0</v>
      </c>
      <c r="AS43" s="789"/>
      <c r="AT43" s="786">
        <v>0</v>
      </c>
      <c r="AU43" s="786"/>
      <c r="AV43" s="787">
        <v>0</v>
      </c>
      <c r="AW43" s="787"/>
      <c r="AX43" s="787">
        <v>0</v>
      </c>
      <c r="AY43" s="787"/>
      <c r="AZ43" s="786">
        <v>0</v>
      </c>
      <c r="BA43" s="786"/>
      <c r="BB43" s="786">
        <v>0</v>
      </c>
      <c r="BC43" s="774"/>
      <c r="BD43" s="771">
        <v>0</v>
      </c>
      <c r="BE43" s="772"/>
      <c r="BF43" s="773">
        <v>0</v>
      </c>
      <c r="BG43" s="772"/>
      <c r="BH43" s="774">
        <v>0</v>
      </c>
      <c r="BI43" s="775"/>
      <c r="BJ43" s="776">
        <v>0</v>
      </c>
      <c r="BK43" s="777"/>
      <c r="BL43" s="776">
        <v>0</v>
      </c>
      <c r="BM43" s="777"/>
      <c r="BN43" s="774">
        <v>0</v>
      </c>
      <c r="BO43" s="775"/>
      <c r="BP43" s="774">
        <v>0</v>
      </c>
      <c r="BQ43" s="778"/>
      <c r="BR43" s="771">
        <v>0</v>
      </c>
      <c r="BS43" s="772"/>
      <c r="BT43" s="773">
        <v>0</v>
      </c>
      <c r="BU43" s="772"/>
      <c r="BV43" s="774">
        <v>0</v>
      </c>
      <c r="BW43" s="775"/>
      <c r="BX43" s="774">
        <v>0</v>
      </c>
      <c r="BY43" s="775"/>
      <c r="BZ43" s="776">
        <v>0</v>
      </c>
      <c r="CA43" s="777"/>
      <c r="CB43" s="776">
        <v>0</v>
      </c>
      <c r="CC43" s="777"/>
      <c r="CD43" s="774">
        <v>0</v>
      </c>
      <c r="CE43" s="775"/>
      <c r="CF43" s="774">
        <v>0</v>
      </c>
      <c r="CG43" s="778"/>
      <c r="CH43" s="578"/>
      <c r="CI43" s="578"/>
      <c r="CJ43" s="578"/>
      <c r="CK43" s="578"/>
      <c r="CL43" s="578"/>
      <c r="CM43" s="578"/>
    </row>
    <row r="44" spans="1:91">
      <c r="A44" s="612" t="s">
        <v>226</v>
      </c>
      <c r="B44" s="793">
        <v>0.92966257426941035</v>
      </c>
      <c r="C44" s="794"/>
      <c r="D44" s="795">
        <v>0.94590325427289101</v>
      </c>
      <c r="E44" s="794"/>
      <c r="F44" s="796">
        <v>1962.1950000000002</v>
      </c>
      <c r="G44" s="797"/>
      <c r="H44" s="790">
        <v>2.1122171853460028</v>
      </c>
      <c r="I44" s="791"/>
      <c r="J44" s="796">
        <v>839.39766435038382</v>
      </c>
      <c r="K44" s="798"/>
      <c r="L44" s="793">
        <v>0.81724777582026975</v>
      </c>
      <c r="M44" s="794"/>
      <c r="N44" s="795">
        <v>0.86899714082165391</v>
      </c>
      <c r="O44" s="794"/>
      <c r="P44" s="796">
        <v>1636.6459999999997</v>
      </c>
      <c r="Q44" s="797"/>
      <c r="R44" s="790">
        <v>2.33331642884289</v>
      </c>
      <c r="S44" s="791"/>
      <c r="T44" s="790">
        <v>0</v>
      </c>
      <c r="U44" s="791"/>
      <c r="V44" s="790">
        <v>611.96212864602285</v>
      </c>
      <c r="W44" s="791"/>
      <c r="X44" s="790">
        <v>408.4554631850749</v>
      </c>
      <c r="Y44" s="792"/>
      <c r="Z44" s="790">
        <v>21.245357884356164</v>
      </c>
      <c r="AA44" s="792"/>
      <c r="AB44" s="805">
        <v>0.82499207068408442</v>
      </c>
      <c r="AC44" s="803"/>
      <c r="AD44" s="803">
        <v>0.83815581751591972</v>
      </c>
      <c r="AE44" s="803"/>
      <c r="AF44" s="801">
        <v>1129.4960000000003</v>
      </c>
      <c r="AG44" s="801"/>
      <c r="AH44" s="800">
        <v>138.23393042988027</v>
      </c>
      <c r="AI44" s="800"/>
      <c r="AJ44" s="800">
        <v>1.4303724847188473</v>
      </c>
      <c r="AK44" s="800"/>
      <c r="AL44" s="800">
        <v>942.80208163641225</v>
      </c>
      <c r="AM44" s="800"/>
      <c r="AN44" s="800">
        <v>0</v>
      </c>
      <c r="AO44" s="802"/>
      <c r="AP44" s="794">
        <v>0.80293641826956408</v>
      </c>
      <c r="AQ44" s="803"/>
      <c r="AR44" s="803">
        <v>0.82944582493292418</v>
      </c>
      <c r="AS44" s="803"/>
      <c r="AT44" s="804">
        <v>1322.7319999999997</v>
      </c>
      <c r="AU44" s="804"/>
      <c r="AV44" s="800">
        <v>113.37458391739639</v>
      </c>
      <c r="AW44" s="800"/>
      <c r="AX44" s="800">
        <v>1.4876785320079959</v>
      </c>
      <c r="AY44" s="800"/>
      <c r="AZ44" s="800">
        <v>0</v>
      </c>
      <c r="BA44" s="800"/>
      <c r="BB44" s="801">
        <v>910.90347855801463</v>
      </c>
      <c r="BC44" s="801"/>
      <c r="BD44" s="800">
        <v>463.11396034873349</v>
      </c>
      <c r="BE44" s="790"/>
      <c r="BF44" s="800">
        <v>0</v>
      </c>
      <c r="BG44" s="790"/>
      <c r="BH44" s="793">
        <v>0.87269494091770761</v>
      </c>
      <c r="BI44" s="794"/>
      <c r="BJ44" s="795">
        <v>0.89029162951574892</v>
      </c>
      <c r="BK44" s="794"/>
      <c r="BL44" s="796">
        <v>1378.1910000000005</v>
      </c>
      <c r="BM44" s="797"/>
      <c r="BN44" s="790">
        <v>2.5767110654473862</v>
      </c>
      <c r="BO44" s="791"/>
      <c r="BP44" s="790">
        <v>0</v>
      </c>
      <c r="BQ44" s="791"/>
      <c r="BR44" s="796">
        <v>987.12046965168679</v>
      </c>
      <c r="BS44" s="797"/>
      <c r="BT44" s="790">
        <v>0</v>
      </c>
      <c r="BU44" s="799"/>
      <c r="BV44" s="793">
        <v>0.87054860765188713</v>
      </c>
      <c r="BW44" s="794"/>
      <c r="BX44" s="795">
        <v>0.90957804570983836</v>
      </c>
      <c r="BY44" s="794"/>
      <c r="BZ44" s="796">
        <v>1416.6970000000001</v>
      </c>
      <c r="CA44" s="797"/>
      <c r="CB44" s="790">
        <v>72.058554779848066</v>
      </c>
      <c r="CC44" s="791"/>
      <c r="CD44" s="790">
        <v>1.9541934513872756</v>
      </c>
      <c r="CE44" s="791"/>
      <c r="CF44" s="790">
        <v>0</v>
      </c>
      <c r="CG44" s="791"/>
      <c r="CH44" s="796">
        <v>792.15399985044087</v>
      </c>
      <c r="CI44" s="797"/>
      <c r="CJ44" s="790">
        <v>345.02589121032952</v>
      </c>
      <c r="CK44" s="791"/>
      <c r="CL44" s="792">
        <v>0</v>
      </c>
      <c r="CM44" s="799"/>
    </row>
    <row r="45" spans="1:91" ht="13.5" thickBot="1">
      <c r="A45" s="595"/>
      <c r="B45" s="596"/>
      <c r="C45" s="597"/>
      <c r="D45" s="597"/>
      <c r="E45" s="597"/>
      <c r="F45" s="598"/>
      <c r="G45" s="598"/>
      <c r="H45" s="599"/>
      <c r="I45" s="599"/>
      <c r="J45" s="598"/>
      <c r="K45" s="600"/>
      <c r="L45" s="596"/>
      <c r="M45" s="597"/>
      <c r="N45" s="597"/>
      <c r="O45" s="597"/>
      <c r="P45" s="598"/>
      <c r="Q45" s="598"/>
      <c r="R45" s="599"/>
      <c r="S45" s="599"/>
      <c r="T45" s="599"/>
      <c r="U45" s="599"/>
      <c r="V45" s="599"/>
      <c r="W45" s="599"/>
      <c r="X45" s="599"/>
      <c r="Y45" s="599"/>
      <c r="Z45" s="599"/>
      <c r="AA45" s="599"/>
      <c r="AB45" s="596"/>
      <c r="AC45" s="597"/>
      <c r="AD45" s="597"/>
      <c r="AE45" s="597"/>
      <c r="AF45" s="598"/>
      <c r="AG45" s="598"/>
      <c r="AH45" s="598"/>
      <c r="AI45" s="598"/>
      <c r="AJ45" s="599"/>
      <c r="AK45" s="599"/>
      <c r="AL45" s="598"/>
      <c r="AM45" s="598"/>
      <c r="AN45" s="597"/>
      <c r="AO45" s="597"/>
      <c r="AP45" s="597"/>
      <c r="AQ45" s="597"/>
      <c r="AR45" s="601"/>
      <c r="AS45" s="601"/>
      <c r="AT45" s="598"/>
      <c r="AU45" s="598"/>
      <c r="AV45" s="599"/>
      <c r="AW45" s="599"/>
      <c r="AX45" s="598"/>
      <c r="AY45" s="598"/>
      <c r="AZ45" s="598"/>
      <c r="BA45" s="598"/>
      <c r="BB45" s="598"/>
      <c r="BC45" s="598"/>
      <c r="BD45" s="597"/>
      <c r="BE45" s="597"/>
      <c r="BF45" s="597"/>
      <c r="BG45" s="597"/>
      <c r="BH45" s="598"/>
      <c r="BI45" s="598"/>
      <c r="BJ45" s="599"/>
      <c r="BK45" s="599"/>
      <c r="BL45" s="599"/>
      <c r="BM45" s="599"/>
      <c r="BN45" s="598"/>
      <c r="BO45" s="598"/>
      <c r="BP45" s="598"/>
      <c r="BQ45" s="598"/>
      <c r="BR45" s="597"/>
      <c r="BS45" s="597"/>
      <c r="BT45" s="597"/>
      <c r="BU45" s="597"/>
      <c r="BV45" s="598"/>
      <c r="BW45" s="598"/>
      <c r="BX45" s="599"/>
      <c r="BY45" s="599"/>
      <c r="BZ45" s="599"/>
      <c r="CA45" s="599"/>
      <c r="CB45" s="599"/>
      <c r="CC45" s="599"/>
      <c r="CD45" s="598"/>
      <c r="CE45" s="598"/>
      <c r="CF45" s="598"/>
      <c r="CG45" s="598"/>
      <c r="CH45" s="602"/>
      <c r="CI45" s="602"/>
      <c r="CJ45" s="602"/>
      <c r="CK45" s="602"/>
      <c r="CL45" s="602"/>
      <c r="CM45" s="602"/>
    </row>
    <row r="46" spans="1:91" ht="13.5" thickBot="1">
      <c r="A46" s="629" t="s">
        <v>29</v>
      </c>
      <c r="B46" s="632" t="s">
        <v>149</v>
      </c>
      <c r="C46" s="633"/>
      <c r="D46" s="633"/>
      <c r="E46" s="633"/>
      <c r="F46" s="633"/>
      <c r="G46" s="633"/>
      <c r="H46" s="633"/>
      <c r="I46" s="633"/>
      <c r="J46" s="633"/>
      <c r="K46" s="634"/>
      <c r="L46" s="635" t="s">
        <v>212</v>
      </c>
      <c r="M46" s="636"/>
      <c r="N46" s="636"/>
      <c r="O46" s="636"/>
      <c r="P46" s="636"/>
      <c r="Q46" s="636"/>
      <c r="R46" s="636"/>
      <c r="S46" s="636"/>
      <c r="T46" s="636"/>
      <c r="U46" s="636"/>
      <c r="V46" s="636"/>
      <c r="W46" s="636"/>
      <c r="X46" s="636"/>
      <c r="Y46" s="636"/>
      <c r="Z46" s="636"/>
      <c r="AA46" s="637"/>
      <c r="AB46" s="638" t="s">
        <v>314</v>
      </c>
      <c r="AC46" s="639"/>
      <c r="AD46" s="639"/>
      <c r="AE46" s="639"/>
      <c r="AF46" s="639"/>
      <c r="AG46" s="639"/>
      <c r="AH46" s="639"/>
      <c r="AI46" s="639"/>
      <c r="AJ46" s="639"/>
      <c r="AK46" s="639"/>
      <c r="AL46" s="639"/>
      <c r="AM46" s="639"/>
      <c r="AN46" s="639"/>
      <c r="AO46" s="640"/>
      <c r="AP46" s="641" t="s">
        <v>315</v>
      </c>
      <c r="AQ46" s="642"/>
      <c r="AR46" s="642"/>
      <c r="AS46" s="642"/>
      <c r="AT46" s="642"/>
      <c r="AU46" s="642"/>
      <c r="AV46" s="642"/>
      <c r="AW46" s="642"/>
      <c r="AX46" s="642"/>
      <c r="AY46" s="642"/>
      <c r="AZ46" s="642"/>
      <c r="BA46" s="642"/>
      <c r="BB46" s="642"/>
      <c r="BC46" s="642"/>
      <c r="BD46" s="642"/>
      <c r="BE46" s="642"/>
      <c r="BF46" s="642"/>
      <c r="BG46" s="643"/>
      <c r="BH46" s="644" t="s">
        <v>213</v>
      </c>
      <c r="BI46" s="645"/>
      <c r="BJ46" s="645"/>
      <c r="BK46" s="645"/>
      <c r="BL46" s="645"/>
      <c r="BM46" s="645"/>
      <c r="BN46" s="645"/>
      <c r="BO46" s="645"/>
      <c r="BP46" s="645"/>
      <c r="BQ46" s="645"/>
      <c r="BR46" s="645"/>
      <c r="BS46" s="645"/>
      <c r="BT46" s="645"/>
      <c r="BU46" s="646"/>
      <c r="BV46" s="651" t="s">
        <v>316</v>
      </c>
      <c r="BW46" s="652"/>
      <c r="BX46" s="652"/>
      <c r="BY46" s="652"/>
      <c r="BZ46" s="652"/>
      <c r="CA46" s="652"/>
      <c r="CB46" s="652"/>
      <c r="CC46" s="652"/>
      <c r="CD46" s="652"/>
      <c r="CE46" s="652"/>
      <c r="CF46" s="652"/>
      <c r="CG46" s="652"/>
      <c r="CH46" s="652"/>
      <c r="CI46" s="652"/>
      <c r="CJ46" s="652"/>
      <c r="CK46" s="652"/>
      <c r="CL46" s="652"/>
      <c r="CM46" s="652"/>
    </row>
    <row r="47" spans="1:91">
      <c r="A47" s="630"/>
      <c r="B47" s="653" t="s">
        <v>404</v>
      </c>
      <c r="C47" s="648"/>
      <c r="D47" s="647" t="s">
        <v>405</v>
      </c>
      <c r="E47" s="648"/>
      <c r="F47" s="647" t="s">
        <v>214</v>
      </c>
      <c r="G47" s="648"/>
      <c r="H47" s="647" t="s">
        <v>215</v>
      </c>
      <c r="I47" s="648"/>
      <c r="J47" s="647" t="s">
        <v>216</v>
      </c>
      <c r="K47" s="650"/>
      <c r="L47" s="653" t="s">
        <v>404</v>
      </c>
      <c r="M47" s="648"/>
      <c r="N47" s="647" t="s">
        <v>405</v>
      </c>
      <c r="O47" s="648"/>
      <c r="P47" s="647" t="s">
        <v>214</v>
      </c>
      <c r="Q47" s="648"/>
      <c r="R47" s="647" t="s">
        <v>317</v>
      </c>
      <c r="S47" s="648"/>
      <c r="T47" s="647" t="s">
        <v>318</v>
      </c>
      <c r="U47" s="648"/>
      <c r="V47" s="647" t="s">
        <v>216</v>
      </c>
      <c r="W47" s="648"/>
      <c r="X47" s="647" t="s">
        <v>319</v>
      </c>
      <c r="Y47" s="650"/>
      <c r="Z47" s="649" t="s">
        <v>430</v>
      </c>
      <c r="AA47" s="650"/>
      <c r="AB47" s="653" t="s">
        <v>404</v>
      </c>
      <c r="AC47" s="648"/>
      <c r="AD47" s="647" t="s">
        <v>405</v>
      </c>
      <c r="AE47" s="648"/>
      <c r="AF47" s="647" t="s">
        <v>214</v>
      </c>
      <c r="AG47" s="648"/>
      <c r="AH47" s="647" t="s">
        <v>320</v>
      </c>
      <c r="AI47" s="648"/>
      <c r="AJ47" s="647" t="s">
        <v>217</v>
      </c>
      <c r="AK47" s="648"/>
      <c r="AL47" s="647" t="s">
        <v>218</v>
      </c>
      <c r="AM47" s="648"/>
      <c r="AN47" s="654" t="s">
        <v>428</v>
      </c>
      <c r="AO47" s="654"/>
      <c r="AP47" s="653" t="s">
        <v>404</v>
      </c>
      <c r="AQ47" s="648"/>
      <c r="AR47" s="647" t="s">
        <v>405</v>
      </c>
      <c r="AS47" s="648"/>
      <c r="AT47" s="647" t="s">
        <v>214</v>
      </c>
      <c r="AU47" s="648"/>
      <c r="AV47" s="647" t="s">
        <v>320</v>
      </c>
      <c r="AW47" s="648"/>
      <c r="AX47" s="647" t="s">
        <v>217</v>
      </c>
      <c r="AY47" s="648"/>
      <c r="AZ47" s="647" t="s">
        <v>321</v>
      </c>
      <c r="BA47" s="648"/>
      <c r="BB47" s="647" t="s">
        <v>218</v>
      </c>
      <c r="BC47" s="648"/>
      <c r="BD47" s="647" t="s">
        <v>322</v>
      </c>
      <c r="BE47" s="648"/>
      <c r="BF47" s="648" t="s">
        <v>428</v>
      </c>
      <c r="BG47" s="655"/>
      <c r="BH47" s="653" t="s">
        <v>404</v>
      </c>
      <c r="BI47" s="648"/>
      <c r="BJ47" s="647" t="s">
        <v>405</v>
      </c>
      <c r="BK47" s="648"/>
      <c r="BL47" s="647" t="s">
        <v>214</v>
      </c>
      <c r="BM47" s="648"/>
      <c r="BN47" s="647" t="s">
        <v>217</v>
      </c>
      <c r="BO47" s="648"/>
      <c r="BP47" s="647" t="s">
        <v>318</v>
      </c>
      <c r="BQ47" s="648"/>
      <c r="BR47" s="647" t="s">
        <v>218</v>
      </c>
      <c r="BS47" s="648"/>
      <c r="BT47" s="647" t="s">
        <v>430</v>
      </c>
      <c r="BU47" s="650"/>
      <c r="BV47" s="653" t="s">
        <v>404</v>
      </c>
      <c r="BW47" s="648"/>
      <c r="BX47" s="647" t="s">
        <v>405</v>
      </c>
      <c r="BY47" s="648"/>
      <c r="BZ47" s="647" t="s">
        <v>214</v>
      </c>
      <c r="CA47" s="648"/>
      <c r="CB47" s="647" t="s">
        <v>320</v>
      </c>
      <c r="CC47" s="648"/>
      <c r="CD47" s="647" t="s">
        <v>217</v>
      </c>
      <c r="CE47" s="648"/>
      <c r="CF47" s="647" t="s">
        <v>321</v>
      </c>
      <c r="CG47" s="648"/>
      <c r="CH47" s="647" t="s">
        <v>218</v>
      </c>
      <c r="CI47" s="648"/>
      <c r="CJ47" s="666" t="s">
        <v>322</v>
      </c>
      <c r="CK47" s="666"/>
      <c r="CL47" s="666" t="s">
        <v>431</v>
      </c>
      <c r="CM47" s="655"/>
    </row>
    <row r="48" spans="1:91" ht="13.5" thickBot="1">
      <c r="A48" s="631"/>
      <c r="B48" s="508" t="s">
        <v>219</v>
      </c>
      <c r="C48" s="509" t="s">
        <v>220</v>
      </c>
      <c r="D48" s="509" t="s">
        <v>219</v>
      </c>
      <c r="E48" s="509" t="s">
        <v>220</v>
      </c>
      <c r="F48" s="509" t="s">
        <v>219</v>
      </c>
      <c r="G48" s="509" t="s">
        <v>220</v>
      </c>
      <c r="H48" s="509" t="s">
        <v>219</v>
      </c>
      <c r="I48" s="509" t="s">
        <v>220</v>
      </c>
      <c r="J48" s="509" t="s">
        <v>219</v>
      </c>
      <c r="K48" s="510" t="s">
        <v>220</v>
      </c>
      <c r="L48" s="508" t="s">
        <v>219</v>
      </c>
      <c r="M48" s="509" t="s">
        <v>220</v>
      </c>
      <c r="N48" s="509" t="s">
        <v>219</v>
      </c>
      <c r="O48" s="509" t="s">
        <v>220</v>
      </c>
      <c r="P48" s="583" t="s">
        <v>219</v>
      </c>
      <c r="Q48" s="583" t="s">
        <v>220</v>
      </c>
      <c r="R48" s="583" t="s">
        <v>219</v>
      </c>
      <c r="S48" s="583" t="s">
        <v>220</v>
      </c>
      <c r="T48" s="583" t="s">
        <v>219</v>
      </c>
      <c r="U48" s="583" t="s">
        <v>220</v>
      </c>
      <c r="V48" s="583" t="s">
        <v>219</v>
      </c>
      <c r="W48" s="583" t="s">
        <v>220</v>
      </c>
      <c r="X48" s="583" t="s">
        <v>219</v>
      </c>
      <c r="Y48" s="584" t="s">
        <v>220</v>
      </c>
      <c r="Z48" s="592" t="s">
        <v>219</v>
      </c>
      <c r="AA48" s="584" t="s">
        <v>220</v>
      </c>
      <c r="AB48" s="581" t="s">
        <v>219</v>
      </c>
      <c r="AC48" s="583" t="s">
        <v>220</v>
      </c>
      <c r="AD48" s="583" t="s">
        <v>219</v>
      </c>
      <c r="AE48" s="583" t="s">
        <v>220</v>
      </c>
      <c r="AF48" s="583" t="s">
        <v>219</v>
      </c>
      <c r="AG48" s="583" t="s">
        <v>220</v>
      </c>
      <c r="AH48" s="583" t="s">
        <v>219</v>
      </c>
      <c r="AI48" s="583" t="s">
        <v>220</v>
      </c>
      <c r="AJ48" s="583" t="s">
        <v>219</v>
      </c>
      <c r="AK48" s="583" t="s">
        <v>220</v>
      </c>
      <c r="AL48" s="509" t="s">
        <v>219</v>
      </c>
      <c r="AM48" s="509" t="s">
        <v>220</v>
      </c>
      <c r="AN48" s="592" t="s">
        <v>219</v>
      </c>
      <c r="AO48" s="585" t="s">
        <v>220</v>
      </c>
      <c r="AP48" s="581" t="s">
        <v>219</v>
      </c>
      <c r="AQ48" s="583" t="s">
        <v>220</v>
      </c>
      <c r="AR48" s="583" t="s">
        <v>219</v>
      </c>
      <c r="AS48" s="583" t="s">
        <v>220</v>
      </c>
      <c r="AT48" s="583" t="s">
        <v>219</v>
      </c>
      <c r="AU48" s="583" t="s">
        <v>220</v>
      </c>
      <c r="AV48" s="583" t="s">
        <v>219</v>
      </c>
      <c r="AW48" s="583" t="s">
        <v>220</v>
      </c>
      <c r="AX48" s="583" t="s">
        <v>219</v>
      </c>
      <c r="AY48" s="583" t="s">
        <v>220</v>
      </c>
      <c r="AZ48" s="583" t="s">
        <v>219</v>
      </c>
      <c r="BA48" s="583" t="s">
        <v>220</v>
      </c>
      <c r="BB48" s="583" t="s">
        <v>219</v>
      </c>
      <c r="BC48" s="583" t="s">
        <v>220</v>
      </c>
      <c r="BD48" s="509" t="s">
        <v>219</v>
      </c>
      <c r="BE48" s="509" t="s">
        <v>220</v>
      </c>
      <c r="BF48" s="592" t="s">
        <v>219</v>
      </c>
      <c r="BG48" s="584" t="s">
        <v>220</v>
      </c>
      <c r="BH48" s="581" t="s">
        <v>219</v>
      </c>
      <c r="BI48" s="583" t="s">
        <v>220</v>
      </c>
      <c r="BJ48" s="583" t="s">
        <v>219</v>
      </c>
      <c r="BK48" s="583" t="s">
        <v>220</v>
      </c>
      <c r="BL48" s="583" t="s">
        <v>219</v>
      </c>
      <c r="BM48" s="583" t="s">
        <v>220</v>
      </c>
      <c r="BN48" s="583" t="s">
        <v>219</v>
      </c>
      <c r="BO48" s="583" t="s">
        <v>220</v>
      </c>
      <c r="BP48" s="583" t="s">
        <v>219</v>
      </c>
      <c r="BQ48" s="583" t="s">
        <v>220</v>
      </c>
      <c r="BR48" s="583" t="s">
        <v>219</v>
      </c>
      <c r="BS48" s="583" t="s">
        <v>220</v>
      </c>
      <c r="BT48" s="583" t="s">
        <v>219</v>
      </c>
      <c r="BU48" s="584" t="s">
        <v>220</v>
      </c>
      <c r="BV48" s="581" t="s">
        <v>219</v>
      </c>
      <c r="BW48" s="583" t="s">
        <v>220</v>
      </c>
      <c r="BX48" s="583" t="s">
        <v>219</v>
      </c>
      <c r="BY48" s="583" t="s">
        <v>220</v>
      </c>
      <c r="BZ48" s="583" t="s">
        <v>219</v>
      </c>
      <c r="CA48" s="583" t="s">
        <v>220</v>
      </c>
      <c r="CB48" s="583" t="s">
        <v>219</v>
      </c>
      <c r="CC48" s="583" t="s">
        <v>220</v>
      </c>
      <c r="CD48" s="583" t="s">
        <v>219</v>
      </c>
      <c r="CE48" s="583" t="s">
        <v>220</v>
      </c>
      <c r="CF48" s="583" t="s">
        <v>219</v>
      </c>
      <c r="CG48" s="583" t="s">
        <v>220</v>
      </c>
      <c r="CH48" s="509" t="s">
        <v>219</v>
      </c>
      <c r="CI48" s="509" t="s">
        <v>220</v>
      </c>
      <c r="CJ48" s="509" t="s">
        <v>219</v>
      </c>
      <c r="CK48" s="509" t="s">
        <v>220</v>
      </c>
      <c r="CL48" s="509" t="s">
        <v>219</v>
      </c>
      <c r="CM48" s="510" t="s">
        <v>220</v>
      </c>
    </row>
    <row r="49" spans="1:91" ht="13.5" thickTop="1">
      <c r="A49" s="557">
        <v>46082</v>
      </c>
      <c r="B49" s="519">
        <v>0.48059063591155776</v>
      </c>
      <c r="C49" s="520">
        <v>0.48059063591155776</v>
      </c>
      <c r="D49" s="520">
        <v>0.48059063591155776</v>
      </c>
      <c r="E49" s="520">
        <v>0.48059063591155776</v>
      </c>
      <c r="F49" s="521">
        <v>29.422999999999998</v>
      </c>
      <c r="G49" s="521">
        <v>29.422999999999998</v>
      </c>
      <c r="H49" s="521">
        <v>2.1257519627502295</v>
      </c>
      <c r="I49" s="521">
        <v>2.1257519627502295</v>
      </c>
      <c r="J49" s="521">
        <v>1052.6085035517194</v>
      </c>
      <c r="K49" s="547">
        <v>1052.6085035517194</v>
      </c>
      <c r="L49" s="519">
        <v>0.96208145070260198</v>
      </c>
      <c r="M49" s="520">
        <v>0.96208145070260198</v>
      </c>
      <c r="N49" s="520">
        <v>0.96208145070260198</v>
      </c>
      <c r="O49" s="520">
        <v>0.96208145070260198</v>
      </c>
      <c r="P49" s="521">
        <v>71.718000000000004</v>
      </c>
      <c r="Q49" s="521">
        <v>71.718000000000004</v>
      </c>
      <c r="R49" s="521">
        <v>1.9626732479991074</v>
      </c>
      <c r="S49" s="521">
        <v>1.9626732479991074</v>
      </c>
      <c r="T49" s="521">
        <v>0</v>
      </c>
      <c r="U49" s="521">
        <v>0</v>
      </c>
      <c r="V49" s="521">
        <v>494.59898491311844</v>
      </c>
      <c r="W49" s="521">
        <v>494.59898491311844</v>
      </c>
      <c r="X49" s="521">
        <v>400.35974232410274</v>
      </c>
      <c r="Y49" s="555">
        <v>400.35974232410274</v>
      </c>
      <c r="Z49" s="521">
        <v>0</v>
      </c>
      <c r="AA49" s="521">
        <v>0</v>
      </c>
      <c r="AB49" s="519">
        <v>0.85092296657881161</v>
      </c>
      <c r="AC49" s="520">
        <v>0.85092296657881161</v>
      </c>
      <c r="AD49" s="520">
        <v>0.85092296657881161</v>
      </c>
      <c r="AE49" s="520">
        <v>0.85092296657881161</v>
      </c>
      <c r="AF49" s="521">
        <v>36.905999999999999</v>
      </c>
      <c r="AG49" s="521">
        <v>36.905999999999999</v>
      </c>
      <c r="AH49" s="521">
        <v>123.18074825680665</v>
      </c>
      <c r="AI49" s="521">
        <v>123.18074825680665</v>
      </c>
      <c r="AJ49" s="521">
        <v>1.2789248360700158</v>
      </c>
      <c r="AK49" s="521">
        <v>1.2789248360700158</v>
      </c>
      <c r="AL49" s="521">
        <v>989.83634097436732</v>
      </c>
      <c r="AM49" s="521">
        <v>989.83634097436732</v>
      </c>
      <c r="AN49" s="521">
        <v>0</v>
      </c>
      <c r="AO49" s="547">
        <v>0</v>
      </c>
      <c r="AP49" s="593">
        <v>0.65849772065240852</v>
      </c>
      <c r="AQ49" s="520">
        <v>0.65849772065240852</v>
      </c>
      <c r="AR49" s="520">
        <v>0.65849772065240852</v>
      </c>
      <c r="AS49" s="520">
        <v>0.65849772065240852</v>
      </c>
      <c r="AT49" s="521">
        <v>35.520000000000003</v>
      </c>
      <c r="AU49" s="521">
        <v>35.520000000000003</v>
      </c>
      <c r="AV49" s="522">
        <v>118.71730308924951</v>
      </c>
      <c r="AW49" s="522">
        <v>118.71730308924948</v>
      </c>
      <c r="AX49" s="521">
        <v>1.6610360360360359</v>
      </c>
      <c r="AY49" s="521">
        <v>1.6610360360360359</v>
      </c>
      <c r="AZ49" s="521">
        <v>0</v>
      </c>
      <c r="BA49" s="521">
        <v>0</v>
      </c>
      <c r="BB49" s="521">
        <v>1032.6829954954951</v>
      </c>
      <c r="BC49" s="521">
        <v>1032.6829954954951</v>
      </c>
      <c r="BD49" s="521">
        <v>429.40878378378386</v>
      </c>
      <c r="BE49" s="555">
        <v>429.40878378378386</v>
      </c>
      <c r="BF49" s="521">
        <v>0</v>
      </c>
      <c r="BG49" s="547">
        <v>0</v>
      </c>
      <c r="BH49" s="519">
        <v>1.0523572463514868</v>
      </c>
      <c r="BI49" s="520">
        <v>1.0523572463514868</v>
      </c>
      <c r="BJ49" s="520">
        <v>1.0523572463514868</v>
      </c>
      <c r="BK49" s="520">
        <v>1.0523572463514868</v>
      </c>
      <c r="BL49" s="521">
        <v>54.576999999999998</v>
      </c>
      <c r="BM49" s="521">
        <v>54.576999999999998</v>
      </c>
      <c r="BN49" s="521">
        <v>2.0411528665921543</v>
      </c>
      <c r="BO49" s="521">
        <v>2.0411528665921543</v>
      </c>
      <c r="BP49" s="522">
        <v>0</v>
      </c>
      <c r="BQ49" s="522">
        <v>0</v>
      </c>
      <c r="BR49" s="522">
        <v>895.64798128559005</v>
      </c>
      <c r="BS49" s="522">
        <v>895.64798128559005</v>
      </c>
      <c r="BT49" s="522">
        <v>34.446744965828103</v>
      </c>
      <c r="BU49" s="523">
        <v>34.446744965828103</v>
      </c>
      <c r="BV49" s="519">
        <v>1.0724314318509538</v>
      </c>
      <c r="BW49" s="520">
        <v>1.0724314318509538</v>
      </c>
      <c r="BX49" s="520">
        <v>1.0724314318509538</v>
      </c>
      <c r="BY49" s="520">
        <v>1.0724314318509538</v>
      </c>
      <c r="BZ49" s="521">
        <v>56.237000000000002</v>
      </c>
      <c r="CA49" s="521">
        <v>56.237000000000002</v>
      </c>
      <c r="CB49" s="522">
        <v>66.416286414711891</v>
      </c>
      <c r="CC49" s="522">
        <v>66.416286414711891</v>
      </c>
      <c r="CD49" s="521">
        <v>1.7924142468481603</v>
      </c>
      <c r="CE49" s="521">
        <v>1.7924142468481603</v>
      </c>
      <c r="CF49" s="522">
        <v>0</v>
      </c>
      <c r="CG49" s="522">
        <v>0</v>
      </c>
      <c r="CH49" s="522">
        <v>699.73362955663845</v>
      </c>
      <c r="CI49" s="522">
        <v>699.73362955663845</v>
      </c>
      <c r="CJ49" s="522">
        <v>550.6588189270409</v>
      </c>
      <c r="CK49" s="522">
        <v>550.6588189270409</v>
      </c>
      <c r="CL49" s="522">
        <v>0</v>
      </c>
      <c r="CM49" s="523">
        <v>0</v>
      </c>
    </row>
    <row r="50" spans="1:91">
      <c r="A50" s="558">
        <v>46083</v>
      </c>
      <c r="B50" s="513">
        <v>0.80979682702575617</v>
      </c>
      <c r="C50" s="514">
        <v>0.64345770849410489</v>
      </c>
      <c r="D50" s="514">
        <v>0.80979682702575617</v>
      </c>
      <c r="E50" s="514">
        <v>0.64345770849410489</v>
      </c>
      <c r="F50" s="511">
        <v>48.542999999999999</v>
      </c>
      <c r="G50" s="511">
        <v>77.965999999999994</v>
      </c>
      <c r="H50" s="511">
        <v>2.5361638135261519</v>
      </c>
      <c r="I50" s="511">
        <v>2.3812815842803272</v>
      </c>
      <c r="J50" s="511">
        <v>1143.9692643635794</v>
      </c>
      <c r="K50" s="512">
        <v>1109.4913167278489</v>
      </c>
      <c r="L50" s="513">
        <v>0.93431298389838502</v>
      </c>
      <c r="M50" s="514">
        <v>0.94887089364006716</v>
      </c>
      <c r="N50" s="514">
        <v>0.93431298389838502</v>
      </c>
      <c r="O50" s="514">
        <v>0.94887089364006716</v>
      </c>
      <c r="P50" s="511">
        <v>63.201999999999998</v>
      </c>
      <c r="Q50" s="511">
        <v>134.92000000000002</v>
      </c>
      <c r="R50" s="511">
        <v>2.1454067909243379</v>
      </c>
      <c r="S50" s="511">
        <v>2.0482730506967086</v>
      </c>
      <c r="T50" s="511">
        <v>0</v>
      </c>
      <c r="U50" s="511">
        <v>0</v>
      </c>
      <c r="V50" s="511">
        <v>547.35214075504837</v>
      </c>
      <c r="W50" s="511">
        <v>519.31070263859749</v>
      </c>
      <c r="X50" s="511">
        <v>354.03942913198949</v>
      </c>
      <c r="Y50" s="576">
        <v>378.66142899495992</v>
      </c>
      <c r="Z50" s="511">
        <v>0</v>
      </c>
      <c r="AA50" s="576">
        <v>0</v>
      </c>
      <c r="AB50" s="513">
        <v>0.89586170629365514</v>
      </c>
      <c r="AC50" s="514">
        <v>0.875864953031251</v>
      </c>
      <c r="AD50" s="514">
        <v>0.89586170629365514</v>
      </c>
      <c r="AE50" s="514">
        <v>0.875864953031251</v>
      </c>
      <c r="AF50" s="511">
        <v>48.463999999999999</v>
      </c>
      <c r="AG50" s="511">
        <v>85.37</v>
      </c>
      <c r="AH50" s="511">
        <v>102.49413482563688</v>
      </c>
      <c r="AI50" s="511">
        <v>111.43709084403622</v>
      </c>
      <c r="AJ50" s="511">
        <v>1.1204192802905248</v>
      </c>
      <c r="AK50" s="511">
        <v>1.1889422513763617</v>
      </c>
      <c r="AL50" s="511">
        <v>711.284664905932</v>
      </c>
      <c r="AM50" s="511">
        <v>831.70434578893151</v>
      </c>
      <c r="AN50" s="511">
        <v>0</v>
      </c>
      <c r="AO50" s="512">
        <v>0</v>
      </c>
      <c r="AP50" s="594">
        <v>0.5264962187422616</v>
      </c>
      <c r="AQ50" s="514">
        <v>0.59248734059710517</v>
      </c>
      <c r="AR50" s="514">
        <v>0.5264962187422616</v>
      </c>
      <c r="AS50" s="514">
        <v>0.59248734059710517</v>
      </c>
      <c r="AT50" s="511">
        <v>28.408000000000001</v>
      </c>
      <c r="AU50" s="511">
        <v>63.928000000000004</v>
      </c>
      <c r="AV50" s="515">
        <v>116.55367228415335</v>
      </c>
      <c r="AW50" s="515">
        <v>117.75583981945893</v>
      </c>
      <c r="AX50" s="511">
        <v>1.7776682624612785</v>
      </c>
      <c r="AY50" s="511">
        <v>1.712864472531598</v>
      </c>
      <c r="AZ50" s="511">
        <v>0</v>
      </c>
      <c r="BA50" s="511">
        <v>0</v>
      </c>
      <c r="BB50" s="511">
        <v>1005.7624612785123</v>
      </c>
      <c r="BC50" s="511">
        <v>1020.7201852083585</v>
      </c>
      <c r="BD50" s="511">
        <v>584.48324415657555</v>
      </c>
      <c r="BE50" s="576">
        <v>498.31998498310605</v>
      </c>
      <c r="BF50" s="511">
        <v>0</v>
      </c>
      <c r="BG50" s="512">
        <v>0</v>
      </c>
      <c r="BH50" s="513">
        <v>0.88755490688056482</v>
      </c>
      <c r="BI50" s="514">
        <v>0.96958635306814078</v>
      </c>
      <c r="BJ50" s="514">
        <v>0.88755490688056482</v>
      </c>
      <c r="BK50" s="514">
        <v>0.96958635306814078</v>
      </c>
      <c r="BL50" s="511">
        <v>46.445</v>
      </c>
      <c r="BM50" s="511">
        <v>101.02199999999999</v>
      </c>
      <c r="BN50" s="511">
        <v>2.3382495424695877</v>
      </c>
      <c r="BO50" s="511">
        <v>2.1777434618201976</v>
      </c>
      <c r="BP50" s="515">
        <v>0</v>
      </c>
      <c r="BQ50" s="515">
        <v>0</v>
      </c>
      <c r="BR50" s="515">
        <v>1045.7253775732913</v>
      </c>
      <c r="BS50" s="515">
        <v>964.64626552647121</v>
      </c>
      <c r="BT50" s="515">
        <v>0</v>
      </c>
      <c r="BU50" s="516">
        <v>18.609807764645328</v>
      </c>
      <c r="BV50" s="513">
        <v>0.98998156687122563</v>
      </c>
      <c r="BW50" s="514">
        <v>1.0310012286597281</v>
      </c>
      <c r="BX50" s="514">
        <v>0.98998156687122563</v>
      </c>
      <c r="BY50" s="514">
        <v>1.0310012286597281</v>
      </c>
      <c r="BZ50" s="511">
        <v>52.433</v>
      </c>
      <c r="CA50" s="511">
        <v>108.67</v>
      </c>
      <c r="CB50" s="515">
        <v>75.27067929666633</v>
      </c>
      <c r="CC50" s="515">
        <v>70.688508573352877</v>
      </c>
      <c r="CD50" s="511">
        <v>1.891938283142296</v>
      </c>
      <c r="CE50" s="511">
        <v>1.8404343425048311</v>
      </c>
      <c r="CF50" s="515">
        <v>0</v>
      </c>
      <c r="CG50" s="515">
        <v>0</v>
      </c>
      <c r="CH50" s="515">
        <v>705.78423585543601</v>
      </c>
      <c r="CI50" s="515">
        <v>702.65303178416082</v>
      </c>
      <c r="CJ50" s="515">
        <v>556.82490034901696</v>
      </c>
      <c r="CK50" s="515">
        <v>553.63393760927579</v>
      </c>
      <c r="CL50" s="515">
        <v>0</v>
      </c>
      <c r="CM50" s="516">
        <v>0</v>
      </c>
    </row>
    <row r="51" spans="1:91">
      <c r="A51" s="558">
        <v>46084</v>
      </c>
      <c r="B51" s="513">
        <v>0.89948132611444753</v>
      </c>
      <c r="C51" s="514">
        <v>0.72525556240267341</v>
      </c>
      <c r="D51" s="514">
        <v>0.92177614086447179</v>
      </c>
      <c r="E51" s="514">
        <v>0.73090363678835835</v>
      </c>
      <c r="F51" s="511">
        <v>51.168999999999997</v>
      </c>
      <c r="G51" s="511">
        <v>129.13499999999999</v>
      </c>
      <c r="H51" s="511">
        <v>2.6372217553596902</v>
      </c>
      <c r="I51" s="511">
        <v>2.4826964029891196</v>
      </c>
      <c r="J51" s="511">
        <v>1201.058844222073</v>
      </c>
      <c r="K51" s="512">
        <v>1145.774422116411</v>
      </c>
      <c r="L51" s="513">
        <v>0.75070904618851686</v>
      </c>
      <c r="M51" s="514">
        <v>0.89201337621215671</v>
      </c>
      <c r="N51" s="514">
        <v>0.82247980123432762</v>
      </c>
      <c r="O51" s="514">
        <v>0.91492065800168476</v>
      </c>
      <c r="P51" s="511">
        <v>42.951000000000001</v>
      </c>
      <c r="Q51" s="511">
        <v>177.87100000000001</v>
      </c>
      <c r="R51" s="511">
        <v>2.6100207212870479</v>
      </c>
      <c r="S51" s="511">
        <v>2.1839198070511774</v>
      </c>
      <c r="T51" s="511">
        <v>0</v>
      </c>
      <c r="U51" s="511">
        <v>0</v>
      </c>
      <c r="V51" s="511">
        <v>755.88624246234087</v>
      </c>
      <c r="W51" s="511">
        <v>576.43724946730833</v>
      </c>
      <c r="X51" s="511">
        <v>620.52105888105052</v>
      </c>
      <c r="Y51" s="576">
        <v>437.063939596674</v>
      </c>
      <c r="Z51" s="511">
        <v>0</v>
      </c>
      <c r="AA51" s="576">
        <v>0</v>
      </c>
      <c r="AB51" s="513">
        <v>0.78015275084134428</v>
      </c>
      <c r="AC51" s="514">
        <v>0.84258028221488179</v>
      </c>
      <c r="AD51" s="514">
        <v>0.78015275084134428</v>
      </c>
      <c r="AE51" s="514">
        <v>0.84258028221488179</v>
      </c>
      <c r="AF51" s="511">
        <v>40.542999999999999</v>
      </c>
      <c r="AG51" s="511">
        <v>125.91300000000001</v>
      </c>
      <c r="AH51" s="511">
        <v>113.71099164810555</v>
      </c>
      <c r="AI51" s="511">
        <v>112.16926909647545</v>
      </c>
      <c r="AJ51" s="511">
        <v>1.262856720025652</v>
      </c>
      <c r="AK51" s="511">
        <v>1.2127421314717304</v>
      </c>
      <c r="AL51" s="511">
        <v>837.5546950151512</v>
      </c>
      <c r="AM51" s="511">
        <v>833.58811242683714</v>
      </c>
      <c r="AN51" s="511">
        <v>0</v>
      </c>
      <c r="AO51" s="512">
        <v>0</v>
      </c>
      <c r="AP51" s="594">
        <v>0.74698095380945828</v>
      </c>
      <c r="AQ51" s="514">
        <v>0.64440541112937855</v>
      </c>
      <c r="AR51" s="514">
        <v>0.74698095380945828</v>
      </c>
      <c r="AS51" s="514">
        <v>0.64440541112937855</v>
      </c>
      <c r="AT51" s="511">
        <v>40.793999999999997</v>
      </c>
      <c r="AU51" s="511">
        <v>104.72200000000001</v>
      </c>
      <c r="AV51" s="515">
        <v>105.18130932900121</v>
      </c>
      <c r="AW51" s="515">
        <v>112.85748611319154</v>
      </c>
      <c r="AX51" s="511">
        <v>1.5198313477472178</v>
      </c>
      <c r="AY51" s="511">
        <v>1.6376692576535969</v>
      </c>
      <c r="AZ51" s="511">
        <v>0</v>
      </c>
      <c r="BA51" s="511">
        <v>0</v>
      </c>
      <c r="BB51" s="511">
        <v>959.38079129283778</v>
      </c>
      <c r="BC51" s="511">
        <v>996.82569087679735</v>
      </c>
      <c r="BD51" s="511">
        <v>465.7302544491838</v>
      </c>
      <c r="BE51" s="576">
        <v>485.62479708179751</v>
      </c>
      <c r="BF51" s="511">
        <v>0</v>
      </c>
      <c r="BG51" s="512">
        <v>0</v>
      </c>
      <c r="BH51" s="513">
        <v>0.9555215588126581</v>
      </c>
      <c r="BI51" s="514">
        <v>0.96488669278502104</v>
      </c>
      <c r="BJ51" s="514">
        <v>0.9555215588126581</v>
      </c>
      <c r="BK51" s="514">
        <v>0.96488669278502104</v>
      </c>
      <c r="BL51" s="511">
        <v>49.96</v>
      </c>
      <c r="BM51" s="511">
        <v>150.982</v>
      </c>
      <c r="BN51" s="511">
        <v>2.1236989591673336</v>
      </c>
      <c r="BO51" s="511">
        <v>2.1598601157753907</v>
      </c>
      <c r="BP51" s="515">
        <v>0</v>
      </c>
      <c r="BQ51" s="515">
        <v>0</v>
      </c>
      <c r="BR51" s="515">
        <v>941.14120300147169</v>
      </c>
      <c r="BS51" s="515">
        <v>956.86843158766396</v>
      </c>
      <c r="BT51" s="515">
        <v>0</v>
      </c>
      <c r="BU51" s="516">
        <v>12.451815448199124</v>
      </c>
      <c r="BV51" s="513">
        <v>0.94194858943105642</v>
      </c>
      <c r="BW51" s="514">
        <v>1.0012186414168203</v>
      </c>
      <c r="BX51" s="514">
        <v>0.94194858943105642</v>
      </c>
      <c r="BY51" s="514">
        <v>1.0012186414168203</v>
      </c>
      <c r="BZ51" s="511">
        <v>49.889000000000003</v>
      </c>
      <c r="CA51" s="511">
        <v>158.559</v>
      </c>
      <c r="CB51" s="515">
        <v>72.862733926187744</v>
      </c>
      <c r="CC51" s="515">
        <v>71.372606786810195</v>
      </c>
      <c r="CD51" s="511">
        <v>2.0116658982942131</v>
      </c>
      <c r="CE51" s="511">
        <v>1.8943106351578909</v>
      </c>
      <c r="CF51" s="515">
        <v>0</v>
      </c>
      <c r="CG51" s="515">
        <v>0</v>
      </c>
      <c r="CH51" s="515">
        <v>717.62363442935794</v>
      </c>
      <c r="CI51" s="515">
        <v>707.36338184543933</v>
      </c>
      <c r="CJ51" s="515">
        <v>433.18166329250948</v>
      </c>
      <c r="CK51" s="515">
        <v>515.73483687460202</v>
      </c>
      <c r="CL51" s="515">
        <v>0</v>
      </c>
      <c r="CM51" s="516">
        <v>0</v>
      </c>
    </row>
    <row r="52" spans="1:91">
      <c r="A52" s="558">
        <v>46085</v>
      </c>
      <c r="B52" s="513">
        <v>0.9372844876317098</v>
      </c>
      <c r="C52" s="514">
        <v>0.77640451245617392</v>
      </c>
      <c r="D52" s="514">
        <v>0.9372844876317098</v>
      </c>
      <c r="E52" s="514">
        <v>0.780983707452366</v>
      </c>
      <c r="F52" s="511">
        <v>53.058999999999997</v>
      </c>
      <c r="G52" s="511">
        <v>182.19399999999999</v>
      </c>
      <c r="H52" s="511">
        <v>2.5295237377259276</v>
      </c>
      <c r="I52" s="511">
        <v>2.4963335784932545</v>
      </c>
      <c r="J52" s="511">
        <v>1253.1966301663952</v>
      </c>
      <c r="K52" s="512">
        <v>1177.0581907197904</v>
      </c>
      <c r="L52" s="513">
        <v>0.84752985496772215</v>
      </c>
      <c r="M52" s="514">
        <v>0.88227750219694201</v>
      </c>
      <c r="N52" s="514">
        <v>0.84752985496772215</v>
      </c>
      <c r="O52" s="514">
        <v>0.89987696886201074</v>
      </c>
      <c r="P52" s="511">
        <v>47.351999999999997</v>
      </c>
      <c r="Q52" s="511">
        <v>225.22300000000001</v>
      </c>
      <c r="R52" s="511">
        <v>2.3212958269978041</v>
      </c>
      <c r="S52" s="511">
        <v>2.2128024224879339</v>
      </c>
      <c r="T52" s="511">
        <v>0</v>
      </c>
      <c r="U52" s="511">
        <v>0</v>
      </c>
      <c r="V52" s="511">
        <v>731.93824970432058</v>
      </c>
      <c r="W52" s="511">
        <v>609.13055060983368</v>
      </c>
      <c r="X52" s="511">
        <v>588.76077040040536</v>
      </c>
      <c r="Y52" s="576">
        <v>468.95743329944099</v>
      </c>
      <c r="Z52" s="511">
        <v>0</v>
      </c>
      <c r="AA52" s="576">
        <v>0</v>
      </c>
      <c r="AB52" s="513">
        <v>0.844992982445401</v>
      </c>
      <c r="AC52" s="514">
        <v>0.84315799549993586</v>
      </c>
      <c r="AD52" s="514">
        <v>0.844992982445401</v>
      </c>
      <c r="AE52" s="514">
        <v>0.84315799549993586</v>
      </c>
      <c r="AF52" s="511">
        <v>39.755000000000003</v>
      </c>
      <c r="AG52" s="511">
        <v>165.66800000000001</v>
      </c>
      <c r="AH52" s="511">
        <v>127.49952687067636</v>
      </c>
      <c r="AI52" s="511">
        <v>115.84803867064402</v>
      </c>
      <c r="AJ52" s="511">
        <v>1.3080115708715885</v>
      </c>
      <c r="AK52" s="511">
        <v>1.2356037375956732</v>
      </c>
      <c r="AL52" s="511">
        <v>920.72343101497586</v>
      </c>
      <c r="AM52" s="511">
        <v>854.49779076225173</v>
      </c>
      <c r="AN52" s="511">
        <v>0</v>
      </c>
      <c r="AO52" s="512">
        <v>0</v>
      </c>
      <c r="AP52" s="594">
        <v>0.70333871602328335</v>
      </c>
      <c r="AQ52" s="514">
        <v>0.65913649224691639</v>
      </c>
      <c r="AR52" s="514">
        <v>0.70333871602328335</v>
      </c>
      <c r="AS52" s="514">
        <v>0.65913649224691639</v>
      </c>
      <c r="AT52" s="511">
        <v>38.091999999999999</v>
      </c>
      <c r="AU52" s="511">
        <v>142.81400000000002</v>
      </c>
      <c r="AV52" s="515">
        <v>99.078445108543718</v>
      </c>
      <c r="AW52" s="515">
        <v>109.18227759057439</v>
      </c>
      <c r="AX52" s="511">
        <v>1.5567573243725716</v>
      </c>
      <c r="AY52" s="511">
        <v>1.6160880585936952</v>
      </c>
      <c r="AZ52" s="511">
        <v>0</v>
      </c>
      <c r="BA52" s="511">
        <v>0</v>
      </c>
      <c r="BB52" s="511">
        <v>909.99054919668094</v>
      </c>
      <c r="BC52" s="511">
        <v>973.66462671726811</v>
      </c>
      <c r="BD52" s="511">
        <v>542.84099023417934</v>
      </c>
      <c r="BE52" s="576">
        <v>500.88576049967338</v>
      </c>
      <c r="BF52" s="511">
        <v>0</v>
      </c>
      <c r="BG52" s="512">
        <v>0</v>
      </c>
      <c r="BH52" s="513">
        <v>0.86477276400326208</v>
      </c>
      <c r="BI52" s="514">
        <v>0.94010309226274935</v>
      </c>
      <c r="BJ52" s="514">
        <v>0.86477276400326208</v>
      </c>
      <c r="BK52" s="514">
        <v>0.94010309226274935</v>
      </c>
      <c r="BL52" s="511">
        <v>44.518999999999998</v>
      </c>
      <c r="BM52" s="511">
        <v>195.501</v>
      </c>
      <c r="BN52" s="511">
        <v>2.4079606460163077</v>
      </c>
      <c r="BO52" s="511">
        <v>2.2163569495808204</v>
      </c>
      <c r="BP52" s="515">
        <v>0</v>
      </c>
      <c r="BQ52" s="515">
        <v>0</v>
      </c>
      <c r="BR52" s="515">
        <v>1077.8486912007147</v>
      </c>
      <c r="BS52" s="515">
        <v>984.41775449503245</v>
      </c>
      <c r="BT52" s="515">
        <v>0</v>
      </c>
      <c r="BU52" s="516">
        <v>9.6163190981120312</v>
      </c>
      <c r="BV52" s="513">
        <v>0.70817378898891115</v>
      </c>
      <c r="BW52" s="514">
        <v>0.92463318745070011</v>
      </c>
      <c r="BX52" s="514">
        <v>0.80011505485109546</v>
      </c>
      <c r="BY52" s="514">
        <v>0.95326058486539389</v>
      </c>
      <c r="BZ52" s="511">
        <v>39.68</v>
      </c>
      <c r="CA52" s="511">
        <v>198.239</v>
      </c>
      <c r="CB52" s="515">
        <v>78.60786739368983</v>
      </c>
      <c r="CC52" s="515">
        <v>72.8208341329983</v>
      </c>
      <c r="CD52" s="511">
        <v>2.051411290322581</v>
      </c>
      <c r="CE52" s="511">
        <v>1.925756284081336</v>
      </c>
      <c r="CF52" s="515">
        <v>0</v>
      </c>
      <c r="CG52" s="515">
        <v>0</v>
      </c>
      <c r="CH52" s="515">
        <v>768.96507349887383</v>
      </c>
      <c r="CI52" s="515">
        <v>719.69372615109205</v>
      </c>
      <c r="CJ52" s="515">
        <v>461.81706149194468</v>
      </c>
      <c r="CK52" s="515">
        <v>504.94252392314507</v>
      </c>
      <c r="CL52" s="515">
        <v>0</v>
      </c>
      <c r="CM52" s="516">
        <v>0</v>
      </c>
    </row>
    <row r="53" spans="1:91">
      <c r="A53" s="558">
        <v>46086</v>
      </c>
      <c r="B53" s="513">
        <v>0.88514381221389715</v>
      </c>
      <c r="C53" s="514">
        <v>0.79753699205132877</v>
      </c>
      <c r="D53" s="514">
        <v>0.88514381221389715</v>
      </c>
      <c r="E53" s="514">
        <v>0.80132233994231805</v>
      </c>
      <c r="F53" s="511">
        <v>50.103999999999999</v>
      </c>
      <c r="G53" s="511">
        <v>232.298</v>
      </c>
      <c r="H53" s="511">
        <v>2.3426672521155996</v>
      </c>
      <c r="I53" s="511">
        <v>2.4631895238013239</v>
      </c>
      <c r="J53" s="511">
        <v>1340.1608653999458</v>
      </c>
      <c r="K53" s="512">
        <v>1212.2375569311848</v>
      </c>
      <c r="L53" s="513">
        <v>1.0321606862413693</v>
      </c>
      <c r="M53" s="514">
        <v>0.90885506693195361</v>
      </c>
      <c r="N53" s="514">
        <v>1.0321606862413693</v>
      </c>
      <c r="O53" s="514">
        <v>0.92371734655750903</v>
      </c>
      <c r="P53" s="511">
        <v>56.792000000000002</v>
      </c>
      <c r="Q53" s="511">
        <v>282.01499999999999</v>
      </c>
      <c r="R53" s="511">
        <v>1.9413121566417806</v>
      </c>
      <c r="S53" s="511">
        <v>2.1581298867081538</v>
      </c>
      <c r="T53" s="511">
        <v>0</v>
      </c>
      <c r="U53" s="511">
        <v>0</v>
      </c>
      <c r="V53" s="511">
        <v>664.72443301877877</v>
      </c>
      <c r="W53" s="511">
        <v>620.32601102778585</v>
      </c>
      <c r="X53" s="511">
        <v>409.77602479222423</v>
      </c>
      <c r="Y53" s="576">
        <v>457.03951917451201</v>
      </c>
      <c r="Z53" s="511">
        <v>0</v>
      </c>
      <c r="AA53" s="576">
        <v>0</v>
      </c>
      <c r="AB53" s="513">
        <v>0.82227366207082131</v>
      </c>
      <c r="AC53" s="514">
        <v>0.83910599334952851</v>
      </c>
      <c r="AD53" s="514">
        <v>0.82227366207082131</v>
      </c>
      <c r="AE53" s="514">
        <v>0.83910599334952851</v>
      </c>
      <c r="AF53" s="511">
        <v>38.893000000000001</v>
      </c>
      <c r="AG53" s="511">
        <v>204.56100000000001</v>
      </c>
      <c r="AH53" s="511">
        <v>128.41625909023719</v>
      </c>
      <c r="AI53" s="511">
        <v>118.23762317980871</v>
      </c>
      <c r="AJ53" s="511">
        <v>1.2984341655310725</v>
      </c>
      <c r="AK53" s="511">
        <v>1.2475496306725133</v>
      </c>
      <c r="AL53" s="511">
        <v>889.55390430152647</v>
      </c>
      <c r="AM53" s="511">
        <v>861.16297828031725</v>
      </c>
      <c r="AN53" s="511">
        <v>0</v>
      </c>
      <c r="AO53" s="512">
        <v>0</v>
      </c>
      <c r="AP53" s="594">
        <v>0.80272800570440528</v>
      </c>
      <c r="AQ53" s="514">
        <v>0.68776414189123547</v>
      </c>
      <c r="AR53" s="514">
        <v>0.80272800570440528</v>
      </c>
      <c r="AS53" s="514">
        <v>0.68776414189123547</v>
      </c>
      <c r="AT53" s="511">
        <v>43.31</v>
      </c>
      <c r="AU53" s="511">
        <v>186.12400000000002</v>
      </c>
      <c r="AV53" s="515">
        <v>94.468951496861649</v>
      </c>
      <c r="AW53" s="515">
        <v>105.75856999177628</v>
      </c>
      <c r="AX53" s="511">
        <v>1.4846455783883628</v>
      </c>
      <c r="AY53" s="511">
        <v>1.5855021383593733</v>
      </c>
      <c r="AZ53" s="511">
        <v>0</v>
      </c>
      <c r="BA53" s="511">
        <v>0</v>
      </c>
      <c r="BB53" s="511">
        <v>901.81066728238261</v>
      </c>
      <c r="BC53" s="511">
        <v>956.94461756678299</v>
      </c>
      <c r="BD53" s="511">
        <v>473.20445624566531</v>
      </c>
      <c r="BE53" s="576">
        <v>494.44447787496568</v>
      </c>
      <c r="BF53" s="511">
        <v>0</v>
      </c>
      <c r="BG53" s="512">
        <v>0</v>
      </c>
      <c r="BH53" s="513">
        <v>0.93235165045550383</v>
      </c>
      <c r="BI53" s="514">
        <v>0.93856496225895425</v>
      </c>
      <c r="BJ53" s="514">
        <v>0.93235165045550383</v>
      </c>
      <c r="BK53" s="514">
        <v>0.93856496225895425</v>
      </c>
      <c r="BL53" s="511">
        <v>47.997999999999998</v>
      </c>
      <c r="BM53" s="511">
        <v>243.499</v>
      </c>
      <c r="BN53" s="511">
        <v>2.2355098129088713</v>
      </c>
      <c r="BO53" s="511">
        <v>2.2201323208719543</v>
      </c>
      <c r="BP53" s="515">
        <v>0</v>
      </c>
      <c r="BQ53" s="515">
        <v>0</v>
      </c>
      <c r="BR53" s="515">
        <v>984.14806171383464</v>
      </c>
      <c r="BS53" s="515">
        <v>984.36459323313022</v>
      </c>
      <c r="BT53" s="515">
        <v>0</v>
      </c>
      <c r="BU53" s="516">
        <v>7.7207709271906664</v>
      </c>
      <c r="BV53" s="513">
        <v>0.96417212001050989</v>
      </c>
      <c r="BW53" s="514">
        <v>0.93284395468597381</v>
      </c>
      <c r="BX53" s="514">
        <v>0.96417212001050989</v>
      </c>
      <c r="BY53" s="514">
        <v>0.95558173640712374</v>
      </c>
      <c r="BZ53" s="511">
        <v>54.177999999999997</v>
      </c>
      <c r="CA53" s="511">
        <v>252.417</v>
      </c>
      <c r="CB53" s="515">
        <v>70.58319144070154</v>
      </c>
      <c r="CC53" s="515">
        <v>72.340553463379166</v>
      </c>
      <c r="CD53" s="511">
        <v>1.7756284838864484</v>
      </c>
      <c r="CE53" s="511">
        <v>1.8935333198635591</v>
      </c>
      <c r="CF53" s="515">
        <v>0</v>
      </c>
      <c r="CG53" s="515">
        <v>0</v>
      </c>
      <c r="CH53" s="515">
        <v>692.7945168491899</v>
      </c>
      <c r="CI53" s="515">
        <v>713.92016350848701</v>
      </c>
      <c r="CJ53" s="515">
        <v>432.7478865960295</v>
      </c>
      <c r="CK53" s="515">
        <v>489.44689145342852</v>
      </c>
      <c r="CL53" s="515">
        <v>0</v>
      </c>
      <c r="CM53" s="516">
        <v>0</v>
      </c>
    </row>
    <row r="54" spans="1:91">
      <c r="A54" s="558">
        <v>46087</v>
      </c>
      <c r="B54" s="513">
        <v>0.78728456842534977</v>
      </c>
      <c r="C54" s="514">
        <v>0.79582674476084792</v>
      </c>
      <c r="D54" s="514">
        <v>1.0051599951593975</v>
      </c>
      <c r="E54" s="514">
        <v>0.82906733163607471</v>
      </c>
      <c r="F54" s="511">
        <v>45.911000000000001</v>
      </c>
      <c r="G54" s="511">
        <v>278.209</v>
      </c>
      <c r="H54" s="511">
        <v>1.5996602121495935</v>
      </c>
      <c r="I54" s="511">
        <v>2.3206869655546729</v>
      </c>
      <c r="J54" s="511">
        <v>957.91901722896534</v>
      </c>
      <c r="K54" s="512">
        <v>1170.2690423386712</v>
      </c>
      <c r="L54" s="513">
        <v>0.58666063230620535</v>
      </c>
      <c r="M54" s="514">
        <v>0.85373387371685494</v>
      </c>
      <c r="N54" s="514">
        <v>0.75066590505309272</v>
      </c>
      <c r="O54" s="514">
        <v>0.899343769585907</v>
      </c>
      <c r="P54" s="511">
        <v>37.570999999999998</v>
      </c>
      <c r="Q54" s="511">
        <v>319.58600000000001</v>
      </c>
      <c r="R54" s="511">
        <v>2.0634798115567858</v>
      </c>
      <c r="S54" s="511">
        <v>2.1470026847233608</v>
      </c>
      <c r="T54" s="511">
        <v>0</v>
      </c>
      <c r="U54" s="511">
        <v>0</v>
      </c>
      <c r="V54" s="511">
        <v>633.13007372702873</v>
      </c>
      <c r="W54" s="511">
        <v>621.83127546262745</v>
      </c>
      <c r="X54" s="511">
        <v>541.69439195123903</v>
      </c>
      <c r="Y54" s="576">
        <v>466.9916704736753</v>
      </c>
      <c r="Z54" s="511">
        <v>0</v>
      </c>
      <c r="AA54" s="576">
        <v>0</v>
      </c>
      <c r="AB54" s="513">
        <v>0.58427889092409657</v>
      </c>
      <c r="AC54" s="514">
        <v>0.79699275049455498</v>
      </c>
      <c r="AD54" s="514">
        <v>0.73506060549825381</v>
      </c>
      <c r="AE54" s="514">
        <v>0.8249587823868878</v>
      </c>
      <c r="AF54" s="511">
        <v>28.2</v>
      </c>
      <c r="AG54" s="511">
        <v>232.761</v>
      </c>
      <c r="AH54" s="511">
        <v>107.56918086466703</v>
      </c>
      <c r="AI54" s="511">
        <v>116.94509533671216</v>
      </c>
      <c r="AJ54" s="511">
        <v>1.3652482269503547</v>
      </c>
      <c r="AK54" s="511">
        <v>1.261809323726913</v>
      </c>
      <c r="AL54" s="511">
        <v>874.07872340428128</v>
      </c>
      <c r="AM54" s="511">
        <v>862.72777656050926</v>
      </c>
      <c r="AN54" s="511">
        <v>0</v>
      </c>
      <c r="AO54" s="512">
        <v>0</v>
      </c>
      <c r="AP54" s="594">
        <v>0.49338247867454166</v>
      </c>
      <c r="AQ54" s="514">
        <v>0.65546938764746199</v>
      </c>
      <c r="AR54" s="514">
        <v>0.63612279976206931</v>
      </c>
      <c r="AS54" s="514">
        <v>0.68085192703567499</v>
      </c>
      <c r="AT54" s="511">
        <v>26.603000000000002</v>
      </c>
      <c r="AU54" s="511">
        <v>212.72700000000003</v>
      </c>
      <c r="AV54" s="515">
        <v>86.452220090718143</v>
      </c>
      <c r="AW54" s="515">
        <v>103.34417583204174</v>
      </c>
      <c r="AX54" s="511">
        <v>1.7479231665601622</v>
      </c>
      <c r="AY54" s="511">
        <v>1.6058140245478947</v>
      </c>
      <c r="AZ54" s="511">
        <v>0</v>
      </c>
      <c r="BA54" s="511">
        <v>0</v>
      </c>
      <c r="BB54" s="511">
        <v>1011.5032139232432</v>
      </c>
      <c r="BC54" s="511">
        <v>963.76755183874138</v>
      </c>
      <c r="BD54" s="511">
        <v>654.45596361313824</v>
      </c>
      <c r="BE54" s="576">
        <v>514.45503391671218</v>
      </c>
      <c r="BF54" s="511">
        <v>0</v>
      </c>
      <c r="BG54" s="512">
        <v>0</v>
      </c>
      <c r="BH54" s="513">
        <v>0.66324044237578073</v>
      </c>
      <c r="BI54" s="514">
        <v>0.89297783365637629</v>
      </c>
      <c r="BJ54" s="514">
        <v>0.84295343073356066</v>
      </c>
      <c r="BK54" s="514">
        <v>0.92565328363594257</v>
      </c>
      <c r="BL54" s="511">
        <v>34.143999999999998</v>
      </c>
      <c r="BM54" s="511">
        <v>277.64299999999997</v>
      </c>
      <c r="BN54" s="511">
        <v>1.9974226804123714</v>
      </c>
      <c r="BO54" s="511">
        <v>2.1927439193496689</v>
      </c>
      <c r="BP54" s="515">
        <v>0</v>
      </c>
      <c r="BQ54" s="515">
        <v>0</v>
      </c>
      <c r="BR54" s="515">
        <v>987.01010842349137</v>
      </c>
      <c r="BS54" s="515">
        <v>984.68993358264277</v>
      </c>
      <c r="BT54" s="515">
        <v>0</v>
      </c>
      <c r="BU54" s="516">
        <v>6.7712854276895147</v>
      </c>
      <c r="BV54" s="513">
        <v>0.62114023938527529</v>
      </c>
      <c r="BW54" s="514">
        <v>0.88166799109083738</v>
      </c>
      <c r="BX54" s="514">
        <v>0.97687922819688178</v>
      </c>
      <c r="BY54" s="514">
        <v>0.95799753440350288</v>
      </c>
      <c r="BZ54" s="511">
        <v>33.015000000000001</v>
      </c>
      <c r="CA54" s="511">
        <v>285.43200000000002</v>
      </c>
      <c r="CB54" s="515">
        <v>62.658206528638971</v>
      </c>
      <c r="CC54" s="515">
        <v>71.220627582432215</v>
      </c>
      <c r="CD54" s="511">
        <v>1.9263970922308042</v>
      </c>
      <c r="CE54" s="511">
        <v>1.8973345665517529</v>
      </c>
      <c r="CF54" s="515">
        <v>0</v>
      </c>
      <c r="CG54" s="515">
        <v>0</v>
      </c>
      <c r="CH54" s="515">
        <v>822.77106945293792</v>
      </c>
      <c r="CI54" s="515">
        <v>726.51059716608677</v>
      </c>
      <c r="CJ54" s="515">
        <v>623.72582159625631</v>
      </c>
      <c r="CK54" s="515">
        <v>504.97850276072921</v>
      </c>
      <c r="CL54" s="515">
        <v>0</v>
      </c>
      <c r="CM54" s="516">
        <v>0</v>
      </c>
    </row>
    <row r="55" spans="1:91">
      <c r="A55" s="558">
        <v>46088</v>
      </c>
      <c r="B55" s="513">
        <v>0.74684207947887227</v>
      </c>
      <c r="C55" s="514">
        <v>0.78714002897560464</v>
      </c>
      <c r="D55" s="514">
        <v>0.76739386306667412</v>
      </c>
      <c r="E55" s="514">
        <v>0.81800596539854209</v>
      </c>
      <c r="F55" s="511">
        <v>56.28</v>
      </c>
      <c r="G55" s="511">
        <v>334.48900000000003</v>
      </c>
      <c r="H55" s="511">
        <v>2.8687988628287133</v>
      </c>
      <c r="I55" s="511">
        <v>2.4129104395062315</v>
      </c>
      <c r="J55" s="511">
        <v>983.10270078183692</v>
      </c>
      <c r="K55" s="512">
        <v>1138.7770599332148</v>
      </c>
      <c r="L55" s="513">
        <v>0.64861867012329333</v>
      </c>
      <c r="M55" s="514">
        <v>0.82226486826233491</v>
      </c>
      <c r="N55" s="514">
        <v>0.72572718335473374</v>
      </c>
      <c r="O55" s="514">
        <v>0.87403848345617585</v>
      </c>
      <c r="P55" s="511">
        <v>44.002000000000002</v>
      </c>
      <c r="Q55" s="511">
        <v>363.58800000000002</v>
      </c>
      <c r="R55" s="511">
        <v>3.0249306849688651</v>
      </c>
      <c r="S55" s="511">
        <v>2.253250932374006</v>
      </c>
      <c r="T55" s="511">
        <v>0</v>
      </c>
      <c r="U55" s="511">
        <v>0</v>
      </c>
      <c r="V55" s="511">
        <v>767.6498795509774</v>
      </c>
      <c r="W55" s="511">
        <v>639.4784756372635</v>
      </c>
      <c r="X55" s="511">
        <v>579.65547020589975</v>
      </c>
      <c r="Y55" s="576">
        <v>480.62642331430078</v>
      </c>
      <c r="Z55" s="511">
        <v>0</v>
      </c>
      <c r="AA55" s="576">
        <v>0</v>
      </c>
      <c r="AB55" s="513">
        <v>0.37872761978284342</v>
      </c>
      <c r="AC55" s="514">
        <v>0.74031027437844177</v>
      </c>
      <c r="AD55" s="514">
        <v>0.53063462712150511</v>
      </c>
      <c r="AE55" s="514">
        <v>0.79441057766619672</v>
      </c>
      <c r="AF55" s="511">
        <v>17.338999999999999</v>
      </c>
      <c r="AG55" s="511">
        <v>250.1</v>
      </c>
      <c r="AH55" s="511">
        <v>211.18080855822464</v>
      </c>
      <c r="AI55" s="511">
        <v>123.47829418336472</v>
      </c>
      <c r="AJ55" s="511">
        <v>2.5549339638964184</v>
      </c>
      <c r="AK55" s="511">
        <v>1.3514594162335067</v>
      </c>
      <c r="AL55" s="511">
        <v>1414.0965453601079</v>
      </c>
      <c r="AM55" s="511">
        <v>900.95321871251349</v>
      </c>
      <c r="AN55" s="511">
        <v>0</v>
      </c>
      <c r="AO55" s="512">
        <v>0</v>
      </c>
      <c r="AP55" s="594">
        <v>0.59045441546237065</v>
      </c>
      <c r="AQ55" s="514">
        <v>0.64616853185505374</v>
      </c>
      <c r="AR55" s="514">
        <v>0.80595608957230203</v>
      </c>
      <c r="AS55" s="514">
        <v>0.69495345581228363</v>
      </c>
      <c r="AT55" s="511">
        <v>31.99</v>
      </c>
      <c r="AU55" s="511">
        <v>244.71700000000004</v>
      </c>
      <c r="AV55" s="515">
        <v>135.99458573242126</v>
      </c>
      <c r="AW55" s="515">
        <v>107.61231663432822</v>
      </c>
      <c r="AX55" s="511">
        <v>1.5692403876211318</v>
      </c>
      <c r="AY55" s="511">
        <v>1.6010330299897431</v>
      </c>
      <c r="AZ55" s="511">
        <v>0</v>
      </c>
      <c r="BA55" s="511">
        <v>0</v>
      </c>
      <c r="BB55" s="511">
        <v>901.81369177867987</v>
      </c>
      <c r="BC55" s="511">
        <v>955.66879293224383</v>
      </c>
      <c r="BD55" s="511">
        <v>518.33072835259429</v>
      </c>
      <c r="BE55" s="576">
        <v>514.96167409701786</v>
      </c>
      <c r="BF55" s="511">
        <v>0</v>
      </c>
      <c r="BG55" s="512">
        <v>0</v>
      </c>
      <c r="BH55" s="513">
        <v>0.65774322338584557</v>
      </c>
      <c r="BI55" s="514">
        <v>0.85956156322561905</v>
      </c>
      <c r="BJ55" s="514">
        <v>0.6888365394004492</v>
      </c>
      <c r="BK55" s="514">
        <v>0.89230705610664351</v>
      </c>
      <c r="BL55" s="511">
        <v>33.860999999999997</v>
      </c>
      <c r="BM55" s="511">
        <v>311.50399999999996</v>
      </c>
      <c r="BN55" s="511">
        <v>3.3991908094858392</v>
      </c>
      <c r="BO55" s="511">
        <v>2.3238866916636711</v>
      </c>
      <c r="BP55" s="515">
        <v>0</v>
      </c>
      <c r="BQ55" s="515">
        <v>0</v>
      </c>
      <c r="BR55" s="515">
        <v>1411.259722879734</v>
      </c>
      <c r="BS55" s="515">
        <v>1031.0587751878513</v>
      </c>
      <c r="BT55" s="515">
        <v>0</v>
      </c>
      <c r="BU55" s="516">
        <v>6.035235502593868</v>
      </c>
      <c r="BV55" s="513">
        <v>0.73353023272301254</v>
      </c>
      <c r="BW55" s="514">
        <v>0.86108322738256338</v>
      </c>
      <c r="BX55" s="514">
        <v>0.82137133368673254</v>
      </c>
      <c r="BY55" s="514">
        <v>0.93949873030241138</v>
      </c>
      <c r="BZ55" s="511">
        <v>38.323999999999998</v>
      </c>
      <c r="CA55" s="511">
        <v>323.75600000000003</v>
      </c>
      <c r="CB55" s="515">
        <v>104.31763810742062</v>
      </c>
      <c r="CC55" s="515">
        <v>75.138423179609276</v>
      </c>
      <c r="CD55" s="511">
        <v>2.4605991023901472</v>
      </c>
      <c r="CE55" s="511">
        <v>1.964009933406639</v>
      </c>
      <c r="CF55" s="515">
        <v>0</v>
      </c>
      <c r="CG55" s="515">
        <v>0</v>
      </c>
      <c r="CH55" s="515">
        <v>960.67984875201523</v>
      </c>
      <c r="CI55" s="515">
        <v>754.22993641471578</v>
      </c>
      <c r="CJ55" s="515">
        <v>508.47771631352003</v>
      </c>
      <c r="CK55" s="515">
        <v>505.39271550179711</v>
      </c>
      <c r="CL55" s="515">
        <v>0</v>
      </c>
      <c r="CM55" s="516">
        <v>0</v>
      </c>
    </row>
    <row r="56" spans="1:91">
      <c r="A56" s="558">
        <v>46089</v>
      </c>
      <c r="B56" s="513">
        <v>1.0814054614611346</v>
      </c>
      <c r="C56" s="514">
        <v>0.83452240634896879</v>
      </c>
      <c r="D56" s="514">
        <v>1.0814054614611346</v>
      </c>
      <c r="E56" s="514">
        <v>0.86180489464454668</v>
      </c>
      <c r="F56" s="511">
        <v>88.194999999999993</v>
      </c>
      <c r="G56" s="511">
        <v>422.68400000000003</v>
      </c>
      <c r="H56" s="511">
        <v>1.8529508475537162</v>
      </c>
      <c r="I56" s="511">
        <v>2.2960722430941316</v>
      </c>
      <c r="J56" s="511">
        <v>645.34792221779571</v>
      </c>
      <c r="K56" s="512">
        <v>1035.8207549848105</v>
      </c>
      <c r="L56" s="513">
        <v>0.87033298804803427</v>
      </c>
      <c r="M56" s="514">
        <v>0.82865859982122048</v>
      </c>
      <c r="N56" s="514">
        <v>0.87033298804803427</v>
      </c>
      <c r="O56" s="514">
        <v>0.87351891806282567</v>
      </c>
      <c r="P56" s="511">
        <v>59.042999999999999</v>
      </c>
      <c r="Q56" s="511">
        <v>422.63100000000003</v>
      </c>
      <c r="R56" s="511">
        <v>2.1224870009992718</v>
      </c>
      <c r="S56" s="511">
        <v>2.2349827627410201</v>
      </c>
      <c r="T56" s="511">
        <v>0</v>
      </c>
      <c r="U56" s="511">
        <v>0</v>
      </c>
      <c r="V56" s="511">
        <v>600.71625764269845</v>
      </c>
      <c r="W56" s="511">
        <v>634.06326085876151</v>
      </c>
      <c r="X56" s="511">
        <v>520.48507020307238</v>
      </c>
      <c r="Y56" s="576">
        <v>486.19481296923323</v>
      </c>
      <c r="Z56" s="511">
        <v>0</v>
      </c>
      <c r="AA56" s="576">
        <v>0</v>
      </c>
      <c r="AB56" s="513">
        <v>0.85678400945667033</v>
      </c>
      <c r="AC56" s="514">
        <v>0.75310882720560235</v>
      </c>
      <c r="AD56" s="514">
        <v>0.85678400945667033</v>
      </c>
      <c r="AE56" s="514">
        <v>0.80170666897802556</v>
      </c>
      <c r="AF56" s="511">
        <v>35.731999999999999</v>
      </c>
      <c r="AG56" s="511">
        <v>285.83199999999999</v>
      </c>
      <c r="AH56" s="511">
        <v>128.34673655620895</v>
      </c>
      <c r="AI56" s="511">
        <v>124.08690057756294</v>
      </c>
      <c r="AJ56" s="511">
        <v>1.4916601365722602</v>
      </c>
      <c r="AK56" s="511">
        <v>1.3689859777771558</v>
      </c>
      <c r="AL56" s="511">
        <v>1018.8755177432096</v>
      </c>
      <c r="AM56" s="511">
        <v>915.69474376556855</v>
      </c>
      <c r="AN56" s="511">
        <v>0</v>
      </c>
      <c r="AO56" s="512">
        <v>0</v>
      </c>
      <c r="AP56" s="594">
        <v>0.86277855736992093</v>
      </c>
      <c r="AQ56" s="514">
        <v>0.67250556514242266</v>
      </c>
      <c r="AR56" s="514">
        <v>0.86277855736992093</v>
      </c>
      <c r="AS56" s="514">
        <v>0.71669981864221055</v>
      </c>
      <c r="AT56" s="511">
        <v>45.228000000000002</v>
      </c>
      <c r="AU56" s="511">
        <v>289.94500000000005</v>
      </c>
      <c r="AV56" s="515">
        <v>87.491044553279821</v>
      </c>
      <c r="AW56" s="515">
        <v>104.47363552694006</v>
      </c>
      <c r="AX56" s="511">
        <v>1.3796763067126558</v>
      </c>
      <c r="AY56" s="511">
        <v>1.5665039921364394</v>
      </c>
      <c r="AZ56" s="511">
        <v>0</v>
      </c>
      <c r="BA56" s="511">
        <v>0</v>
      </c>
      <c r="BB56" s="511">
        <v>786.60254709472213</v>
      </c>
      <c r="BC56" s="511">
        <v>929.29645277552629</v>
      </c>
      <c r="BD56" s="511">
        <v>524.79340231715082</v>
      </c>
      <c r="BE56" s="576">
        <v>516.4953077307764</v>
      </c>
      <c r="BF56" s="511">
        <v>0</v>
      </c>
      <c r="BG56" s="512">
        <v>0</v>
      </c>
      <c r="BH56" s="513">
        <v>0.90086404627640537</v>
      </c>
      <c r="BI56" s="514">
        <v>0.86469899266372119</v>
      </c>
      <c r="BJ56" s="514">
        <v>0.90086404627640537</v>
      </c>
      <c r="BK56" s="514">
        <v>0.89340675812380388</v>
      </c>
      <c r="BL56" s="511">
        <v>46.377000000000002</v>
      </c>
      <c r="BM56" s="511">
        <v>357.88099999999997</v>
      </c>
      <c r="BN56" s="511">
        <v>2.378334088017767</v>
      </c>
      <c r="BO56" s="511">
        <v>2.3309424082306691</v>
      </c>
      <c r="BP56" s="515">
        <v>0</v>
      </c>
      <c r="BQ56" s="515">
        <v>0</v>
      </c>
      <c r="BR56" s="515">
        <v>1020.0902937291713</v>
      </c>
      <c r="BS56" s="515">
        <v>1029.6373941572595</v>
      </c>
      <c r="BT56" s="515">
        <v>0</v>
      </c>
      <c r="BU56" s="516">
        <v>5.253142804451759</v>
      </c>
      <c r="BV56" s="513">
        <v>0.88642240209446188</v>
      </c>
      <c r="BW56" s="514">
        <v>0.86417469921210288</v>
      </c>
      <c r="BX56" s="514">
        <v>0.88642240209446188</v>
      </c>
      <c r="BY56" s="514">
        <v>0.9325111600172491</v>
      </c>
      <c r="BZ56" s="511">
        <v>46.311999999999998</v>
      </c>
      <c r="CA56" s="511">
        <v>370.06800000000004</v>
      </c>
      <c r="CB56" s="515">
        <v>76.867106717865838</v>
      </c>
      <c r="CC56" s="515">
        <v>75.354758534256902</v>
      </c>
      <c r="CD56" s="511">
        <v>2.1506305061323201</v>
      </c>
      <c r="CE56" s="511">
        <v>1.9873644843650351</v>
      </c>
      <c r="CF56" s="515">
        <v>0</v>
      </c>
      <c r="CG56" s="515">
        <v>0</v>
      </c>
      <c r="CH56" s="515">
        <v>810.46494316213648</v>
      </c>
      <c r="CI56" s="515">
        <v>761.26744204202362</v>
      </c>
      <c r="CJ56" s="515">
        <v>567.19735705648975</v>
      </c>
      <c r="CK56" s="515">
        <v>513.12723067111972</v>
      </c>
      <c r="CL56" s="515">
        <v>0</v>
      </c>
      <c r="CM56" s="516">
        <v>0</v>
      </c>
    </row>
    <row r="57" spans="1:91">
      <c r="A57" s="558">
        <v>46090</v>
      </c>
      <c r="B57" s="513">
        <v>1.1740101901375339</v>
      </c>
      <c r="C57" s="514">
        <v>0.88002775760429131</v>
      </c>
      <c r="D57" s="514">
        <v>1.1740101901375339</v>
      </c>
      <c r="E57" s="514">
        <v>0.90483283587102736</v>
      </c>
      <c r="F57" s="511">
        <v>92.043000000000006</v>
      </c>
      <c r="G57" s="511">
        <v>514.72700000000009</v>
      </c>
      <c r="H57" s="511">
        <v>1.7714437817107218</v>
      </c>
      <c r="I57" s="511">
        <v>2.2022586730441569</v>
      </c>
      <c r="J57" s="511">
        <v>616.28912573472951</v>
      </c>
      <c r="K57" s="512">
        <v>960.80050201369124</v>
      </c>
      <c r="L57" s="513">
        <v>0.9331086238826809</v>
      </c>
      <c r="M57" s="514">
        <v>0.84001606861005362</v>
      </c>
      <c r="N57" s="514">
        <v>0.9331086238826809</v>
      </c>
      <c r="O57" s="514">
        <v>0.88030926443152235</v>
      </c>
      <c r="P57" s="511">
        <v>58.061</v>
      </c>
      <c r="Q57" s="511">
        <v>480.69200000000001</v>
      </c>
      <c r="R57" s="511">
        <v>2.0162759856013501</v>
      </c>
      <c r="S57" s="511">
        <v>2.2085659840396765</v>
      </c>
      <c r="T57" s="511">
        <v>0</v>
      </c>
      <c r="U57" s="511">
        <v>0</v>
      </c>
      <c r="V57" s="511">
        <v>691.81119856706687</v>
      </c>
      <c r="W57" s="511">
        <v>641.03841961172986</v>
      </c>
      <c r="X57" s="511">
        <v>449.99224953066602</v>
      </c>
      <c r="Y57" s="576">
        <v>481.82203989248836</v>
      </c>
      <c r="Z57" s="511">
        <v>0</v>
      </c>
      <c r="AA57" s="576">
        <v>0</v>
      </c>
      <c r="AB57" s="513">
        <v>0.98369527557503567</v>
      </c>
      <c r="AC57" s="514">
        <v>0.77625743255456203</v>
      </c>
      <c r="AD57" s="514">
        <v>0.98369527557503567</v>
      </c>
      <c r="AE57" s="514">
        <v>0.82103029671386041</v>
      </c>
      <c r="AF57" s="511">
        <v>41.662999999999997</v>
      </c>
      <c r="AG57" s="511">
        <v>327.495</v>
      </c>
      <c r="AH57" s="511">
        <v>116.67750987396005</v>
      </c>
      <c r="AI57" s="511">
        <v>123.14429856872553</v>
      </c>
      <c r="AJ57" s="511">
        <v>1.3393178599716775</v>
      </c>
      <c r="AK57" s="511">
        <v>1.3652116826211087</v>
      </c>
      <c r="AL57" s="511">
        <v>929.96423685284299</v>
      </c>
      <c r="AM57" s="511">
        <v>917.51006885601294</v>
      </c>
      <c r="AN57" s="511">
        <v>0</v>
      </c>
      <c r="AO57" s="512">
        <v>0</v>
      </c>
      <c r="AP57" s="594">
        <v>0.91365569597866092</v>
      </c>
      <c r="AQ57" s="514">
        <v>0.6984778007413589</v>
      </c>
      <c r="AR57" s="514">
        <v>0.91365569597866092</v>
      </c>
      <c r="AS57" s="514">
        <v>0.73914738232925237</v>
      </c>
      <c r="AT57" s="511">
        <v>47.545999999999999</v>
      </c>
      <c r="AU57" s="511">
        <v>337.49100000000004</v>
      </c>
      <c r="AV57" s="515">
        <v>93.978557245113507</v>
      </c>
      <c r="AW57" s="515">
        <v>102.99508056699233</v>
      </c>
      <c r="AX57" s="511">
        <v>1.4428132755647163</v>
      </c>
      <c r="AY57" s="511">
        <v>1.5490783457929245</v>
      </c>
      <c r="AZ57" s="511">
        <v>0</v>
      </c>
      <c r="BA57" s="511">
        <v>0</v>
      </c>
      <c r="BB57" s="511">
        <v>861.79909981912056</v>
      </c>
      <c r="BC57" s="511">
        <v>919.78737210770032</v>
      </c>
      <c r="BD57" s="511">
        <v>444.64505952130668</v>
      </c>
      <c r="BE57" s="576">
        <v>506.37298772411719</v>
      </c>
      <c r="BF57" s="511">
        <v>0</v>
      </c>
      <c r="BG57" s="512">
        <v>0</v>
      </c>
      <c r="BH57" s="513">
        <v>1.0301582005654091</v>
      </c>
      <c r="BI57" s="514">
        <v>0.88301796517257281</v>
      </c>
      <c r="BJ57" s="514">
        <v>1.0301582005654091</v>
      </c>
      <c r="BK57" s="514">
        <v>0.90899269596940835</v>
      </c>
      <c r="BL57" s="511">
        <v>53.082000000000001</v>
      </c>
      <c r="BM57" s="511">
        <v>410.96299999999997</v>
      </c>
      <c r="BN57" s="511">
        <v>2.3209374175803474</v>
      </c>
      <c r="BO57" s="511">
        <v>2.3296501144871926</v>
      </c>
      <c r="BP57" s="515">
        <v>0</v>
      </c>
      <c r="BQ57" s="515">
        <v>0</v>
      </c>
      <c r="BR57" s="515">
        <v>1041.1470116923772</v>
      </c>
      <c r="BS57" s="515">
        <v>1031.1240329008913</v>
      </c>
      <c r="BT57" s="515">
        <v>0</v>
      </c>
      <c r="BU57" s="516">
        <v>4.574621072943307</v>
      </c>
      <c r="BV57" s="513">
        <v>1.205168465653653</v>
      </c>
      <c r="BW57" s="514">
        <v>0.90333365328967252</v>
      </c>
      <c r="BX57" s="514">
        <v>1.205168465653653</v>
      </c>
      <c r="BY57" s="514">
        <v>0.96599445794167682</v>
      </c>
      <c r="BZ57" s="511">
        <v>66.956000000000003</v>
      </c>
      <c r="CA57" s="511">
        <v>437.02400000000006</v>
      </c>
      <c r="CB57" s="515">
        <v>57.523753261022705</v>
      </c>
      <c r="CC57" s="515">
        <v>72.622888456012532</v>
      </c>
      <c r="CD57" s="511">
        <v>1.44273851484557</v>
      </c>
      <c r="CE57" s="511">
        <v>1.9039228966830193</v>
      </c>
      <c r="CF57" s="515">
        <v>0</v>
      </c>
      <c r="CG57" s="515">
        <v>0</v>
      </c>
      <c r="CH57" s="515">
        <v>658.57181321081828</v>
      </c>
      <c r="CI57" s="515">
        <v>745.53354979806852</v>
      </c>
      <c r="CJ57" s="515">
        <v>346.82038950952892</v>
      </c>
      <c r="CK57" s="515">
        <v>487.64752965512184</v>
      </c>
      <c r="CL57" s="515">
        <v>0</v>
      </c>
      <c r="CM57" s="516">
        <v>0</v>
      </c>
    </row>
    <row r="58" spans="1:91">
      <c r="A58" s="558">
        <v>46091</v>
      </c>
      <c r="B58" s="513">
        <v>1.0457965254064436</v>
      </c>
      <c r="C58" s="514">
        <v>0.90136977407168128</v>
      </c>
      <c r="D58" s="514">
        <v>1.0457965254064436</v>
      </c>
      <c r="E58" s="514">
        <v>0.92342537977716366</v>
      </c>
      <c r="F58" s="511">
        <v>90.388999999999996</v>
      </c>
      <c r="G58" s="511">
        <v>605.1160000000001</v>
      </c>
      <c r="H58" s="511">
        <v>1.7223113431944153</v>
      </c>
      <c r="I58" s="511">
        <v>2.1305667012605842</v>
      </c>
      <c r="J58" s="511">
        <v>616.05195322442319</v>
      </c>
      <c r="K58" s="512">
        <v>909.30380290721723</v>
      </c>
      <c r="L58" s="513">
        <v>1.0116425335112071</v>
      </c>
      <c r="M58" s="514">
        <v>0.85567961179111507</v>
      </c>
      <c r="N58" s="514">
        <v>1.0116425335112071</v>
      </c>
      <c r="O58" s="514">
        <v>0.8928156296301869</v>
      </c>
      <c r="P58" s="511">
        <v>58.14</v>
      </c>
      <c r="Q58" s="511">
        <v>538.83199999999999</v>
      </c>
      <c r="R58" s="511">
        <v>1.9068627450980391</v>
      </c>
      <c r="S58" s="511">
        <v>2.1760121893280284</v>
      </c>
      <c r="T58" s="511">
        <v>0</v>
      </c>
      <c r="U58" s="511">
        <v>0</v>
      </c>
      <c r="V58" s="511">
        <v>679.68661850700028</v>
      </c>
      <c r="W58" s="511">
        <v>645.20856222347356</v>
      </c>
      <c r="X58" s="511">
        <v>372.15342277261783</v>
      </c>
      <c r="Y58" s="576">
        <v>469.98879056923118</v>
      </c>
      <c r="Z58" s="511">
        <v>0</v>
      </c>
      <c r="AA58" s="576">
        <v>0</v>
      </c>
      <c r="AB58" s="513">
        <v>0.92342264464643609</v>
      </c>
      <c r="AC58" s="514">
        <v>0.79027666658250262</v>
      </c>
      <c r="AD58" s="514">
        <v>0.92342264464643609</v>
      </c>
      <c r="AE58" s="514">
        <v>0.8312906033192099</v>
      </c>
      <c r="AF58" s="511">
        <v>41.02</v>
      </c>
      <c r="AG58" s="511">
        <v>368.51499999999999</v>
      </c>
      <c r="AH58" s="511">
        <v>117.54270935264961</v>
      </c>
      <c r="AI58" s="511">
        <v>122.52077662350368</v>
      </c>
      <c r="AJ58" s="511">
        <v>1.3603120429058995</v>
      </c>
      <c r="AK58" s="511">
        <v>1.3646662958088547</v>
      </c>
      <c r="AL58" s="511">
        <v>904.29839102879305</v>
      </c>
      <c r="AM58" s="511">
        <v>916.03945565309709</v>
      </c>
      <c r="AN58" s="511">
        <v>0</v>
      </c>
      <c r="AO58" s="512">
        <v>0</v>
      </c>
      <c r="AP58" s="594">
        <v>0.99665594562293292</v>
      </c>
      <c r="AQ58" s="514">
        <v>0.72739221166333679</v>
      </c>
      <c r="AR58" s="514">
        <v>0.99665594562293292</v>
      </c>
      <c r="AS58" s="514">
        <v>0.76542363553279691</v>
      </c>
      <c r="AT58" s="511">
        <v>51.712000000000003</v>
      </c>
      <c r="AU58" s="511">
        <v>389.20300000000003</v>
      </c>
      <c r="AV58" s="515">
        <v>85.785345267549587</v>
      </c>
      <c r="AW58" s="515">
        <v>100.70848505820955</v>
      </c>
      <c r="AX58" s="511">
        <v>1.3285117574257426</v>
      </c>
      <c r="AY58" s="511">
        <v>1.5197724580745779</v>
      </c>
      <c r="AZ58" s="511">
        <v>0</v>
      </c>
      <c r="BA58" s="511">
        <v>0</v>
      </c>
      <c r="BB58" s="511">
        <v>744.0114480198032</v>
      </c>
      <c r="BC58" s="511">
        <v>896.43265853551998</v>
      </c>
      <c r="BD58" s="511">
        <v>545.79302676361397</v>
      </c>
      <c r="BE58" s="576">
        <v>511.6105862493352</v>
      </c>
      <c r="BF58" s="511">
        <v>0</v>
      </c>
      <c r="BG58" s="512">
        <v>0</v>
      </c>
      <c r="BH58" s="513">
        <v>0.99565727730786102</v>
      </c>
      <c r="BI58" s="514">
        <v>0.89474301132595668</v>
      </c>
      <c r="BJ58" s="514">
        <v>0.99565727730786102</v>
      </c>
      <c r="BK58" s="514">
        <v>0.91825095415942048</v>
      </c>
      <c r="BL58" s="511">
        <v>53.84</v>
      </c>
      <c r="BM58" s="511">
        <v>464.803</v>
      </c>
      <c r="BN58" s="511">
        <v>2.4349925705794946</v>
      </c>
      <c r="BO58" s="511">
        <v>2.3418523546534771</v>
      </c>
      <c r="BP58" s="515">
        <v>0</v>
      </c>
      <c r="BQ58" s="515">
        <v>0</v>
      </c>
      <c r="BR58" s="515">
        <v>999.59860255794604</v>
      </c>
      <c r="BS58" s="515">
        <v>1027.4723155719062</v>
      </c>
      <c r="BT58" s="515">
        <v>0</v>
      </c>
      <c r="BU58" s="516">
        <v>4.0447243240684765</v>
      </c>
      <c r="BV58" s="513">
        <v>0.9875882457884142</v>
      </c>
      <c r="BW58" s="514">
        <v>0.9120788196204016</v>
      </c>
      <c r="BX58" s="514">
        <v>0.9875882457884142</v>
      </c>
      <c r="BY58" s="514">
        <v>0.96837411362458614</v>
      </c>
      <c r="BZ58" s="511">
        <v>55.335000000000001</v>
      </c>
      <c r="CA58" s="511">
        <v>492.35900000000004</v>
      </c>
      <c r="CB58" s="515">
        <v>68.008788070457911</v>
      </c>
      <c r="CC58" s="515">
        <v>72.104321221871047</v>
      </c>
      <c r="CD58" s="511">
        <v>1.769223818559682</v>
      </c>
      <c r="CE58" s="511">
        <v>1.8887844032504735</v>
      </c>
      <c r="CF58" s="515">
        <v>0</v>
      </c>
      <c r="CG58" s="515">
        <v>0</v>
      </c>
      <c r="CH58" s="515">
        <v>742.28917029510751</v>
      </c>
      <c r="CI58" s="515">
        <v>745.1689220776525</v>
      </c>
      <c r="CJ58" s="515">
        <v>501.05631155688081</v>
      </c>
      <c r="CK58" s="515">
        <v>489.15450920974325</v>
      </c>
      <c r="CL58" s="515">
        <v>0</v>
      </c>
      <c r="CM58" s="516">
        <v>0</v>
      </c>
    </row>
    <row r="59" spans="1:91">
      <c r="A59" s="558">
        <v>46092</v>
      </c>
      <c r="B59" s="513">
        <v>1.0354502819530842</v>
      </c>
      <c r="C59" s="514">
        <v>0.91563668371069962</v>
      </c>
      <c r="D59" s="514">
        <v>1.0354502819530842</v>
      </c>
      <c r="E59" s="514">
        <v>0.93560541034948419</v>
      </c>
      <c r="F59" s="511">
        <v>82.772999999999996</v>
      </c>
      <c r="G59" s="511">
        <v>687.88900000000012</v>
      </c>
      <c r="H59" s="511">
        <v>1.8217897140371859</v>
      </c>
      <c r="I59" s="511">
        <v>2.0934118731365086</v>
      </c>
      <c r="J59" s="511">
        <v>694.05409976680301</v>
      </c>
      <c r="K59" s="512">
        <v>883.40301996397864</v>
      </c>
      <c r="L59" s="513">
        <v>0.95441356390820808</v>
      </c>
      <c r="M59" s="514">
        <v>0.86393698514625994</v>
      </c>
      <c r="N59" s="514">
        <v>0.95441356390820808</v>
      </c>
      <c r="O59" s="514">
        <v>0.89817135974886553</v>
      </c>
      <c r="P59" s="511">
        <v>54.850999999999999</v>
      </c>
      <c r="Q59" s="511">
        <v>593.68299999999999</v>
      </c>
      <c r="R59" s="511">
        <v>2.0587591839711217</v>
      </c>
      <c r="S59" s="511">
        <v>2.1651790602055305</v>
      </c>
      <c r="T59" s="511">
        <v>0</v>
      </c>
      <c r="U59" s="511">
        <v>0</v>
      </c>
      <c r="V59" s="511">
        <v>745.42323749797333</v>
      </c>
      <c r="W59" s="511">
        <v>654.46750201706982</v>
      </c>
      <c r="X59" s="511">
        <v>429.25379664910395</v>
      </c>
      <c r="Y59" s="576">
        <v>466.22524141671568</v>
      </c>
      <c r="Z59" s="511">
        <v>0</v>
      </c>
      <c r="AA59" s="576">
        <v>0</v>
      </c>
      <c r="AB59" s="513">
        <v>0.87454587617296486</v>
      </c>
      <c r="AC59" s="514">
        <v>0.79758993153495805</v>
      </c>
      <c r="AD59" s="514">
        <v>0.87454587617296486</v>
      </c>
      <c r="AE59" s="514">
        <v>0.83522160746090846</v>
      </c>
      <c r="AF59" s="511">
        <v>38.755000000000003</v>
      </c>
      <c r="AG59" s="511">
        <v>407.27</v>
      </c>
      <c r="AH59" s="511">
        <v>124.03738110042055</v>
      </c>
      <c r="AI59" s="511">
        <v>122.66509367730808</v>
      </c>
      <c r="AJ59" s="511">
        <v>1.4578764030447684</v>
      </c>
      <c r="AK59" s="511">
        <v>1.3735359834998897</v>
      </c>
      <c r="AL59" s="511">
        <v>977.26074054959713</v>
      </c>
      <c r="AM59" s="511">
        <v>921.86515088270858</v>
      </c>
      <c r="AN59" s="511">
        <v>0</v>
      </c>
      <c r="AO59" s="512">
        <v>0</v>
      </c>
      <c r="AP59" s="594">
        <v>1.0109784536307025</v>
      </c>
      <c r="AQ59" s="514">
        <v>0.75242931227355714</v>
      </c>
      <c r="AR59" s="514">
        <v>1.0109784536307025</v>
      </c>
      <c r="AS59" s="514">
        <v>0.78813171660910608</v>
      </c>
      <c r="AT59" s="511">
        <v>52.383000000000003</v>
      </c>
      <c r="AU59" s="511">
        <v>441.58600000000001</v>
      </c>
      <c r="AV59" s="515">
        <v>84.433515005472429</v>
      </c>
      <c r="AW59" s="515">
        <v>98.777871867862657</v>
      </c>
      <c r="AX59" s="511">
        <v>1.3000400893419619</v>
      </c>
      <c r="AY59" s="511">
        <v>1.4937067751242115</v>
      </c>
      <c r="AZ59" s="511">
        <v>0</v>
      </c>
      <c r="BA59" s="511">
        <v>0</v>
      </c>
      <c r="BB59" s="511">
        <v>718.62512647232791</v>
      </c>
      <c r="BC59" s="511">
        <v>875.3402961144601</v>
      </c>
      <c r="BD59" s="511">
        <v>532.46188648989187</v>
      </c>
      <c r="BE59" s="576">
        <v>514.08406516510956</v>
      </c>
      <c r="BF59" s="511">
        <v>0</v>
      </c>
      <c r="BG59" s="512">
        <v>0</v>
      </c>
      <c r="BH59" s="513">
        <v>0.93104392759714638</v>
      </c>
      <c r="BI59" s="514">
        <v>0.89830675909472968</v>
      </c>
      <c r="BJ59" s="514">
        <v>0.93104392759714638</v>
      </c>
      <c r="BK59" s="514">
        <v>0.91953655219261954</v>
      </c>
      <c r="BL59" s="511">
        <v>52.651000000000003</v>
      </c>
      <c r="BM59" s="511">
        <v>517.45399999999995</v>
      </c>
      <c r="BN59" s="511">
        <v>2.5773489582344111</v>
      </c>
      <c r="BO59" s="511">
        <v>2.3658141593262401</v>
      </c>
      <c r="BP59" s="515">
        <v>0</v>
      </c>
      <c r="BQ59" s="515">
        <v>0</v>
      </c>
      <c r="BR59" s="515">
        <v>1043.6892854067112</v>
      </c>
      <c r="BS59" s="515">
        <v>1029.1223939919637</v>
      </c>
      <c r="BT59" s="515">
        <v>0</v>
      </c>
      <c r="BU59" s="516">
        <v>3.6331731902739186</v>
      </c>
      <c r="BV59" s="513">
        <v>0.87086174787931692</v>
      </c>
      <c r="BW59" s="514">
        <v>0.90820089772876988</v>
      </c>
      <c r="BX59" s="514">
        <v>0.87086174787931692</v>
      </c>
      <c r="BY59" s="514">
        <v>0.95868960240769385</v>
      </c>
      <c r="BZ59" s="511">
        <v>48.823999999999998</v>
      </c>
      <c r="CA59" s="511">
        <v>541.18299999999999</v>
      </c>
      <c r="CB59" s="515">
        <v>75.209947544681697</v>
      </c>
      <c r="CC59" s="515">
        <v>72.384502047183219</v>
      </c>
      <c r="CD59" s="511">
        <v>1.9723906275602163</v>
      </c>
      <c r="CE59" s="511">
        <v>1.8963271204010475</v>
      </c>
      <c r="CF59" s="515">
        <v>0</v>
      </c>
      <c r="CG59" s="515">
        <v>0</v>
      </c>
      <c r="CH59" s="515">
        <v>862.27952306346981</v>
      </c>
      <c r="CI59" s="515">
        <v>755.73430935428837</v>
      </c>
      <c r="CJ59" s="515">
        <v>514.87073980009836</v>
      </c>
      <c r="CK59" s="515">
        <v>491.47455481787125</v>
      </c>
      <c r="CL59" s="515">
        <v>0</v>
      </c>
      <c r="CM59" s="516">
        <v>0</v>
      </c>
    </row>
    <row r="60" spans="1:91">
      <c r="A60" s="558">
        <v>46093</v>
      </c>
      <c r="B60" s="513">
        <v>0.85428628770936732</v>
      </c>
      <c r="C60" s="514">
        <v>0.90968817387442413</v>
      </c>
      <c r="D60" s="514">
        <v>0.85428628770936732</v>
      </c>
      <c r="E60" s="514">
        <v>0.9275657875904737</v>
      </c>
      <c r="F60" s="511">
        <v>68.91</v>
      </c>
      <c r="G60" s="511">
        <v>756.79900000000009</v>
      </c>
      <c r="H60" s="511">
        <v>2.2011464228704107</v>
      </c>
      <c r="I60" s="511">
        <v>2.1032215951659552</v>
      </c>
      <c r="J60" s="511">
        <v>814.4330285880402</v>
      </c>
      <c r="K60" s="512">
        <v>877.12298774179555</v>
      </c>
      <c r="L60" s="513">
        <v>0.80639938990464022</v>
      </c>
      <c r="M60" s="514">
        <v>0.85882717344229775</v>
      </c>
      <c r="N60" s="514">
        <v>0.80639938990464022</v>
      </c>
      <c r="O60" s="514">
        <v>0.889728010959977</v>
      </c>
      <c r="P60" s="511">
        <v>54.009</v>
      </c>
      <c r="Q60" s="511">
        <v>647.69200000000001</v>
      </c>
      <c r="R60" s="511">
        <v>2.2442555870317911</v>
      </c>
      <c r="S60" s="511">
        <v>2.171773003217579</v>
      </c>
      <c r="T60" s="511">
        <v>0</v>
      </c>
      <c r="U60" s="511">
        <v>0</v>
      </c>
      <c r="V60" s="511">
        <v>604.52461626768115</v>
      </c>
      <c r="W60" s="511">
        <v>650.30292175910961</v>
      </c>
      <c r="X60" s="511">
        <v>536.00325871613984</v>
      </c>
      <c r="Y60" s="576">
        <v>472.0438109471786</v>
      </c>
      <c r="Z60" s="511">
        <v>0</v>
      </c>
      <c r="AA60" s="576">
        <v>0</v>
      </c>
      <c r="AB60" s="513">
        <v>0.87578769978631898</v>
      </c>
      <c r="AC60" s="514">
        <v>0.80410222043846813</v>
      </c>
      <c r="AD60" s="514">
        <v>0.87578769978631898</v>
      </c>
      <c r="AE60" s="514">
        <v>0.83874548990115816</v>
      </c>
      <c r="AF60" s="511">
        <v>40.625999999999998</v>
      </c>
      <c r="AG60" s="511">
        <v>447.89599999999996</v>
      </c>
      <c r="AH60" s="511">
        <v>126.18791150757036</v>
      </c>
      <c r="AI60" s="511">
        <v>122.98462766995868</v>
      </c>
      <c r="AJ60" s="511">
        <v>1.3833505636784327</v>
      </c>
      <c r="AK60" s="511">
        <v>1.3744262060835555</v>
      </c>
      <c r="AL60" s="511">
        <v>860.72416678974048</v>
      </c>
      <c r="AM60" s="511">
        <v>916.31941343526353</v>
      </c>
      <c r="AN60" s="511">
        <v>0</v>
      </c>
      <c r="AO60" s="512">
        <v>0</v>
      </c>
      <c r="AP60" s="594">
        <v>1.0062673505638271</v>
      </c>
      <c r="AQ60" s="514">
        <v>0.77302053469254062</v>
      </c>
      <c r="AR60" s="514">
        <v>1.0062673505638271</v>
      </c>
      <c r="AS60" s="514">
        <v>0.80659533077639156</v>
      </c>
      <c r="AT60" s="511">
        <v>52.134999999999998</v>
      </c>
      <c r="AU60" s="511">
        <v>493.721</v>
      </c>
      <c r="AV60" s="515">
        <v>83.291905215430916</v>
      </c>
      <c r="AW60" s="515">
        <v>97.142614563789039</v>
      </c>
      <c r="AX60" s="511">
        <v>1.3062242255682361</v>
      </c>
      <c r="AY60" s="511">
        <v>1.4739093536633039</v>
      </c>
      <c r="AZ60" s="511">
        <v>0</v>
      </c>
      <c r="BA60" s="511">
        <v>0</v>
      </c>
      <c r="BB60" s="511">
        <v>712.53054569866811</v>
      </c>
      <c r="BC60" s="511">
        <v>858.14822541475871</v>
      </c>
      <c r="BD60" s="511">
        <v>476.0698187398101</v>
      </c>
      <c r="BE60" s="576">
        <v>510.06990992888711</v>
      </c>
      <c r="BF60" s="511">
        <v>0</v>
      </c>
      <c r="BG60" s="512">
        <v>0</v>
      </c>
      <c r="BH60" s="513">
        <v>0.93124092099354272</v>
      </c>
      <c r="BI60" s="514">
        <v>0.90124034661131336</v>
      </c>
      <c r="BJ60" s="514">
        <v>0.93124092099354272</v>
      </c>
      <c r="BK60" s="514">
        <v>0.92060150775565874</v>
      </c>
      <c r="BL60" s="511">
        <v>52.454000000000001</v>
      </c>
      <c r="BM60" s="511">
        <v>569.9079999999999</v>
      </c>
      <c r="BN60" s="511">
        <v>2.4135432950775915</v>
      </c>
      <c r="BO60" s="511">
        <v>2.3702071211493787</v>
      </c>
      <c r="BP60" s="515">
        <v>0</v>
      </c>
      <c r="BQ60" s="515">
        <v>0</v>
      </c>
      <c r="BR60" s="515">
        <v>822.1228082166831</v>
      </c>
      <c r="BS60" s="515">
        <v>1010.0702728210789</v>
      </c>
      <c r="BT60" s="515">
        <v>0</v>
      </c>
      <c r="BU60" s="516">
        <v>3.2987780483867577</v>
      </c>
      <c r="BV60" s="513">
        <v>0.96265640403115471</v>
      </c>
      <c r="BW60" s="514">
        <v>0.9128016046797901</v>
      </c>
      <c r="BX60" s="514">
        <v>0.96265640403115471</v>
      </c>
      <c r="BY60" s="514">
        <v>0.95904171727057463</v>
      </c>
      <c r="BZ60" s="511">
        <v>52.936</v>
      </c>
      <c r="CA60" s="511">
        <v>594.11900000000003</v>
      </c>
      <c r="CB60" s="515">
        <v>69.708070664329682</v>
      </c>
      <c r="CC60" s="515">
        <v>72.146032024035094</v>
      </c>
      <c r="CD60" s="511">
        <v>1.8059543599818648</v>
      </c>
      <c r="CE60" s="511">
        <v>1.8882749078888235</v>
      </c>
      <c r="CF60" s="515">
        <v>0</v>
      </c>
      <c r="CG60" s="515">
        <v>0</v>
      </c>
      <c r="CH60" s="515">
        <v>762.04681535820714</v>
      </c>
      <c r="CI60" s="515">
        <v>756.29675360842509</v>
      </c>
      <c r="CJ60" s="515">
        <v>437.88914916125151</v>
      </c>
      <c r="CK60" s="515">
        <v>486.70009543542631</v>
      </c>
      <c r="CL60" s="515">
        <v>0</v>
      </c>
      <c r="CM60" s="516">
        <v>0</v>
      </c>
    </row>
    <row r="61" spans="1:91">
      <c r="A61" s="558">
        <v>46094</v>
      </c>
      <c r="B61" s="513">
        <v>0.86259505762028721</v>
      </c>
      <c r="C61" s="514">
        <v>0.90570164999995717</v>
      </c>
      <c r="D61" s="514">
        <v>0.86259505762028721</v>
      </c>
      <c r="E61" s="514">
        <v>0.92196711644707652</v>
      </c>
      <c r="F61" s="511">
        <v>66.366</v>
      </c>
      <c r="G61" s="511">
        <v>823.16500000000008</v>
      </c>
      <c r="H61" s="511">
        <v>2.2182593496669982</v>
      </c>
      <c r="I61" s="511">
        <v>2.1124962796037243</v>
      </c>
      <c r="J61" s="511">
        <v>933.54699695623879</v>
      </c>
      <c r="K61" s="512">
        <v>881.67205845729688</v>
      </c>
      <c r="L61" s="513">
        <v>0.9113267729126513</v>
      </c>
      <c r="M61" s="514">
        <v>0.86315996760838165</v>
      </c>
      <c r="N61" s="514">
        <v>0.9113267729126513</v>
      </c>
      <c r="O61" s="514">
        <v>0.89156922681406592</v>
      </c>
      <c r="P61" s="511">
        <v>61.823999999999998</v>
      </c>
      <c r="Q61" s="511">
        <v>709.51599999999996</v>
      </c>
      <c r="R61" s="511">
        <v>2.0599281832298137</v>
      </c>
      <c r="S61" s="511">
        <v>2.1620273538581234</v>
      </c>
      <c r="T61" s="511">
        <v>0</v>
      </c>
      <c r="U61" s="511">
        <v>0</v>
      </c>
      <c r="V61" s="511">
        <v>574.90893504139649</v>
      </c>
      <c r="W61" s="511">
        <v>643.73343236798121</v>
      </c>
      <c r="X61" s="511">
        <v>540.76086956521738</v>
      </c>
      <c r="Y61" s="576">
        <v>478.0315031655382</v>
      </c>
      <c r="Z61" s="511">
        <v>0</v>
      </c>
      <c r="AA61" s="576">
        <v>0</v>
      </c>
      <c r="AB61" s="513">
        <v>0.88488626416255767</v>
      </c>
      <c r="AC61" s="514">
        <v>0.81000484610582857</v>
      </c>
      <c r="AD61" s="514">
        <v>0.88488626416255767</v>
      </c>
      <c r="AE61" s="514">
        <v>0.84225105857875948</v>
      </c>
      <c r="AF61" s="511">
        <v>38.853000000000002</v>
      </c>
      <c r="AG61" s="511">
        <v>486.74899999999997</v>
      </c>
      <c r="AH61" s="511">
        <v>138.39341852410053</v>
      </c>
      <c r="AI61" s="511">
        <v>124.21457935153579</v>
      </c>
      <c r="AJ61" s="511">
        <v>1.4876586106606953</v>
      </c>
      <c r="AK61" s="511">
        <v>1.3834645782528574</v>
      </c>
      <c r="AL61" s="511">
        <v>972.53185082232096</v>
      </c>
      <c r="AM61" s="511">
        <v>920.80637042911314</v>
      </c>
      <c r="AN61" s="511">
        <v>0</v>
      </c>
      <c r="AO61" s="512">
        <v>0</v>
      </c>
      <c r="AP61" s="594">
        <v>0.93731013283192754</v>
      </c>
      <c r="AQ61" s="514">
        <v>0.78537880848135755</v>
      </c>
      <c r="AR61" s="514">
        <v>0.93731013283192754</v>
      </c>
      <c r="AS61" s="514">
        <v>0.81682167934940764</v>
      </c>
      <c r="AT61" s="511">
        <v>48.695</v>
      </c>
      <c r="AU61" s="511">
        <v>542.41600000000005</v>
      </c>
      <c r="AV61" s="515">
        <v>89.615825177690766</v>
      </c>
      <c r="AW61" s="515">
        <v>96.466902547262876</v>
      </c>
      <c r="AX61" s="511">
        <v>1.4293048567614743</v>
      </c>
      <c r="AY61" s="511">
        <v>1.4699050175511046</v>
      </c>
      <c r="AZ61" s="511">
        <v>0</v>
      </c>
      <c r="BA61" s="511">
        <v>0</v>
      </c>
      <c r="BB61" s="511">
        <v>857.90697196837425</v>
      </c>
      <c r="BC61" s="511">
        <v>858.12656706291853</v>
      </c>
      <c r="BD61" s="511">
        <v>508.66719375705935</v>
      </c>
      <c r="BE61" s="576">
        <v>509.94398210967239</v>
      </c>
      <c r="BF61" s="511">
        <v>0</v>
      </c>
      <c r="BG61" s="512">
        <v>0</v>
      </c>
      <c r="BH61" s="513">
        <v>0.85322563601152057</v>
      </c>
      <c r="BI61" s="514">
        <v>0.8975575346921989</v>
      </c>
      <c r="BJ61" s="514">
        <v>0.85322563601152057</v>
      </c>
      <c r="BK61" s="514">
        <v>0.91533132530810923</v>
      </c>
      <c r="BL61" s="511">
        <v>44.822000000000003</v>
      </c>
      <c r="BM61" s="511">
        <v>614.7299999999999</v>
      </c>
      <c r="BN61" s="511">
        <v>2.6482530900004462</v>
      </c>
      <c r="BO61" s="511">
        <v>2.3904803734973084</v>
      </c>
      <c r="BP61" s="515">
        <v>0</v>
      </c>
      <c r="BQ61" s="515">
        <v>0</v>
      </c>
      <c r="BR61" s="515">
        <v>979.8687648910236</v>
      </c>
      <c r="BS61" s="515">
        <v>1007.8681808645435</v>
      </c>
      <c r="BT61" s="515">
        <v>0</v>
      </c>
      <c r="BU61" s="516">
        <v>3.058253216859435</v>
      </c>
      <c r="BV61" s="513">
        <v>0.91209932484407741</v>
      </c>
      <c r="BW61" s="514">
        <v>0.91274687213313155</v>
      </c>
      <c r="BX61" s="514">
        <v>0.91209932484407741</v>
      </c>
      <c r="BY61" s="514">
        <v>0.95521302414241815</v>
      </c>
      <c r="BZ61" s="511">
        <v>50.177999999999997</v>
      </c>
      <c r="CA61" s="511">
        <v>644.29700000000003</v>
      </c>
      <c r="CB61" s="515">
        <v>69.077243075759682</v>
      </c>
      <c r="CC61" s="515">
        <v>71.907034028007544</v>
      </c>
      <c r="CD61" s="511">
        <v>1.9111961417354222</v>
      </c>
      <c r="CE61" s="511">
        <v>1.8900600189043251</v>
      </c>
      <c r="CF61" s="515">
        <v>0</v>
      </c>
      <c r="CG61" s="515">
        <v>0</v>
      </c>
      <c r="CH61" s="515">
        <v>805.88429630624353</v>
      </c>
      <c r="CI61" s="515">
        <v>760.1586429505935</v>
      </c>
      <c r="CJ61" s="515">
        <v>482.09276973972658</v>
      </c>
      <c r="CK61" s="515">
        <v>486.34127584017932</v>
      </c>
      <c r="CL61" s="515">
        <v>0</v>
      </c>
      <c r="CM61" s="516">
        <v>0</v>
      </c>
    </row>
    <row r="62" spans="1:91">
      <c r="A62" s="558">
        <v>46095</v>
      </c>
      <c r="B62" s="513">
        <v>0.89454912748863524</v>
      </c>
      <c r="C62" s="514">
        <v>0.90482446083414148</v>
      </c>
      <c r="D62" s="514">
        <v>0.89454912748863524</v>
      </c>
      <c r="E62" s="514">
        <v>0.91977495268797094</v>
      </c>
      <c r="F62" s="511">
        <v>69.406999999999996</v>
      </c>
      <c r="G62" s="511">
        <v>892.57200000000012</v>
      </c>
      <c r="H62" s="511">
        <v>2.1694209517771981</v>
      </c>
      <c r="I62" s="511">
        <v>2.1169227804591668</v>
      </c>
      <c r="J62" s="511">
        <v>738.32034232859144</v>
      </c>
      <c r="K62" s="512">
        <v>870.52493244242635</v>
      </c>
      <c r="L62" s="513">
        <v>0.90298355743858694</v>
      </c>
      <c r="M62" s="514">
        <v>0.86619604275229756</v>
      </c>
      <c r="N62" s="514">
        <v>0.90298355743858694</v>
      </c>
      <c r="O62" s="514">
        <v>0.89246582521031603</v>
      </c>
      <c r="P62" s="511">
        <v>61.258000000000003</v>
      </c>
      <c r="Q62" s="511">
        <v>770.774</v>
      </c>
      <c r="R62" s="511">
        <v>2.0710111332397401</v>
      </c>
      <c r="S62" s="511">
        <v>2.1547937527731866</v>
      </c>
      <c r="T62" s="511">
        <v>0</v>
      </c>
      <c r="U62" s="511">
        <v>0</v>
      </c>
      <c r="V62" s="511">
        <v>608.35156224489742</v>
      </c>
      <c r="W62" s="511">
        <v>640.92142443828993</v>
      </c>
      <c r="X62" s="511">
        <v>537.33389924581274</v>
      </c>
      <c r="Y62" s="576">
        <v>482.7446177478742</v>
      </c>
      <c r="Z62" s="511">
        <v>0</v>
      </c>
      <c r="AA62" s="576">
        <v>0</v>
      </c>
      <c r="AB62" s="513">
        <v>0.85030075694254925</v>
      </c>
      <c r="AC62" s="514">
        <v>0.81294585803529129</v>
      </c>
      <c r="AD62" s="514">
        <v>0.85030075694254925</v>
      </c>
      <c r="AE62" s="514">
        <v>0.84286018765964466</v>
      </c>
      <c r="AF62" s="511">
        <v>40.228999999999999</v>
      </c>
      <c r="AG62" s="511">
        <v>526.97799999999995</v>
      </c>
      <c r="AH62" s="511">
        <v>143.04638196984226</v>
      </c>
      <c r="AI62" s="511">
        <v>125.65218127710355</v>
      </c>
      <c r="AJ62" s="511">
        <v>1.4293171592632181</v>
      </c>
      <c r="AK62" s="511">
        <v>1.3869649207367294</v>
      </c>
      <c r="AL62" s="511">
        <v>915.37448109571778</v>
      </c>
      <c r="AM62" s="511">
        <v>920.39170515657202</v>
      </c>
      <c r="AN62" s="511">
        <v>0</v>
      </c>
      <c r="AO62" s="512">
        <v>0</v>
      </c>
      <c r="AP62" s="594">
        <v>0.99057481693450367</v>
      </c>
      <c r="AQ62" s="514">
        <v>0.79975889973573477</v>
      </c>
      <c r="AR62" s="514">
        <v>0.99057481693450367</v>
      </c>
      <c r="AS62" s="514">
        <v>0.829450322396311</v>
      </c>
      <c r="AT62" s="511">
        <v>51.557000000000002</v>
      </c>
      <c r="AU62" s="511">
        <v>593.97300000000007</v>
      </c>
      <c r="AV62" s="515">
        <v>85.138591429693122</v>
      </c>
      <c r="AW62" s="515">
        <v>95.483602403504591</v>
      </c>
      <c r="AX62" s="511">
        <v>1.349962177783812</v>
      </c>
      <c r="AY62" s="511">
        <v>1.459493950061703</v>
      </c>
      <c r="AZ62" s="511">
        <v>0</v>
      </c>
      <c r="BA62" s="511">
        <v>0</v>
      </c>
      <c r="BB62" s="511">
        <v>720.26300987256661</v>
      </c>
      <c r="BC62" s="511">
        <v>846.15997696864986</v>
      </c>
      <c r="BD62" s="511">
        <v>533.00230812498796</v>
      </c>
      <c r="BE62" s="576">
        <v>511.94545038242478</v>
      </c>
      <c r="BF62" s="511">
        <v>0</v>
      </c>
      <c r="BG62" s="512">
        <v>0</v>
      </c>
      <c r="BH62" s="513">
        <v>0.8578301342568494</v>
      </c>
      <c r="BI62" s="514">
        <v>0.89491474329805909</v>
      </c>
      <c r="BJ62" s="514">
        <v>0.8578301342568494</v>
      </c>
      <c r="BK62" s="514">
        <v>0.91143555020591083</v>
      </c>
      <c r="BL62" s="511">
        <v>41.869</v>
      </c>
      <c r="BM62" s="511">
        <v>656.59899999999993</v>
      </c>
      <c r="BN62" s="511">
        <v>2.6917289641500872</v>
      </c>
      <c r="BO62" s="511">
        <v>2.4096899325158891</v>
      </c>
      <c r="BP62" s="515">
        <v>0</v>
      </c>
      <c r="BQ62" s="515">
        <v>0</v>
      </c>
      <c r="BR62" s="515">
        <v>1190.9419176825525</v>
      </c>
      <c r="BS62" s="515">
        <v>1019.5421466897019</v>
      </c>
      <c r="BT62" s="515">
        <v>0</v>
      </c>
      <c r="BU62" s="516">
        <v>2.8632392068827404</v>
      </c>
      <c r="BV62" s="513">
        <v>0.91384274980184321</v>
      </c>
      <c r="BW62" s="514">
        <v>0.91282569107975708</v>
      </c>
      <c r="BX62" s="514">
        <v>0.91384274980184321</v>
      </c>
      <c r="BY62" s="514">
        <v>0.95210949383223564</v>
      </c>
      <c r="BZ62" s="511">
        <v>49.991</v>
      </c>
      <c r="CA62" s="511">
        <v>694.28800000000001</v>
      </c>
      <c r="CB62" s="515">
        <v>70.010536724500966</v>
      </c>
      <c r="CC62" s="515">
        <v>71.770480037877235</v>
      </c>
      <c r="CD62" s="511">
        <v>1.9123442219599527</v>
      </c>
      <c r="CE62" s="511">
        <v>1.891664554190768</v>
      </c>
      <c r="CF62" s="515">
        <v>0</v>
      </c>
      <c r="CG62" s="515">
        <v>0</v>
      </c>
      <c r="CH62" s="515">
        <v>865.16078591244752</v>
      </c>
      <c r="CI62" s="515">
        <v>767.71913964476948</v>
      </c>
      <c r="CJ62" s="515">
        <v>516.89304074733457</v>
      </c>
      <c r="CK62" s="515">
        <v>488.54110253958015</v>
      </c>
      <c r="CL62" s="515">
        <v>0</v>
      </c>
      <c r="CM62" s="516">
        <v>0</v>
      </c>
    </row>
    <row r="63" spans="1:91">
      <c r="A63" s="558">
        <v>46096</v>
      </c>
      <c r="B63" s="513">
        <v>0.89359553704383055</v>
      </c>
      <c r="C63" s="514">
        <v>0.90396756101469511</v>
      </c>
      <c r="D63" s="514">
        <v>1.0107531917595967</v>
      </c>
      <c r="E63" s="514">
        <v>0.92606295917051684</v>
      </c>
      <c r="F63" s="511">
        <v>72.825999999999993</v>
      </c>
      <c r="G63" s="511">
        <v>965.39800000000014</v>
      </c>
      <c r="H63" s="511">
        <v>2.0596764891659576</v>
      </c>
      <c r="I63" s="511">
        <v>2.112604335206826</v>
      </c>
      <c r="J63" s="511">
        <v>746.21289100046283</v>
      </c>
      <c r="K63" s="512">
        <v>861.14729883426435</v>
      </c>
      <c r="L63" s="513">
        <v>0.90350440326698234</v>
      </c>
      <c r="M63" s="514">
        <v>0.86829761841849806</v>
      </c>
      <c r="N63" s="514">
        <v>0.90350440326698234</v>
      </c>
      <c r="O63" s="514">
        <v>0.89310539228973829</v>
      </c>
      <c r="P63" s="511">
        <v>47.991</v>
      </c>
      <c r="Q63" s="511">
        <v>818.76499999999999</v>
      </c>
      <c r="R63" s="511">
        <v>2.3272488591610929</v>
      </c>
      <c r="S63" s="511">
        <v>2.1649020170622832</v>
      </c>
      <c r="T63" s="511">
        <v>0</v>
      </c>
      <c r="U63" s="511">
        <v>0</v>
      </c>
      <c r="V63" s="511">
        <v>850.25838177993114</v>
      </c>
      <c r="W63" s="511">
        <v>653.19147740804635</v>
      </c>
      <c r="X63" s="511">
        <v>420.97476610197742</v>
      </c>
      <c r="Y63" s="576">
        <v>479.12404658235272</v>
      </c>
      <c r="Z63" s="511">
        <v>0</v>
      </c>
      <c r="AA63" s="576">
        <v>0</v>
      </c>
      <c r="AB63" s="513">
        <v>0.8560378307769696</v>
      </c>
      <c r="AC63" s="514">
        <v>0.81589430868500057</v>
      </c>
      <c r="AD63" s="514">
        <v>0.8560378307769696</v>
      </c>
      <c r="AE63" s="514">
        <v>0.84379266238470674</v>
      </c>
      <c r="AF63" s="511">
        <v>40.756999999999998</v>
      </c>
      <c r="AG63" s="511">
        <v>567.7349999999999</v>
      </c>
      <c r="AH63" s="511">
        <v>134.37711715796863</v>
      </c>
      <c r="AI63" s="511">
        <v>126.27853373326077</v>
      </c>
      <c r="AJ63" s="511">
        <v>1.3936256348602694</v>
      </c>
      <c r="AK63" s="511">
        <v>1.3874430852422348</v>
      </c>
      <c r="AL63" s="511">
        <v>872.08823024266655</v>
      </c>
      <c r="AM63" s="511">
        <v>916.92405787911696</v>
      </c>
      <c r="AN63" s="511">
        <v>0</v>
      </c>
      <c r="AO63" s="512">
        <v>0</v>
      </c>
      <c r="AP63" s="594">
        <v>1.0104476710924306</v>
      </c>
      <c r="AQ63" s="514">
        <v>0.81347544197889277</v>
      </c>
      <c r="AR63" s="514">
        <v>1.0104476710924306</v>
      </c>
      <c r="AS63" s="514">
        <v>0.84164185619515353</v>
      </c>
      <c r="AT63" s="511">
        <v>52.259</v>
      </c>
      <c r="AU63" s="511">
        <v>646.23200000000008</v>
      </c>
      <c r="AV63" s="515">
        <v>83.706463718890362</v>
      </c>
      <c r="AW63" s="515">
        <v>94.531217670901967</v>
      </c>
      <c r="AX63" s="511">
        <v>1.3280009185020762</v>
      </c>
      <c r="AY63" s="511">
        <v>1.4488604711620594</v>
      </c>
      <c r="AZ63" s="511">
        <v>0</v>
      </c>
      <c r="BA63" s="511">
        <v>0</v>
      </c>
      <c r="BB63" s="511">
        <v>730.47130637784892</v>
      </c>
      <c r="BC63" s="511">
        <v>836.80455316356938</v>
      </c>
      <c r="BD63" s="511">
        <v>525.58219636808974</v>
      </c>
      <c r="BE63" s="576">
        <v>513.04821643001287</v>
      </c>
      <c r="BF63" s="511">
        <v>0</v>
      </c>
      <c r="BG63" s="512">
        <v>0</v>
      </c>
      <c r="BH63" s="513">
        <v>0.88039818474601084</v>
      </c>
      <c r="BI63" s="514">
        <v>0.89402654991539698</v>
      </c>
      <c r="BJ63" s="514">
        <v>0.88039818474601084</v>
      </c>
      <c r="BK63" s="514">
        <v>0.90950365863660532</v>
      </c>
      <c r="BL63" s="511">
        <v>42.097999999999999</v>
      </c>
      <c r="BM63" s="511">
        <v>698.69699999999989</v>
      </c>
      <c r="BN63" s="511">
        <v>2.6580835194070978</v>
      </c>
      <c r="BO63" s="511">
        <v>2.4246561814348713</v>
      </c>
      <c r="BP63" s="515">
        <v>0</v>
      </c>
      <c r="BQ63" s="515">
        <v>0</v>
      </c>
      <c r="BR63" s="515">
        <v>1135.1477484037459</v>
      </c>
      <c r="BS63" s="515">
        <v>1026.5076333326358</v>
      </c>
      <c r="BT63" s="515">
        <v>0</v>
      </c>
      <c r="BU63" s="516">
        <v>2.6907228741500253</v>
      </c>
      <c r="BV63" s="513">
        <v>0.92105049755528379</v>
      </c>
      <c r="BW63" s="514">
        <v>0.91336776940734021</v>
      </c>
      <c r="BX63" s="514">
        <v>0.92105049755528379</v>
      </c>
      <c r="BY63" s="514">
        <v>0.9499804101062449</v>
      </c>
      <c r="BZ63" s="511">
        <v>49.429000000000002</v>
      </c>
      <c r="CA63" s="511">
        <v>743.71699999999998</v>
      </c>
      <c r="CB63" s="515">
        <v>68.356142113074938</v>
      </c>
      <c r="CC63" s="515">
        <v>71.543555940021392</v>
      </c>
      <c r="CD63" s="511">
        <v>1.9522952113131966</v>
      </c>
      <c r="CE63" s="511">
        <v>1.895694195507162</v>
      </c>
      <c r="CF63" s="515">
        <v>0</v>
      </c>
      <c r="CG63" s="515">
        <v>0</v>
      </c>
      <c r="CH63" s="515">
        <v>829.74873227657974</v>
      </c>
      <c r="CI63" s="515">
        <v>771.84175716487152</v>
      </c>
      <c r="CJ63" s="515">
        <v>479.95306399077469</v>
      </c>
      <c r="CK63" s="515">
        <v>487.97032338913863</v>
      </c>
      <c r="CL63" s="515">
        <v>0</v>
      </c>
      <c r="CM63" s="516">
        <v>0</v>
      </c>
    </row>
    <row r="64" spans="1:91">
      <c r="A64" s="558">
        <v>46097</v>
      </c>
      <c r="B64" s="513">
        <v>0.86967004307852791</v>
      </c>
      <c r="C64" s="514">
        <v>0.9017678172796868</v>
      </c>
      <c r="D64" s="514">
        <v>0.86967004307852791</v>
      </c>
      <c r="E64" s="514">
        <v>0.922363473797297</v>
      </c>
      <c r="F64" s="511">
        <v>63.651000000000003</v>
      </c>
      <c r="G64" s="511">
        <v>1029.0490000000002</v>
      </c>
      <c r="H64" s="511">
        <v>2.4457746146957624</v>
      </c>
      <c r="I64" s="511">
        <v>2.1332123154485347</v>
      </c>
      <c r="J64" s="511">
        <v>854.76740349721797</v>
      </c>
      <c r="K64" s="512">
        <v>860.75267552857292</v>
      </c>
      <c r="L64" s="513">
        <v>0.8604943990126217</v>
      </c>
      <c r="M64" s="514">
        <v>0.86788407684922897</v>
      </c>
      <c r="N64" s="514">
        <v>0.8604943990126217</v>
      </c>
      <c r="O64" s="514">
        <v>0.89133044116544824</v>
      </c>
      <c r="P64" s="511">
        <v>45.408000000000001</v>
      </c>
      <c r="Q64" s="511">
        <v>864.173</v>
      </c>
      <c r="R64" s="511">
        <v>2.5069371035940806</v>
      </c>
      <c r="S64" s="511">
        <v>2.1828742624451358</v>
      </c>
      <c r="T64" s="511">
        <v>0</v>
      </c>
      <c r="U64" s="511">
        <v>0</v>
      </c>
      <c r="V64" s="511">
        <v>857.40838618749854</v>
      </c>
      <c r="W64" s="511">
        <v>663.92206190195839</v>
      </c>
      <c r="X64" s="511">
        <v>433.53594080338263</v>
      </c>
      <c r="Y64" s="576">
        <v>476.72861799662797</v>
      </c>
      <c r="Z64" s="511">
        <v>0</v>
      </c>
      <c r="AA64" s="576">
        <v>0</v>
      </c>
      <c r="AB64" s="513">
        <v>0.85259394685094025</v>
      </c>
      <c r="AC64" s="514">
        <v>0.81818540000803031</v>
      </c>
      <c r="AD64" s="514">
        <v>0.85259394685094025</v>
      </c>
      <c r="AE64" s="514">
        <v>0.84435968769018133</v>
      </c>
      <c r="AF64" s="511">
        <v>39.503</v>
      </c>
      <c r="AG64" s="511">
        <v>607.23799999999994</v>
      </c>
      <c r="AH64" s="511">
        <v>125.95426061144721</v>
      </c>
      <c r="AI64" s="511">
        <v>126.25743860889273</v>
      </c>
      <c r="AJ64" s="511">
        <v>1.4277396653418728</v>
      </c>
      <c r="AK64" s="511">
        <v>1.3900645216537835</v>
      </c>
      <c r="AL64" s="511">
        <v>962.12439561551378</v>
      </c>
      <c r="AM64" s="511">
        <v>919.86450123345367</v>
      </c>
      <c r="AN64" s="511">
        <v>0</v>
      </c>
      <c r="AO64" s="512">
        <v>0</v>
      </c>
      <c r="AP64" s="594">
        <v>1.0339152184855311</v>
      </c>
      <c r="AQ64" s="514">
        <v>0.82692363643200062</v>
      </c>
      <c r="AR64" s="514">
        <v>1.0339152184855311</v>
      </c>
      <c r="AS64" s="514">
        <v>0.8537522875840301</v>
      </c>
      <c r="AT64" s="511">
        <v>53.363</v>
      </c>
      <c r="AU64" s="511">
        <v>699.59500000000003</v>
      </c>
      <c r="AV64" s="515">
        <v>72.44548467717587</v>
      </c>
      <c r="AW64" s="515">
        <v>92.846584462053698</v>
      </c>
      <c r="AX64" s="511">
        <v>1.3230140734216591</v>
      </c>
      <c r="AY64" s="511">
        <v>1.4392612868874135</v>
      </c>
      <c r="AZ64" s="511">
        <v>0</v>
      </c>
      <c r="BA64" s="511">
        <v>0</v>
      </c>
      <c r="BB64" s="511">
        <v>811.5510747146908</v>
      </c>
      <c r="BC64" s="511">
        <v>834.87829387002466</v>
      </c>
      <c r="BD64" s="511">
        <v>429.11755336094302</v>
      </c>
      <c r="BE64" s="576">
        <v>506.64623818066178</v>
      </c>
      <c r="BF64" s="511">
        <v>0</v>
      </c>
      <c r="BG64" s="512">
        <v>0</v>
      </c>
      <c r="BH64" s="513">
        <v>0.78522020573024376</v>
      </c>
      <c r="BI64" s="514">
        <v>0.88755585208732191</v>
      </c>
      <c r="BJ64" s="514">
        <v>0.78522020573024376</v>
      </c>
      <c r="BK64" s="514">
        <v>0.90199231970173921</v>
      </c>
      <c r="BL64" s="511">
        <v>38.802</v>
      </c>
      <c r="BM64" s="511">
        <v>737.49899999999991</v>
      </c>
      <c r="BN64" s="511">
        <v>2.8581000979330966</v>
      </c>
      <c r="BO64" s="511">
        <v>2.4474609457097576</v>
      </c>
      <c r="BP64" s="515">
        <v>0</v>
      </c>
      <c r="BQ64" s="515">
        <v>0</v>
      </c>
      <c r="BR64" s="515">
        <v>1234.9901231953575</v>
      </c>
      <c r="BS64" s="515">
        <v>1037.4765127096293</v>
      </c>
      <c r="BT64" s="515">
        <v>0</v>
      </c>
      <c r="BU64" s="516">
        <v>2.5491559988555919</v>
      </c>
      <c r="BV64" s="513">
        <v>0.93446708034884973</v>
      </c>
      <c r="BW64" s="514">
        <v>0.91467939419791522</v>
      </c>
      <c r="BX64" s="514">
        <v>0.93446708034884973</v>
      </c>
      <c r="BY64" s="514">
        <v>0.94897987006646534</v>
      </c>
      <c r="BZ64" s="511">
        <v>50.436</v>
      </c>
      <c r="CA64" s="511">
        <v>794.15300000000002</v>
      </c>
      <c r="CB64" s="515">
        <v>59.789048382858795</v>
      </c>
      <c r="CC64" s="515">
        <v>70.797036889973029</v>
      </c>
      <c r="CD64" s="511">
        <v>1.8954714886192401</v>
      </c>
      <c r="CE64" s="511">
        <v>1.8956800515769627</v>
      </c>
      <c r="CF64" s="515">
        <v>0</v>
      </c>
      <c r="CG64" s="515">
        <v>0</v>
      </c>
      <c r="CH64" s="515">
        <v>788.5302807473679</v>
      </c>
      <c r="CI64" s="515">
        <v>772.90163149060822</v>
      </c>
      <c r="CJ64" s="515">
        <v>404.29455151082567</v>
      </c>
      <c r="CK64" s="515">
        <v>482.65614434498139</v>
      </c>
      <c r="CL64" s="515">
        <v>0</v>
      </c>
      <c r="CM64" s="516">
        <v>0</v>
      </c>
    </row>
    <row r="65" spans="1:91">
      <c r="A65" s="558">
        <v>46098</v>
      </c>
      <c r="B65" s="513">
        <v>0.7672032016448288</v>
      </c>
      <c r="C65" s="514">
        <v>0.89396442958808009</v>
      </c>
      <c r="D65" s="514">
        <v>0.7672032016448288</v>
      </c>
      <c r="E65" s="514">
        <v>0.91317241830070461</v>
      </c>
      <c r="F65" s="511">
        <v>53.895000000000003</v>
      </c>
      <c r="G65" s="511">
        <v>1082.9440000000002</v>
      </c>
      <c r="H65" s="511">
        <v>2.0912515075609979</v>
      </c>
      <c r="I65" s="511">
        <v>2.1311240470421366</v>
      </c>
      <c r="J65" s="511">
        <v>1053.8651080805384</v>
      </c>
      <c r="K65" s="512">
        <v>870.36332441936338</v>
      </c>
      <c r="L65" s="513">
        <v>0.72757983813167149</v>
      </c>
      <c r="M65" s="514">
        <v>0.86094230214255452</v>
      </c>
      <c r="N65" s="514">
        <v>0.72757983813167149</v>
      </c>
      <c r="O65" s="514">
        <v>0.88302085217639192</v>
      </c>
      <c r="P65" s="511">
        <v>37.71</v>
      </c>
      <c r="Q65" s="511">
        <v>901.88300000000004</v>
      </c>
      <c r="R65" s="511">
        <v>3.0222487403871652</v>
      </c>
      <c r="S65" s="511">
        <v>2.2179706236840038</v>
      </c>
      <c r="T65" s="511">
        <v>0</v>
      </c>
      <c r="U65" s="511">
        <v>0</v>
      </c>
      <c r="V65" s="511">
        <v>1075.7541766109734</v>
      </c>
      <c r="W65" s="511">
        <v>681.14179998957832</v>
      </c>
      <c r="X65" s="511">
        <v>487.5364624767966</v>
      </c>
      <c r="Y65" s="576">
        <v>477.18052119842599</v>
      </c>
      <c r="Z65" s="511">
        <v>0</v>
      </c>
      <c r="AA65" s="576">
        <v>0</v>
      </c>
      <c r="AB65" s="513">
        <v>0.13201344225354855</v>
      </c>
      <c r="AC65" s="514">
        <v>0.77946789620444568</v>
      </c>
      <c r="AD65" s="514">
        <v>1.0862820391149137</v>
      </c>
      <c r="AE65" s="514">
        <v>0.84616054986694533</v>
      </c>
      <c r="AF65" s="511">
        <v>5.859</v>
      </c>
      <c r="AG65" s="511">
        <v>613.09699999999998</v>
      </c>
      <c r="AH65" s="511">
        <v>85.789810414836097</v>
      </c>
      <c r="AI65" s="511">
        <v>125.87071377809275</v>
      </c>
      <c r="AJ65" s="511">
        <v>1.4678272742788872</v>
      </c>
      <c r="AK65" s="511">
        <v>1.3908076536013063</v>
      </c>
      <c r="AL65" s="511">
        <v>2001.7170165558503</v>
      </c>
      <c r="AM65" s="511">
        <v>930.2031163094922</v>
      </c>
      <c r="AN65" s="511">
        <v>0</v>
      </c>
      <c r="AO65" s="512">
        <v>0</v>
      </c>
      <c r="AP65" s="594">
        <v>1.0342833460111804</v>
      </c>
      <c r="AQ65" s="514">
        <v>0.83884649712773385</v>
      </c>
      <c r="AR65" s="514">
        <v>1.0342833460111804</v>
      </c>
      <c r="AS65" s="514">
        <v>0.86444936369405811</v>
      </c>
      <c r="AT65" s="511">
        <v>53.381999999999998</v>
      </c>
      <c r="AU65" s="511">
        <v>752.97699999999998</v>
      </c>
      <c r="AV65" s="515">
        <v>115.22337000231931</v>
      </c>
      <c r="AW65" s="515">
        <v>94.432977626400643</v>
      </c>
      <c r="AX65" s="511">
        <v>1.3356562137049941</v>
      </c>
      <c r="AY65" s="511">
        <v>1.4319162471098057</v>
      </c>
      <c r="AZ65" s="511">
        <v>0</v>
      </c>
      <c r="BA65" s="511">
        <v>0</v>
      </c>
      <c r="BB65" s="511">
        <v>791.05428796223316</v>
      </c>
      <c r="BC65" s="511">
        <v>831.77140868844583</v>
      </c>
      <c r="BD65" s="511">
        <v>448.35804203664179</v>
      </c>
      <c r="BE65" s="576">
        <v>502.51392007989637</v>
      </c>
      <c r="BF65" s="511">
        <v>0</v>
      </c>
      <c r="BG65" s="512">
        <v>0</v>
      </c>
      <c r="BH65" s="513">
        <v>0.39966019110013967</v>
      </c>
      <c r="BI65" s="514">
        <v>0.86043578695459</v>
      </c>
      <c r="BJ65" s="514">
        <v>7.1938834398025131</v>
      </c>
      <c r="BK65" s="514">
        <v>0.92283129278225906</v>
      </c>
      <c r="BL65" s="511">
        <v>19.545999999999999</v>
      </c>
      <c r="BM65" s="511">
        <v>757.04499999999996</v>
      </c>
      <c r="BN65" s="511">
        <v>0.29161976875063955</v>
      </c>
      <c r="BO65" s="511">
        <v>2.3917996948662239</v>
      </c>
      <c r="BP65" s="515">
        <v>0</v>
      </c>
      <c r="BQ65" s="515">
        <v>0</v>
      </c>
      <c r="BR65" s="515">
        <v>302.56577591158367</v>
      </c>
      <c r="BS65" s="515">
        <v>1018.5019930160115</v>
      </c>
      <c r="BT65" s="515">
        <v>0</v>
      </c>
      <c r="BU65" s="516">
        <v>2.4833398278834151</v>
      </c>
      <c r="BV65" s="513">
        <v>0.98181630272720355</v>
      </c>
      <c r="BW65" s="514">
        <v>0.91854474538141062</v>
      </c>
      <c r="BX65" s="514">
        <v>0.98181630272720355</v>
      </c>
      <c r="BY65" s="514">
        <v>0.9509370693490814</v>
      </c>
      <c r="BZ65" s="511">
        <v>52.076999999999998</v>
      </c>
      <c r="CA65" s="511">
        <v>846.23</v>
      </c>
      <c r="CB65" s="515">
        <v>91.508795885240417</v>
      </c>
      <c r="CC65" s="515">
        <v>72.071638680498708</v>
      </c>
      <c r="CD65" s="511">
        <v>1.8184611248727847</v>
      </c>
      <c r="CE65" s="511">
        <v>1.8909279982983347</v>
      </c>
      <c r="CF65" s="515">
        <v>0</v>
      </c>
      <c r="CG65" s="515">
        <v>0</v>
      </c>
      <c r="CH65" s="515">
        <v>822.63435574306448</v>
      </c>
      <c r="CI65" s="515">
        <v>775.9621836819689</v>
      </c>
      <c r="CJ65" s="515">
        <v>411.99859822954505</v>
      </c>
      <c r="CK65" s="515">
        <v>478.3078784727557</v>
      </c>
      <c r="CL65" s="515">
        <v>0</v>
      </c>
      <c r="CM65" s="516">
        <v>0</v>
      </c>
    </row>
    <row r="66" spans="1:91">
      <c r="A66" s="558">
        <v>46099</v>
      </c>
      <c r="B66" s="513">
        <v>1.0050708078537627</v>
      </c>
      <c r="C66" s="514">
        <v>0.89898527824635455</v>
      </c>
      <c r="D66" s="514">
        <v>1.0050708078537627</v>
      </c>
      <c r="E66" s="514">
        <v>0.91741038081196935</v>
      </c>
      <c r="F66" s="511">
        <v>57.624000000000002</v>
      </c>
      <c r="G66" s="511">
        <v>1140.5680000000002</v>
      </c>
      <c r="H66" s="511">
        <v>2.1364188532555879</v>
      </c>
      <c r="I66" s="511">
        <v>2.1313915522792146</v>
      </c>
      <c r="J66" s="511">
        <v>975.65736498679485</v>
      </c>
      <c r="K66" s="512">
        <v>875.68301057017391</v>
      </c>
      <c r="L66" s="513">
        <v>0.9683305590444593</v>
      </c>
      <c r="M66" s="514">
        <v>0.86601338631263181</v>
      </c>
      <c r="N66" s="514">
        <v>0.9683305590444593</v>
      </c>
      <c r="O66" s="514">
        <v>0.8871476555767267</v>
      </c>
      <c r="P66" s="511">
        <v>50.274999999999999</v>
      </c>
      <c r="Q66" s="511">
        <v>952.15800000000002</v>
      </c>
      <c r="R66" s="511">
        <v>2.3240179015415219</v>
      </c>
      <c r="S66" s="511">
        <v>2.2235700377458367</v>
      </c>
      <c r="T66" s="511">
        <v>0</v>
      </c>
      <c r="U66" s="511">
        <v>0</v>
      </c>
      <c r="V66" s="511">
        <v>712.66673296863803</v>
      </c>
      <c r="W66" s="511">
        <v>682.80635146687746</v>
      </c>
      <c r="X66" s="511">
        <v>374.79860765788163</v>
      </c>
      <c r="Y66" s="576">
        <v>471.7746424437961</v>
      </c>
      <c r="Z66" s="511">
        <v>0</v>
      </c>
      <c r="AA66" s="576">
        <v>0</v>
      </c>
      <c r="AB66" s="513">
        <v>0</v>
      </c>
      <c r="AC66" s="514">
        <v>0.73798864517640017</v>
      </c>
      <c r="AD66" s="514" t="e">
        <v>#DIV/0!</v>
      </c>
      <c r="AE66" s="514">
        <v>0.84616054986694533</v>
      </c>
      <c r="AF66" s="511">
        <v>0</v>
      </c>
      <c r="AG66" s="511">
        <v>613.09699999999998</v>
      </c>
      <c r="AH66" s="511">
        <v>0</v>
      </c>
      <c r="AI66" s="511">
        <v>125.87071377809275</v>
      </c>
      <c r="AJ66" s="511">
        <v>0</v>
      </c>
      <c r="AK66" s="511">
        <v>1.3942328864763653</v>
      </c>
      <c r="AL66" s="511">
        <v>0</v>
      </c>
      <c r="AM66" s="511">
        <v>939.84478801886087</v>
      </c>
      <c r="AN66" s="511">
        <v>0</v>
      </c>
      <c r="AO66" s="512">
        <v>0</v>
      </c>
      <c r="AP66" s="594">
        <v>0.88917135028025607</v>
      </c>
      <c r="AQ66" s="514">
        <v>0.84159418684621523</v>
      </c>
      <c r="AR66" s="514">
        <v>0.88917135028025607</v>
      </c>
      <c r="AS66" s="514">
        <v>0.86583804463954739</v>
      </c>
      <c r="AT66" s="511">
        <v>46.094999999999999</v>
      </c>
      <c r="AU66" s="511">
        <v>799.072</v>
      </c>
      <c r="AV66" s="515">
        <v>114.2866154015294</v>
      </c>
      <c r="AW66" s="515">
        <v>95.578247931510262</v>
      </c>
      <c r="AX66" s="511">
        <v>1.429656144918104</v>
      </c>
      <c r="AY66" s="511">
        <v>1.431785871611069</v>
      </c>
      <c r="AZ66" s="511">
        <v>0</v>
      </c>
      <c r="BA66" s="511">
        <v>0</v>
      </c>
      <c r="BB66" s="511">
        <v>949.58845861807265</v>
      </c>
      <c r="BC66" s="511">
        <v>838.5677636057826</v>
      </c>
      <c r="BD66" s="511">
        <v>453.56229525978932</v>
      </c>
      <c r="BE66" s="576">
        <v>499.6901130311162</v>
      </c>
      <c r="BF66" s="511">
        <v>0</v>
      </c>
      <c r="BG66" s="512">
        <v>0</v>
      </c>
      <c r="BH66" s="513">
        <v>0</v>
      </c>
      <c r="BI66" s="514">
        <v>0.81512634609431467</v>
      </c>
      <c r="BJ66" s="514" t="e">
        <v>#DIV/0!</v>
      </c>
      <c r="BK66" s="514">
        <v>0.92283129278225906</v>
      </c>
      <c r="BL66" s="511">
        <v>0</v>
      </c>
      <c r="BM66" s="511">
        <v>757.04499999999996</v>
      </c>
      <c r="BN66" s="511">
        <v>0</v>
      </c>
      <c r="BO66" s="511">
        <v>2.3917996948662239</v>
      </c>
      <c r="BP66" s="515">
        <v>0</v>
      </c>
      <c r="BQ66" s="515">
        <v>0</v>
      </c>
      <c r="BR66" s="515">
        <v>0</v>
      </c>
      <c r="BS66" s="515">
        <v>1021.5419444059563</v>
      </c>
      <c r="BT66" s="515">
        <v>0</v>
      </c>
      <c r="BU66" s="516">
        <v>2.4833398278834151</v>
      </c>
      <c r="BV66" s="513">
        <v>1.0212327727048958</v>
      </c>
      <c r="BW66" s="514">
        <v>0.92463516674645674</v>
      </c>
      <c r="BX66" s="514">
        <v>1.0212327727048958</v>
      </c>
      <c r="BY66" s="514">
        <v>0.95524432220891276</v>
      </c>
      <c r="BZ66" s="511">
        <v>59.319000000000003</v>
      </c>
      <c r="CA66" s="511">
        <v>905.54899999999998</v>
      </c>
      <c r="CB66" s="515">
        <v>66.318691533345159</v>
      </c>
      <c r="CC66" s="515">
        <v>71.694785443598221</v>
      </c>
      <c r="CD66" s="511">
        <v>1.6672566968424958</v>
      </c>
      <c r="CE66" s="511">
        <v>1.876276159545204</v>
      </c>
      <c r="CF66" s="515">
        <v>0</v>
      </c>
      <c r="CG66" s="515">
        <v>0</v>
      </c>
      <c r="CH66" s="515">
        <v>632.2183448810913</v>
      </c>
      <c r="CI66" s="515">
        <v>766.5460827599544</v>
      </c>
      <c r="CJ66" s="515">
        <v>387.44661912709228</v>
      </c>
      <c r="CK66" s="515">
        <v>472.35591006118943</v>
      </c>
      <c r="CL66" s="515">
        <v>0</v>
      </c>
      <c r="CM66" s="516">
        <v>0</v>
      </c>
    </row>
    <row r="67" spans="1:91">
      <c r="A67" s="558">
        <v>46100</v>
      </c>
      <c r="B67" s="513">
        <v>1.0356260485905409</v>
      </c>
      <c r="C67" s="514">
        <v>0.90505621388819713</v>
      </c>
      <c r="D67" s="514">
        <v>1.0356260485905409</v>
      </c>
      <c r="E67" s="514">
        <v>0.92276546304163642</v>
      </c>
      <c r="F67" s="511">
        <v>61.091999999999999</v>
      </c>
      <c r="G67" s="511">
        <v>1201.6600000000003</v>
      </c>
      <c r="H67" s="511">
        <v>2.0218195508413541</v>
      </c>
      <c r="I67" s="511">
        <v>2.1258209476890295</v>
      </c>
      <c r="J67" s="511">
        <v>893.65481568781104</v>
      </c>
      <c r="K67" s="512">
        <v>876.59669124378092</v>
      </c>
      <c r="L67" s="513">
        <v>0.92846575652092977</v>
      </c>
      <c r="M67" s="514">
        <v>0.86883051632995223</v>
      </c>
      <c r="N67" s="514">
        <v>0.92846575652092977</v>
      </c>
      <c r="O67" s="514">
        <v>0.88905483608838232</v>
      </c>
      <c r="P67" s="511">
        <v>48.222999999999999</v>
      </c>
      <c r="Q67" s="511">
        <v>1000.381</v>
      </c>
      <c r="R67" s="511">
        <v>2.4353109512058562</v>
      </c>
      <c r="S67" s="511">
        <v>2.2337769309892939</v>
      </c>
      <c r="T67" s="511">
        <v>0</v>
      </c>
      <c r="U67" s="511">
        <v>0</v>
      </c>
      <c r="V67" s="511">
        <v>693.48526636667725</v>
      </c>
      <c r="W67" s="511">
        <v>683.32112465150726</v>
      </c>
      <c r="X67" s="511">
        <v>365.53097069862929</v>
      </c>
      <c r="Y67" s="576">
        <v>466.65320512884591</v>
      </c>
      <c r="Z67" s="511">
        <v>0</v>
      </c>
      <c r="AA67" s="576">
        <v>0</v>
      </c>
      <c r="AB67" s="513">
        <v>0</v>
      </c>
      <c r="AC67" s="514">
        <v>0.70070096304934359</v>
      </c>
      <c r="AD67" s="514" t="e">
        <v>#DIV/0!</v>
      </c>
      <c r="AE67" s="514">
        <v>0.84616054986694533</v>
      </c>
      <c r="AF67" s="511">
        <v>0</v>
      </c>
      <c r="AG67" s="511">
        <v>613.09699999999998</v>
      </c>
      <c r="AH67" s="511">
        <v>0</v>
      </c>
      <c r="AI67" s="511">
        <v>125.87071377809275</v>
      </c>
      <c r="AJ67" s="511">
        <v>0</v>
      </c>
      <c r="AK67" s="511">
        <v>1.3994522889526455</v>
      </c>
      <c r="AL67" s="511">
        <v>0</v>
      </c>
      <c r="AM67" s="511">
        <v>945.8228958876</v>
      </c>
      <c r="AN67" s="511">
        <v>0</v>
      </c>
      <c r="AO67" s="512">
        <v>0</v>
      </c>
      <c r="AP67" s="594">
        <v>0.95454062845367194</v>
      </c>
      <c r="AQ67" s="514">
        <v>0.84721545222774441</v>
      </c>
      <c r="AR67" s="514">
        <v>0.95454062845367194</v>
      </c>
      <c r="AS67" s="514">
        <v>0.87037338138744047</v>
      </c>
      <c r="AT67" s="511">
        <v>47.469000000000001</v>
      </c>
      <c r="AU67" s="511">
        <v>846.54100000000005</v>
      </c>
      <c r="AV67" s="515">
        <v>111.59968938723385</v>
      </c>
      <c r="AW67" s="515">
        <v>96.476635374601315</v>
      </c>
      <c r="AX67" s="511">
        <v>1.3735279866860477</v>
      </c>
      <c r="AY67" s="511">
        <v>1.4285191148449987</v>
      </c>
      <c r="AZ67" s="511">
        <v>0</v>
      </c>
      <c r="BA67" s="511">
        <v>0</v>
      </c>
      <c r="BB67" s="511">
        <v>896.06185089216183</v>
      </c>
      <c r="BC67" s="511">
        <v>841.79169112895875</v>
      </c>
      <c r="BD67" s="511">
        <v>495.25559839052875</v>
      </c>
      <c r="BE67" s="576">
        <v>499.44145174303441</v>
      </c>
      <c r="BF67" s="511">
        <v>0</v>
      </c>
      <c r="BG67" s="512">
        <v>0</v>
      </c>
      <c r="BH67" s="513">
        <v>0</v>
      </c>
      <c r="BI67" s="514">
        <v>0.77435006835326137</v>
      </c>
      <c r="BJ67" s="514" t="e">
        <v>#DIV/0!</v>
      </c>
      <c r="BK67" s="514">
        <v>0.92283129278225906</v>
      </c>
      <c r="BL67" s="511">
        <v>0</v>
      </c>
      <c r="BM67" s="511">
        <v>757.04499999999996</v>
      </c>
      <c r="BN67" s="511">
        <v>0</v>
      </c>
      <c r="BO67" s="511">
        <v>2.3917996948662239</v>
      </c>
      <c r="BP67" s="515">
        <v>0</v>
      </c>
      <c r="BQ67" s="515">
        <v>0</v>
      </c>
      <c r="BR67" s="515">
        <v>0</v>
      </c>
      <c r="BS67" s="515">
        <v>1023.9393712431988</v>
      </c>
      <c r="BT67" s="515">
        <v>0</v>
      </c>
      <c r="BU67" s="516">
        <v>2.4833398278834151</v>
      </c>
      <c r="BV67" s="513">
        <v>0.98522386522341299</v>
      </c>
      <c r="BW67" s="514">
        <v>0.92806772098809753</v>
      </c>
      <c r="BX67" s="514">
        <v>0.98522386522341299</v>
      </c>
      <c r="BY67" s="514">
        <v>0.95699570514813836</v>
      </c>
      <c r="BZ67" s="511">
        <v>57.947000000000003</v>
      </c>
      <c r="CA67" s="511">
        <v>963.49599999999998</v>
      </c>
      <c r="CB67" s="515">
        <v>64.757008032812664</v>
      </c>
      <c r="CC67" s="515">
        <v>71.277530584602644</v>
      </c>
      <c r="CD67" s="511">
        <v>1.7274405922653457</v>
      </c>
      <c r="CE67" s="511">
        <v>1.8673248254274017</v>
      </c>
      <c r="CF67" s="515">
        <v>0</v>
      </c>
      <c r="CG67" s="515">
        <v>0</v>
      </c>
      <c r="CH67" s="515">
        <v>618.84687731890313</v>
      </c>
      <c r="CI67" s="515">
        <v>757.66309221542429</v>
      </c>
      <c r="CJ67" s="515">
        <v>487.87533435725766</v>
      </c>
      <c r="CK67" s="515">
        <v>473.28928609978664</v>
      </c>
      <c r="CL67" s="515">
        <v>0</v>
      </c>
      <c r="CM67" s="516">
        <v>0</v>
      </c>
    </row>
    <row r="68" spans="1:91">
      <c r="A68" s="558">
        <v>46101</v>
      </c>
      <c r="B68" s="513">
        <v>0.87069560796454792</v>
      </c>
      <c r="C68" s="514">
        <v>0.90349362250044818</v>
      </c>
      <c r="D68" s="514">
        <v>0.87069560796454792</v>
      </c>
      <c r="E68" s="514">
        <v>0.92035333431788813</v>
      </c>
      <c r="F68" s="511">
        <v>55.076999999999998</v>
      </c>
      <c r="G68" s="511">
        <v>1256.7370000000003</v>
      </c>
      <c r="H68" s="511">
        <v>2.2907202643571729</v>
      </c>
      <c r="I68" s="511">
        <v>2.1330477259760787</v>
      </c>
      <c r="J68" s="511">
        <v>1056.6112896490536</v>
      </c>
      <c r="K68" s="512">
        <v>884.48590277838775</v>
      </c>
      <c r="L68" s="513">
        <v>0.96115834832510083</v>
      </c>
      <c r="M68" s="514">
        <v>0.87281552473431512</v>
      </c>
      <c r="N68" s="514">
        <v>0.96115834832510083</v>
      </c>
      <c r="O68" s="514">
        <v>0.89223617831978508</v>
      </c>
      <c r="P68" s="511">
        <v>49.920999999999999</v>
      </c>
      <c r="Q68" s="511">
        <v>1050.3019999999999</v>
      </c>
      <c r="R68" s="511">
        <v>2.3459866589210954</v>
      </c>
      <c r="S68" s="511">
        <v>2.2391102749494913</v>
      </c>
      <c r="T68" s="511">
        <v>0</v>
      </c>
      <c r="U68" s="511">
        <v>0</v>
      </c>
      <c r="V68" s="511">
        <v>750.52522986321992</v>
      </c>
      <c r="W68" s="511">
        <v>686.51534511026478</v>
      </c>
      <c r="X68" s="511">
        <v>469.60197111436071</v>
      </c>
      <c r="Y68" s="576">
        <v>466.79336038587002</v>
      </c>
      <c r="Z68" s="511">
        <v>0</v>
      </c>
      <c r="AA68" s="576">
        <v>0</v>
      </c>
      <c r="AB68" s="513">
        <v>0</v>
      </c>
      <c r="AC68" s="514">
        <v>0.6670000568612463</v>
      </c>
      <c r="AD68" s="514" t="e">
        <v>#DIV/0!</v>
      </c>
      <c r="AE68" s="514">
        <v>0.84616054986694533</v>
      </c>
      <c r="AF68" s="511">
        <v>0</v>
      </c>
      <c r="AG68" s="511">
        <v>613.09699999999998</v>
      </c>
      <c r="AH68" s="511">
        <v>0</v>
      </c>
      <c r="AI68" s="511">
        <v>125.87071377809275</v>
      </c>
      <c r="AJ68" s="511">
        <v>0</v>
      </c>
      <c r="AK68" s="511">
        <v>1.4059765420479959</v>
      </c>
      <c r="AL68" s="511">
        <v>0</v>
      </c>
      <c r="AM68" s="511">
        <v>955.6337088584695</v>
      </c>
      <c r="AN68" s="511">
        <v>0</v>
      </c>
      <c r="AO68" s="512">
        <v>0</v>
      </c>
      <c r="AP68" s="594">
        <v>0.89580051050181619</v>
      </c>
      <c r="AQ68" s="514">
        <v>0.84957474997839977</v>
      </c>
      <c r="AR68" s="514">
        <v>0.89580051050181619</v>
      </c>
      <c r="AS68" s="514">
        <v>0.87164019583364472</v>
      </c>
      <c r="AT68" s="511">
        <v>45.683999999999997</v>
      </c>
      <c r="AU68" s="511">
        <v>892.22500000000002</v>
      </c>
      <c r="AV68" s="515">
        <v>122.13972504202306</v>
      </c>
      <c r="AW68" s="515">
        <v>97.790645392664587</v>
      </c>
      <c r="AX68" s="511">
        <v>1.4600297697224414</v>
      </c>
      <c r="AY68" s="511">
        <v>1.4301325338339546</v>
      </c>
      <c r="AZ68" s="511">
        <v>0</v>
      </c>
      <c r="BA68" s="511">
        <v>0</v>
      </c>
      <c r="BB68" s="511">
        <v>915.96576481919271</v>
      </c>
      <c r="BC68" s="511">
        <v>845.58957662024704</v>
      </c>
      <c r="BD68" s="511">
        <v>511.91784869976385</v>
      </c>
      <c r="BE68" s="576">
        <v>500.08027235282594</v>
      </c>
      <c r="BF68" s="511">
        <v>0</v>
      </c>
      <c r="BG68" s="512">
        <v>0</v>
      </c>
      <c r="BH68" s="513">
        <v>0</v>
      </c>
      <c r="BI68" s="514">
        <v>0.73745905695001823</v>
      </c>
      <c r="BJ68" s="514" t="e">
        <v>#DIV/0!</v>
      </c>
      <c r="BK68" s="514">
        <v>0.92283129278225906</v>
      </c>
      <c r="BL68" s="511">
        <v>0</v>
      </c>
      <c r="BM68" s="511">
        <v>757.04499999999996</v>
      </c>
      <c r="BN68" s="511">
        <v>0</v>
      </c>
      <c r="BO68" s="511">
        <v>2.3917996948662239</v>
      </c>
      <c r="BP68" s="515">
        <v>0</v>
      </c>
      <c r="BQ68" s="515">
        <v>0</v>
      </c>
      <c r="BR68" s="515">
        <v>0</v>
      </c>
      <c r="BS68" s="515">
        <v>1028.1730429535965</v>
      </c>
      <c r="BT68" s="515">
        <v>0</v>
      </c>
      <c r="BU68" s="516">
        <v>2.4833398278834151</v>
      </c>
      <c r="BV68" s="513">
        <v>0.95558910937609709</v>
      </c>
      <c r="BW68" s="514">
        <v>0.92954330377405603</v>
      </c>
      <c r="BX68" s="514">
        <v>0.95558910937609709</v>
      </c>
      <c r="BY68" s="514">
        <v>0.95691806833914228</v>
      </c>
      <c r="BZ68" s="511">
        <v>56.204000000000001</v>
      </c>
      <c r="CA68" s="511">
        <v>1019.6999999999999</v>
      </c>
      <c r="CB68" s="515">
        <v>70.282698761302015</v>
      </c>
      <c r="CC68" s="515">
        <v>71.222697273043579</v>
      </c>
      <c r="CD68" s="511">
        <v>1.7845704932033306</v>
      </c>
      <c r="CE68" s="511">
        <v>1.862763557909189</v>
      </c>
      <c r="CF68" s="515">
        <v>0</v>
      </c>
      <c r="CG68" s="515">
        <v>0</v>
      </c>
      <c r="CH68" s="515">
        <v>681.08960216355445</v>
      </c>
      <c r="CI68" s="515">
        <v>753.44250141923396</v>
      </c>
      <c r="CJ68" s="515">
        <v>480.45414917087783</v>
      </c>
      <c r="CK68" s="515">
        <v>473.68420025497704</v>
      </c>
      <c r="CL68" s="515">
        <v>0</v>
      </c>
      <c r="CM68" s="516">
        <v>0</v>
      </c>
    </row>
    <row r="69" spans="1:91">
      <c r="A69" s="558">
        <v>46102</v>
      </c>
      <c r="B69" s="513">
        <v>0.90343603952437113</v>
      </c>
      <c r="C69" s="514">
        <v>0.90349106987516958</v>
      </c>
      <c r="D69" s="514">
        <v>0.90343603952437113</v>
      </c>
      <c r="E69" s="514">
        <v>0.91959003606441891</v>
      </c>
      <c r="F69" s="511">
        <v>58.290999999999997</v>
      </c>
      <c r="G69" s="511">
        <v>1315.0280000000002</v>
      </c>
      <c r="H69" s="511">
        <v>2.1350294213514953</v>
      </c>
      <c r="I69" s="511">
        <v>2.1331355682160376</v>
      </c>
      <c r="J69" s="511">
        <v>1019.6520903741362</v>
      </c>
      <c r="K69" s="512">
        <v>890.47738907460655</v>
      </c>
      <c r="L69" s="513">
        <v>0.90988022943131863</v>
      </c>
      <c r="M69" s="514">
        <v>0.87452320898459002</v>
      </c>
      <c r="N69" s="514">
        <v>0.90988022943131863</v>
      </c>
      <c r="O69" s="514">
        <v>0.89306633049929929</v>
      </c>
      <c r="P69" s="511">
        <v>52.881999999999998</v>
      </c>
      <c r="Q69" s="511">
        <v>1103.184</v>
      </c>
      <c r="R69" s="511">
        <v>2.3127151015468401</v>
      </c>
      <c r="S69" s="511">
        <v>2.2426385806900759</v>
      </c>
      <c r="T69" s="511">
        <v>0</v>
      </c>
      <c r="U69" s="511">
        <v>0</v>
      </c>
      <c r="V69" s="511">
        <v>664.07492152333555</v>
      </c>
      <c r="W69" s="511">
        <v>685.43964560762163</v>
      </c>
      <c r="X69" s="511">
        <v>558.8480012102417</v>
      </c>
      <c r="Y69" s="576">
        <v>471.20607260438874</v>
      </c>
      <c r="Z69" s="511">
        <v>0</v>
      </c>
      <c r="AA69" s="576">
        <v>0</v>
      </c>
      <c r="AB69" s="513">
        <v>0</v>
      </c>
      <c r="AC69" s="514">
        <v>0.63639214682545531</v>
      </c>
      <c r="AD69" s="514" t="e">
        <v>#DIV/0!</v>
      </c>
      <c r="AE69" s="514">
        <v>0.84616054986694533</v>
      </c>
      <c r="AF69" s="511">
        <v>0</v>
      </c>
      <c r="AG69" s="511">
        <v>613.09699999999998</v>
      </c>
      <c r="AH69" s="511">
        <v>0</v>
      </c>
      <c r="AI69" s="511">
        <v>125.87071377809275</v>
      </c>
      <c r="AJ69" s="511">
        <v>0</v>
      </c>
      <c r="AK69" s="511">
        <v>1.4141318584171838</v>
      </c>
      <c r="AL69" s="511">
        <v>0</v>
      </c>
      <c r="AM69" s="511">
        <v>964.32163262909592</v>
      </c>
      <c r="AN69" s="511">
        <v>0</v>
      </c>
      <c r="AO69" s="512">
        <v>0</v>
      </c>
      <c r="AP69" s="594">
        <v>0.93349160117942476</v>
      </c>
      <c r="AQ69" s="514">
        <v>0.85345223422669003</v>
      </c>
      <c r="AR69" s="514">
        <v>0.93349160117942476</v>
      </c>
      <c r="AS69" s="514">
        <v>0.87456883057532397</v>
      </c>
      <c r="AT69" s="511">
        <v>47.493000000000002</v>
      </c>
      <c r="AU69" s="511">
        <v>939.71800000000007</v>
      </c>
      <c r="AV69" s="515">
        <v>120.05470260908129</v>
      </c>
      <c r="AW69" s="515">
        <v>98.91586260610444</v>
      </c>
      <c r="AX69" s="511">
        <v>1.425473227633546</v>
      </c>
      <c r="AY69" s="511">
        <v>1.4298970542226499</v>
      </c>
      <c r="AZ69" s="511">
        <v>0</v>
      </c>
      <c r="BA69" s="511">
        <v>0</v>
      </c>
      <c r="BB69" s="511">
        <v>904.27094519192258</v>
      </c>
      <c r="BC69" s="511">
        <v>848.55531127423319</v>
      </c>
      <c r="BD69" s="511">
        <v>530.32120523024435</v>
      </c>
      <c r="BE69" s="576">
        <v>501.60863791052213</v>
      </c>
      <c r="BF69" s="511">
        <v>0</v>
      </c>
      <c r="BG69" s="512">
        <v>0</v>
      </c>
      <c r="BH69" s="513">
        <v>0</v>
      </c>
      <c r="BI69" s="514">
        <v>0.70392326696323171</v>
      </c>
      <c r="BJ69" s="514" t="e">
        <v>#DIV/0!</v>
      </c>
      <c r="BK69" s="514">
        <v>0.92283129278225906</v>
      </c>
      <c r="BL69" s="511">
        <v>0</v>
      </c>
      <c r="BM69" s="511">
        <v>757.04499999999996</v>
      </c>
      <c r="BN69" s="511">
        <v>0</v>
      </c>
      <c r="BO69" s="511">
        <v>2.3917996948662239</v>
      </c>
      <c r="BP69" s="515">
        <v>0</v>
      </c>
      <c r="BQ69" s="515">
        <v>0</v>
      </c>
      <c r="BR69" s="515">
        <v>0</v>
      </c>
      <c r="BS69" s="515">
        <v>1031.5234910775532</v>
      </c>
      <c r="BT69" s="515">
        <v>0</v>
      </c>
      <c r="BU69" s="516">
        <v>2.4833398278834151</v>
      </c>
      <c r="BV69" s="513">
        <v>0.98466279411442759</v>
      </c>
      <c r="BW69" s="514">
        <v>0.93234819572739613</v>
      </c>
      <c r="BX69" s="514">
        <v>0.98466279411442759</v>
      </c>
      <c r="BY69" s="514">
        <v>0.95836933143846093</v>
      </c>
      <c r="BZ69" s="511">
        <v>57.914000000000001</v>
      </c>
      <c r="CA69" s="511">
        <v>1077.614</v>
      </c>
      <c r="CB69" s="515">
        <v>69.227509911021542</v>
      </c>
      <c r="CC69" s="515">
        <v>71.11547030598102</v>
      </c>
      <c r="CD69" s="511">
        <v>1.7042511309873261</v>
      </c>
      <c r="CE69" s="511">
        <v>1.8542446553218497</v>
      </c>
      <c r="CF69" s="515">
        <v>0</v>
      </c>
      <c r="CG69" s="515">
        <v>0</v>
      </c>
      <c r="CH69" s="515">
        <v>614.06706495836454</v>
      </c>
      <c r="CI69" s="515">
        <v>745.9520743950909</v>
      </c>
      <c r="CJ69" s="515">
        <v>502.18522291673838</v>
      </c>
      <c r="CK69" s="515">
        <v>475.21592518285769</v>
      </c>
      <c r="CL69" s="515">
        <v>0</v>
      </c>
      <c r="CM69" s="516">
        <v>0</v>
      </c>
    </row>
    <row r="70" spans="1:91">
      <c r="A70" s="558">
        <v>46103</v>
      </c>
      <c r="B70" s="513">
        <v>0.95793257339586935</v>
      </c>
      <c r="C70" s="514">
        <v>0.90586756465088791</v>
      </c>
      <c r="D70" s="514">
        <v>0.95793257339586935</v>
      </c>
      <c r="E70" s="514">
        <v>0.9212922742237456</v>
      </c>
      <c r="F70" s="511">
        <v>63.640999999999998</v>
      </c>
      <c r="G70" s="511">
        <v>1378.6690000000003</v>
      </c>
      <c r="H70" s="511">
        <v>2.0728932606338679</v>
      </c>
      <c r="I70" s="511">
        <v>2.1303547116820636</v>
      </c>
      <c r="J70" s="511">
        <v>887.79717477721942</v>
      </c>
      <c r="K70" s="512">
        <v>890.35366719640365</v>
      </c>
      <c r="L70" s="513">
        <v>0.81409662264155214</v>
      </c>
      <c r="M70" s="514">
        <v>0.87151374578977281</v>
      </c>
      <c r="N70" s="514">
        <v>0.81409662264155214</v>
      </c>
      <c r="O70" s="514">
        <v>0.88905419583077783</v>
      </c>
      <c r="P70" s="511">
        <v>53.826999999999998</v>
      </c>
      <c r="Q70" s="511">
        <v>1157.011</v>
      </c>
      <c r="R70" s="511">
        <v>2.6854924108718672</v>
      </c>
      <c r="S70" s="511">
        <v>2.2632412310686769</v>
      </c>
      <c r="T70" s="511">
        <v>0</v>
      </c>
      <c r="U70" s="511">
        <v>0</v>
      </c>
      <c r="V70" s="511">
        <v>603.23908075874181</v>
      </c>
      <c r="W70" s="511">
        <v>681.61547297303059</v>
      </c>
      <c r="X70" s="511">
        <v>553.03100674382745</v>
      </c>
      <c r="Y70" s="576">
        <v>475.01276997366494</v>
      </c>
      <c r="Z70" s="511">
        <v>0</v>
      </c>
      <c r="AA70" s="576">
        <v>0</v>
      </c>
      <c r="AB70" s="513">
        <v>0</v>
      </c>
      <c r="AC70" s="514">
        <v>0.60847011252851546</v>
      </c>
      <c r="AD70" s="514" t="e">
        <v>#DIV/0!</v>
      </c>
      <c r="AE70" s="514">
        <v>0.84616054986694533</v>
      </c>
      <c r="AF70" s="511">
        <v>0</v>
      </c>
      <c r="AG70" s="511">
        <v>613.09699999999998</v>
      </c>
      <c r="AH70" s="511">
        <v>0</v>
      </c>
      <c r="AI70" s="511">
        <v>125.87071377809275</v>
      </c>
      <c r="AJ70" s="511">
        <v>0</v>
      </c>
      <c r="AK70" s="511">
        <v>1.421471643149453</v>
      </c>
      <c r="AL70" s="511">
        <v>0</v>
      </c>
      <c r="AM70" s="511">
        <v>971.79239174225472</v>
      </c>
      <c r="AN70" s="511">
        <v>0</v>
      </c>
      <c r="AO70" s="512">
        <v>0</v>
      </c>
      <c r="AP70" s="594">
        <v>0.94194678766189488</v>
      </c>
      <c r="AQ70" s="514">
        <v>0.85735314632591308</v>
      </c>
      <c r="AR70" s="514">
        <v>0.94194678766189488</v>
      </c>
      <c r="AS70" s="514">
        <v>0.87760907724762938</v>
      </c>
      <c r="AT70" s="511">
        <v>47.826999999999998</v>
      </c>
      <c r="AU70" s="511">
        <v>987.54500000000007</v>
      </c>
      <c r="AV70" s="515">
        <v>119.06253518157189</v>
      </c>
      <c r="AW70" s="515">
        <v>99.891569950343836</v>
      </c>
      <c r="AX70" s="511">
        <v>1.4426997302778766</v>
      </c>
      <c r="AY70" s="511">
        <v>1.4305170903604394</v>
      </c>
      <c r="AZ70" s="511">
        <v>0</v>
      </c>
      <c r="BA70" s="511">
        <v>0</v>
      </c>
      <c r="BB70" s="511">
        <v>889.04384552658462</v>
      </c>
      <c r="BC70" s="511">
        <v>850.51617900956387</v>
      </c>
      <c r="BD70" s="511">
        <v>515.03654839316016</v>
      </c>
      <c r="BE70" s="576">
        <v>502.25895427550103</v>
      </c>
      <c r="BF70" s="511">
        <v>0</v>
      </c>
      <c r="BG70" s="512">
        <v>0</v>
      </c>
      <c r="BH70" s="513">
        <v>0</v>
      </c>
      <c r="BI70" s="514">
        <v>0.67330487445194365</v>
      </c>
      <c r="BJ70" s="514" t="e">
        <v>#DIV/0!</v>
      </c>
      <c r="BK70" s="514">
        <v>0.92283129278225906</v>
      </c>
      <c r="BL70" s="511">
        <v>0</v>
      </c>
      <c r="BM70" s="511">
        <v>757.04499999999996</v>
      </c>
      <c r="BN70" s="511">
        <v>0</v>
      </c>
      <c r="BO70" s="511">
        <v>2.3917996948662239</v>
      </c>
      <c r="BP70" s="515">
        <v>0</v>
      </c>
      <c r="BQ70" s="515">
        <v>0</v>
      </c>
      <c r="BR70" s="515">
        <v>0</v>
      </c>
      <c r="BS70" s="515">
        <v>1034.3243813813001</v>
      </c>
      <c r="BT70" s="515">
        <v>0</v>
      </c>
      <c r="BU70" s="516">
        <v>2.4833398278834151</v>
      </c>
      <c r="BV70" s="513">
        <v>0.95667195322302678</v>
      </c>
      <c r="BW70" s="514">
        <v>0.93349040917580839</v>
      </c>
      <c r="BX70" s="514">
        <v>0.95667195322302678</v>
      </c>
      <c r="BY70" s="514">
        <v>0.95828750734647072</v>
      </c>
      <c r="BZ70" s="511">
        <v>54.481999999999999</v>
      </c>
      <c r="CA70" s="511">
        <v>1132.096</v>
      </c>
      <c r="CB70" s="515">
        <v>73.796779300887621</v>
      </c>
      <c r="CC70" s="515">
        <v>71.244508017147297</v>
      </c>
      <c r="CD70" s="511">
        <v>1.8061010976102201</v>
      </c>
      <c r="CE70" s="511">
        <v>1.8519277517101023</v>
      </c>
      <c r="CF70" s="515">
        <v>0</v>
      </c>
      <c r="CG70" s="515">
        <v>0</v>
      </c>
      <c r="CH70" s="515">
        <v>683.35597077934278</v>
      </c>
      <c r="CI70" s="515">
        <v>742.93964354364971</v>
      </c>
      <c r="CJ70" s="515">
        <v>480.10805403618866</v>
      </c>
      <c r="CK70" s="515">
        <v>475.45135836536798</v>
      </c>
      <c r="CL70" s="515">
        <v>0</v>
      </c>
      <c r="CM70" s="516">
        <v>0</v>
      </c>
    </row>
    <row r="71" spans="1:91">
      <c r="A71" s="558">
        <v>46104</v>
      </c>
      <c r="B71" s="513">
        <v>0.88841773800937163</v>
      </c>
      <c r="C71" s="514">
        <v>0.90515674776233968</v>
      </c>
      <c r="D71" s="514">
        <v>0.88841773800937163</v>
      </c>
      <c r="E71" s="514">
        <v>0.91993127509788752</v>
      </c>
      <c r="F71" s="511">
        <v>57.417000000000002</v>
      </c>
      <c r="G71" s="511">
        <v>1436.0860000000002</v>
      </c>
      <c r="H71" s="511">
        <v>2.2720448647613076</v>
      </c>
      <c r="I71" s="511">
        <v>2.1360197091260544</v>
      </c>
      <c r="J71" s="511">
        <v>1000.6447567793923</v>
      </c>
      <c r="K71" s="512">
        <v>894.76328019352673</v>
      </c>
      <c r="L71" s="513">
        <v>0.79015851991475416</v>
      </c>
      <c r="M71" s="514">
        <v>0.86755861179950733</v>
      </c>
      <c r="N71" s="514">
        <v>0.79015851991475416</v>
      </c>
      <c r="O71" s="514">
        <v>0.88415435116645025</v>
      </c>
      <c r="P71" s="511">
        <v>53.603999999999999</v>
      </c>
      <c r="Q71" s="511">
        <v>1210.615</v>
      </c>
      <c r="R71" s="511">
        <v>2.7917692709499291</v>
      </c>
      <c r="S71" s="511">
        <v>2.286643565460531</v>
      </c>
      <c r="T71" s="511">
        <v>0</v>
      </c>
      <c r="U71" s="511">
        <v>0</v>
      </c>
      <c r="V71" s="511">
        <v>661.03145287668065</v>
      </c>
      <c r="W71" s="511">
        <v>680.70404711654874</v>
      </c>
      <c r="X71" s="511">
        <v>572.19610476830087</v>
      </c>
      <c r="Y71" s="576">
        <v>479.31588490147567</v>
      </c>
      <c r="Z71" s="511">
        <v>0</v>
      </c>
      <c r="AA71" s="576">
        <v>0</v>
      </c>
      <c r="AB71" s="513">
        <v>0</v>
      </c>
      <c r="AC71" s="514">
        <v>0.58289528086982811</v>
      </c>
      <c r="AD71" s="514" t="e">
        <v>#DIV/0!</v>
      </c>
      <c r="AE71" s="514">
        <v>0.84616054986694533</v>
      </c>
      <c r="AF71" s="511">
        <v>0</v>
      </c>
      <c r="AG71" s="511">
        <v>613.09699999999998</v>
      </c>
      <c r="AH71" s="511">
        <v>0</v>
      </c>
      <c r="AI71" s="511">
        <v>125.88437363486787</v>
      </c>
      <c r="AJ71" s="511">
        <v>0</v>
      </c>
      <c r="AK71" s="511">
        <v>1.4415337214176551</v>
      </c>
      <c r="AL71" s="511">
        <v>0</v>
      </c>
      <c r="AM71" s="511">
        <v>981.01445611379597</v>
      </c>
      <c r="AN71" s="511">
        <v>0</v>
      </c>
      <c r="AO71" s="512">
        <v>0</v>
      </c>
      <c r="AP71" s="594">
        <v>0.89619456962840449</v>
      </c>
      <c r="AQ71" s="514">
        <v>0.8590079279066769</v>
      </c>
      <c r="AR71" s="514">
        <v>0.89619456962840449</v>
      </c>
      <c r="AS71" s="514">
        <v>0.87841877708543237</v>
      </c>
      <c r="AT71" s="511">
        <v>45.936</v>
      </c>
      <c r="AU71" s="511">
        <v>1033.481</v>
      </c>
      <c r="AV71" s="515">
        <v>116.91276413527387</v>
      </c>
      <c r="AW71" s="515">
        <v>100.64812529686587</v>
      </c>
      <c r="AX71" s="511">
        <v>1.4933820968303726</v>
      </c>
      <c r="AY71" s="511">
        <v>1.4333113042232999</v>
      </c>
      <c r="AZ71" s="511">
        <v>0</v>
      </c>
      <c r="BA71" s="511">
        <v>0</v>
      </c>
      <c r="BB71" s="511">
        <v>948.36337513061676</v>
      </c>
      <c r="BC71" s="511">
        <v>854.86527570414933</v>
      </c>
      <c r="BD71" s="511">
        <v>595.45328282828882</v>
      </c>
      <c r="BE71" s="576">
        <v>506.40124104845665</v>
      </c>
      <c r="BF71" s="511">
        <v>0</v>
      </c>
      <c r="BG71" s="512">
        <v>0</v>
      </c>
      <c r="BH71" s="513">
        <v>0</v>
      </c>
      <c r="BI71" s="514">
        <v>0.64523905591078534</v>
      </c>
      <c r="BJ71" s="514" t="e">
        <v>#DIV/0!</v>
      </c>
      <c r="BK71" s="514">
        <v>0.92283129278225906</v>
      </c>
      <c r="BL71" s="511">
        <v>0</v>
      </c>
      <c r="BM71" s="511">
        <v>757.04499999999996</v>
      </c>
      <c r="BN71" s="511">
        <v>0</v>
      </c>
      <c r="BO71" s="511">
        <v>2.3917996948662239</v>
      </c>
      <c r="BP71" s="515">
        <v>0</v>
      </c>
      <c r="BQ71" s="515">
        <v>0</v>
      </c>
      <c r="BR71" s="515">
        <v>0</v>
      </c>
      <c r="BS71" s="515">
        <v>1037.0905577644751</v>
      </c>
      <c r="BT71" s="515">
        <v>0</v>
      </c>
      <c r="BU71" s="516">
        <v>2.4833398278834151</v>
      </c>
      <c r="BV71" s="513">
        <v>0.86348074388702756</v>
      </c>
      <c r="BW71" s="514">
        <v>0.93057739604898404</v>
      </c>
      <c r="BX71" s="514">
        <v>0.86348074388702756</v>
      </c>
      <c r="BY71" s="514">
        <v>0.95424240073733468</v>
      </c>
      <c r="BZ71" s="511">
        <v>45.463999999999999</v>
      </c>
      <c r="CA71" s="511">
        <v>1177.56</v>
      </c>
      <c r="CB71" s="515">
        <v>86.004760898134649</v>
      </c>
      <c r="CC71" s="515">
        <v>71.814381430800282</v>
      </c>
      <c r="CD71" s="511">
        <v>2.058771775470702</v>
      </c>
      <c r="CE71" s="511">
        <v>1.8599137198953768</v>
      </c>
      <c r="CF71" s="515">
        <v>0</v>
      </c>
      <c r="CG71" s="515">
        <v>0</v>
      </c>
      <c r="CH71" s="515">
        <v>914.08674995601734</v>
      </c>
      <c r="CI71" s="515">
        <v>749.54740199836283</v>
      </c>
      <c r="CJ71" s="515">
        <v>401.13404011965946</v>
      </c>
      <c r="CK71" s="515">
        <v>472.5820671558136</v>
      </c>
      <c r="CL71" s="515">
        <v>0</v>
      </c>
      <c r="CM71" s="516">
        <v>0</v>
      </c>
    </row>
    <row r="72" spans="1:91">
      <c r="A72" s="558">
        <v>46105</v>
      </c>
      <c r="B72" s="513">
        <v>0.88669386879510159</v>
      </c>
      <c r="C72" s="514">
        <v>0.90435712635282883</v>
      </c>
      <c r="D72" s="514">
        <v>0.88669386879510159</v>
      </c>
      <c r="E72" s="514">
        <v>0.9184693106842573</v>
      </c>
      <c r="F72" s="511">
        <v>63.686</v>
      </c>
      <c r="G72" s="511">
        <v>1499.7720000000002</v>
      </c>
      <c r="H72" s="511">
        <v>2.2177558647112399</v>
      </c>
      <c r="I72" s="511">
        <v>2.1394905358947889</v>
      </c>
      <c r="J72" s="511">
        <v>951.19272681594498</v>
      </c>
      <c r="K72" s="512">
        <v>897.15948824221368</v>
      </c>
      <c r="L72" s="513">
        <v>0.8611505937977677</v>
      </c>
      <c r="M72" s="514">
        <v>0.86725667005634599</v>
      </c>
      <c r="N72" s="514">
        <v>0.8657662174464007</v>
      </c>
      <c r="O72" s="514">
        <v>0.88327661369075949</v>
      </c>
      <c r="P72" s="511">
        <v>59.421999999999997</v>
      </c>
      <c r="Q72" s="511">
        <v>1270.037</v>
      </c>
      <c r="R72" s="511">
        <v>2.5072700346672949</v>
      </c>
      <c r="S72" s="511">
        <v>2.2969661513798423</v>
      </c>
      <c r="T72" s="511">
        <v>0</v>
      </c>
      <c r="U72" s="511">
        <v>0</v>
      </c>
      <c r="V72" s="511">
        <v>661.72444549158286</v>
      </c>
      <c r="W72" s="511">
        <v>679.81603685562038</v>
      </c>
      <c r="X72" s="511">
        <v>556.61202921476888</v>
      </c>
      <c r="Y72" s="576">
        <v>482.93238700919738</v>
      </c>
      <c r="Z72" s="511">
        <v>0</v>
      </c>
      <c r="AA72" s="576">
        <v>0</v>
      </c>
      <c r="AB72" s="513">
        <v>0.52438490082857836</v>
      </c>
      <c r="AC72" s="514">
        <v>0.58034258654627202</v>
      </c>
      <c r="AD72" s="514">
        <v>0.60618825648896502</v>
      </c>
      <c r="AE72" s="514">
        <v>0.83315847004589882</v>
      </c>
      <c r="AF72" s="511">
        <v>25.161000000000001</v>
      </c>
      <c r="AG72" s="511">
        <v>638.25800000000004</v>
      </c>
      <c r="AH72" s="511">
        <v>210.5193049062762</v>
      </c>
      <c r="AI72" s="511">
        <v>129.22079794246744</v>
      </c>
      <c r="AJ72" s="511">
        <v>2.3170780175668693</v>
      </c>
      <c r="AK72" s="511">
        <v>1.476048870519445</v>
      </c>
      <c r="AL72" s="511">
        <v>1372.2689877190892</v>
      </c>
      <c r="AM72" s="511">
        <v>996.43824284223626</v>
      </c>
      <c r="AN72" s="511">
        <v>0</v>
      </c>
      <c r="AO72" s="512">
        <v>0</v>
      </c>
      <c r="AP72" s="594">
        <v>0.95579908542762404</v>
      </c>
      <c r="AQ72" s="514">
        <v>0.86312291474230518</v>
      </c>
      <c r="AR72" s="514">
        <v>0.95579908542762404</v>
      </c>
      <c r="AS72" s="514">
        <v>0.88177963879001098</v>
      </c>
      <c r="AT72" s="511">
        <v>51.058999999999997</v>
      </c>
      <c r="AU72" s="511">
        <v>1084.54</v>
      </c>
      <c r="AV72" s="515">
        <v>98.744276198670093</v>
      </c>
      <c r="AW72" s="515">
        <v>100.55849408814626</v>
      </c>
      <c r="AX72" s="511">
        <v>1.3748800407371866</v>
      </c>
      <c r="AY72" s="511">
        <v>1.4305604219300352</v>
      </c>
      <c r="AZ72" s="511">
        <v>0</v>
      </c>
      <c r="BA72" s="511">
        <v>0</v>
      </c>
      <c r="BB72" s="511">
        <v>882.65849311580655</v>
      </c>
      <c r="BC72" s="511">
        <v>856.17375108340843</v>
      </c>
      <c r="BD72" s="511">
        <v>450.78050882312635</v>
      </c>
      <c r="BE72" s="576">
        <v>503.78267560440383</v>
      </c>
      <c r="BF72" s="511">
        <v>0</v>
      </c>
      <c r="BG72" s="512">
        <v>0</v>
      </c>
      <c r="BH72" s="513">
        <v>0.50410894056853628</v>
      </c>
      <c r="BI72" s="514">
        <v>0.63931583979026074</v>
      </c>
      <c r="BJ72" s="514">
        <v>0.57263321662749145</v>
      </c>
      <c r="BK72" s="514">
        <v>0.9045248261442892</v>
      </c>
      <c r="BL72" s="511">
        <v>25.911000000000001</v>
      </c>
      <c r="BM72" s="511">
        <v>782.9559999999999</v>
      </c>
      <c r="BN72" s="511">
        <v>4.5926440507892394</v>
      </c>
      <c r="BO72" s="511">
        <v>2.4646340279658121</v>
      </c>
      <c r="BP72" s="515">
        <v>0</v>
      </c>
      <c r="BQ72" s="515">
        <v>0</v>
      </c>
      <c r="BR72" s="515">
        <v>1512.346879703603</v>
      </c>
      <c r="BS72" s="515">
        <v>1052.8186019429027</v>
      </c>
      <c r="BT72" s="515">
        <v>0</v>
      </c>
      <c r="BU72" s="516">
        <v>2.4011566422634227</v>
      </c>
      <c r="BV72" s="513">
        <v>0.94213631974462397</v>
      </c>
      <c r="BW72" s="514">
        <v>0.93104652684873113</v>
      </c>
      <c r="BX72" s="514">
        <v>0.94213631974462397</v>
      </c>
      <c r="BY72" s="514">
        <v>0.95373908753511072</v>
      </c>
      <c r="BZ72" s="511">
        <v>50.433</v>
      </c>
      <c r="CA72" s="511">
        <v>1227.9929999999999</v>
      </c>
      <c r="CB72" s="515">
        <v>71.765307850520216</v>
      </c>
      <c r="CC72" s="515">
        <v>71.81236600573331</v>
      </c>
      <c r="CD72" s="511">
        <v>1.881704439553467</v>
      </c>
      <c r="CE72" s="511">
        <v>1.8608086528180536</v>
      </c>
      <c r="CF72" s="515">
        <v>0</v>
      </c>
      <c r="CG72" s="515">
        <v>0</v>
      </c>
      <c r="CH72" s="515">
        <v>849.96649019491304</v>
      </c>
      <c r="CI72" s="515">
        <v>753.67155895611143</v>
      </c>
      <c r="CJ72" s="515">
        <v>406.75347490730297</v>
      </c>
      <c r="CK72" s="515">
        <v>469.87852292317609</v>
      </c>
      <c r="CL72" s="515">
        <v>0</v>
      </c>
      <c r="CM72" s="516">
        <v>0</v>
      </c>
    </row>
    <row r="73" spans="1:91">
      <c r="A73" s="558">
        <v>46106</v>
      </c>
      <c r="B73" s="513">
        <v>0.89103019191114052</v>
      </c>
      <c r="C73" s="514">
        <v>0.90381702618148851</v>
      </c>
      <c r="D73" s="514">
        <v>0.89103019191114052</v>
      </c>
      <c r="E73" s="514">
        <v>0.91734064756884703</v>
      </c>
      <c r="F73" s="511">
        <v>62.414999999999999</v>
      </c>
      <c r="G73" s="511">
        <v>1562.1870000000001</v>
      </c>
      <c r="H73" s="511">
        <v>2.2133621725546746</v>
      </c>
      <c r="I73" s="511">
        <v>2.1424419739762266</v>
      </c>
      <c r="J73" s="511">
        <v>916.51077465354842</v>
      </c>
      <c r="K73" s="512">
        <v>897.9326418668204</v>
      </c>
      <c r="L73" s="513">
        <v>0.89771990219517861</v>
      </c>
      <c r="M73" s="514">
        <v>0.86858461927031894</v>
      </c>
      <c r="N73" s="514">
        <v>0.89771990219517861</v>
      </c>
      <c r="O73" s="514">
        <v>0.88391733783617732</v>
      </c>
      <c r="P73" s="511">
        <v>59.92</v>
      </c>
      <c r="Q73" s="511">
        <v>1329.9570000000001</v>
      </c>
      <c r="R73" s="511">
        <v>2.6181575433911886</v>
      </c>
      <c r="S73" s="511">
        <v>2.3114371366893822</v>
      </c>
      <c r="T73" s="511">
        <v>0</v>
      </c>
      <c r="U73" s="511">
        <v>0</v>
      </c>
      <c r="V73" s="511">
        <v>587.94776368485952</v>
      </c>
      <c r="W73" s="511">
        <v>675.67699557203605</v>
      </c>
      <c r="X73" s="511">
        <v>337.34979973297732</v>
      </c>
      <c r="Y73" s="576">
        <v>476.37329627950373</v>
      </c>
      <c r="Z73" s="511">
        <v>0</v>
      </c>
      <c r="AA73" s="576">
        <v>0</v>
      </c>
      <c r="AB73" s="513">
        <v>0.87757867375186271</v>
      </c>
      <c r="AC73" s="514">
        <v>0.59167440495896306</v>
      </c>
      <c r="AD73" s="514">
        <v>0.87757867375186271</v>
      </c>
      <c r="AE73" s="514">
        <v>0.83554995832070966</v>
      </c>
      <c r="AF73" s="511">
        <v>38.253999999999998</v>
      </c>
      <c r="AG73" s="511">
        <v>676.51200000000006</v>
      </c>
      <c r="AH73" s="511">
        <v>138.45548260665589</v>
      </c>
      <c r="AI73" s="511">
        <v>129.74298177238305</v>
      </c>
      <c r="AJ73" s="511">
        <v>1.534480054373399</v>
      </c>
      <c r="AK73" s="511">
        <v>1.4793529161345254</v>
      </c>
      <c r="AL73" s="511">
        <v>907.19976995871605</v>
      </c>
      <c r="AM73" s="511">
        <v>991.39217042713324</v>
      </c>
      <c r="AN73" s="511">
        <v>0</v>
      </c>
      <c r="AO73" s="512">
        <v>0</v>
      </c>
      <c r="AP73" s="594">
        <v>0.95963219442538172</v>
      </c>
      <c r="AQ73" s="514">
        <v>0.86719802872629703</v>
      </c>
      <c r="AR73" s="514">
        <v>0.95963219442538172</v>
      </c>
      <c r="AS73" s="514">
        <v>0.88513496519871182</v>
      </c>
      <c r="AT73" s="511">
        <v>53.16</v>
      </c>
      <c r="AU73" s="511">
        <v>1137.7</v>
      </c>
      <c r="AV73" s="515">
        <v>97.135456737868267</v>
      </c>
      <c r="AW73" s="515">
        <v>100.39854975700379</v>
      </c>
      <c r="AX73" s="511">
        <v>1.3393528969149737</v>
      </c>
      <c r="AY73" s="511">
        <v>1.4262986727608336</v>
      </c>
      <c r="AZ73" s="511">
        <v>0</v>
      </c>
      <c r="BA73" s="511">
        <v>0</v>
      </c>
      <c r="BB73" s="511">
        <v>800.11324303988113</v>
      </c>
      <c r="BC73" s="511">
        <v>853.55427617122257</v>
      </c>
      <c r="BD73" s="511">
        <v>577.61474793077502</v>
      </c>
      <c r="BE73" s="576">
        <v>507.23254197064261</v>
      </c>
      <c r="BF73" s="511">
        <v>0</v>
      </c>
      <c r="BG73" s="512">
        <v>0</v>
      </c>
      <c r="BH73" s="513">
        <v>1.0417024503472334</v>
      </c>
      <c r="BI73" s="514">
        <v>0.65464288286579775</v>
      </c>
      <c r="BJ73" s="514">
        <v>1.0417024503472334</v>
      </c>
      <c r="BK73" s="514">
        <v>0.91180253163454461</v>
      </c>
      <c r="BL73" s="511">
        <v>50.518000000000001</v>
      </c>
      <c r="BM73" s="511">
        <v>833.47399999999993</v>
      </c>
      <c r="BN73" s="511">
        <v>2.3140266835583359</v>
      </c>
      <c r="BO73" s="511">
        <v>2.4555055106697994</v>
      </c>
      <c r="BP73" s="515">
        <v>0</v>
      </c>
      <c r="BQ73" s="515">
        <v>0</v>
      </c>
      <c r="BR73" s="515">
        <v>773.03703265500349</v>
      </c>
      <c r="BS73" s="515">
        <v>1035.8606580630862</v>
      </c>
      <c r="BT73" s="515">
        <v>0</v>
      </c>
      <c r="BU73" s="516">
        <v>2.2556192514703524</v>
      </c>
      <c r="BV73" s="513">
        <v>1.0216305939044588</v>
      </c>
      <c r="BW73" s="514">
        <v>0.93452837188921678</v>
      </c>
      <c r="BX73" s="514">
        <v>1.0216305939044588</v>
      </c>
      <c r="BY73" s="514">
        <v>0.95640978434406299</v>
      </c>
      <c r="BZ73" s="511">
        <v>53.863999999999997</v>
      </c>
      <c r="CA73" s="511">
        <v>1281.857</v>
      </c>
      <c r="CB73" s="515">
        <v>67.202641619261698</v>
      </c>
      <c r="CC73" s="515">
        <v>71.618664060545257</v>
      </c>
      <c r="CD73" s="511">
        <v>1.7358532600623795</v>
      </c>
      <c r="CE73" s="511">
        <v>1.8555579912579951</v>
      </c>
      <c r="CF73" s="515">
        <v>0</v>
      </c>
      <c r="CG73" s="515">
        <v>0</v>
      </c>
      <c r="CH73" s="515">
        <v>698.42149087208418</v>
      </c>
      <c r="CI73" s="515">
        <v>751.34993519676993</v>
      </c>
      <c r="CJ73" s="515">
        <v>495.58146442893218</v>
      </c>
      <c r="CK73" s="515">
        <v>470.95856792138261</v>
      </c>
      <c r="CL73" s="515">
        <v>0</v>
      </c>
      <c r="CM73" s="516">
        <v>0</v>
      </c>
    </row>
    <row r="74" spans="1:91">
      <c r="A74" s="558">
        <v>46107</v>
      </c>
      <c r="B74" s="513">
        <v>0.78686780422934199</v>
      </c>
      <c r="C74" s="514">
        <v>0.89987215080794813</v>
      </c>
      <c r="D74" s="514">
        <v>0.78686780422934199</v>
      </c>
      <c r="E74" s="514">
        <v>0.91287600129619062</v>
      </c>
      <c r="F74" s="511">
        <v>47.478000000000002</v>
      </c>
      <c r="G74" s="511">
        <v>1609.6650000000002</v>
      </c>
      <c r="H74" s="511">
        <v>2.9097055478326808</v>
      </c>
      <c r="I74" s="511">
        <v>2.1650728567745459</v>
      </c>
      <c r="J74" s="511">
        <v>1180.5172922194959</v>
      </c>
      <c r="K74" s="512">
        <v>906.26763953990417</v>
      </c>
      <c r="L74" s="513">
        <v>0.81274051325982988</v>
      </c>
      <c r="M74" s="514">
        <v>0.86618039322782914</v>
      </c>
      <c r="N74" s="514">
        <v>0.81274051325982988</v>
      </c>
      <c r="O74" s="514">
        <v>0.88080127541384168</v>
      </c>
      <c r="P74" s="511">
        <v>55.987000000000002</v>
      </c>
      <c r="Q74" s="511">
        <v>1385.9440000000002</v>
      </c>
      <c r="R74" s="511">
        <v>2.9311447300266131</v>
      </c>
      <c r="S74" s="511">
        <v>2.3364710262463708</v>
      </c>
      <c r="T74" s="511">
        <v>0</v>
      </c>
      <c r="U74" s="511">
        <v>0</v>
      </c>
      <c r="V74" s="511">
        <v>662.46450068769605</v>
      </c>
      <c r="W74" s="511">
        <v>675.14325975652707</v>
      </c>
      <c r="X74" s="511">
        <v>449.72940146819798</v>
      </c>
      <c r="Y74" s="576">
        <v>475.29698169623009</v>
      </c>
      <c r="Z74" s="511">
        <v>0</v>
      </c>
      <c r="AA74" s="576">
        <v>0</v>
      </c>
      <c r="AB74" s="513">
        <v>0.88569892359711555</v>
      </c>
      <c r="AC74" s="514">
        <v>0.60300563632301551</v>
      </c>
      <c r="AD74" s="514">
        <v>0.88569892359711555</v>
      </c>
      <c r="AE74" s="514">
        <v>0.83823654437085338</v>
      </c>
      <c r="AF74" s="511">
        <v>40.591999999999999</v>
      </c>
      <c r="AG74" s="511">
        <v>717.10400000000004</v>
      </c>
      <c r="AH74" s="511">
        <v>135.05626348813308</v>
      </c>
      <c r="AI74" s="511">
        <v>130.04374251476594</v>
      </c>
      <c r="AJ74" s="511">
        <v>1.4904414662987782</v>
      </c>
      <c r="AK74" s="511">
        <v>1.4799805885896609</v>
      </c>
      <c r="AL74" s="511">
        <v>912.2142294047909</v>
      </c>
      <c r="AM74" s="511">
        <v>986.91026685111228</v>
      </c>
      <c r="AN74" s="511">
        <v>0</v>
      </c>
      <c r="AO74" s="512">
        <v>0</v>
      </c>
      <c r="AP74" s="594">
        <v>0.95343642810489382</v>
      </c>
      <c r="AQ74" s="514">
        <v>0.87065777622360041</v>
      </c>
      <c r="AR74" s="514">
        <v>0.95343642810489382</v>
      </c>
      <c r="AS74" s="514">
        <v>0.88792946902650227</v>
      </c>
      <c r="AT74" s="511">
        <v>52.279000000000003</v>
      </c>
      <c r="AU74" s="511">
        <v>1189.979</v>
      </c>
      <c r="AV74" s="515">
        <v>99.381303150897836</v>
      </c>
      <c r="AW74" s="515">
        <v>100.3538593588366</v>
      </c>
      <c r="AX74" s="511">
        <v>1.3638363396392432</v>
      </c>
      <c r="AY74" s="511">
        <v>1.4235545333152939</v>
      </c>
      <c r="AZ74" s="511">
        <v>0</v>
      </c>
      <c r="BA74" s="511">
        <v>0</v>
      </c>
      <c r="BB74" s="511">
        <v>807.94582910920246</v>
      </c>
      <c r="BC74" s="511">
        <v>851.55057358155045</v>
      </c>
      <c r="BD74" s="511">
        <v>583.33939057747853</v>
      </c>
      <c r="BE74" s="576">
        <v>510.57612193156365</v>
      </c>
      <c r="BF74" s="511">
        <v>0</v>
      </c>
      <c r="BG74" s="512">
        <v>0</v>
      </c>
      <c r="BH74" s="513">
        <v>0.72471879286694108</v>
      </c>
      <c r="BI74" s="514">
        <v>0.65729695787793463</v>
      </c>
      <c r="BJ74" s="514">
        <v>0.72471879286694108</v>
      </c>
      <c r="BK74" s="514">
        <v>0.9020781270885756</v>
      </c>
      <c r="BL74" s="511">
        <v>36.322000000000003</v>
      </c>
      <c r="BM74" s="511">
        <v>869.79599999999994</v>
      </c>
      <c r="BN74" s="511">
        <v>3.2046693464016296</v>
      </c>
      <c r="BO74" s="511">
        <v>2.4867900059324262</v>
      </c>
      <c r="BP74" s="515">
        <v>0</v>
      </c>
      <c r="BQ74" s="515">
        <v>0</v>
      </c>
      <c r="BR74" s="515">
        <v>1161.4393489356007</v>
      </c>
      <c r="BS74" s="515">
        <v>1041.1047258788401</v>
      </c>
      <c r="BT74" s="515">
        <v>0</v>
      </c>
      <c r="BU74" s="516">
        <v>2.1614263574447348</v>
      </c>
      <c r="BV74" s="513">
        <v>0.95212119614689827</v>
      </c>
      <c r="BW74" s="514">
        <v>0.93517520582194813</v>
      </c>
      <c r="BX74" s="514">
        <v>0.95212119614689827</v>
      </c>
      <c r="BY74" s="514">
        <v>0.95624855303372602</v>
      </c>
      <c r="BZ74" s="511">
        <v>49.85</v>
      </c>
      <c r="CA74" s="511">
        <v>1331.7069999999999</v>
      </c>
      <c r="CB74" s="515">
        <v>71.940642027360369</v>
      </c>
      <c r="CC74" s="515">
        <v>71.6307167130024</v>
      </c>
      <c r="CD74" s="511">
        <v>1.9037111334002006</v>
      </c>
      <c r="CE74" s="511">
        <v>1.8573605154887676</v>
      </c>
      <c r="CF74" s="515">
        <v>0</v>
      </c>
      <c r="CG74" s="515">
        <v>0</v>
      </c>
      <c r="CH74" s="515">
        <v>820.46138350975048</v>
      </c>
      <c r="CI74" s="515">
        <v>753.9369950368116</v>
      </c>
      <c r="CJ74" s="515">
        <v>410.50351053159488</v>
      </c>
      <c r="CK74" s="515">
        <v>468.69554413996462</v>
      </c>
      <c r="CL74" s="515">
        <v>0</v>
      </c>
      <c r="CM74" s="516">
        <v>0</v>
      </c>
    </row>
    <row r="75" spans="1:91">
      <c r="A75" s="558">
        <v>46108</v>
      </c>
      <c r="B75" s="513">
        <v>0.85811504293370733</v>
      </c>
      <c r="C75" s="514">
        <v>0.89851329641811573</v>
      </c>
      <c r="D75" s="514">
        <v>0.85811504293370733</v>
      </c>
      <c r="E75" s="514">
        <v>0.91106907537743009</v>
      </c>
      <c r="F75" s="511">
        <v>51.631</v>
      </c>
      <c r="G75" s="511">
        <v>1661.2960000000003</v>
      </c>
      <c r="H75" s="511">
        <v>2.4370049001568828</v>
      </c>
      <c r="I75" s="511">
        <v>2.173524164266933</v>
      </c>
      <c r="J75" s="511">
        <v>1077.8206891208924</v>
      </c>
      <c r="K75" s="512">
        <v>911.59929356357975</v>
      </c>
      <c r="L75" s="513">
        <v>0.68548749598557468</v>
      </c>
      <c r="M75" s="514">
        <v>0.85849416166744497</v>
      </c>
      <c r="N75" s="514">
        <v>0.68548749598557468</v>
      </c>
      <c r="O75" s="514">
        <v>0.87235892971769313</v>
      </c>
      <c r="P75" s="511">
        <v>48.728999999999999</v>
      </c>
      <c r="Q75" s="511">
        <v>1434.6730000000002</v>
      </c>
      <c r="R75" s="511">
        <v>2.9322785199778365</v>
      </c>
      <c r="S75" s="511">
        <v>2.3567077654629314</v>
      </c>
      <c r="T75" s="511">
        <v>0</v>
      </c>
      <c r="U75" s="511">
        <v>0</v>
      </c>
      <c r="V75" s="511">
        <v>622.09649284822308</v>
      </c>
      <c r="W75" s="511">
        <v>673.3415140593022</v>
      </c>
      <c r="X75" s="511">
        <v>452.420529869277</v>
      </c>
      <c r="Y75" s="576">
        <v>474.51997772314655</v>
      </c>
      <c r="Z75" s="511">
        <v>0</v>
      </c>
      <c r="AA75" s="576">
        <v>0</v>
      </c>
      <c r="AB75" s="513">
        <v>0.88500308894079116</v>
      </c>
      <c r="AC75" s="514">
        <v>0.61349911643623667</v>
      </c>
      <c r="AD75" s="514">
        <v>0.88500308894079116</v>
      </c>
      <c r="AE75" s="514">
        <v>0.84062103683172595</v>
      </c>
      <c r="AF75" s="511">
        <v>40.677</v>
      </c>
      <c r="AG75" s="511">
        <v>757.78100000000006</v>
      </c>
      <c r="AH75" s="511">
        <v>136.07282637155825</v>
      </c>
      <c r="AI75" s="511">
        <v>130.36737829349715</v>
      </c>
      <c r="AJ75" s="511">
        <v>1.4455343314403717</v>
      </c>
      <c r="AK75" s="511">
        <v>1.4781315446019365</v>
      </c>
      <c r="AL75" s="511">
        <v>873.19517171866164</v>
      </c>
      <c r="AM75" s="511">
        <v>980.80614319968413</v>
      </c>
      <c r="AN75" s="511">
        <v>0</v>
      </c>
      <c r="AO75" s="512">
        <v>0</v>
      </c>
      <c r="AP75" s="594">
        <v>1.0110415402807589</v>
      </c>
      <c r="AQ75" s="514">
        <v>0.87553667791784306</v>
      </c>
      <c r="AR75" s="514">
        <v>1.0110415402807589</v>
      </c>
      <c r="AS75" s="514">
        <v>0.89228998111820768</v>
      </c>
      <c r="AT75" s="511">
        <v>49.753999999999998</v>
      </c>
      <c r="AU75" s="511">
        <v>1239.7329999999999</v>
      </c>
      <c r="AV75" s="515">
        <v>97.641152189934175</v>
      </c>
      <c r="AW75" s="515">
        <v>100.24499072947724</v>
      </c>
      <c r="AX75" s="511">
        <v>1.4511396068657798</v>
      </c>
      <c r="AY75" s="511">
        <v>1.4246616005220483</v>
      </c>
      <c r="AZ75" s="511">
        <v>0</v>
      </c>
      <c r="BA75" s="511">
        <v>0</v>
      </c>
      <c r="BB75" s="511">
        <v>896.79141375567815</v>
      </c>
      <c r="BC75" s="511">
        <v>853.36621675796323</v>
      </c>
      <c r="BD75" s="511">
        <v>499.13574787957589</v>
      </c>
      <c r="BE75" s="576">
        <v>510.11698728677914</v>
      </c>
      <c r="BF75" s="511">
        <v>0</v>
      </c>
      <c r="BG75" s="512">
        <v>0</v>
      </c>
      <c r="BH75" s="513">
        <v>0.90922778353386324</v>
      </c>
      <c r="BI75" s="514">
        <v>0.66701313095130477</v>
      </c>
      <c r="BJ75" s="514">
        <v>0.77012049288573192</v>
      </c>
      <c r="BK75" s="514">
        <v>0.89402475745348886</v>
      </c>
      <c r="BL75" s="511">
        <v>48.264000000000003</v>
      </c>
      <c r="BM75" s="511">
        <v>918.06</v>
      </c>
      <c r="BN75" s="511">
        <v>2.7349577324714072</v>
      </c>
      <c r="BO75" s="511">
        <v>2.4998366119861455</v>
      </c>
      <c r="BP75" s="515">
        <v>0</v>
      </c>
      <c r="BQ75" s="515">
        <v>0</v>
      </c>
      <c r="BR75" s="515">
        <v>856.81818947945862</v>
      </c>
      <c r="BS75" s="515">
        <v>1031.4164643351721</v>
      </c>
      <c r="BT75" s="515">
        <v>0</v>
      </c>
      <c r="BU75" s="516">
        <v>2.0477964403198046</v>
      </c>
      <c r="BV75" s="513">
        <v>0.775792998581042</v>
      </c>
      <c r="BW75" s="514">
        <v>0.92931299477020568</v>
      </c>
      <c r="BX75" s="514">
        <v>0.775792998581042</v>
      </c>
      <c r="BY75" s="514">
        <v>0.94946730124929912</v>
      </c>
      <c r="BZ75" s="511">
        <v>42.185000000000002</v>
      </c>
      <c r="CA75" s="511">
        <v>1373.8919999999998</v>
      </c>
      <c r="CB75" s="515">
        <v>86.403407742708083</v>
      </c>
      <c r="CC75" s="515">
        <v>72.084308386211163</v>
      </c>
      <c r="CD75" s="511">
        <v>2.2590968353680214</v>
      </c>
      <c r="CE75" s="511">
        <v>1.8696957257193436</v>
      </c>
      <c r="CF75" s="515">
        <v>0</v>
      </c>
      <c r="CG75" s="515">
        <v>0</v>
      </c>
      <c r="CH75" s="515">
        <v>891.58485013546272</v>
      </c>
      <c r="CI75" s="515">
        <v>758.16343697499633</v>
      </c>
      <c r="CJ75" s="515">
        <v>550.43024771839316</v>
      </c>
      <c r="CK75" s="515">
        <v>471.20518716172762</v>
      </c>
      <c r="CL75" s="515">
        <v>0</v>
      </c>
      <c r="CM75" s="516">
        <v>0</v>
      </c>
    </row>
    <row r="76" spans="1:91">
      <c r="A76" s="558">
        <v>46109</v>
      </c>
      <c r="B76" s="513">
        <v>0.87121172232848487</v>
      </c>
      <c r="C76" s="514">
        <v>0.89765285258588012</v>
      </c>
      <c r="D76" s="514">
        <v>0.87121172232848487</v>
      </c>
      <c r="E76" s="514">
        <v>0.90979592745626581</v>
      </c>
      <c r="F76" s="511">
        <v>52.418999999999997</v>
      </c>
      <c r="G76" s="511">
        <v>1713.7150000000004</v>
      </c>
      <c r="H76" s="511">
        <v>2.2826646826532366</v>
      </c>
      <c r="I76" s="511">
        <v>2.1768625471563232</v>
      </c>
      <c r="J76" s="511">
        <v>1053.9895839295225</v>
      </c>
      <c r="K76" s="512">
        <v>915.95471825828815</v>
      </c>
      <c r="L76" s="513">
        <v>0.88491595904184206</v>
      </c>
      <c r="M76" s="514">
        <v>0.85958116625362646</v>
      </c>
      <c r="N76" s="514">
        <v>0.88491595904184206</v>
      </c>
      <c r="O76" s="514">
        <v>0.87288352615035159</v>
      </c>
      <c r="P76" s="511">
        <v>63.45</v>
      </c>
      <c r="Q76" s="511">
        <v>1498.1230000000003</v>
      </c>
      <c r="R76" s="511">
        <v>2.4175728920409774</v>
      </c>
      <c r="S76" s="511">
        <v>2.3592855860299857</v>
      </c>
      <c r="T76" s="511">
        <v>0</v>
      </c>
      <c r="U76" s="511">
        <v>0</v>
      </c>
      <c r="V76" s="511">
        <v>503.20914105595358</v>
      </c>
      <c r="W76" s="511">
        <v>666.13589805376557</v>
      </c>
      <c r="X76" s="511">
        <v>517.19464144996061</v>
      </c>
      <c r="Y76" s="576">
        <v>476.32737765857667</v>
      </c>
      <c r="Z76" s="511">
        <v>0</v>
      </c>
      <c r="AA76" s="576">
        <v>0</v>
      </c>
      <c r="AB76" s="513">
        <v>0.85609498839258669</v>
      </c>
      <c r="AC76" s="514">
        <v>0.62222167368707126</v>
      </c>
      <c r="AD76" s="514">
        <v>0.85609498839258669</v>
      </c>
      <c r="AE76" s="514">
        <v>0.84137336145818631</v>
      </c>
      <c r="AF76" s="511">
        <v>39.438000000000002</v>
      </c>
      <c r="AG76" s="511">
        <v>797.21900000000005</v>
      </c>
      <c r="AH76" s="511">
        <v>139.13589560194484</v>
      </c>
      <c r="AI76" s="511">
        <v>130.80115218199023</v>
      </c>
      <c r="AJ76" s="511">
        <v>1.5112328211369745</v>
      </c>
      <c r="AK76" s="511">
        <v>1.4797690471501557</v>
      </c>
      <c r="AL76" s="511">
        <v>898.09523809522898</v>
      </c>
      <c r="AM76" s="511">
        <v>976.71447870660336</v>
      </c>
      <c r="AN76" s="511">
        <v>0</v>
      </c>
      <c r="AO76" s="512">
        <v>0</v>
      </c>
      <c r="AP76" s="594">
        <v>0.98301850349108399</v>
      </c>
      <c r="AQ76" s="514">
        <v>0.87940799245740564</v>
      </c>
      <c r="AR76" s="514">
        <v>0.98301850349108399</v>
      </c>
      <c r="AS76" s="514">
        <v>0.89561810680494025</v>
      </c>
      <c r="AT76" s="511">
        <v>52.008000000000003</v>
      </c>
      <c r="AU76" s="511">
        <v>1291.741</v>
      </c>
      <c r="AV76" s="515">
        <v>95.178031199059447</v>
      </c>
      <c r="AW76" s="515">
        <v>100.04098510353677</v>
      </c>
      <c r="AX76" s="511">
        <v>1.3940163051838177</v>
      </c>
      <c r="AY76" s="511">
        <v>1.423427761447535</v>
      </c>
      <c r="AZ76" s="511">
        <v>0</v>
      </c>
      <c r="BA76" s="511">
        <v>0</v>
      </c>
      <c r="BB76" s="511">
        <v>800.62836486694141</v>
      </c>
      <c r="BC76" s="511">
        <v>851.24288847377284</v>
      </c>
      <c r="BD76" s="511">
        <v>476.25269189355276</v>
      </c>
      <c r="BE76" s="576">
        <v>508.75354502179647</v>
      </c>
      <c r="BF76" s="511">
        <v>0</v>
      </c>
      <c r="BG76" s="512">
        <v>0</v>
      </c>
      <c r="BH76" s="513">
        <v>0.79518674995405791</v>
      </c>
      <c r="BI76" s="514">
        <v>0.67179589052087196</v>
      </c>
      <c r="BJ76" s="514">
        <v>0.79518674995405791</v>
      </c>
      <c r="BK76" s="514">
        <v>0.88914342527394385</v>
      </c>
      <c r="BL76" s="511">
        <v>42.423000000000002</v>
      </c>
      <c r="BM76" s="511">
        <v>960.48299999999995</v>
      </c>
      <c r="BN76" s="511">
        <v>2.9276571671027507</v>
      </c>
      <c r="BO76" s="511">
        <v>2.5187327625788281</v>
      </c>
      <c r="BP76" s="515">
        <v>0</v>
      </c>
      <c r="BQ76" s="515">
        <v>0</v>
      </c>
      <c r="BR76" s="515">
        <v>1006.2597699311846</v>
      </c>
      <c r="BS76" s="515">
        <v>1030.3053333243158</v>
      </c>
      <c r="BT76" s="515">
        <v>0</v>
      </c>
      <c r="BU76" s="516">
        <v>1.9573485423479646</v>
      </c>
      <c r="BV76" s="513">
        <v>0.79692293968136974</v>
      </c>
      <c r="BW76" s="514">
        <v>0.92458904387177443</v>
      </c>
      <c r="BX76" s="514">
        <v>0.79692293968136974</v>
      </c>
      <c r="BY76" s="514">
        <v>0.94391045697658327</v>
      </c>
      <c r="BZ76" s="511">
        <v>43.594999999999999</v>
      </c>
      <c r="CA76" s="511">
        <v>1417.4869999999999</v>
      </c>
      <c r="CB76" s="515">
        <v>86.311262820273356</v>
      </c>
      <c r="CC76" s="515">
        <v>72.521860249863479</v>
      </c>
      <c r="CD76" s="511">
        <v>2.1562105746071798</v>
      </c>
      <c r="CE76" s="511">
        <v>1.8785075277586323</v>
      </c>
      <c r="CF76" s="515">
        <v>0</v>
      </c>
      <c r="CG76" s="515">
        <v>0</v>
      </c>
      <c r="CH76" s="515">
        <v>882.02045602031251</v>
      </c>
      <c r="CI76" s="515">
        <v>761.97267596292409</v>
      </c>
      <c r="CJ76" s="515">
        <v>532.69985090033026</v>
      </c>
      <c r="CK76" s="515">
        <v>473.09646367127192</v>
      </c>
      <c r="CL76" s="515">
        <v>0</v>
      </c>
      <c r="CM76" s="516">
        <v>0</v>
      </c>
    </row>
    <row r="77" spans="1:91">
      <c r="A77" s="558">
        <v>46110</v>
      </c>
      <c r="B77" s="513">
        <v>0.77360614418633589</v>
      </c>
      <c r="C77" s="514">
        <v>0.89390863366071616</v>
      </c>
      <c r="D77" s="514">
        <v>0.77360614418633589</v>
      </c>
      <c r="E77" s="514">
        <v>0.90563127468234683</v>
      </c>
      <c r="F77" s="511">
        <v>45.966000000000001</v>
      </c>
      <c r="G77" s="511">
        <v>1759.6810000000003</v>
      </c>
      <c r="H77" s="511">
        <v>2.6076447809250314</v>
      </c>
      <c r="I77" s="511">
        <v>2.1881153459064446</v>
      </c>
      <c r="J77" s="511">
        <v>1210.5147282774287</v>
      </c>
      <c r="K77" s="512">
        <v>923.64915004481077</v>
      </c>
      <c r="L77" s="513">
        <v>1.0268796633935873</v>
      </c>
      <c r="M77" s="514">
        <v>0.86621572577499373</v>
      </c>
      <c r="N77" s="514">
        <v>1.0268796633935873</v>
      </c>
      <c r="O77" s="514">
        <v>0.87908125882357957</v>
      </c>
      <c r="P77" s="511">
        <v>73.905000000000001</v>
      </c>
      <c r="Q77" s="511">
        <v>1572.0280000000002</v>
      </c>
      <c r="R77" s="511">
        <v>2.0673838035315608</v>
      </c>
      <c r="S77" s="511">
        <v>2.3455625472319834</v>
      </c>
      <c r="T77" s="511">
        <v>0</v>
      </c>
      <c r="U77" s="511">
        <v>0</v>
      </c>
      <c r="V77" s="511">
        <v>472.28847845203342</v>
      </c>
      <c r="W77" s="511">
        <v>657.02264209034377</v>
      </c>
      <c r="X77" s="511">
        <v>439.92963940193493</v>
      </c>
      <c r="Y77" s="576">
        <v>474.61622820967557</v>
      </c>
      <c r="Z77" s="511">
        <v>0</v>
      </c>
      <c r="AA77" s="576">
        <v>0</v>
      </c>
      <c r="AB77" s="513">
        <v>0.82548760633382234</v>
      </c>
      <c r="AC77" s="514">
        <v>0.62927646366108436</v>
      </c>
      <c r="AD77" s="514">
        <v>0.82548760633382234</v>
      </c>
      <c r="AE77" s="514">
        <v>0.84063682495085645</v>
      </c>
      <c r="AF77" s="511">
        <v>38.027999999999999</v>
      </c>
      <c r="AG77" s="511">
        <v>835.24700000000007</v>
      </c>
      <c r="AH77" s="511">
        <v>142.21221065663525</v>
      </c>
      <c r="AI77" s="511">
        <v>131.3206868007004</v>
      </c>
      <c r="AJ77" s="511">
        <v>1.4831177027453455</v>
      </c>
      <c r="AK77" s="511">
        <v>1.4799215082484583</v>
      </c>
      <c r="AL77" s="511">
        <v>967.51130745770092</v>
      </c>
      <c r="AM77" s="511">
        <v>976.2954670893771</v>
      </c>
      <c r="AN77" s="511">
        <v>0</v>
      </c>
      <c r="AO77" s="512">
        <v>0</v>
      </c>
      <c r="AP77" s="594">
        <v>0.93254401008358123</v>
      </c>
      <c r="AQ77" s="514">
        <v>0.88129069758705103</v>
      </c>
      <c r="AR77" s="514">
        <v>0.93254401008358123</v>
      </c>
      <c r="AS77" s="514">
        <v>0.89694970542666197</v>
      </c>
      <c r="AT77" s="511">
        <v>50.317</v>
      </c>
      <c r="AU77" s="511">
        <v>1342.058</v>
      </c>
      <c r="AV77" s="515">
        <v>99.812236541220301</v>
      </c>
      <c r="AW77" s="515">
        <v>100.03240876673904</v>
      </c>
      <c r="AX77" s="511">
        <v>1.4150287179283345</v>
      </c>
      <c r="AY77" s="511">
        <v>1.4231128609940855</v>
      </c>
      <c r="AZ77" s="511">
        <v>0</v>
      </c>
      <c r="BA77" s="511">
        <v>0</v>
      </c>
      <c r="BB77" s="511">
        <v>774.93729753363721</v>
      </c>
      <c r="BC77" s="511">
        <v>848.38200733500332</v>
      </c>
      <c r="BD77" s="511">
        <v>529.14843889738654</v>
      </c>
      <c r="BE77" s="576">
        <v>509.51819891539731</v>
      </c>
      <c r="BF77" s="511">
        <v>0</v>
      </c>
      <c r="BG77" s="512">
        <v>0</v>
      </c>
      <c r="BH77" s="513">
        <v>1.0633591481647138</v>
      </c>
      <c r="BI77" s="514">
        <v>0.68583972415844052</v>
      </c>
      <c r="BJ77" s="514">
        <v>1.0633591481647138</v>
      </c>
      <c r="BK77" s="514">
        <v>0.89731856354560835</v>
      </c>
      <c r="BL77" s="511">
        <v>56.555999999999997</v>
      </c>
      <c r="BM77" s="511">
        <v>1017.039</v>
      </c>
      <c r="BN77" s="511">
        <v>2.1518494943065281</v>
      </c>
      <c r="BO77" s="511">
        <v>2.4983309391281949</v>
      </c>
      <c r="BP77" s="515">
        <v>0</v>
      </c>
      <c r="BQ77" s="515">
        <v>0</v>
      </c>
      <c r="BR77" s="515">
        <v>539.70082828427019</v>
      </c>
      <c r="BS77" s="515">
        <v>1003.0235590884755</v>
      </c>
      <c r="BT77" s="515">
        <v>0</v>
      </c>
      <c r="BU77" s="516">
        <v>1.8485033513955709</v>
      </c>
      <c r="BV77" s="513">
        <v>0.82676058849117651</v>
      </c>
      <c r="BW77" s="514">
        <v>0.92123335782229543</v>
      </c>
      <c r="BX77" s="514">
        <v>0.82676058849117651</v>
      </c>
      <c r="BY77" s="514">
        <v>0.93981097681425851</v>
      </c>
      <c r="BZ77" s="511">
        <v>45.021999999999998</v>
      </c>
      <c r="CA77" s="511">
        <v>1462.5089999999998</v>
      </c>
      <c r="CB77" s="515">
        <v>83.552524257138572</v>
      </c>
      <c r="CC77" s="515">
        <v>72.861429137942494</v>
      </c>
      <c r="CD77" s="511">
        <v>2.0834258806805561</v>
      </c>
      <c r="CE77" s="511">
        <v>1.8848157515611874</v>
      </c>
      <c r="CF77" s="515">
        <v>0</v>
      </c>
      <c r="CG77" s="515">
        <v>0</v>
      </c>
      <c r="CH77" s="515">
        <v>884.1330895019164</v>
      </c>
      <c r="CI77" s="515">
        <v>765.73327240257163</v>
      </c>
      <c r="CJ77" s="515">
        <v>532.59824086002027</v>
      </c>
      <c r="CK77" s="515">
        <v>474.92817138219317</v>
      </c>
      <c r="CL77" s="515">
        <v>0</v>
      </c>
      <c r="CM77" s="516">
        <v>0</v>
      </c>
    </row>
    <row r="78" spans="1:91">
      <c r="A78" s="558">
        <v>46111</v>
      </c>
      <c r="B78" s="513">
        <v>0.94369560590786783</v>
      </c>
      <c r="C78" s="514">
        <v>0.89555536859725549</v>
      </c>
      <c r="D78" s="514">
        <v>0.94369560590786783</v>
      </c>
      <c r="E78" s="514">
        <v>0.9069062334289193</v>
      </c>
      <c r="F78" s="511">
        <v>63.545999999999999</v>
      </c>
      <c r="G78" s="511">
        <v>1823.2270000000003</v>
      </c>
      <c r="H78" s="511">
        <v>2.0597519906839143</v>
      </c>
      <c r="I78" s="511">
        <v>2.1836414225985017</v>
      </c>
      <c r="J78" s="511">
        <v>871.63755389790208</v>
      </c>
      <c r="K78" s="512">
        <v>921.83635937817871</v>
      </c>
      <c r="L78" s="513">
        <v>1.0253638554238209</v>
      </c>
      <c r="M78" s="514">
        <v>0.87230982785206446</v>
      </c>
      <c r="N78" s="514">
        <v>1.0253638554238209</v>
      </c>
      <c r="O78" s="514">
        <v>0.88476267855707424</v>
      </c>
      <c r="P78" s="511">
        <v>74.093000000000004</v>
      </c>
      <c r="Q78" s="511">
        <v>1646.1210000000003</v>
      </c>
      <c r="R78" s="511">
        <v>2.1606494540644863</v>
      </c>
      <c r="S78" s="511">
        <v>2.3372394860402124</v>
      </c>
      <c r="T78" s="511">
        <v>0</v>
      </c>
      <c r="U78" s="511">
        <v>0</v>
      </c>
      <c r="V78" s="511">
        <v>459.0638791788586</v>
      </c>
      <c r="W78" s="511">
        <v>648.1123866350033</v>
      </c>
      <c r="X78" s="511">
        <v>445.02179693088419</v>
      </c>
      <c r="Y78" s="576">
        <v>473.28416319334963</v>
      </c>
      <c r="Z78" s="511">
        <v>0</v>
      </c>
      <c r="AA78" s="576">
        <v>0</v>
      </c>
      <c r="AB78" s="513">
        <v>0.82396085974574729</v>
      </c>
      <c r="AC78" s="514">
        <v>0.63531988571789788</v>
      </c>
      <c r="AD78" s="514">
        <v>0.82396085974574729</v>
      </c>
      <c r="AE78" s="514">
        <v>0.83995243282453891</v>
      </c>
      <c r="AF78" s="511">
        <v>35.036999999999999</v>
      </c>
      <c r="AG78" s="511">
        <v>870.28400000000011</v>
      </c>
      <c r="AH78" s="511">
        <v>147.87267409720505</v>
      </c>
      <c r="AI78" s="511">
        <v>131.98705775421399</v>
      </c>
      <c r="AJ78" s="511">
        <v>1.5811856037902789</v>
      </c>
      <c r="AK78" s="511">
        <v>1.483998326982916</v>
      </c>
      <c r="AL78" s="511">
        <v>1078.2624083111725</v>
      </c>
      <c r="AM78" s="511">
        <v>980.4005818790182</v>
      </c>
      <c r="AN78" s="511">
        <v>0</v>
      </c>
      <c r="AO78" s="512">
        <v>0</v>
      </c>
      <c r="AP78" s="594">
        <v>0.84291867269039633</v>
      </c>
      <c r="AQ78" s="514">
        <v>0.87997557162838336</v>
      </c>
      <c r="AR78" s="514">
        <v>0.84291867269039633</v>
      </c>
      <c r="AS78" s="514">
        <v>0.8950661412851989</v>
      </c>
      <c r="AT78" s="511">
        <v>45.555</v>
      </c>
      <c r="AU78" s="511">
        <v>1387.6130000000001</v>
      </c>
      <c r="AV78" s="515">
        <v>103.22902996501776</v>
      </c>
      <c r="AW78" s="515">
        <v>100.13735306942833</v>
      </c>
      <c r="AX78" s="511">
        <v>1.5212380638788277</v>
      </c>
      <c r="AY78" s="511">
        <v>1.4263342877300804</v>
      </c>
      <c r="AZ78" s="511">
        <v>0</v>
      </c>
      <c r="BA78" s="511">
        <v>0</v>
      </c>
      <c r="BB78" s="511">
        <v>918.86905937877441</v>
      </c>
      <c r="BC78" s="511">
        <v>850.69608024715831</v>
      </c>
      <c r="BD78" s="511">
        <v>469.31998682910029</v>
      </c>
      <c r="BE78" s="576">
        <v>508.19850131124446</v>
      </c>
      <c r="BF78" s="511">
        <v>0</v>
      </c>
      <c r="BG78" s="512">
        <v>0</v>
      </c>
      <c r="BH78" s="513">
        <v>1.0488646939404689</v>
      </c>
      <c r="BI78" s="514">
        <v>0.69813574824767866</v>
      </c>
      <c r="BJ78" s="514">
        <v>1.0488646939404689</v>
      </c>
      <c r="BK78" s="514">
        <v>0.9039649374196046</v>
      </c>
      <c r="BL78" s="511">
        <v>54.529000000000003</v>
      </c>
      <c r="BM78" s="511">
        <v>1071.568</v>
      </c>
      <c r="BN78" s="511">
        <v>2.4830823965229509</v>
      </c>
      <c r="BO78" s="511">
        <v>2.4975549848446392</v>
      </c>
      <c r="BP78" s="515">
        <v>0</v>
      </c>
      <c r="BQ78" s="515">
        <v>0</v>
      </c>
      <c r="BR78" s="515">
        <v>972.65332966414303</v>
      </c>
      <c r="BS78" s="515">
        <v>1001.4781058458633</v>
      </c>
      <c r="BT78" s="515">
        <v>0</v>
      </c>
      <c r="BU78" s="516">
        <v>1.7544383557553045</v>
      </c>
      <c r="BV78" s="513">
        <v>1.0164980095839169</v>
      </c>
      <c r="BW78" s="514">
        <v>0.92435113991664331</v>
      </c>
      <c r="BX78" s="514">
        <v>1.0164980095839169</v>
      </c>
      <c r="BY78" s="514">
        <v>0.9423696819019779</v>
      </c>
      <c r="BZ78" s="511">
        <v>54.600999999999999</v>
      </c>
      <c r="CA78" s="511">
        <v>1517.1099999999997</v>
      </c>
      <c r="CB78" s="515">
        <v>67.972869683702513</v>
      </c>
      <c r="CC78" s="515">
        <v>72.685489202960227</v>
      </c>
      <c r="CD78" s="511">
        <v>1.6702990787714511</v>
      </c>
      <c r="CE78" s="511">
        <v>1.8770952666583181</v>
      </c>
      <c r="CF78" s="515">
        <v>0</v>
      </c>
      <c r="CG78" s="515">
        <v>0</v>
      </c>
      <c r="CH78" s="515">
        <v>768.4314680453956</v>
      </c>
      <c r="CI78" s="515">
        <v>765.83038083920042</v>
      </c>
      <c r="CJ78" s="515">
        <v>395.07386311605285</v>
      </c>
      <c r="CK78" s="515">
        <v>472.05420371627605</v>
      </c>
      <c r="CL78" s="515">
        <v>0</v>
      </c>
      <c r="CM78" s="516">
        <v>0</v>
      </c>
    </row>
    <row r="79" spans="1:91">
      <c r="A79" s="558">
        <v>46112</v>
      </c>
      <c r="B79" s="513">
        <v>0.58963572637486816</v>
      </c>
      <c r="C79" s="514">
        <v>0.88484970847047562</v>
      </c>
      <c r="D79" s="514">
        <v>0.58963572637486816</v>
      </c>
      <c r="E79" s="514">
        <v>0.89566760925739353</v>
      </c>
      <c r="F79" s="511">
        <v>43.531999999999996</v>
      </c>
      <c r="G79" s="511">
        <v>1866.7590000000002</v>
      </c>
      <c r="H79" s="511">
        <v>2.5428190756225306</v>
      </c>
      <c r="I79" s="511">
        <v>2.1920172877163036</v>
      </c>
      <c r="J79" s="511">
        <v>935.12358724620458</v>
      </c>
      <c r="K79" s="512">
        <v>922.14621169631459</v>
      </c>
      <c r="L79" s="513">
        <v>1.1302054195075768</v>
      </c>
      <c r="M79" s="514">
        <v>0.88170831799413629</v>
      </c>
      <c r="N79" s="514">
        <v>1.1302054195075768</v>
      </c>
      <c r="O79" s="514">
        <v>0.89383032357963155</v>
      </c>
      <c r="P79" s="511">
        <v>80.665000000000006</v>
      </c>
      <c r="Q79" s="511">
        <v>1726.7860000000003</v>
      </c>
      <c r="R79" s="511">
        <v>2.0086902621954996</v>
      </c>
      <c r="S79" s="511">
        <v>2.321891653047917</v>
      </c>
      <c r="T79" s="511">
        <v>0</v>
      </c>
      <c r="U79" s="511">
        <v>0</v>
      </c>
      <c r="V79" s="511">
        <v>442.27731977937344</v>
      </c>
      <c r="W79" s="511">
        <v>638.49701700152843</v>
      </c>
      <c r="X79" s="511">
        <v>409.96714808157191</v>
      </c>
      <c r="Y79" s="576">
        <v>470.32637512696994</v>
      </c>
      <c r="Z79" s="511">
        <v>0</v>
      </c>
      <c r="AA79" s="576">
        <v>0</v>
      </c>
      <c r="AB79" s="513">
        <v>0.87375246827604636</v>
      </c>
      <c r="AC79" s="514">
        <v>0.6422780569348121</v>
      </c>
      <c r="AD79" s="514">
        <v>0.87375246827604636</v>
      </c>
      <c r="AE79" s="514">
        <v>0.84124438297430615</v>
      </c>
      <c r="AF79" s="511">
        <v>35.978999999999999</v>
      </c>
      <c r="AG79" s="511">
        <v>906.26300000000015</v>
      </c>
      <c r="AH79" s="511">
        <v>134.28043151859094</v>
      </c>
      <c r="AI79" s="511">
        <v>132.078105600886</v>
      </c>
      <c r="AJ79" s="511">
        <v>1.4925373134328359</v>
      </c>
      <c r="AK79" s="511">
        <v>1.4843373281266035</v>
      </c>
      <c r="AL79" s="511">
        <v>1006.9151449456629</v>
      </c>
      <c r="AM79" s="511">
        <v>981.45322053311179</v>
      </c>
      <c r="AN79" s="511">
        <v>0</v>
      </c>
      <c r="AO79" s="512">
        <v>0</v>
      </c>
      <c r="AP79" s="594">
        <v>0.59600481596337884</v>
      </c>
      <c r="AQ79" s="514">
        <v>0.87015283921102526</v>
      </c>
      <c r="AR79" s="514">
        <v>0.59600481596337884</v>
      </c>
      <c r="AS79" s="514">
        <v>0.88455025406009358</v>
      </c>
      <c r="AT79" s="511">
        <v>33.673999999999999</v>
      </c>
      <c r="AU79" s="511">
        <v>1421.287</v>
      </c>
      <c r="AV79" s="515">
        <v>115.51119595399334</v>
      </c>
      <c r="AW79" s="515">
        <v>100.50159954835541</v>
      </c>
      <c r="AX79" s="511">
        <v>1.8382134584545939</v>
      </c>
      <c r="AY79" s="511">
        <v>1.4360927806980577</v>
      </c>
      <c r="AZ79" s="511">
        <v>0</v>
      </c>
      <c r="BA79" s="511">
        <v>0</v>
      </c>
      <c r="BB79" s="511">
        <v>987.3433509532573</v>
      </c>
      <c r="BC79" s="511">
        <v>853.93361087521384</v>
      </c>
      <c r="BD79" s="511">
        <v>662.30444853595861</v>
      </c>
      <c r="BE79" s="576">
        <v>511.84967357050317</v>
      </c>
      <c r="BF79" s="511">
        <v>0</v>
      </c>
      <c r="BG79" s="512">
        <v>0</v>
      </c>
      <c r="BH79" s="513">
        <v>0.84466904139704668</v>
      </c>
      <c r="BI79" s="514">
        <v>0.70325329215205501</v>
      </c>
      <c r="BJ79" s="514">
        <v>0.84466904139704668</v>
      </c>
      <c r="BK79" s="514">
        <v>0.90131086520160342</v>
      </c>
      <c r="BL79" s="511">
        <v>46.917000000000002</v>
      </c>
      <c r="BM79" s="511">
        <v>1118.4849999999999</v>
      </c>
      <c r="BN79" s="511">
        <v>2.8880789479293218</v>
      </c>
      <c r="BO79" s="511">
        <v>2.5139362619972556</v>
      </c>
      <c r="BP79" s="515">
        <v>0</v>
      </c>
      <c r="BQ79" s="515">
        <v>0</v>
      </c>
      <c r="BR79" s="515">
        <v>1167.5455355221463</v>
      </c>
      <c r="BS79" s="515">
        <v>1008.4441229119143</v>
      </c>
      <c r="BT79" s="515">
        <v>0</v>
      </c>
      <c r="BU79" s="516">
        <v>1.6808450716817838</v>
      </c>
      <c r="BV79" s="513">
        <v>0.74968323109251556</v>
      </c>
      <c r="BW79" s="514">
        <v>0.91895145671120926</v>
      </c>
      <c r="BX79" s="514">
        <v>0.74968323109251556</v>
      </c>
      <c r="BY79" s="514">
        <v>0.93630051571616235</v>
      </c>
      <c r="BZ79" s="511">
        <v>39.250999999999998</v>
      </c>
      <c r="CA79" s="511">
        <v>1556.3609999999996</v>
      </c>
      <c r="CB79" s="515">
        <v>98.774562223582706</v>
      </c>
      <c r="CC79" s="515">
        <v>73.343448510044155</v>
      </c>
      <c r="CD79" s="511">
        <v>2.3973911492700823</v>
      </c>
      <c r="CE79" s="511">
        <v>1.8902169869329808</v>
      </c>
      <c r="CF79" s="515">
        <v>0</v>
      </c>
      <c r="CG79" s="515">
        <v>0</v>
      </c>
      <c r="CH79" s="515">
        <v>1069.6916284911999</v>
      </c>
      <c r="CI79" s="515">
        <v>773.49367864195244</v>
      </c>
      <c r="CJ79" s="515">
        <v>812.55917046698903</v>
      </c>
      <c r="CK79" s="515">
        <v>480.64164612194691</v>
      </c>
      <c r="CL79" s="515">
        <v>0</v>
      </c>
      <c r="CM79" s="516">
        <v>0</v>
      </c>
    </row>
    <row r="80" spans="1:91">
      <c r="A80" s="558"/>
      <c r="B80" s="603"/>
      <c r="C80" s="594"/>
      <c r="D80" s="604"/>
      <c r="E80" s="594"/>
      <c r="F80" s="576"/>
      <c r="G80" s="605"/>
      <c r="H80" s="576"/>
      <c r="I80" s="605"/>
      <c r="J80" s="576"/>
      <c r="K80" s="606"/>
      <c r="L80" s="603"/>
      <c r="M80" s="594"/>
      <c r="N80" s="604"/>
      <c r="O80" s="594"/>
      <c r="P80" s="576"/>
      <c r="Q80" s="605"/>
      <c r="R80" s="576"/>
      <c r="S80" s="605"/>
      <c r="T80" s="576"/>
      <c r="U80" s="605"/>
      <c r="V80" s="576"/>
      <c r="W80" s="605"/>
      <c r="X80" s="576"/>
      <c r="Y80" s="607"/>
      <c r="Z80" s="576"/>
      <c r="AA80" s="607"/>
      <c r="AB80" s="513"/>
      <c r="AC80" s="514"/>
      <c r="AD80" s="514"/>
      <c r="AE80" s="514"/>
      <c r="AF80" s="511"/>
      <c r="AG80" s="511"/>
      <c r="AH80" s="511"/>
      <c r="AI80" s="511"/>
      <c r="AJ80" s="511"/>
      <c r="AK80" s="511"/>
      <c r="AL80" s="511"/>
      <c r="AM80" s="511"/>
      <c r="AN80" s="511"/>
      <c r="AO80" s="512"/>
      <c r="AP80" s="594"/>
      <c r="AQ80" s="514"/>
      <c r="AR80" s="514"/>
      <c r="AS80" s="514"/>
      <c r="AT80" s="511"/>
      <c r="AU80" s="511"/>
      <c r="AV80" s="515"/>
      <c r="AW80" s="515"/>
      <c r="AX80" s="511"/>
      <c r="AY80" s="511"/>
      <c r="AZ80" s="511"/>
      <c r="BA80" s="511"/>
      <c r="BB80" s="511"/>
      <c r="BC80" s="511"/>
      <c r="BD80" s="511"/>
      <c r="BE80" s="576"/>
      <c r="BF80" s="511"/>
      <c r="BG80" s="576"/>
      <c r="BH80" s="603"/>
      <c r="BI80" s="594"/>
      <c r="BJ80" s="604"/>
      <c r="BK80" s="594"/>
      <c r="BL80" s="576"/>
      <c r="BM80" s="605"/>
      <c r="BN80" s="576"/>
      <c r="BO80" s="605"/>
      <c r="BP80" s="608"/>
      <c r="BQ80" s="609"/>
      <c r="BR80" s="608"/>
      <c r="BS80" s="609"/>
      <c r="BT80" s="608"/>
      <c r="BU80" s="610"/>
      <c r="BV80" s="603"/>
      <c r="BW80" s="594"/>
      <c r="BX80" s="604"/>
      <c r="BY80" s="594"/>
      <c r="BZ80" s="576"/>
      <c r="CA80" s="605"/>
      <c r="CB80" s="608"/>
      <c r="CC80" s="609"/>
      <c r="CD80" s="576"/>
      <c r="CE80" s="605"/>
      <c r="CF80" s="608"/>
      <c r="CG80" s="609"/>
      <c r="CH80" s="608"/>
      <c r="CI80" s="609"/>
      <c r="CJ80" s="608"/>
      <c r="CK80" s="609"/>
      <c r="CL80" s="611"/>
      <c r="CM80" s="610"/>
    </row>
    <row r="81" spans="1:91">
      <c r="A81" s="559" t="s">
        <v>227</v>
      </c>
      <c r="B81" s="667">
        <v>0.88484970847047562</v>
      </c>
      <c r="C81" s="668"/>
      <c r="D81" s="669">
        <v>0.89566760925739353</v>
      </c>
      <c r="E81" s="668"/>
      <c r="F81" s="658">
        <v>1866.7590000000002</v>
      </c>
      <c r="G81" s="659"/>
      <c r="H81" s="656">
        <v>2.1920172877163036</v>
      </c>
      <c r="I81" s="657"/>
      <c r="J81" s="658">
        <v>922.14621169631459</v>
      </c>
      <c r="K81" s="673"/>
      <c r="L81" s="667">
        <v>0.88170831799413629</v>
      </c>
      <c r="M81" s="668"/>
      <c r="N81" s="669">
        <v>0.89383032357963155</v>
      </c>
      <c r="O81" s="668"/>
      <c r="P81" s="658">
        <v>1726.7860000000003</v>
      </c>
      <c r="Q81" s="659"/>
      <c r="R81" s="656">
        <v>2.321891653047917</v>
      </c>
      <c r="S81" s="657"/>
      <c r="T81" s="656">
        <v>0</v>
      </c>
      <c r="U81" s="657"/>
      <c r="V81" s="656">
        <v>638.49701700152843</v>
      </c>
      <c r="W81" s="657"/>
      <c r="X81" s="656">
        <v>470.32637512696994</v>
      </c>
      <c r="Y81" s="806"/>
      <c r="Z81" s="656">
        <v>0</v>
      </c>
      <c r="AA81" s="806"/>
      <c r="AB81" s="661">
        <v>0.6422780569348121</v>
      </c>
      <c r="AC81" s="662"/>
      <c r="AD81" s="662">
        <v>0.84124438297430615</v>
      </c>
      <c r="AE81" s="662"/>
      <c r="AF81" s="664">
        <v>906.26300000000015</v>
      </c>
      <c r="AG81" s="664"/>
      <c r="AH81" s="663">
        <v>132.078105600886</v>
      </c>
      <c r="AI81" s="663"/>
      <c r="AJ81" s="663">
        <v>1.4843373281266035</v>
      </c>
      <c r="AK81" s="663"/>
      <c r="AL81" s="663">
        <v>981.45322053311179</v>
      </c>
      <c r="AM81" s="663"/>
      <c r="AN81" s="663">
        <v>0</v>
      </c>
      <c r="AO81" s="807"/>
      <c r="AP81" s="668">
        <v>0.87015283921102526</v>
      </c>
      <c r="AQ81" s="662"/>
      <c r="AR81" s="662">
        <v>0.88455025406009358</v>
      </c>
      <c r="AS81" s="662"/>
      <c r="AT81" s="808">
        <v>1421.287</v>
      </c>
      <c r="AU81" s="808"/>
      <c r="AV81" s="663">
        <v>100.50159954835541</v>
      </c>
      <c r="AW81" s="663"/>
      <c r="AX81" s="663">
        <v>1.4360927806980577</v>
      </c>
      <c r="AY81" s="663"/>
      <c r="AZ81" s="663">
        <v>0</v>
      </c>
      <c r="BA81" s="663"/>
      <c r="BB81" s="664">
        <v>853.93361087521384</v>
      </c>
      <c r="BC81" s="664"/>
      <c r="BD81" s="663">
        <v>511.84967357050317</v>
      </c>
      <c r="BE81" s="656"/>
      <c r="BF81" s="663">
        <v>0</v>
      </c>
      <c r="BG81" s="656"/>
      <c r="BH81" s="667">
        <v>0.70325329215205501</v>
      </c>
      <c r="BI81" s="668"/>
      <c r="BJ81" s="669">
        <v>0.90131086520160342</v>
      </c>
      <c r="BK81" s="668"/>
      <c r="BL81" s="658">
        <v>1118.4849999999999</v>
      </c>
      <c r="BM81" s="659"/>
      <c r="BN81" s="656">
        <v>2.5139362619972556</v>
      </c>
      <c r="BO81" s="657"/>
      <c r="BP81" s="656">
        <v>0</v>
      </c>
      <c r="BQ81" s="657"/>
      <c r="BR81" s="658">
        <v>1008.4441229119143</v>
      </c>
      <c r="BS81" s="659"/>
      <c r="BT81" s="656">
        <v>1.6808450716817838</v>
      </c>
      <c r="BU81" s="809"/>
      <c r="BV81" s="667">
        <v>0.91895145671120926</v>
      </c>
      <c r="BW81" s="668"/>
      <c r="BX81" s="669">
        <v>0.93630051571616235</v>
      </c>
      <c r="BY81" s="668"/>
      <c r="BZ81" s="658">
        <v>1556.3609999999996</v>
      </c>
      <c r="CA81" s="659"/>
      <c r="CB81" s="656">
        <v>73.343448510044155</v>
      </c>
      <c r="CC81" s="657"/>
      <c r="CD81" s="656">
        <v>1.8902169869329808</v>
      </c>
      <c r="CE81" s="657"/>
      <c r="CF81" s="656">
        <v>0</v>
      </c>
      <c r="CG81" s="657"/>
      <c r="CH81" s="658">
        <v>773.49367864195244</v>
      </c>
      <c r="CI81" s="659"/>
      <c r="CJ81" s="656">
        <v>480.64164612194691</v>
      </c>
      <c r="CK81" s="657"/>
      <c r="CL81" s="806">
        <v>0</v>
      </c>
      <c r="CM81" s="809"/>
    </row>
    <row r="82" spans="1:91" ht="13.5" thickBot="1">
      <c r="A82" s="578"/>
      <c r="B82" s="578"/>
      <c r="C82" s="578"/>
      <c r="D82" s="578"/>
      <c r="E82" s="578"/>
      <c r="F82" s="578"/>
      <c r="G82" s="578"/>
      <c r="H82" s="578"/>
      <c r="I82" s="578"/>
      <c r="J82" s="578"/>
      <c r="K82" s="578"/>
      <c r="L82" s="578"/>
      <c r="M82" s="578"/>
      <c r="N82" s="578"/>
      <c r="O82" s="578"/>
      <c r="P82" s="578"/>
      <c r="Q82" s="578"/>
      <c r="R82" s="578"/>
      <c r="S82" s="578"/>
      <c r="T82" s="578"/>
      <c r="U82" s="578"/>
      <c r="V82" s="578"/>
      <c r="W82" s="578"/>
      <c r="X82" s="578"/>
      <c r="Y82" s="578"/>
      <c r="Z82" s="578"/>
      <c r="AA82" s="578"/>
      <c r="AB82" s="578"/>
      <c r="AC82" s="578"/>
      <c r="AD82" s="578"/>
      <c r="AE82" s="578"/>
      <c r="AF82" s="578"/>
      <c r="AG82" s="578"/>
      <c r="AH82" s="578"/>
      <c r="AI82" s="578"/>
      <c r="AJ82" s="578"/>
      <c r="AK82" s="578"/>
      <c r="AL82" s="578"/>
      <c r="AM82" s="578"/>
      <c r="AN82" s="578"/>
      <c r="AO82" s="578"/>
      <c r="AP82" s="578"/>
      <c r="AQ82" s="578"/>
      <c r="AR82" s="578"/>
      <c r="AS82" s="578"/>
      <c r="AT82" s="578"/>
      <c r="AU82" s="578"/>
      <c r="AV82" s="578"/>
      <c r="AW82" s="578"/>
      <c r="AX82" s="578"/>
      <c r="AY82" s="578"/>
      <c r="AZ82" s="578"/>
      <c r="BA82" s="578"/>
      <c r="BB82" s="578"/>
      <c r="BC82" s="578"/>
      <c r="BD82" s="578"/>
      <c r="BE82" s="578"/>
      <c r="BF82" s="578"/>
      <c r="BG82" s="578"/>
      <c r="BH82" s="578"/>
      <c r="BI82" s="578"/>
      <c r="BJ82" s="578"/>
      <c r="BK82" s="578"/>
      <c r="BL82" s="578"/>
      <c r="BM82" s="578"/>
      <c r="BN82" s="578"/>
      <c r="BO82" s="578"/>
      <c r="BP82" s="578"/>
      <c r="BQ82" s="578"/>
      <c r="BR82" s="578"/>
      <c r="BS82" s="578"/>
      <c r="BT82" s="578"/>
      <c r="BU82" s="578"/>
      <c r="BV82" s="578"/>
      <c r="BW82" s="578"/>
      <c r="BX82" s="578"/>
      <c r="BY82" s="578"/>
      <c r="BZ82" s="578"/>
      <c r="CA82" s="578"/>
      <c r="CB82" s="578"/>
      <c r="CC82" s="578"/>
      <c r="CD82" s="578"/>
      <c r="CE82" s="578"/>
      <c r="CF82" s="578"/>
      <c r="CG82" s="578"/>
      <c r="CH82" s="578"/>
      <c r="CI82" s="578"/>
      <c r="CJ82" s="578"/>
      <c r="CK82" s="578"/>
      <c r="CL82" s="578"/>
      <c r="CM82" s="578"/>
    </row>
    <row r="83" spans="1:91" ht="13.5" thickBot="1">
      <c r="A83" s="629" t="s">
        <v>29</v>
      </c>
      <c r="B83" s="632" t="s">
        <v>149</v>
      </c>
      <c r="C83" s="633"/>
      <c r="D83" s="633"/>
      <c r="E83" s="633"/>
      <c r="F83" s="633"/>
      <c r="G83" s="633"/>
      <c r="H83" s="633"/>
      <c r="I83" s="633"/>
      <c r="J83" s="633"/>
      <c r="K83" s="634"/>
      <c r="L83" s="635" t="s">
        <v>212</v>
      </c>
      <c r="M83" s="636"/>
      <c r="N83" s="636"/>
      <c r="O83" s="636"/>
      <c r="P83" s="636"/>
      <c r="Q83" s="636"/>
      <c r="R83" s="636"/>
      <c r="S83" s="636"/>
      <c r="T83" s="636"/>
      <c r="U83" s="636"/>
      <c r="V83" s="636"/>
      <c r="W83" s="636"/>
      <c r="X83" s="636"/>
      <c r="Y83" s="636"/>
      <c r="Z83" s="636"/>
      <c r="AA83" s="637"/>
      <c r="AB83" s="638" t="s">
        <v>314</v>
      </c>
      <c r="AC83" s="639"/>
      <c r="AD83" s="639"/>
      <c r="AE83" s="639"/>
      <c r="AF83" s="639"/>
      <c r="AG83" s="639"/>
      <c r="AH83" s="639"/>
      <c r="AI83" s="639"/>
      <c r="AJ83" s="639"/>
      <c r="AK83" s="639"/>
      <c r="AL83" s="639"/>
      <c r="AM83" s="639"/>
      <c r="AN83" s="639"/>
      <c r="AO83" s="640"/>
      <c r="AP83" s="641" t="s">
        <v>315</v>
      </c>
      <c r="AQ83" s="642"/>
      <c r="AR83" s="642"/>
      <c r="AS83" s="642"/>
      <c r="AT83" s="642"/>
      <c r="AU83" s="642"/>
      <c r="AV83" s="642"/>
      <c r="AW83" s="642"/>
      <c r="AX83" s="642"/>
      <c r="AY83" s="642"/>
      <c r="AZ83" s="642"/>
      <c r="BA83" s="642"/>
      <c r="BB83" s="642"/>
      <c r="BC83" s="642"/>
      <c r="BD83" s="642"/>
      <c r="BE83" s="642"/>
      <c r="BF83" s="642"/>
      <c r="BG83" s="643"/>
      <c r="BH83" s="644" t="s">
        <v>213</v>
      </c>
      <c r="BI83" s="645"/>
      <c r="BJ83" s="645"/>
      <c r="BK83" s="645"/>
      <c r="BL83" s="645"/>
      <c r="BM83" s="645"/>
      <c r="BN83" s="645"/>
      <c r="BO83" s="645"/>
      <c r="BP83" s="645"/>
      <c r="BQ83" s="645"/>
      <c r="BR83" s="645"/>
      <c r="BS83" s="645"/>
      <c r="BT83" s="645"/>
      <c r="BU83" s="646"/>
      <c r="BV83" s="810" t="s">
        <v>316</v>
      </c>
      <c r="BW83" s="811"/>
      <c r="BX83" s="811"/>
      <c r="BY83" s="811"/>
      <c r="BZ83" s="811"/>
      <c r="CA83" s="811"/>
      <c r="CB83" s="811"/>
      <c r="CC83" s="811"/>
      <c r="CD83" s="811"/>
      <c r="CE83" s="811"/>
      <c r="CF83" s="811"/>
      <c r="CG83" s="811"/>
      <c r="CH83" s="811"/>
      <c r="CI83" s="811"/>
      <c r="CJ83" s="811"/>
      <c r="CK83" s="811"/>
      <c r="CL83" s="811"/>
      <c r="CM83" s="812"/>
    </row>
    <row r="84" spans="1:91">
      <c r="A84" s="630"/>
      <c r="B84" s="653" t="s">
        <v>404</v>
      </c>
      <c r="C84" s="648"/>
      <c r="D84" s="647" t="s">
        <v>405</v>
      </c>
      <c r="E84" s="648"/>
      <c r="F84" s="647" t="s">
        <v>214</v>
      </c>
      <c r="G84" s="648"/>
      <c r="H84" s="647" t="s">
        <v>215</v>
      </c>
      <c r="I84" s="648"/>
      <c r="J84" s="647" t="s">
        <v>216</v>
      </c>
      <c r="K84" s="650"/>
      <c r="L84" s="653" t="s">
        <v>404</v>
      </c>
      <c r="M84" s="648"/>
      <c r="N84" s="647" t="s">
        <v>405</v>
      </c>
      <c r="O84" s="648"/>
      <c r="P84" s="647" t="s">
        <v>214</v>
      </c>
      <c r="Q84" s="648"/>
      <c r="R84" s="647" t="s">
        <v>317</v>
      </c>
      <c r="S84" s="648"/>
      <c r="T84" s="647" t="s">
        <v>318</v>
      </c>
      <c r="U84" s="648"/>
      <c r="V84" s="647" t="s">
        <v>216</v>
      </c>
      <c r="W84" s="648"/>
      <c r="X84" s="647" t="s">
        <v>319</v>
      </c>
      <c r="Y84" s="650"/>
      <c r="Z84" s="649" t="s">
        <v>430</v>
      </c>
      <c r="AA84" s="650"/>
      <c r="AB84" s="653" t="s">
        <v>404</v>
      </c>
      <c r="AC84" s="648"/>
      <c r="AD84" s="647" t="s">
        <v>405</v>
      </c>
      <c r="AE84" s="648"/>
      <c r="AF84" s="647" t="s">
        <v>214</v>
      </c>
      <c r="AG84" s="648"/>
      <c r="AH84" s="647" t="s">
        <v>320</v>
      </c>
      <c r="AI84" s="648"/>
      <c r="AJ84" s="647" t="s">
        <v>217</v>
      </c>
      <c r="AK84" s="648"/>
      <c r="AL84" s="647" t="s">
        <v>218</v>
      </c>
      <c r="AM84" s="650"/>
      <c r="AN84" s="813" t="s">
        <v>428</v>
      </c>
      <c r="AO84" s="654"/>
      <c r="AP84" s="653" t="s">
        <v>404</v>
      </c>
      <c r="AQ84" s="648"/>
      <c r="AR84" s="647" t="s">
        <v>405</v>
      </c>
      <c r="AS84" s="648"/>
      <c r="AT84" s="647" t="s">
        <v>214</v>
      </c>
      <c r="AU84" s="648"/>
      <c r="AV84" s="647" t="s">
        <v>320</v>
      </c>
      <c r="AW84" s="648"/>
      <c r="AX84" s="647" t="s">
        <v>217</v>
      </c>
      <c r="AY84" s="648"/>
      <c r="AZ84" s="647" t="s">
        <v>321</v>
      </c>
      <c r="BA84" s="648"/>
      <c r="BB84" s="647" t="s">
        <v>218</v>
      </c>
      <c r="BC84" s="648"/>
      <c r="BD84" s="647" t="s">
        <v>322</v>
      </c>
      <c r="BE84" s="650"/>
      <c r="BF84" s="666" t="s">
        <v>428</v>
      </c>
      <c r="BG84" s="655"/>
      <c r="BH84" s="653" t="s">
        <v>404</v>
      </c>
      <c r="BI84" s="648"/>
      <c r="BJ84" s="647" t="s">
        <v>405</v>
      </c>
      <c r="BK84" s="648"/>
      <c r="BL84" s="647" t="s">
        <v>214</v>
      </c>
      <c r="BM84" s="648"/>
      <c r="BN84" s="647" t="s">
        <v>217</v>
      </c>
      <c r="BO84" s="648"/>
      <c r="BP84" s="647" t="s">
        <v>429</v>
      </c>
      <c r="BQ84" s="648"/>
      <c r="BR84" s="647" t="s">
        <v>218</v>
      </c>
      <c r="BS84" s="648"/>
      <c r="BT84" s="647" t="s">
        <v>430</v>
      </c>
      <c r="BU84" s="650"/>
      <c r="BV84" s="653" t="s">
        <v>404</v>
      </c>
      <c r="BW84" s="648"/>
      <c r="BX84" s="647" t="s">
        <v>405</v>
      </c>
      <c r="BY84" s="648"/>
      <c r="BZ84" s="647" t="s">
        <v>214</v>
      </c>
      <c r="CA84" s="648"/>
      <c r="CB84" s="647" t="s">
        <v>320</v>
      </c>
      <c r="CC84" s="648"/>
      <c r="CD84" s="647" t="s">
        <v>217</v>
      </c>
      <c r="CE84" s="648"/>
      <c r="CF84" s="647" t="s">
        <v>321</v>
      </c>
      <c r="CG84" s="648"/>
      <c r="CH84" s="647" t="s">
        <v>218</v>
      </c>
      <c r="CI84" s="648"/>
      <c r="CJ84" s="666" t="s">
        <v>322</v>
      </c>
      <c r="CK84" s="666"/>
      <c r="CL84" s="666" t="s">
        <v>431</v>
      </c>
      <c r="CM84" s="655"/>
    </row>
    <row r="85" spans="1:91" ht="13.5" thickBot="1">
      <c r="A85" s="631"/>
      <c r="B85" s="508" t="s">
        <v>219</v>
      </c>
      <c r="C85" s="509" t="s">
        <v>220</v>
      </c>
      <c r="D85" s="509" t="s">
        <v>219</v>
      </c>
      <c r="E85" s="509" t="s">
        <v>220</v>
      </c>
      <c r="F85" s="509" t="s">
        <v>219</v>
      </c>
      <c r="G85" s="509" t="s">
        <v>220</v>
      </c>
      <c r="H85" s="509" t="s">
        <v>219</v>
      </c>
      <c r="I85" s="509" t="s">
        <v>220</v>
      </c>
      <c r="J85" s="509" t="s">
        <v>219</v>
      </c>
      <c r="K85" s="510" t="s">
        <v>220</v>
      </c>
      <c r="L85" s="508" t="s">
        <v>219</v>
      </c>
      <c r="M85" s="509" t="s">
        <v>220</v>
      </c>
      <c r="N85" s="509" t="s">
        <v>219</v>
      </c>
      <c r="O85" s="509" t="s">
        <v>220</v>
      </c>
      <c r="P85" s="583" t="s">
        <v>219</v>
      </c>
      <c r="Q85" s="583" t="s">
        <v>220</v>
      </c>
      <c r="R85" s="583" t="s">
        <v>219</v>
      </c>
      <c r="S85" s="583" t="s">
        <v>220</v>
      </c>
      <c r="T85" s="583" t="s">
        <v>219</v>
      </c>
      <c r="U85" s="583" t="s">
        <v>220</v>
      </c>
      <c r="V85" s="583" t="s">
        <v>219</v>
      </c>
      <c r="W85" s="583" t="s">
        <v>220</v>
      </c>
      <c r="X85" s="583" t="s">
        <v>219</v>
      </c>
      <c r="Y85" s="584" t="s">
        <v>220</v>
      </c>
      <c r="Z85" s="592" t="s">
        <v>219</v>
      </c>
      <c r="AA85" s="584" t="s">
        <v>220</v>
      </c>
      <c r="AB85" s="581" t="s">
        <v>219</v>
      </c>
      <c r="AC85" s="583" t="s">
        <v>220</v>
      </c>
      <c r="AD85" s="583" t="s">
        <v>219</v>
      </c>
      <c r="AE85" s="583" t="s">
        <v>220</v>
      </c>
      <c r="AF85" s="583" t="s">
        <v>219</v>
      </c>
      <c r="AG85" s="583" t="s">
        <v>220</v>
      </c>
      <c r="AH85" s="583" t="s">
        <v>219</v>
      </c>
      <c r="AI85" s="583" t="s">
        <v>220</v>
      </c>
      <c r="AJ85" s="583" t="s">
        <v>219</v>
      </c>
      <c r="AK85" s="583" t="s">
        <v>220</v>
      </c>
      <c r="AL85" s="583" t="s">
        <v>219</v>
      </c>
      <c r="AM85" s="585" t="s">
        <v>220</v>
      </c>
      <c r="AN85" s="509" t="s">
        <v>219</v>
      </c>
      <c r="AO85" s="586" t="s">
        <v>220</v>
      </c>
      <c r="AP85" s="581" t="s">
        <v>219</v>
      </c>
      <c r="AQ85" s="583" t="s">
        <v>220</v>
      </c>
      <c r="AR85" s="583" t="s">
        <v>219</v>
      </c>
      <c r="AS85" s="583" t="s">
        <v>220</v>
      </c>
      <c r="AT85" s="583" t="s">
        <v>219</v>
      </c>
      <c r="AU85" s="583" t="s">
        <v>220</v>
      </c>
      <c r="AV85" s="583" t="s">
        <v>219</v>
      </c>
      <c r="AW85" s="583" t="s">
        <v>220</v>
      </c>
      <c r="AX85" s="583" t="s">
        <v>219</v>
      </c>
      <c r="AY85" s="583" t="s">
        <v>220</v>
      </c>
      <c r="AZ85" s="583" t="s">
        <v>219</v>
      </c>
      <c r="BA85" s="583" t="s">
        <v>220</v>
      </c>
      <c r="BB85" s="583" t="s">
        <v>219</v>
      </c>
      <c r="BC85" s="583" t="s">
        <v>220</v>
      </c>
      <c r="BD85" s="583" t="s">
        <v>219</v>
      </c>
      <c r="BE85" s="584" t="s">
        <v>220</v>
      </c>
      <c r="BF85" s="583" t="s">
        <v>219</v>
      </c>
      <c r="BG85" s="584" t="s">
        <v>220</v>
      </c>
      <c r="BH85" s="581" t="s">
        <v>219</v>
      </c>
      <c r="BI85" s="583" t="s">
        <v>220</v>
      </c>
      <c r="BJ85" s="583" t="s">
        <v>219</v>
      </c>
      <c r="BK85" s="583" t="s">
        <v>220</v>
      </c>
      <c r="BL85" s="583" t="s">
        <v>219</v>
      </c>
      <c r="BM85" s="583" t="s">
        <v>220</v>
      </c>
      <c r="BN85" s="583" t="s">
        <v>219</v>
      </c>
      <c r="BO85" s="583" t="s">
        <v>220</v>
      </c>
      <c r="BP85" s="583" t="s">
        <v>219</v>
      </c>
      <c r="BQ85" s="583" t="s">
        <v>220</v>
      </c>
      <c r="BR85" s="583" t="s">
        <v>219</v>
      </c>
      <c r="BS85" s="583" t="s">
        <v>220</v>
      </c>
      <c r="BT85" s="583" t="s">
        <v>219</v>
      </c>
      <c r="BU85" s="584" t="s">
        <v>220</v>
      </c>
      <c r="BV85" s="508" t="s">
        <v>219</v>
      </c>
      <c r="BW85" s="509" t="s">
        <v>220</v>
      </c>
      <c r="BX85" s="509" t="s">
        <v>219</v>
      </c>
      <c r="BY85" s="509" t="s">
        <v>220</v>
      </c>
      <c r="BZ85" s="509" t="s">
        <v>219</v>
      </c>
      <c r="CA85" s="509" t="s">
        <v>220</v>
      </c>
      <c r="CB85" s="509" t="s">
        <v>219</v>
      </c>
      <c r="CC85" s="509" t="s">
        <v>220</v>
      </c>
      <c r="CD85" s="509" t="s">
        <v>219</v>
      </c>
      <c r="CE85" s="509" t="s">
        <v>220</v>
      </c>
      <c r="CF85" s="509" t="s">
        <v>219</v>
      </c>
      <c r="CG85" s="509" t="s">
        <v>220</v>
      </c>
      <c r="CH85" s="509" t="s">
        <v>219</v>
      </c>
      <c r="CI85" s="509" t="s">
        <v>220</v>
      </c>
      <c r="CJ85" s="509" t="s">
        <v>219</v>
      </c>
      <c r="CK85" s="509" t="s">
        <v>220</v>
      </c>
      <c r="CL85" s="509" t="s">
        <v>219</v>
      </c>
      <c r="CM85" s="510" t="s">
        <v>220</v>
      </c>
    </row>
    <row r="86" spans="1:91" ht="13.5" thickTop="1">
      <c r="A86" s="557">
        <v>46054</v>
      </c>
      <c r="B86" s="519">
        <v>0.88408408157797713</v>
      </c>
      <c r="C86" s="520">
        <v>0.88408408157797713</v>
      </c>
      <c r="D86" s="520">
        <v>0.88408408157797713</v>
      </c>
      <c r="E86" s="520">
        <v>0.88408408157797713</v>
      </c>
      <c r="F86" s="521">
        <v>70.173000000000002</v>
      </c>
      <c r="G86" s="521">
        <v>70.173000000000002</v>
      </c>
      <c r="H86" s="521">
        <v>2.1588645205420889</v>
      </c>
      <c r="I86" s="521">
        <v>2.1588645205420889</v>
      </c>
      <c r="J86" s="521">
        <v>727.10529690905594</v>
      </c>
      <c r="K86" s="547">
        <v>727.10529690905594</v>
      </c>
      <c r="L86" s="519">
        <v>0.70148554429205812</v>
      </c>
      <c r="M86" s="520">
        <v>0.70148554429205812</v>
      </c>
      <c r="N86" s="520">
        <v>0.70148554429205812</v>
      </c>
      <c r="O86" s="520">
        <v>0.70148554429205812</v>
      </c>
      <c r="P86" s="521">
        <v>47.631</v>
      </c>
      <c r="Q86" s="521">
        <v>47.631</v>
      </c>
      <c r="R86" s="521">
        <v>2.6005332661501961</v>
      </c>
      <c r="S86" s="521">
        <v>2.6005332661501961</v>
      </c>
      <c r="T86" s="521">
        <v>0.35271146942117532</v>
      </c>
      <c r="U86" s="521">
        <v>0.35271146942117532</v>
      </c>
      <c r="V86" s="521">
        <v>641.84963574142819</v>
      </c>
      <c r="W86" s="521">
        <v>641.84963574142819</v>
      </c>
      <c r="X86" s="521">
        <v>536.81425962083517</v>
      </c>
      <c r="Y86" s="555">
        <v>536.81425962083517</v>
      </c>
      <c r="Z86" s="521">
        <v>0</v>
      </c>
      <c r="AA86" s="555">
        <v>0</v>
      </c>
      <c r="AB86" s="519">
        <v>0.82870041179772935</v>
      </c>
      <c r="AC86" s="520">
        <v>0.82870041179772935</v>
      </c>
      <c r="AD86" s="520">
        <v>0.82870041179772935</v>
      </c>
      <c r="AE86" s="520">
        <v>0.82870041179772935</v>
      </c>
      <c r="AF86" s="521">
        <v>39.595999999999997</v>
      </c>
      <c r="AG86" s="521">
        <v>39.595999999999997</v>
      </c>
      <c r="AH86" s="521">
        <v>114.32055690727469</v>
      </c>
      <c r="AI86" s="521">
        <v>114.32055690727469</v>
      </c>
      <c r="AJ86" s="521">
        <v>1.2147691686028894</v>
      </c>
      <c r="AK86" s="521">
        <v>1.2147691686028894</v>
      </c>
      <c r="AL86" s="521">
        <v>978.96656227902736</v>
      </c>
      <c r="AM86" s="555">
        <v>978.96656227902736</v>
      </c>
      <c r="AN86" s="587"/>
      <c r="AO86" s="587"/>
      <c r="AP86" s="519">
        <v>0.55100094198629701</v>
      </c>
      <c r="AQ86" s="520">
        <v>0.55100094198629701</v>
      </c>
      <c r="AR86" s="520">
        <v>0.55100094198629701</v>
      </c>
      <c r="AS86" s="520">
        <v>0.55100094198629701</v>
      </c>
      <c r="AT86" s="521">
        <v>30.055</v>
      </c>
      <c r="AU86" s="521">
        <v>30.055</v>
      </c>
      <c r="AV86" s="522">
        <v>90.828995869306866</v>
      </c>
      <c r="AW86" s="522">
        <v>90.828995869306866</v>
      </c>
      <c r="AX86" s="521">
        <v>2.1726834137414741</v>
      </c>
      <c r="AY86" s="521">
        <v>2.1726834137414741</v>
      </c>
      <c r="AZ86" s="521">
        <v>0</v>
      </c>
      <c r="BA86" s="521">
        <v>0</v>
      </c>
      <c r="BB86" s="521">
        <v>1222.1979703876245</v>
      </c>
      <c r="BC86" s="521">
        <v>1222.1979703876245</v>
      </c>
      <c r="BD86" s="521">
        <v>796.40658792214265</v>
      </c>
      <c r="BE86" s="555">
        <v>796.40658792214265</v>
      </c>
      <c r="BF86" s="521">
        <v>50.909998336383488</v>
      </c>
      <c r="BG86" s="547">
        <v>50.909998336383488</v>
      </c>
      <c r="BH86" s="519">
        <v>0.76621146654930528</v>
      </c>
      <c r="BI86" s="520">
        <v>0.76621146654930528</v>
      </c>
      <c r="BJ86" s="520">
        <v>0.76621146654930528</v>
      </c>
      <c r="BK86" s="520">
        <v>0.76621146654930528</v>
      </c>
      <c r="BL86" s="521">
        <v>40.357999999999997</v>
      </c>
      <c r="BM86" s="521">
        <v>40.357999999999997</v>
      </c>
      <c r="BN86" s="521">
        <v>3.3004608751672531</v>
      </c>
      <c r="BO86" s="521">
        <v>3.3004608751672531</v>
      </c>
      <c r="BP86" s="522">
        <v>0</v>
      </c>
      <c r="BQ86" s="522">
        <v>0</v>
      </c>
      <c r="BR86" s="522">
        <v>1026.118526483803</v>
      </c>
      <c r="BS86" s="522">
        <v>1026.118526483803</v>
      </c>
      <c r="BT86" s="522">
        <v>0</v>
      </c>
      <c r="BU86" s="523">
        <v>0</v>
      </c>
      <c r="BV86" s="588">
        <v>0.80325800530119806</v>
      </c>
      <c r="BW86" s="589">
        <v>0.80325800530119806</v>
      </c>
      <c r="BX86" s="589">
        <v>0.80325800530119806</v>
      </c>
      <c r="BY86" s="589">
        <v>0.80325800530119806</v>
      </c>
      <c r="BZ86" s="587">
        <v>42.054000000000002</v>
      </c>
      <c r="CA86" s="587">
        <v>42.054000000000002</v>
      </c>
      <c r="CB86" s="590">
        <v>83.404616869918044</v>
      </c>
      <c r="CC86" s="590">
        <v>83.40461686991803</v>
      </c>
      <c r="CD86" s="587">
        <v>2.4135635135777807</v>
      </c>
      <c r="CE86" s="587">
        <v>2.4135635135777807</v>
      </c>
      <c r="CF86" s="590">
        <v>0</v>
      </c>
      <c r="CG86" s="590">
        <v>0</v>
      </c>
      <c r="CH86" s="590">
        <v>958.22962163330612</v>
      </c>
      <c r="CI86" s="590">
        <v>958.22962163330612</v>
      </c>
      <c r="CJ86" s="515">
        <v>724.401959385552</v>
      </c>
      <c r="CK86" s="590">
        <v>724.401959385552</v>
      </c>
      <c r="CL86" s="590">
        <v>0</v>
      </c>
      <c r="CM86" s="591">
        <v>0</v>
      </c>
    </row>
    <row r="87" spans="1:91">
      <c r="A87" s="558">
        <v>46055</v>
      </c>
      <c r="B87" s="513">
        <v>0.80077176792259652</v>
      </c>
      <c r="C87" s="514">
        <v>0.84287177366744404</v>
      </c>
      <c r="D87" s="514">
        <v>0.80077176792259652</v>
      </c>
      <c r="E87" s="514">
        <v>0.84287177366744404</v>
      </c>
      <c r="F87" s="511">
        <v>62.22</v>
      </c>
      <c r="G87" s="511">
        <v>132.393</v>
      </c>
      <c r="H87" s="511">
        <v>2.3171809707489555</v>
      </c>
      <c r="I87" s="511">
        <v>2.2332676198892689</v>
      </c>
      <c r="J87" s="511">
        <v>927.89263902282642</v>
      </c>
      <c r="K87" s="512">
        <v>821.46820451231883</v>
      </c>
      <c r="L87" s="513">
        <v>0.55265695150817018</v>
      </c>
      <c r="M87" s="514">
        <v>0.62710448908337491</v>
      </c>
      <c r="N87" s="514">
        <v>0.55265695150817018</v>
      </c>
      <c r="O87" s="514">
        <v>0.62710448908337491</v>
      </c>
      <c r="P87" s="511">
        <v>37.491999999999997</v>
      </c>
      <c r="Q87" s="511">
        <v>85.12299999999999</v>
      </c>
      <c r="R87" s="511">
        <v>2.9361997226074901</v>
      </c>
      <c r="S87" s="511">
        <v>2.7483758796095064</v>
      </c>
      <c r="T87" s="511">
        <v>0.4400938866958285</v>
      </c>
      <c r="U87" s="511">
        <v>0.3911986184697438</v>
      </c>
      <c r="V87" s="511">
        <v>871.86653152679264</v>
      </c>
      <c r="W87" s="511">
        <v>743.15942812168839</v>
      </c>
      <c r="X87" s="511">
        <v>765.2565880721221</v>
      </c>
      <c r="Y87" s="576">
        <v>637.43054168673575</v>
      </c>
      <c r="Z87" s="511">
        <v>0</v>
      </c>
      <c r="AA87" s="576">
        <v>0</v>
      </c>
      <c r="AB87" s="513">
        <v>0.80635728405491014</v>
      </c>
      <c r="AC87" s="514">
        <v>0.8173364169635573</v>
      </c>
      <c r="AD87" s="514">
        <v>0.82602854854752505</v>
      </c>
      <c r="AE87" s="514">
        <v>0.82735756602943256</v>
      </c>
      <c r="AF87" s="511">
        <v>39.878999999999998</v>
      </c>
      <c r="AG87" s="511">
        <v>79.474999999999994</v>
      </c>
      <c r="AH87" s="511">
        <v>126.64145320799075</v>
      </c>
      <c r="AI87" s="511">
        <v>120.50294160153398</v>
      </c>
      <c r="AJ87" s="511">
        <v>1.2412547957571656</v>
      </c>
      <c r="AK87" s="511">
        <v>1.2280591380937402</v>
      </c>
      <c r="AL87" s="511">
        <v>890.53085583889458</v>
      </c>
      <c r="AM87" s="576">
        <v>934.59125511166576</v>
      </c>
      <c r="AN87" s="587"/>
      <c r="AO87" s="587"/>
      <c r="AP87" s="513">
        <v>0.68050611430145569</v>
      </c>
      <c r="AQ87" s="514">
        <v>0.61608500262349397</v>
      </c>
      <c r="AR87" s="514">
        <v>0.86562922232549178</v>
      </c>
      <c r="AS87" s="514">
        <v>0.69027366781953725</v>
      </c>
      <c r="AT87" s="511">
        <v>37.500999999999998</v>
      </c>
      <c r="AU87" s="511">
        <v>67.555999999999997</v>
      </c>
      <c r="AV87" s="515">
        <v>79.31448941226455</v>
      </c>
      <c r="AW87" s="515">
        <v>84.437180092091765</v>
      </c>
      <c r="AX87" s="511">
        <v>1.7546198768032852</v>
      </c>
      <c r="AY87" s="511">
        <v>1.9406122328142579</v>
      </c>
      <c r="AZ87" s="511">
        <v>0</v>
      </c>
      <c r="BA87" s="511">
        <v>0</v>
      </c>
      <c r="BB87" s="511">
        <v>1006.1993013519634</v>
      </c>
      <c r="BC87" s="511">
        <v>1102.2949849014158</v>
      </c>
      <c r="BD87" s="511">
        <v>643.98282712460991</v>
      </c>
      <c r="BE87" s="576">
        <v>711.79465924566284</v>
      </c>
      <c r="BF87" s="511">
        <v>42.134876403295294</v>
      </c>
      <c r="BG87" s="512">
        <v>46.038841849724413</v>
      </c>
      <c r="BH87" s="513">
        <v>0.15212687106236769</v>
      </c>
      <c r="BI87" s="514">
        <v>0.46367644527143165</v>
      </c>
      <c r="BJ87" s="514">
        <v>0.15212687106236769</v>
      </c>
      <c r="BK87" s="514">
        <v>0.46367644527143165</v>
      </c>
      <c r="BL87" s="511">
        <v>7.7809999999999997</v>
      </c>
      <c r="BM87" s="511">
        <v>48.138999999999996</v>
      </c>
      <c r="BN87" s="511">
        <v>4.0354710191492096</v>
      </c>
      <c r="BO87" s="511">
        <v>3.4192650449739297</v>
      </c>
      <c r="BP87" s="515">
        <v>0</v>
      </c>
      <c r="BQ87" s="515">
        <v>0</v>
      </c>
      <c r="BR87" s="515">
        <v>1629.3678847255517</v>
      </c>
      <c r="BS87" s="515">
        <v>1123.6253973469088</v>
      </c>
      <c r="BT87" s="515">
        <v>0</v>
      </c>
      <c r="BU87" s="516">
        <v>0</v>
      </c>
      <c r="BV87" s="513">
        <v>0.99206775900839217</v>
      </c>
      <c r="BW87" s="514">
        <v>0.89766288215479506</v>
      </c>
      <c r="BX87" s="514">
        <v>0.99206775900839217</v>
      </c>
      <c r="BY87" s="514">
        <v>0.89766288215479506</v>
      </c>
      <c r="BZ87" s="511">
        <v>51.939</v>
      </c>
      <c r="CA87" s="511">
        <v>93.992999999999995</v>
      </c>
      <c r="CB87" s="515">
        <v>83.79623828085262</v>
      </c>
      <c r="CC87" s="515">
        <v>83.621020479362699</v>
      </c>
      <c r="CD87" s="511">
        <v>1.979244883420936</v>
      </c>
      <c r="CE87" s="511">
        <v>2.1735661166257065</v>
      </c>
      <c r="CF87" s="515">
        <v>0</v>
      </c>
      <c r="CG87" s="515">
        <v>0</v>
      </c>
      <c r="CH87" s="515">
        <v>829.47936019079964</v>
      </c>
      <c r="CI87" s="515">
        <v>887.08432539781688</v>
      </c>
      <c r="CJ87" s="515">
        <v>642.09938581797871</v>
      </c>
      <c r="CK87" s="515">
        <v>678.92289851371913</v>
      </c>
      <c r="CL87" s="515">
        <v>0</v>
      </c>
      <c r="CM87" s="516">
        <v>0</v>
      </c>
    </row>
    <row r="88" spans="1:91">
      <c r="A88" s="558">
        <v>46056</v>
      </c>
      <c r="B88" s="513">
        <v>1.0350290054522993</v>
      </c>
      <c r="C88" s="514">
        <v>0.90941927782648901</v>
      </c>
      <c r="D88" s="514">
        <v>1.0350290054522993</v>
      </c>
      <c r="E88" s="514">
        <v>0.90941927782648901</v>
      </c>
      <c r="F88" s="511">
        <v>86.132000000000005</v>
      </c>
      <c r="G88" s="511">
        <v>218.52500000000001</v>
      </c>
      <c r="H88" s="511">
        <v>1.8425207820554494</v>
      </c>
      <c r="I88" s="511">
        <v>2.0792540899210614</v>
      </c>
      <c r="J88" s="511">
        <v>635.67431384386953</v>
      </c>
      <c r="K88" s="512">
        <v>748.23722686191331</v>
      </c>
      <c r="L88" s="513">
        <v>0.52239436958545959</v>
      </c>
      <c r="M88" s="514">
        <v>0.59221151178903553</v>
      </c>
      <c r="N88" s="514">
        <v>0.52239436958545959</v>
      </c>
      <c r="O88" s="514">
        <v>0.59221151178903553</v>
      </c>
      <c r="P88" s="511">
        <v>35.439</v>
      </c>
      <c r="Q88" s="511">
        <v>120.56199999999998</v>
      </c>
      <c r="R88" s="511">
        <v>3.1174694545557156</v>
      </c>
      <c r="S88" s="511">
        <v>2.8568703239826814</v>
      </c>
      <c r="T88" s="511">
        <v>0.45430175795028083</v>
      </c>
      <c r="U88" s="511">
        <v>0.40974768169074838</v>
      </c>
      <c r="V88" s="511">
        <v>971.31549987294318</v>
      </c>
      <c r="W88" s="511">
        <v>810.22552711467733</v>
      </c>
      <c r="X88" s="511">
        <v>773.04664352831628</v>
      </c>
      <c r="Y88" s="576">
        <v>677.29466996234316</v>
      </c>
      <c r="Z88" s="511">
        <v>0</v>
      </c>
      <c r="AA88" s="576">
        <v>0</v>
      </c>
      <c r="AB88" s="513">
        <v>0.95864766738272789</v>
      </c>
      <c r="AC88" s="514">
        <v>0.85558971610694134</v>
      </c>
      <c r="AD88" s="514">
        <v>1.0923232620255665</v>
      </c>
      <c r="AE88" s="514">
        <v>0.89306380002127883</v>
      </c>
      <c r="AF88" s="511">
        <v>34.6</v>
      </c>
      <c r="AG88" s="511">
        <v>114.07499999999999</v>
      </c>
      <c r="AH88" s="511">
        <v>83.090327648195029</v>
      </c>
      <c r="AI88" s="511">
        <v>109.15535060626308</v>
      </c>
      <c r="AJ88" s="511">
        <v>1.5635838150289016</v>
      </c>
      <c r="AK88" s="511">
        <v>1.3298268682884067</v>
      </c>
      <c r="AL88" s="511">
        <v>1034.4479768786127</v>
      </c>
      <c r="AM88" s="576">
        <v>964.8787201402555</v>
      </c>
      <c r="AN88" s="587"/>
      <c r="AO88" s="587"/>
      <c r="AP88" s="513">
        <v>0.63513479388400862</v>
      </c>
      <c r="AQ88" s="514">
        <v>0.6224597523450115</v>
      </c>
      <c r="AR88" s="514">
        <v>0.92416189694962725</v>
      </c>
      <c r="AS88" s="514">
        <v>0.7555656838640753</v>
      </c>
      <c r="AT88" s="511">
        <v>35.027000000000001</v>
      </c>
      <c r="AU88" s="511">
        <v>102.583</v>
      </c>
      <c r="AV88" s="515">
        <v>41.438696378103302</v>
      </c>
      <c r="AW88" s="515">
        <v>69.755333304126168</v>
      </c>
      <c r="AX88" s="511">
        <v>2.1183658320724015</v>
      </c>
      <c r="AY88" s="511">
        <v>2.0013062593217201</v>
      </c>
      <c r="AZ88" s="511">
        <v>0</v>
      </c>
      <c r="BA88" s="511">
        <v>0</v>
      </c>
      <c r="BB88" s="511">
        <v>1100.6337967853367</v>
      </c>
      <c r="BC88" s="511">
        <v>1101.7277716580725</v>
      </c>
      <c r="BD88" s="511">
        <v>597.85308476318266</v>
      </c>
      <c r="BE88" s="576">
        <v>672.88927015197453</v>
      </c>
      <c r="BF88" s="511">
        <v>43.683444200188589</v>
      </c>
      <c r="BG88" s="512">
        <v>45.234590526695342</v>
      </c>
      <c r="BH88" s="513">
        <v>0.54065755500904011</v>
      </c>
      <c r="BI88" s="514">
        <v>0.4891891290099078</v>
      </c>
      <c r="BJ88" s="514">
        <v>0.54065755500904011</v>
      </c>
      <c r="BK88" s="514">
        <v>0.4891891290099078</v>
      </c>
      <c r="BL88" s="511">
        <v>27.824000000000002</v>
      </c>
      <c r="BM88" s="511">
        <v>75.962999999999994</v>
      </c>
      <c r="BN88" s="511">
        <v>4.3343875790684301</v>
      </c>
      <c r="BO88" s="511">
        <v>3.754459407869621</v>
      </c>
      <c r="BP88" s="515">
        <v>0</v>
      </c>
      <c r="BQ88" s="515">
        <v>0</v>
      </c>
      <c r="BR88" s="515">
        <v>1392.8447745341023</v>
      </c>
      <c r="BS88" s="515">
        <v>1222.2360360901978</v>
      </c>
      <c r="BT88" s="515">
        <v>0</v>
      </c>
      <c r="BU88" s="516">
        <v>0</v>
      </c>
      <c r="BV88" s="513">
        <v>0.92714399028433891</v>
      </c>
      <c r="BW88" s="514">
        <v>0.9079322861180289</v>
      </c>
      <c r="BX88" s="514">
        <v>0.92714399028433891</v>
      </c>
      <c r="BY88" s="514">
        <v>0.9079322861180289</v>
      </c>
      <c r="BZ88" s="511">
        <v>51.893000000000001</v>
      </c>
      <c r="CA88" s="511">
        <v>145.886</v>
      </c>
      <c r="CB88" s="515">
        <v>70.541334001438102</v>
      </c>
      <c r="CC88" s="515">
        <v>78.968454980281635</v>
      </c>
      <c r="CD88" s="511">
        <v>1.9887075328078931</v>
      </c>
      <c r="CE88" s="511">
        <v>2.1078102079706071</v>
      </c>
      <c r="CF88" s="515">
        <v>0</v>
      </c>
      <c r="CG88" s="515">
        <v>0</v>
      </c>
      <c r="CH88" s="515">
        <v>775.46464828325861</v>
      </c>
      <c r="CI88" s="515">
        <v>847.38017349492168</v>
      </c>
      <c r="CJ88" s="515">
        <v>534.92763956603005</v>
      </c>
      <c r="CK88" s="515">
        <v>627.70245259997535</v>
      </c>
      <c r="CL88" s="515">
        <v>0</v>
      </c>
      <c r="CM88" s="516">
        <v>0</v>
      </c>
    </row>
    <row r="89" spans="1:91">
      <c r="A89" s="558">
        <v>46057</v>
      </c>
      <c r="B89" s="513">
        <v>0.70506644644305416</v>
      </c>
      <c r="C89" s="514">
        <v>0.8595653386544615</v>
      </c>
      <c r="D89" s="514">
        <v>0.70506644644305416</v>
      </c>
      <c r="E89" s="514">
        <v>0.8595653386544615</v>
      </c>
      <c r="F89" s="511">
        <v>54.668999999999997</v>
      </c>
      <c r="G89" s="511">
        <v>273.19400000000002</v>
      </c>
      <c r="H89" s="511">
        <v>2.8366716054802543</v>
      </c>
      <c r="I89" s="511">
        <v>2.2308213211124692</v>
      </c>
      <c r="J89" s="511">
        <v>964.69662880244482</v>
      </c>
      <c r="K89" s="512">
        <v>791.55303557179309</v>
      </c>
      <c r="L89" s="513">
        <v>0.50613541787540117</v>
      </c>
      <c r="M89" s="514">
        <v>0.57069729570410621</v>
      </c>
      <c r="N89" s="514">
        <v>0.57844047757188699</v>
      </c>
      <c r="O89" s="514">
        <v>0.58910264050990258</v>
      </c>
      <c r="P89" s="511">
        <v>34.335999999999999</v>
      </c>
      <c r="Q89" s="511">
        <v>154.89799999999997</v>
      </c>
      <c r="R89" s="511">
        <v>2.699266076421249</v>
      </c>
      <c r="S89" s="511">
        <v>2.8219344342728769</v>
      </c>
      <c r="T89" s="511">
        <v>0.29706430568499531</v>
      </c>
      <c r="U89" s="511">
        <v>0.38476933207659236</v>
      </c>
      <c r="V89" s="511">
        <v>769.67031686866949</v>
      </c>
      <c r="W89" s="511">
        <v>801.23571640694126</v>
      </c>
      <c r="X89" s="511">
        <v>470.61393289841561</v>
      </c>
      <c r="Y89" s="576">
        <v>631.48007075623968</v>
      </c>
      <c r="Z89" s="511">
        <v>0</v>
      </c>
      <c r="AA89" s="576">
        <v>0</v>
      </c>
      <c r="AB89" s="513">
        <v>0.69237235441074407</v>
      </c>
      <c r="AC89" s="514">
        <v>0.80911457989889846</v>
      </c>
      <c r="AD89" s="514">
        <v>0.98290734503674348</v>
      </c>
      <c r="AE89" s="514">
        <v>0.91340716174192893</v>
      </c>
      <c r="AF89" s="511">
        <v>36.75</v>
      </c>
      <c r="AG89" s="511">
        <v>150.82499999999999</v>
      </c>
      <c r="AH89" s="511">
        <v>82.37334340802164</v>
      </c>
      <c r="AI89" s="511">
        <v>102.62965019495611</v>
      </c>
      <c r="AJ89" s="511">
        <v>1.3850340136054422</v>
      </c>
      <c r="AK89" s="511">
        <v>1.343278634178684</v>
      </c>
      <c r="AL89" s="511">
        <v>848.13605442178857</v>
      </c>
      <c r="AM89" s="576">
        <v>936.43321730482592</v>
      </c>
      <c r="AN89" s="587"/>
      <c r="AO89" s="587"/>
      <c r="AP89" s="513">
        <v>0.62006339173678837</v>
      </c>
      <c r="AQ89" s="514">
        <v>0.62185868166870384</v>
      </c>
      <c r="AR89" s="514">
        <v>0.96239222655728274</v>
      </c>
      <c r="AS89" s="514">
        <v>0.79848352674762968</v>
      </c>
      <c r="AT89" s="511">
        <v>34.213000000000001</v>
      </c>
      <c r="AU89" s="511">
        <v>136.79599999999999</v>
      </c>
      <c r="AV89" s="515">
        <v>13.00869537545128</v>
      </c>
      <c r="AW89" s="515">
        <v>55.562866247678954</v>
      </c>
      <c r="AX89" s="511">
        <v>2.2447607634524886</v>
      </c>
      <c r="AY89" s="511">
        <v>2.0621948010175739</v>
      </c>
      <c r="AZ89" s="511">
        <v>0</v>
      </c>
      <c r="BA89" s="511">
        <v>0</v>
      </c>
      <c r="BB89" s="511">
        <v>1037.588051325522</v>
      </c>
      <c r="BC89" s="511">
        <v>1085.6862773765324</v>
      </c>
      <c r="BD89" s="511">
        <v>576.73983573495457</v>
      </c>
      <c r="BE89" s="576">
        <v>648.8420714055967</v>
      </c>
      <c r="BF89" s="511">
        <v>45.877298103060411</v>
      </c>
      <c r="BG89" s="512">
        <v>45.395333196877061</v>
      </c>
      <c r="BH89" s="513">
        <v>0.48609112937816762</v>
      </c>
      <c r="BI89" s="514">
        <v>0.48838135172861413</v>
      </c>
      <c r="BJ89" s="514">
        <v>0.48609112937816762</v>
      </c>
      <c r="BK89" s="514">
        <v>0.48838135172861413</v>
      </c>
      <c r="BL89" s="511">
        <v>26.623000000000001</v>
      </c>
      <c r="BM89" s="511">
        <v>102.586</v>
      </c>
      <c r="BN89" s="511">
        <v>3.8951282725462946</v>
      </c>
      <c r="BO89" s="511">
        <v>3.7909656288382427</v>
      </c>
      <c r="BP89" s="515">
        <v>0</v>
      </c>
      <c r="BQ89" s="515">
        <v>0</v>
      </c>
      <c r="BR89" s="515">
        <v>1425.8597495355261</v>
      </c>
      <c r="BS89" s="515">
        <v>1275.0802265553195</v>
      </c>
      <c r="BT89" s="515">
        <v>0</v>
      </c>
      <c r="BU89" s="516">
        <v>0</v>
      </c>
      <c r="BV89" s="513">
        <v>0.83826639251296975</v>
      </c>
      <c r="BW89" s="514">
        <v>0.88983849466486065</v>
      </c>
      <c r="BX89" s="514">
        <v>0.83826639251296975</v>
      </c>
      <c r="BY89" s="514">
        <v>0.88983849466486065</v>
      </c>
      <c r="BZ89" s="511">
        <v>47.256</v>
      </c>
      <c r="CA89" s="511">
        <v>193.142</v>
      </c>
      <c r="CB89" s="515">
        <v>80.195385451051507</v>
      </c>
      <c r="CC89" s="515">
        <v>79.268647720994167</v>
      </c>
      <c r="CD89" s="511">
        <v>2.1457592686642966</v>
      </c>
      <c r="CE89" s="511">
        <v>2.1170951942094418</v>
      </c>
      <c r="CF89" s="515">
        <v>0</v>
      </c>
      <c r="CG89" s="515">
        <v>0</v>
      </c>
      <c r="CH89" s="515">
        <v>762.57694024283717</v>
      </c>
      <c r="CI89" s="515">
        <v>826.63138974741719</v>
      </c>
      <c r="CJ89" s="515">
        <v>626.33316404266122</v>
      </c>
      <c r="CK89" s="515">
        <v>627.36742914539559</v>
      </c>
      <c r="CL89" s="515">
        <v>0</v>
      </c>
      <c r="CM89" s="516">
        <v>0</v>
      </c>
    </row>
    <row r="90" spans="1:91">
      <c r="A90" s="558">
        <v>46058</v>
      </c>
      <c r="B90" s="513">
        <v>0.47415373852422166</v>
      </c>
      <c r="C90" s="514">
        <v>0.78418785196297291</v>
      </c>
      <c r="D90" s="514">
        <v>0.47415373852422166</v>
      </c>
      <c r="E90" s="514">
        <v>0.78418785196297291</v>
      </c>
      <c r="F90" s="511">
        <v>36.639000000000003</v>
      </c>
      <c r="G90" s="511">
        <v>309.83300000000003</v>
      </c>
      <c r="H90" s="511">
        <v>4.0550506291110553</v>
      </c>
      <c r="I90" s="511">
        <v>2.4465437832638872</v>
      </c>
      <c r="J90" s="511">
        <v>1592.9774284232701</v>
      </c>
      <c r="K90" s="512">
        <v>886.32469749833183</v>
      </c>
      <c r="L90" s="513">
        <v>3.8487872089721362E-2</v>
      </c>
      <c r="M90" s="514">
        <v>0.46427443529754736</v>
      </c>
      <c r="N90" s="514" t="e">
        <v>#DIV/0!</v>
      </c>
      <c r="O90" s="514">
        <v>0.59903270412835696</v>
      </c>
      <c r="P90" s="511">
        <v>2.6110000000000002</v>
      </c>
      <c r="Q90" s="511">
        <v>157.50899999999996</v>
      </c>
      <c r="R90" s="511">
        <v>5.2853312906932209E-2</v>
      </c>
      <c r="S90" s="511">
        <v>2.7760318457992885</v>
      </c>
      <c r="T90" s="511">
        <v>0</v>
      </c>
      <c r="U90" s="511">
        <v>0.37839107606549471</v>
      </c>
      <c r="V90" s="511">
        <v>2328.3607813097187</v>
      </c>
      <c r="W90" s="511">
        <v>826.5506098064368</v>
      </c>
      <c r="X90" s="511">
        <v>654.92148602068164</v>
      </c>
      <c r="Y90" s="576">
        <v>631.86865512446923</v>
      </c>
      <c r="Z90" s="511">
        <v>0</v>
      </c>
      <c r="AA90" s="576">
        <v>0</v>
      </c>
      <c r="AB90" s="513">
        <v>0.56937986598510748</v>
      </c>
      <c r="AC90" s="514">
        <v>0.75716782895593859</v>
      </c>
      <c r="AD90" s="514">
        <v>0.84979825799004793</v>
      </c>
      <c r="AE90" s="514">
        <v>0.90240092066279154</v>
      </c>
      <c r="AF90" s="511">
        <v>29.36</v>
      </c>
      <c r="AG90" s="511">
        <v>180.185</v>
      </c>
      <c r="AH90" s="511">
        <v>82.304900659251189</v>
      </c>
      <c r="AI90" s="511">
        <v>99.317861497959711</v>
      </c>
      <c r="AJ90" s="511">
        <v>1.6893732970027249</v>
      </c>
      <c r="AK90" s="511">
        <v>1.3996725587590531</v>
      </c>
      <c r="AL90" s="511">
        <v>1124.1519073569607</v>
      </c>
      <c r="AM90" s="576">
        <v>967.02078419402687</v>
      </c>
      <c r="AN90" s="587"/>
      <c r="AO90" s="587"/>
      <c r="AP90" s="513">
        <v>0.62446290194620946</v>
      </c>
      <c r="AQ90" s="514">
        <v>0.62238178948651479</v>
      </c>
      <c r="AR90" s="514">
        <v>0.94303220007989286</v>
      </c>
      <c r="AS90" s="514">
        <v>0.82393686706429858</v>
      </c>
      <c r="AT90" s="511">
        <v>34.529000000000003</v>
      </c>
      <c r="AU90" s="511">
        <v>171.32499999999999</v>
      </c>
      <c r="AV90" s="515">
        <v>31.372959109160817</v>
      </c>
      <c r="AW90" s="515">
        <v>50.687609842683237</v>
      </c>
      <c r="AX90" s="511">
        <v>2.1662949984071358</v>
      </c>
      <c r="AY90" s="511">
        <v>2.0831752517145778</v>
      </c>
      <c r="AZ90" s="511">
        <v>0</v>
      </c>
      <c r="BA90" s="511">
        <v>0</v>
      </c>
      <c r="BB90" s="511">
        <v>1054.0444264241621</v>
      </c>
      <c r="BC90" s="511">
        <v>1079.3091492776887</v>
      </c>
      <c r="BD90" s="511">
        <v>640.25022444901379</v>
      </c>
      <c r="BE90" s="576">
        <v>647.11046257113674</v>
      </c>
      <c r="BF90" s="511">
        <v>45.761533783196903</v>
      </c>
      <c r="BG90" s="512">
        <v>45.46913760396906</v>
      </c>
      <c r="BH90" s="513">
        <v>0.80504245297611998</v>
      </c>
      <c r="BI90" s="514">
        <v>0.55449852820100043</v>
      </c>
      <c r="BJ90" s="514">
        <v>0.80504245297611998</v>
      </c>
      <c r="BK90" s="514">
        <v>0.55449852820100043</v>
      </c>
      <c r="BL90" s="511">
        <v>44.625</v>
      </c>
      <c r="BM90" s="511">
        <v>147.21100000000001</v>
      </c>
      <c r="BN90" s="511">
        <v>2.7585434173669467</v>
      </c>
      <c r="BO90" s="511">
        <v>3.4780009646018297</v>
      </c>
      <c r="BP90" s="515">
        <v>0</v>
      </c>
      <c r="BQ90" s="515">
        <v>0</v>
      </c>
      <c r="BR90" s="515">
        <v>1039.6707553662595</v>
      </c>
      <c r="BS90" s="515">
        <v>1203.7190670508544</v>
      </c>
      <c r="BT90" s="515">
        <v>0</v>
      </c>
      <c r="BU90" s="516">
        <v>0</v>
      </c>
      <c r="BV90" s="513">
        <v>0.86072548009870886</v>
      </c>
      <c r="BW90" s="514">
        <v>0.88413072212780064</v>
      </c>
      <c r="BX90" s="514">
        <v>0.86072548009870886</v>
      </c>
      <c r="BY90" s="514">
        <v>0.88413072212780064</v>
      </c>
      <c r="BZ90" s="511">
        <v>45.56</v>
      </c>
      <c r="CA90" s="511">
        <v>238.702</v>
      </c>
      <c r="CB90" s="515">
        <v>80.053801834156531</v>
      </c>
      <c r="CC90" s="515">
        <v>79.418506630411244</v>
      </c>
      <c r="CD90" s="511">
        <v>2.2805092186128184</v>
      </c>
      <c r="CE90" s="511">
        <v>2.1482853097167176</v>
      </c>
      <c r="CF90" s="515">
        <v>0</v>
      </c>
      <c r="CG90" s="515">
        <v>0</v>
      </c>
      <c r="CH90" s="515">
        <v>917.91028406017131</v>
      </c>
      <c r="CI90" s="515">
        <v>844.05339050522014</v>
      </c>
      <c r="CJ90" s="515">
        <v>698.26163301141355</v>
      </c>
      <c r="CK90" s="515">
        <v>640.89869376879949</v>
      </c>
      <c r="CL90" s="515">
        <v>0</v>
      </c>
      <c r="CM90" s="516">
        <v>0</v>
      </c>
    </row>
    <row r="91" spans="1:91">
      <c r="A91" s="558">
        <v>46059</v>
      </c>
      <c r="B91" s="513">
        <v>0.37015315157820111</v>
      </c>
      <c r="C91" s="514">
        <v>0.71517329622975556</v>
      </c>
      <c r="D91" s="514">
        <v>0.37015315157820111</v>
      </c>
      <c r="E91" s="514">
        <v>0.71517329622975556</v>
      </c>
      <c r="F91" s="511">
        <v>29.254000000000001</v>
      </c>
      <c r="G91" s="511">
        <v>339.08700000000005</v>
      </c>
      <c r="H91" s="511">
        <v>3.7477951733096329</v>
      </c>
      <c r="I91" s="511">
        <v>2.5588064420045589</v>
      </c>
      <c r="J91" s="511">
        <v>1317.3904423326617</v>
      </c>
      <c r="K91" s="512">
        <v>923.51396544249781</v>
      </c>
      <c r="L91" s="513">
        <v>0.54863256381427972</v>
      </c>
      <c r="M91" s="514">
        <v>0.47517532209134339</v>
      </c>
      <c r="N91" s="514">
        <v>0.82294884572141969</v>
      </c>
      <c r="O91" s="514">
        <v>0.62437954420214747</v>
      </c>
      <c r="P91" s="511">
        <v>27.620999999999999</v>
      </c>
      <c r="Q91" s="511">
        <v>185.12999999999997</v>
      </c>
      <c r="R91" s="511">
        <v>4.3992614315194967</v>
      </c>
      <c r="S91" s="511">
        <v>3.0182142278398967</v>
      </c>
      <c r="T91" s="511">
        <v>0.55030592665001266</v>
      </c>
      <c r="U91" s="511">
        <v>0.40404040404040409</v>
      </c>
      <c r="V91" s="511">
        <v>1043.0545599362697</v>
      </c>
      <c r="W91" s="511">
        <v>858.85253605575417</v>
      </c>
      <c r="X91" s="511">
        <v>854.27754244958544</v>
      </c>
      <c r="Y91" s="576">
        <v>665.05158537244108</v>
      </c>
      <c r="Z91" s="511">
        <v>0</v>
      </c>
      <c r="AA91" s="576">
        <v>0</v>
      </c>
      <c r="AB91" s="513">
        <v>0.68023941023559709</v>
      </c>
      <c r="AC91" s="514">
        <v>0.74435818742821458</v>
      </c>
      <c r="AD91" s="514">
        <v>0.68023941023559709</v>
      </c>
      <c r="AE91" s="514">
        <v>0.85967688488013472</v>
      </c>
      <c r="AF91" s="511">
        <v>32.340000000000003</v>
      </c>
      <c r="AG91" s="511">
        <v>212.52500000000001</v>
      </c>
      <c r="AH91" s="511">
        <v>138.11653029316227</v>
      </c>
      <c r="AI91" s="511">
        <v>105.22186784468056</v>
      </c>
      <c r="AJ91" s="511">
        <v>1.2646876932591216</v>
      </c>
      <c r="AK91" s="511">
        <v>1.3791318668391952</v>
      </c>
      <c r="AL91" s="511">
        <v>952.6573902287962</v>
      </c>
      <c r="AM91" s="576">
        <v>964.83510175273489</v>
      </c>
      <c r="AN91" s="587"/>
      <c r="AO91" s="587"/>
      <c r="AP91" s="513">
        <v>0.87529209899229876</v>
      </c>
      <c r="AQ91" s="514">
        <v>0.6630522694212535</v>
      </c>
      <c r="AR91" s="514">
        <v>0.87529209899229876</v>
      </c>
      <c r="AS91" s="514">
        <v>0.83432857207327793</v>
      </c>
      <c r="AT91" s="511">
        <v>46.170999999999999</v>
      </c>
      <c r="AU91" s="511">
        <v>217.49599999999998</v>
      </c>
      <c r="AV91" s="515">
        <v>113.47999904818734</v>
      </c>
      <c r="AW91" s="515">
        <v>64.017452239818496</v>
      </c>
      <c r="AX91" s="511">
        <v>1.5161031816508197</v>
      </c>
      <c r="AY91" s="511">
        <v>1.9627947180637808</v>
      </c>
      <c r="AZ91" s="511">
        <v>0</v>
      </c>
      <c r="BA91" s="511">
        <v>0</v>
      </c>
      <c r="BB91" s="511">
        <v>948.40787507309972</v>
      </c>
      <c r="BC91" s="511">
        <v>1051.520855555965</v>
      </c>
      <c r="BD91" s="511">
        <v>519.37363279980946</v>
      </c>
      <c r="BE91" s="576">
        <v>619.99393092286766</v>
      </c>
      <c r="BF91" s="511">
        <v>34.22278053323528</v>
      </c>
      <c r="BG91" s="512">
        <v>43.08171184757424</v>
      </c>
      <c r="BH91" s="513">
        <v>0.93469282967063283</v>
      </c>
      <c r="BI91" s="514">
        <v>0.61867677145240085</v>
      </c>
      <c r="BJ91" s="514">
        <v>0.93469282967063283</v>
      </c>
      <c r="BK91" s="514">
        <v>0.61867677145240085</v>
      </c>
      <c r="BL91" s="511">
        <v>50.395000000000003</v>
      </c>
      <c r="BM91" s="511">
        <v>197.60600000000002</v>
      </c>
      <c r="BN91" s="511">
        <v>2.3811886099811486</v>
      </c>
      <c r="BO91" s="511">
        <v>3.1982834529315909</v>
      </c>
      <c r="BP91" s="515">
        <v>0</v>
      </c>
      <c r="BQ91" s="515">
        <v>0</v>
      </c>
      <c r="BR91" s="515">
        <v>955.20909244501297</v>
      </c>
      <c r="BS91" s="515">
        <v>1140.3421444358457</v>
      </c>
      <c r="BT91" s="515">
        <v>0</v>
      </c>
      <c r="BU91" s="516">
        <v>0</v>
      </c>
      <c r="BV91" s="513">
        <v>0.94023287616185969</v>
      </c>
      <c r="BW91" s="514">
        <v>0.89324217001527162</v>
      </c>
      <c r="BX91" s="514">
        <v>0.94023287616185969</v>
      </c>
      <c r="BY91" s="514">
        <v>0.89324217001527162</v>
      </c>
      <c r="BZ91" s="511">
        <v>49.220999999999997</v>
      </c>
      <c r="CA91" s="511">
        <v>287.923</v>
      </c>
      <c r="CB91" s="515">
        <v>77.849421471836692</v>
      </c>
      <c r="CC91" s="515">
        <v>79.150268453571613</v>
      </c>
      <c r="CD91" s="511">
        <v>2.0946344040145468</v>
      </c>
      <c r="CE91" s="511">
        <v>2.1391135824508636</v>
      </c>
      <c r="CF91" s="515">
        <v>0</v>
      </c>
      <c r="CG91" s="515">
        <v>0</v>
      </c>
      <c r="CH91" s="515">
        <v>852.46252181453087</v>
      </c>
      <c r="CI91" s="515">
        <v>845.49094795000781</v>
      </c>
      <c r="CJ91" s="515">
        <v>730.78564027549214</v>
      </c>
      <c r="CK91" s="515">
        <v>656.26504308443577</v>
      </c>
      <c r="CL91" s="515">
        <v>0</v>
      </c>
      <c r="CM91" s="516">
        <v>0</v>
      </c>
    </row>
    <row r="92" spans="1:91">
      <c r="A92" s="558">
        <v>46060</v>
      </c>
      <c r="B92" s="513">
        <v>0.90229960478262095</v>
      </c>
      <c r="C92" s="514">
        <v>0.74224086788915089</v>
      </c>
      <c r="D92" s="514">
        <v>0.90229960478262095</v>
      </c>
      <c r="E92" s="514">
        <v>0.74224086788915089</v>
      </c>
      <c r="F92" s="511">
        <v>72.346999999999994</v>
      </c>
      <c r="G92" s="511">
        <v>411.43400000000003</v>
      </c>
      <c r="H92" s="511">
        <v>2.4171700277827695</v>
      </c>
      <c r="I92" s="511">
        <v>2.5339009415847982</v>
      </c>
      <c r="J92" s="511">
        <v>710.42005888289123</v>
      </c>
      <c r="K92" s="512">
        <v>886.04330220643124</v>
      </c>
      <c r="L92" s="513">
        <v>0.80876647946046798</v>
      </c>
      <c r="M92" s="514">
        <v>0.51507999044468677</v>
      </c>
      <c r="N92" s="514">
        <v>0.80876647946046798</v>
      </c>
      <c r="O92" s="514">
        <v>0.6523127317730717</v>
      </c>
      <c r="P92" s="511">
        <v>42.814</v>
      </c>
      <c r="Q92" s="511">
        <v>227.94399999999996</v>
      </c>
      <c r="R92" s="511">
        <v>2.8589012939692622</v>
      </c>
      <c r="S92" s="511">
        <v>2.988290983750395</v>
      </c>
      <c r="T92" s="511">
        <v>0.36670248049703369</v>
      </c>
      <c r="U92" s="511">
        <v>0.39702734004843304</v>
      </c>
      <c r="V92" s="511">
        <v>743.86509085809723</v>
      </c>
      <c r="W92" s="511">
        <v>837.25480819850634</v>
      </c>
      <c r="X92" s="511">
        <v>540.8044097725043</v>
      </c>
      <c r="Y92" s="576">
        <v>641.71463166391754</v>
      </c>
      <c r="Z92" s="511">
        <v>0</v>
      </c>
      <c r="AA92" s="576">
        <v>0</v>
      </c>
      <c r="AB92" s="513">
        <v>0.88781412929602788</v>
      </c>
      <c r="AC92" s="514">
        <v>0.76433989018721804</v>
      </c>
      <c r="AD92" s="514">
        <v>0.88781412929602788</v>
      </c>
      <c r="AE92" s="514">
        <v>0.86410763064312679</v>
      </c>
      <c r="AF92" s="511">
        <v>41.021000000000001</v>
      </c>
      <c r="AG92" s="511">
        <v>253.54599999999999</v>
      </c>
      <c r="AH92" s="511">
        <v>126.1357749906048</v>
      </c>
      <c r="AI92" s="511">
        <v>108.60551177924455</v>
      </c>
      <c r="AJ92" s="511">
        <v>1.218887886692182</v>
      </c>
      <c r="AK92" s="511">
        <v>1.3532061243324682</v>
      </c>
      <c r="AL92" s="511">
        <v>922.13159113627398</v>
      </c>
      <c r="AM92" s="576">
        <v>957.92613569135813</v>
      </c>
      <c r="AN92" s="587"/>
      <c r="AO92" s="587"/>
      <c r="AP92" s="513">
        <v>0.94236199958281563</v>
      </c>
      <c r="AQ92" s="514">
        <v>0.70228775586375036</v>
      </c>
      <c r="AR92" s="514">
        <v>0.94236199958281563</v>
      </c>
      <c r="AS92" s="514">
        <v>0.85275583072908545</v>
      </c>
      <c r="AT92" s="511">
        <v>50.518999999999998</v>
      </c>
      <c r="AU92" s="511">
        <v>268.01499999999999</v>
      </c>
      <c r="AV92" s="515">
        <v>107.36429493492341</v>
      </c>
      <c r="AW92" s="515">
        <v>72.188036520974421</v>
      </c>
      <c r="AX92" s="511">
        <v>1.361863853203745</v>
      </c>
      <c r="AY92" s="511">
        <v>1.8495233475738302</v>
      </c>
      <c r="AZ92" s="511">
        <v>0</v>
      </c>
      <c r="BA92" s="511">
        <v>0</v>
      </c>
      <c r="BB92" s="511">
        <v>809.53225519111641</v>
      </c>
      <c r="BC92" s="511">
        <v>1005.9076544223274</v>
      </c>
      <c r="BD92" s="511">
        <v>616.93580633028478</v>
      </c>
      <c r="BE92" s="576">
        <v>619.4174952894416</v>
      </c>
      <c r="BF92" s="511">
        <v>31.148676735485196</v>
      </c>
      <c r="BG92" s="512">
        <v>40.83241609611396</v>
      </c>
      <c r="BH92" s="513">
        <v>1.045126624558161</v>
      </c>
      <c r="BI92" s="514">
        <v>0.68174074623444447</v>
      </c>
      <c r="BJ92" s="514">
        <v>1.045126624558161</v>
      </c>
      <c r="BK92" s="514">
        <v>0.68174074623444447</v>
      </c>
      <c r="BL92" s="511">
        <v>57.932000000000002</v>
      </c>
      <c r="BM92" s="511">
        <v>255.53800000000001</v>
      </c>
      <c r="BN92" s="511">
        <v>2.1680591037768417</v>
      </c>
      <c r="BO92" s="511">
        <v>2.9647254028755019</v>
      </c>
      <c r="BP92" s="515">
        <v>0</v>
      </c>
      <c r="BQ92" s="515">
        <v>0</v>
      </c>
      <c r="BR92" s="515">
        <v>777.9932267112348</v>
      </c>
      <c r="BS92" s="515">
        <v>1058.195467614308</v>
      </c>
      <c r="BT92" s="515">
        <v>0</v>
      </c>
      <c r="BU92" s="516">
        <v>0</v>
      </c>
      <c r="BV92" s="513">
        <v>1.0233736959154323</v>
      </c>
      <c r="BW92" s="514">
        <v>0.91142509609537414</v>
      </c>
      <c r="BX92" s="514">
        <v>1.0233736959154323</v>
      </c>
      <c r="BY92" s="514">
        <v>0.91142509609537414</v>
      </c>
      <c r="BZ92" s="511">
        <v>53.578000000000003</v>
      </c>
      <c r="CA92" s="511">
        <v>341.50099999999998</v>
      </c>
      <c r="CB92" s="515">
        <v>70.100555420004568</v>
      </c>
      <c r="CC92" s="515">
        <v>77.730461410803201</v>
      </c>
      <c r="CD92" s="511">
        <v>1.9112322221807458</v>
      </c>
      <c r="CE92" s="511">
        <v>2.1033613371556745</v>
      </c>
      <c r="CF92" s="515">
        <v>0</v>
      </c>
      <c r="CG92" s="515">
        <v>0</v>
      </c>
      <c r="CH92" s="515">
        <v>765.74482791749904</v>
      </c>
      <c r="CI92" s="515">
        <v>832.97960063593916</v>
      </c>
      <c r="CJ92" s="515">
        <v>536.96517227219533</v>
      </c>
      <c r="CK92" s="515">
        <v>637.54811845353208</v>
      </c>
      <c r="CL92" s="515">
        <v>0</v>
      </c>
      <c r="CM92" s="516">
        <v>0</v>
      </c>
    </row>
    <row r="93" spans="1:91">
      <c r="A93" s="558">
        <v>46061</v>
      </c>
      <c r="B93" s="513">
        <v>0.95243049252166312</v>
      </c>
      <c r="C93" s="514">
        <v>0.7678631029470151</v>
      </c>
      <c r="D93" s="514">
        <v>0.95243049252166312</v>
      </c>
      <c r="E93" s="514">
        <v>0.7678631029470151</v>
      </c>
      <c r="F93" s="511">
        <v>73.290999999999997</v>
      </c>
      <c r="G93" s="511">
        <v>484.72500000000002</v>
      </c>
      <c r="H93" s="511">
        <v>2.4821738003301905</v>
      </c>
      <c r="I93" s="511">
        <v>2.5260797359327452</v>
      </c>
      <c r="J93" s="511">
        <v>765.67000040930759</v>
      </c>
      <c r="K93" s="512">
        <v>867.84271494146049</v>
      </c>
      <c r="L93" s="513">
        <v>0.99815173700832605</v>
      </c>
      <c r="M93" s="514">
        <v>0.5720818326663959</v>
      </c>
      <c r="N93" s="514">
        <v>0.99815173700832605</v>
      </c>
      <c r="O93" s="514">
        <v>0.70241865992162822</v>
      </c>
      <c r="P93" s="511">
        <v>59.095999999999997</v>
      </c>
      <c r="Q93" s="511">
        <v>287.03999999999996</v>
      </c>
      <c r="R93" s="511">
        <v>1.8921754433464193</v>
      </c>
      <c r="S93" s="511">
        <v>2.7626219342251952</v>
      </c>
      <c r="T93" s="511">
        <v>0.2741302287802897</v>
      </c>
      <c r="U93" s="511">
        <v>0.37172519509476037</v>
      </c>
      <c r="V93" s="511">
        <v>558.33186679304617</v>
      </c>
      <c r="W93" s="511">
        <v>779.82995401338565</v>
      </c>
      <c r="X93" s="511">
        <v>429.08149451739541</v>
      </c>
      <c r="Y93" s="576">
        <v>597.93756967670015</v>
      </c>
      <c r="Z93" s="511">
        <v>0</v>
      </c>
      <c r="AA93" s="576">
        <v>0</v>
      </c>
      <c r="AB93" s="513">
        <v>0.90668302073671281</v>
      </c>
      <c r="AC93" s="514">
        <v>0.78005831055957964</v>
      </c>
      <c r="AD93" s="514">
        <v>0.90668302073671281</v>
      </c>
      <c r="AE93" s="514">
        <v>0.86934721966557682</v>
      </c>
      <c r="AF93" s="511">
        <v>37.335000000000001</v>
      </c>
      <c r="AG93" s="511">
        <v>290.88099999999997</v>
      </c>
      <c r="AH93" s="511">
        <v>135.36683566935923</v>
      </c>
      <c r="AI93" s="511">
        <v>112.04036667673677</v>
      </c>
      <c r="AJ93" s="511">
        <v>1.3204767644301592</v>
      </c>
      <c r="AK93" s="511">
        <v>1.3490052633207394</v>
      </c>
      <c r="AL93" s="511">
        <v>1026.0270523637046</v>
      </c>
      <c r="AM93" s="576">
        <v>966.66698753098342</v>
      </c>
      <c r="AN93" s="587"/>
      <c r="AO93" s="587"/>
      <c r="AP93" s="513">
        <v>0.93115117668946312</v>
      </c>
      <c r="AQ93" s="514">
        <v>0.73047705891064563</v>
      </c>
      <c r="AR93" s="514">
        <v>0.93115117668946312</v>
      </c>
      <c r="AS93" s="514">
        <v>0.86417923322062806</v>
      </c>
      <c r="AT93" s="511">
        <v>49.917999999999999</v>
      </c>
      <c r="AU93" s="511">
        <v>317.93299999999999</v>
      </c>
      <c r="AV93" s="515">
        <v>114.64104277701874</v>
      </c>
      <c r="AW93" s="515">
        <v>78.853494860590686</v>
      </c>
      <c r="AX93" s="511">
        <v>1.3662406346408109</v>
      </c>
      <c r="AY93" s="511">
        <v>1.7736441325688119</v>
      </c>
      <c r="AZ93" s="511">
        <v>0</v>
      </c>
      <c r="BA93" s="511">
        <v>0</v>
      </c>
      <c r="BB93" s="511">
        <v>851.33058215473341</v>
      </c>
      <c r="BC93" s="511">
        <v>981.63782935398353</v>
      </c>
      <c r="BD93" s="511">
        <v>600.20782082615585</v>
      </c>
      <c r="BE93" s="576">
        <v>616.40142419943743</v>
      </c>
      <c r="BF93" s="511">
        <v>31.802155535077528</v>
      </c>
      <c r="BG93" s="512">
        <v>39.414593640798479</v>
      </c>
      <c r="BH93" s="513">
        <v>1.045153605586949</v>
      </c>
      <c r="BI93" s="514">
        <v>0.72884649438935423</v>
      </c>
      <c r="BJ93" s="514">
        <v>1.045153605586949</v>
      </c>
      <c r="BK93" s="514">
        <v>0.72884649438935423</v>
      </c>
      <c r="BL93" s="511">
        <v>58.341999999999999</v>
      </c>
      <c r="BM93" s="511">
        <v>313.88</v>
      </c>
      <c r="BN93" s="511">
        <v>2.1339686675122556</v>
      </c>
      <c r="BO93" s="511">
        <v>2.8103096724863006</v>
      </c>
      <c r="BP93" s="515">
        <v>0</v>
      </c>
      <c r="BQ93" s="515">
        <v>0</v>
      </c>
      <c r="BR93" s="515">
        <v>766.29779888933149</v>
      </c>
      <c r="BS93" s="515">
        <v>1003.9394022748387</v>
      </c>
      <c r="BT93" s="515">
        <v>0</v>
      </c>
      <c r="BU93" s="516">
        <v>0</v>
      </c>
      <c r="BV93" s="513">
        <v>0.94443993686179317</v>
      </c>
      <c r="BW93" s="514">
        <v>0.91549404551910085</v>
      </c>
      <c r="BX93" s="514">
        <v>0.94443993686179317</v>
      </c>
      <c r="BY93" s="514">
        <v>0.91549404551910085</v>
      </c>
      <c r="BZ93" s="511">
        <v>49.744</v>
      </c>
      <c r="CA93" s="511">
        <v>391.245</v>
      </c>
      <c r="CB93" s="515">
        <v>79.173922823682275</v>
      </c>
      <c r="CC93" s="515">
        <v>77.913987192659221</v>
      </c>
      <c r="CD93" s="511">
        <v>2.0806529430685106</v>
      </c>
      <c r="CE93" s="511">
        <v>2.1004741274648877</v>
      </c>
      <c r="CF93" s="515">
        <v>0</v>
      </c>
      <c r="CG93" s="515">
        <v>0</v>
      </c>
      <c r="CH93" s="515">
        <v>849.65852800742732</v>
      </c>
      <c r="CI93" s="515">
        <v>835.10020681152548</v>
      </c>
      <c r="CJ93" s="515">
        <v>578.68739948536597</v>
      </c>
      <c r="CK93" s="515">
        <v>630.0643995450414</v>
      </c>
      <c r="CL93" s="515">
        <v>0</v>
      </c>
      <c r="CM93" s="516">
        <v>0</v>
      </c>
    </row>
    <row r="94" spans="1:91">
      <c r="A94" s="558">
        <v>46062</v>
      </c>
      <c r="B94" s="513">
        <v>0.82019564409333545</v>
      </c>
      <c r="C94" s="514">
        <v>0.77353201918052961</v>
      </c>
      <c r="D94" s="514">
        <v>0.82019564409333545</v>
      </c>
      <c r="E94" s="514">
        <v>0.77353201918052961</v>
      </c>
      <c r="F94" s="511">
        <v>62.9</v>
      </c>
      <c r="G94" s="511">
        <v>547.625</v>
      </c>
      <c r="H94" s="511">
        <v>2.6940063593004773</v>
      </c>
      <c r="I94" s="511">
        <v>2.5453677242638664</v>
      </c>
      <c r="J94" s="511">
        <v>964.75071542132662</v>
      </c>
      <c r="K94" s="512">
        <v>878.97353115727162</v>
      </c>
      <c r="L94" s="513">
        <v>0.7623551751237081</v>
      </c>
      <c r="M94" s="514">
        <v>0.59450092958777279</v>
      </c>
      <c r="N94" s="514">
        <v>0.7623551751237081</v>
      </c>
      <c r="O94" s="514">
        <v>0.7108629864756556</v>
      </c>
      <c r="P94" s="511">
        <v>51.088999999999999</v>
      </c>
      <c r="Q94" s="511">
        <v>338.12899999999996</v>
      </c>
      <c r="R94" s="511">
        <v>2.4134549511636556</v>
      </c>
      <c r="S94" s="511">
        <v>2.7098651698020579</v>
      </c>
      <c r="T94" s="511">
        <v>0.31317896220321401</v>
      </c>
      <c r="U94" s="511">
        <v>0.36287925614188671</v>
      </c>
      <c r="V94" s="511">
        <v>784.86229912500244</v>
      </c>
      <c r="W94" s="511">
        <v>780.59030724959837</v>
      </c>
      <c r="X94" s="511">
        <v>543.79612049560569</v>
      </c>
      <c r="Y94" s="576">
        <v>589.7571636860489</v>
      </c>
      <c r="Z94" s="511">
        <v>0</v>
      </c>
      <c r="AA94" s="576">
        <v>0</v>
      </c>
      <c r="AB94" s="513">
        <v>0.40857534827768016</v>
      </c>
      <c r="AC94" s="514">
        <v>0.73899551837626087</v>
      </c>
      <c r="AD94" s="514">
        <v>0.40857534827768016</v>
      </c>
      <c r="AE94" s="514">
        <v>0.81329391107003379</v>
      </c>
      <c r="AF94" s="511">
        <v>18.934000000000001</v>
      </c>
      <c r="AG94" s="511">
        <v>309.815</v>
      </c>
      <c r="AH94" s="511">
        <v>142.4123491517698</v>
      </c>
      <c r="AI94" s="511">
        <v>113.89651668942908</v>
      </c>
      <c r="AJ94" s="511">
        <v>1.7428963768881376</v>
      </c>
      <c r="AK94" s="511">
        <v>1.3730774817229636</v>
      </c>
      <c r="AL94" s="511">
        <v>1140.4256892362753</v>
      </c>
      <c r="AM94" s="576">
        <v>977.28605780869111</v>
      </c>
      <c r="AN94" s="587"/>
      <c r="AO94" s="587"/>
      <c r="AP94" s="513">
        <v>0.88207351440591864</v>
      </c>
      <c r="AQ94" s="514">
        <v>0.74710165778830329</v>
      </c>
      <c r="AR94" s="514">
        <v>0.88207351440591864</v>
      </c>
      <c r="AS94" s="514">
        <v>0.86645507851795855</v>
      </c>
      <c r="AT94" s="511">
        <v>47.286999999999999</v>
      </c>
      <c r="AU94" s="511">
        <v>365.21999999999997</v>
      </c>
      <c r="AV94" s="515">
        <v>125.14515415166444</v>
      </c>
      <c r="AW94" s="515">
        <v>84.847125255686805</v>
      </c>
      <c r="AX94" s="511">
        <v>1.4359126186901263</v>
      </c>
      <c r="AY94" s="511">
        <v>1.7299162148841798</v>
      </c>
      <c r="AZ94" s="511">
        <v>0</v>
      </c>
      <c r="BA94" s="511">
        <v>0</v>
      </c>
      <c r="BB94" s="511">
        <v>920.18567470974961</v>
      </c>
      <c r="BC94" s="511">
        <v>973.68128799080023</v>
      </c>
      <c r="BD94" s="511">
        <v>595.30420623004045</v>
      </c>
      <c r="BE94" s="576">
        <v>613.66985378675781</v>
      </c>
      <c r="BF94" s="511">
        <v>33.821134772770279</v>
      </c>
      <c r="BG94" s="512">
        <v>38.690378402058961</v>
      </c>
      <c r="BH94" s="513">
        <v>0.91882047375147269</v>
      </c>
      <c r="BI94" s="514">
        <v>0.75010570509581909</v>
      </c>
      <c r="BJ94" s="514">
        <v>0.91882047375147269</v>
      </c>
      <c r="BK94" s="514">
        <v>0.75010570509581909</v>
      </c>
      <c r="BL94" s="511">
        <v>49.86</v>
      </c>
      <c r="BM94" s="511">
        <v>363.74</v>
      </c>
      <c r="BN94" s="511">
        <v>2.4749298034496592</v>
      </c>
      <c r="BO94" s="511">
        <v>2.7643371639082859</v>
      </c>
      <c r="BP94" s="515">
        <v>0</v>
      </c>
      <c r="BQ94" s="515">
        <v>0</v>
      </c>
      <c r="BR94" s="515">
        <v>988.27419311714289</v>
      </c>
      <c r="BS94" s="515">
        <v>1001.7920791082837</v>
      </c>
      <c r="BT94" s="515">
        <v>0</v>
      </c>
      <c r="BU94" s="516">
        <v>0</v>
      </c>
      <c r="BV94" s="513">
        <v>0.88170074433810708</v>
      </c>
      <c r="BW94" s="514">
        <v>0.91176891131374282</v>
      </c>
      <c r="BX94" s="514">
        <v>0.88170074433810708</v>
      </c>
      <c r="BY94" s="514">
        <v>0.91176891131374282</v>
      </c>
      <c r="BZ94" s="511">
        <v>46.682000000000002</v>
      </c>
      <c r="CA94" s="511">
        <v>437.92700000000002</v>
      </c>
      <c r="CB94" s="515">
        <v>88.017344518029091</v>
      </c>
      <c r="CC94" s="515">
        <v>78.990981592782788</v>
      </c>
      <c r="CD94" s="511">
        <v>2.2107021978492782</v>
      </c>
      <c r="CE94" s="511">
        <v>2.1122241834826352</v>
      </c>
      <c r="CF94" s="515">
        <v>0</v>
      </c>
      <c r="CG94" s="515">
        <v>0</v>
      </c>
      <c r="CH94" s="515">
        <v>963.47218909163166</v>
      </c>
      <c r="CI94" s="515">
        <v>848.78436165194398</v>
      </c>
      <c r="CJ94" s="515">
        <v>603.01936506576237</v>
      </c>
      <c r="CK94" s="515">
        <v>627.18146175047366</v>
      </c>
      <c r="CL94" s="515">
        <v>0</v>
      </c>
      <c r="CM94" s="516">
        <v>0</v>
      </c>
    </row>
    <row r="95" spans="1:91">
      <c r="A95" s="558">
        <v>46063</v>
      </c>
      <c r="B95" s="513">
        <v>0.78535907240323855</v>
      </c>
      <c r="C95" s="514">
        <v>0.77465636565175644</v>
      </c>
      <c r="D95" s="514">
        <v>0.84705618189900955</v>
      </c>
      <c r="E95" s="514">
        <v>0.78005772352344804</v>
      </c>
      <c r="F95" s="511">
        <v>58.408999999999999</v>
      </c>
      <c r="G95" s="511">
        <v>606.03399999999999</v>
      </c>
      <c r="H95" s="511">
        <v>2.5051447550891131</v>
      </c>
      <c r="I95" s="511">
        <v>2.541491071458037</v>
      </c>
      <c r="J95" s="511">
        <v>885.52517591467529</v>
      </c>
      <c r="K95" s="512">
        <v>879.60497265830168</v>
      </c>
      <c r="L95" s="513">
        <v>0.96755612812932568</v>
      </c>
      <c r="M95" s="514">
        <v>0.63547919739195446</v>
      </c>
      <c r="N95" s="514">
        <v>0.96755612812932568</v>
      </c>
      <c r="O95" s="514">
        <v>0.74386874662815883</v>
      </c>
      <c r="P95" s="511">
        <v>67.908000000000001</v>
      </c>
      <c r="Q95" s="511">
        <v>406.03699999999998</v>
      </c>
      <c r="R95" s="511">
        <v>1.8984213936502328</v>
      </c>
      <c r="S95" s="511">
        <v>2.5741545721202743</v>
      </c>
      <c r="T95" s="511">
        <v>0.22972256582435058</v>
      </c>
      <c r="U95" s="511">
        <v>0.34060935333479464</v>
      </c>
      <c r="V95" s="511">
        <v>528.79572362610622</v>
      </c>
      <c r="W95" s="511">
        <v>738.47871006829666</v>
      </c>
      <c r="X95" s="511">
        <v>367.33521823643753</v>
      </c>
      <c r="Y95" s="576">
        <v>552.55801811164997</v>
      </c>
      <c r="Z95" s="511">
        <v>0</v>
      </c>
      <c r="AA95" s="576">
        <v>0</v>
      </c>
      <c r="AB95" s="513">
        <v>0.38157958157508265</v>
      </c>
      <c r="AC95" s="514">
        <v>0.70640581760612942</v>
      </c>
      <c r="AD95" s="514">
        <v>0.48514339769162595</v>
      </c>
      <c r="AE95" s="514">
        <v>0.78707256065056075</v>
      </c>
      <c r="AF95" s="511">
        <v>16.05</v>
      </c>
      <c r="AG95" s="511">
        <v>325.86500000000001</v>
      </c>
      <c r="AH95" s="511">
        <v>129.6489730925976</v>
      </c>
      <c r="AI95" s="511">
        <v>114.67238069836178</v>
      </c>
      <c r="AJ95" s="511">
        <v>1.838006230529595</v>
      </c>
      <c r="AK95" s="511">
        <v>1.3959768615837846</v>
      </c>
      <c r="AL95" s="511">
        <v>1241.9090342679808</v>
      </c>
      <c r="AM95" s="576">
        <v>990.31967225691847</v>
      </c>
      <c r="AN95" s="587"/>
      <c r="AO95" s="587"/>
      <c r="AP95" s="513">
        <v>0.70903427774348671</v>
      </c>
      <c r="AQ95" s="514">
        <v>0.74346939282761482</v>
      </c>
      <c r="AR95" s="514">
        <v>0.77880195267019137</v>
      </c>
      <c r="AS95" s="514">
        <v>0.85767112886072083</v>
      </c>
      <c r="AT95" s="511">
        <v>36.561</v>
      </c>
      <c r="AU95" s="511">
        <v>401.78099999999995</v>
      </c>
      <c r="AV95" s="515">
        <v>113.17305540831639</v>
      </c>
      <c r="AW95" s="515">
        <v>87.424709393090751</v>
      </c>
      <c r="AX95" s="511">
        <v>1.6192117283444107</v>
      </c>
      <c r="AY95" s="511">
        <v>1.7198424017064027</v>
      </c>
      <c r="AZ95" s="511">
        <v>0</v>
      </c>
      <c r="BA95" s="511">
        <v>0</v>
      </c>
      <c r="BB95" s="511">
        <v>966.12893520418083</v>
      </c>
      <c r="BC95" s="511">
        <v>972.99404401900574</v>
      </c>
      <c r="BD95" s="511">
        <v>619.31771559859203</v>
      </c>
      <c r="BE95" s="576">
        <v>614.18379415651771</v>
      </c>
      <c r="BF95" s="511">
        <v>41.894368315966211</v>
      </c>
      <c r="BG95" s="512">
        <v>38.981932943568793</v>
      </c>
      <c r="BH95" s="513">
        <v>0.9404774330147464</v>
      </c>
      <c r="BI95" s="514">
        <v>0.76992047419747189</v>
      </c>
      <c r="BJ95" s="514">
        <v>0.9404774330147464</v>
      </c>
      <c r="BK95" s="514">
        <v>0.76992047419747189</v>
      </c>
      <c r="BL95" s="511">
        <v>52.982999999999997</v>
      </c>
      <c r="BM95" s="511">
        <v>416.72300000000001</v>
      </c>
      <c r="BN95" s="511">
        <v>2.202593284638469</v>
      </c>
      <c r="BO95" s="511">
        <v>2.6929159177679178</v>
      </c>
      <c r="BP95" s="515">
        <v>0</v>
      </c>
      <c r="BQ95" s="515">
        <v>0</v>
      </c>
      <c r="BR95" s="515">
        <v>812.47577644009277</v>
      </c>
      <c r="BS95" s="515">
        <v>977.72202378551833</v>
      </c>
      <c r="BT95" s="515">
        <v>0</v>
      </c>
      <c r="BU95" s="516">
        <v>0</v>
      </c>
      <c r="BV95" s="513">
        <v>0.78724680190124652</v>
      </c>
      <c r="BW95" s="514">
        <v>0.89893790936383311</v>
      </c>
      <c r="BX95" s="514">
        <v>0.78724680190124652</v>
      </c>
      <c r="BY95" s="514">
        <v>0.89893790936383311</v>
      </c>
      <c r="BZ95" s="511">
        <v>43.438000000000002</v>
      </c>
      <c r="CA95" s="511">
        <v>481.36500000000001</v>
      </c>
      <c r="CB95" s="515">
        <v>92.117820872976495</v>
      </c>
      <c r="CC95" s="515">
        <v>80.175537272263142</v>
      </c>
      <c r="CD95" s="511">
        <v>2.1271697591970162</v>
      </c>
      <c r="CE95" s="511">
        <v>2.1135728605112543</v>
      </c>
      <c r="CF95" s="515">
        <v>0</v>
      </c>
      <c r="CG95" s="515">
        <v>0</v>
      </c>
      <c r="CH95" s="515">
        <v>949.65274499002362</v>
      </c>
      <c r="CI95" s="515">
        <v>857.88664543958851</v>
      </c>
      <c r="CJ95" s="515">
        <v>637.10633546664565</v>
      </c>
      <c r="CK95" s="515">
        <v>628.07707456919343</v>
      </c>
      <c r="CL95" s="515">
        <v>0</v>
      </c>
      <c r="CM95" s="516">
        <v>0</v>
      </c>
    </row>
    <row r="96" spans="1:91">
      <c r="A96" s="558">
        <v>46064</v>
      </c>
      <c r="B96" s="513">
        <v>0.97735228438650479</v>
      </c>
      <c r="C96" s="514">
        <v>0.79106890709569611</v>
      </c>
      <c r="D96" s="514">
        <v>0.97735228438650479</v>
      </c>
      <c r="E96" s="514">
        <v>0.79613522162226946</v>
      </c>
      <c r="F96" s="511">
        <v>67.366</v>
      </c>
      <c r="G96" s="511">
        <v>673.4</v>
      </c>
      <c r="H96" s="511">
        <v>2.146038060742808</v>
      </c>
      <c r="I96" s="511">
        <v>2.5019305019305018</v>
      </c>
      <c r="J96" s="511">
        <v>842.62239111714428</v>
      </c>
      <c r="K96" s="512">
        <v>875.90528660528469</v>
      </c>
      <c r="L96" s="513">
        <v>0.97464322099370149</v>
      </c>
      <c r="M96" s="514">
        <v>0.66904632291148725</v>
      </c>
      <c r="N96" s="514">
        <v>0.97464322099370149</v>
      </c>
      <c r="O96" s="514">
        <v>0.77016035252152892</v>
      </c>
      <c r="P96" s="511">
        <v>68.403000000000006</v>
      </c>
      <c r="Q96" s="511">
        <v>474.44</v>
      </c>
      <c r="R96" s="511">
        <v>1.9841527418388079</v>
      </c>
      <c r="S96" s="511">
        <v>2.4890902959278303</v>
      </c>
      <c r="T96" s="511">
        <v>0.25729865649167433</v>
      </c>
      <c r="U96" s="511">
        <v>0.32859792597588738</v>
      </c>
      <c r="V96" s="511">
        <v>538.23881993480461</v>
      </c>
      <c r="W96" s="511">
        <v>709.60886518843574</v>
      </c>
      <c r="X96" s="511">
        <v>432.51027001739692</v>
      </c>
      <c r="Y96" s="576">
        <v>535.24997892251918</v>
      </c>
      <c r="Z96" s="511">
        <v>0</v>
      </c>
      <c r="AA96" s="576">
        <v>0</v>
      </c>
      <c r="AB96" s="513">
        <v>0.65511399939449744</v>
      </c>
      <c r="AC96" s="514">
        <v>0.70220250108388538</v>
      </c>
      <c r="AD96" s="514">
        <v>0.83631574390786922</v>
      </c>
      <c r="AE96" s="514">
        <v>0.79063172952709748</v>
      </c>
      <c r="AF96" s="511">
        <v>26.975999999999999</v>
      </c>
      <c r="AG96" s="511">
        <v>352.84100000000001</v>
      </c>
      <c r="AH96" s="511">
        <v>161.07817058906105</v>
      </c>
      <c r="AI96" s="511">
        <v>118.22027504196556</v>
      </c>
      <c r="AJ96" s="511">
        <v>1.7015124555160142</v>
      </c>
      <c r="AK96" s="511">
        <v>1.4193361882547662</v>
      </c>
      <c r="AL96" s="511">
        <v>1067.767645314367</v>
      </c>
      <c r="AM96" s="576">
        <v>996.24085636306745</v>
      </c>
      <c r="AN96" s="587"/>
      <c r="AO96" s="587"/>
      <c r="AP96" s="513">
        <v>0.88977958657940759</v>
      </c>
      <c r="AQ96" s="514">
        <v>0.75684121986493735</v>
      </c>
      <c r="AR96" s="514">
        <v>0.97705312093584651</v>
      </c>
      <c r="AS96" s="514">
        <v>0.86908083992044149</v>
      </c>
      <c r="AT96" s="511">
        <v>48.366999999999997</v>
      </c>
      <c r="AU96" s="511">
        <v>450.14799999999997</v>
      </c>
      <c r="AV96" s="515">
        <v>102.25146914212772</v>
      </c>
      <c r="AW96" s="515">
        <v>89.01779852995611</v>
      </c>
      <c r="AX96" s="511">
        <v>1.3149461409638805</v>
      </c>
      <c r="AY96" s="511">
        <v>1.6763375600913482</v>
      </c>
      <c r="AZ96" s="511">
        <v>0</v>
      </c>
      <c r="BA96" s="511">
        <v>0</v>
      </c>
      <c r="BB96" s="511">
        <v>764.86240618603517</v>
      </c>
      <c r="BC96" s="511">
        <v>950.63094804375464</v>
      </c>
      <c r="BD96" s="511">
        <v>545.37019041909593</v>
      </c>
      <c r="BE96" s="576">
        <v>606.78998684877013</v>
      </c>
      <c r="BF96" s="511">
        <v>34.490458370376132</v>
      </c>
      <c r="BG96" s="512">
        <v>38.499337995503694</v>
      </c>
      <c r="BH96" s="513">
        <v>0.62139965413774934</v>
      </c>
      <c r="BI96" s="514">
        <v>0.75602106649022738</v>
      </c>
      <c r="BJ96" s="514">
        <v>0.62139965413774934</v>
      </c>
      <c r="BK96" s="514">
        <v>0.75602106649022738</v>
      </c>
      <c r="BL96" s="511">
        <v>34.725999999999999</v>
      </c>
      <c r="BM96" s="511">
        <v>451.44900000000001</v>
      </c>
      <c r="BN96" s="511">
        <v>3.9365317053504576</v>
      </c>
      <c r="BO96" s="511">
        <v>2.7885763397415877</v>
      </c>
      <c r="BP96" s="515">
        <v>0</v>
      </c>
      <c r="BQ96" s="515">
        <v>0</v>
      </c>
      <c r="BR96" s="515">
        <v>1326.0430263854269</v>
      </c>
      <c r="BS96" s="515">
        <v>1004.5152942020757</v>
      </c>
      <c r="BT96" s="515">
        <v>0</v>
      </c>
      <c r="BU96" s="516">
        <v>0</v>
      </c>
      <c r="BV96" s="513">
        <v>0.76104334124790718</v>
      </c>
      <c r="BW96" s="514">
        <v>0.88665605033362027</v>
      </c>
      <c r="BX96" s="514">
        <v>0.76104334124790718</v>
      </c>
      <c r="BY96" s="514">
        <v>0.88665605033362027</v>
      </c>
      <c r="BZ96" s="511">
        <v>39.845999999999997</v>
      </c>
      <c r="CA96" s="511">
        <v>521.21100000000001</v>
      </c>
      <c r="CB96" s="515">
        <v>103.00051353190274</v>
      </c>
      <c r="CC96" s="515">
        <v>81.920481266234091</v>
      </c>
      <c r="CD96" s="511">
        <v>2.6150680118456058</v>
      </c>
      <c r="CE96" s="511">
        <v>2.1519116058563612</v>
      </c>
      <c r="CF96" s="515">
        <v>0</v>
      </c>
      <c r="CG96" s="515">
        <v>0</v>
      </c>
      <c r="CH96" s="515">
        <v>1111.6581304456533</v>
      </c>
      <c r="CI96" s="515">
        <v>877.28719261060303</v>
      </c>
      <c r="CJ96" s="515">
        <v>717.16307784973287</v>
      </c>
      <c r="CK96" s="515">
        <v>634.88760022332667</v>
      </c>
      <c r="CL96" s="515">
        <v>0</v>
      </c>
      <c r="CM96" s="516">
        <v>0</v>
      </c>
    </row>
    <row r="97" spans="1:91">
      <c r="A97" s="558">
        <v>46065</v>
      </c>
      <c r="B97" s="513">
        <v>0.94384796186543363</v>
      </c>
      <c r="C97" s="514">
        <v>0.80277519781305318</v>
      </c>
      <c r="D97" s="514">
        <v>0.94384796186543363</v>
      </c>
      <c r="E97" s="514">
        <v>0.80752021808066732</v>
      </c>
      <c r="F97" s="511">
        <v>66.671000000000006</v>
      </c>
      <c r="G97" s="511">
        <v>740.07100000000003</v>
      </c>
      <c r="H97" s="511">
        <v>2.1805432646877949</v>
      </c>
      <c r="I97" s="511">
        <v>2.4729775926904307</v>
      </c>
      <c r="J97" s="511">
        <v>871.83183093102139</v>
      </c>
      <c r="K97" s="512">
        <v>875.53831997200382</v>
      </c>
      <c r="L97" s="513">
        <v>0.95726469714185458</v>
      </c>
      <c r="M97" s="514">
        <v>0.69546908397105178</v>
      </c>
      <c r="N97" s="514">
        <v>0.95726469714185458</v>
      </c>
      <c r="O97" s="514">
        <v>0.78963589018174829</v>
      </c>
      <c r="P97" s="511">
        <v>68.513000000000005</v>
      </c>
      <c r="Q97" s="511">
        <v>542.95299999999997</v>
      </c>
      <c r="R97" s="511">
        <v>1.9191686249324944</v>
      </c>
      <c r="S97" s="511">
        <v>2.4171742305503421</v>
      </c>
      <c r="T97" s="511">
        <v>0.23499189934756909</v>
      </c>
      <c r="U97" s="511">
        <v>0.31678616749516075</v>
      </c>
      <c r="V97" s="511">
        <v>592.06209040617205</v>
      </c>
      <c r="W97" s="511">
        <v>694.77612242680209</v>
      </c>
      <c r="X97" s="511">
        <v>394.69881628304114</v>
      </c>
      <c r="Y97" s="576">
        <v>517.51440732439096</v>
      </c>
      <c r="Z97" s="511">
        <v>0</v>
      </c>
      <c r="AA97" s="576">
        <v>0</v>
      </c>
      <c r="AB97" s="513">
        <v>0.90057400754538286</v>
      </c>
      <c r="AC97" s="514">
        <v>0.71825480804805963</v>
      </c>
      <c r="AD97" s="514">
        <v>0.90057400754538286</v>
      </c>
      <c r="AE97" s="514">
        <v>0.80054761546295006</v>
      </c>
      <c r="AF97" s="511">
        <v>39.841999999999999</v>
      </c>
      <c r="AG97" s="511">
        <v>392.68299999999999</v>
      </c>
      <c r="AH97" s="511">
        <v>144.781704618362</v>
      </c>
      <c r="AI97" s="511">
        <v>120.91522358107419</v>
      </c>
      <c r="AJ97" s="511">
        <v>1.2825661362381406</v>
      </c>
      <c r="AK97" s="511">
        <v>1.4054593654423542</v>
      </c>
      <c r="AL97" s="511">
        <v>1045.7783243812696</v>
      </c>
      <c r="AM97" s="576">
        <v>1001.2669761614321</v>
      </c>
      <c r="AN97" s="587"/>
      <c r="AO97" s="587"/>
      <c r="AP97" s="513">
        <v>0.95582792182708742</v>
      </c>
      <c r="AQ97" s="514">
        <v>0.77423020756497851</v>
      </c>
      <c r="AR97" s="514">
        <v>0.95582792182708742</v>
      </c>
      <c r="AS97" s="514">
        <v>0.87767430652623424</v>
      </c>
      <c r="AT97" s="511">
        <v>54.436999999999998</v>
      </c>
      <c r="AU97" s="511">
        <v>504.58499999999998</v>
      </c>
      <c r="AV97" s="515">
        <v>109.77125645117358</v>
      </c>
      <c r="AW97" s="515">
        <v>91.256779056244667</v>
      </c>
      <c r="AX97" s="511">
        <v>1.2344545070448409</v>
      </c>
      <c r="AY97" s="511">
        <v>1.6286651406601469</v>
      </c>
      <c r="AZ97" s="511">
        <v>0</v>
      </c>
      <c r="BA97" s="511">
        <v>0</v>
      </c>
      <c r="BB97" s="511">
        <v>751.06820728548701</v>
      </c>
      <c r="BC97" s="511">
        <v>929.10118215959676</v>
      </c>
      <c r="BD97" s="511">
        <v>972.39561327772458</v>
      </c>
      <c r="BE97" s="576">
        <v>646.23323919656684</v>
      </c>
      <c r="BF97" s="511">
        <v>26.757536234545931</v>
      </c>
      <c r="BG97" s="512">
        <v>37.232577266466443</v>
      </c>
      <c r="BH97" s="513">
        <v>1.1079319819670372</v>
      </c>
      <c r="BI97" s="514">
        <v>0.7854808285313567</v>
      </c>
      <c r="BJ97" s="514">
        <v>1.1079319819670372</v>
      </c>
      <c r="BK97" s="514">
        <v>0.7854808285313567</v>
      </c>
      <c r="BL97" s="511">
        <v>60.444000000000003</v>
      </c>
      <c r="BM97" s="511">
        <v>511.89300000000003</v>
      </c>
      <c r="BN97" s="511">
        <v>2.197074978492489</v>
      </c>
      <c r="BO97" s="511">
        <v>2.7187322350569358</v>
      </c>
      <c r="BP97" s="515">
        <v>0</v>
      </c>
      <c r="BQ97" s="515">
        <v>0</v>
      </c>
      <c r="BR97" s="515">
        <v>855.22359872394122</v>
      </c>
      <c r="BS97" s="515">
        <v>986.88702571338695</v>
      </c>
      <c r="BT97" s="515">
        <v>0</v>
      </c>
      <c r="BU97" s="516">
        <v>0</v>
      </c>
      <c r="BV97" s="513">
        <v>0.24326674284903194</v>
      </c>
      <c r="BW97" s="514">
        <v>0.83458736537765199</v>
      </c>
      <c r="BX97" s="514">
        <v>0.36490011427354785</v>
      </c>
      <c r="BY97" s="514">
        <v>0.85772558178733282</v>
      </c>
      <c r="BZ97" s="511">
        <v>12.592000000000001</v>
      </c>
      <c r="CA97" s="511">
        <v>533.803</v>
      </c>
      <c r="CB97" s="515">
        <v>110.06904678865017</v>
      </c>
      <c r="CC97" s="515">
        <v>82.584484160669419</v>
      </c>
      <c r="CD97" s="511">
        <v>2.5095298602287168</v>
      </c>
      <c r="CE97" s="511">
        <v>2.160347543944114</v>
      </c>
      <c r="CF97" s="515">
        <v>0</v>
      </c>
      <c r="CG97" s="515">
        <v>0</v>
      </c>
      <c r="CH97" s="515">
        <v>1211.2662641942402</v>
      </c>
      <c r="CI97" s="515">
        <v>885.16550065567048</v>
      </c>
      <c r="CJ97" s="515">
        <v>0</v>
      </c>
      <c r="CK97" s="515">
        <v>619.9110926690189</v>
      </c>
      <c r="CL97" s="515">
        <v>0</v>
      </c>
      <c r="CM97" s="516">
        <v>0</v>
      </c>
    </row>
    <row r="98" spans="1:91">
      <c r="A98" s="558">
        <v>46066</v>
      </c>
      <c r="B98" s="513">
        <v>0.87447049960998036</v>
      </c>
      <c r="C98" s="514">
        <v>0.8084695906495124</v>
      </c>
      <c r="D98" s="514">
        <v>0.87447049960998036</v>
      </c>
      <c r="E98" s="514">
        <v>0.81286665880262543</v>
      </c>
      <c r="F98" s="511">
        <v>69.554000000000002</v>
      </c>
      <c r="G98" s="511">
        <v>809.625</v>
      </c>
      <c r="H98" s="511">
        <v>2.2085573798775053</v>
      </c>
      <c r="I98" s="511">
        <v>2.4502615408368071</v>
      </c>
      <c r="J98" s="511">
        <v>769.47407769501228</v>
      </c>
      <c r="K98" s="512">
        <v>866.42645669291301</v>
      </c>
      <c r="L98" s="513">
        <v>0.51929826642556698</v>
      </c>
      <c r="M98" s="514">
        <v>0.68109695950217686</v>
      </c>
      <c r="N98" s="514">
        <v>0.51929826642556698</v>
      </c>
      <c r="O98" s="514">
        <v>0.76486899273910791</v>
      </c>
      <c r="P98" s="511">
        <v>36.012</v>
      </c>
      <c r="Q98" s="511">
        <v>578.96499999999992</v>
      </c>
      <c r="R98" s="511">
        <v>2.8235310452071531</v>
      </c>
      <c r="S98" s="511">
        <v>2.4424498890261068</v>
      </c>
      <c r="T98" s="511">
        <v>0.23603243363323337</v>
      </c>
      <c r="U98" s="511">
        <v>0.31176323266518707</v>
      </c>
      <c r="V98" s="511">
        <v>800.1249583472096</v>
      </c>
      <c r="W98" s="511">
        <v>701.32888862020889</v>
      </c>
      <c r="X98" s="511">
        <v>409.19693435521492</v>
      </c>
      <c r="Y98" s="576">
        <v>510.77698997348733</v>
      </c>
      <c r="Z98" s="511">
        <v>0</v>
      </c>
      <c r="AA98" s="576">
        <v>0</v>
      </c>
      <c r="AB98" s="513">
        <v>0.91705370539972397</v>
      </c>
      <c r="AC98" s="514">
        <v>0.73314347806238112</v>
      </c>
      <c r="AD98" s="514">
        <v>0.91705370539972397</v>
      </c>
      <c r="AE98" s="514">
        <v>0.81019009024597199</v>
      </c>
      <c r="AF98" s="511">
        <v>40.588999999999999</v>
      </c>
      <c r="AG98" s="511">
        <v>433.27199999999999</v>
      </c>
      <c r="AH98" s="511">
        <v>124.50847715734028</v>
      </c>
      <c r="AI98" s="511">
        <v>121.25184023160102</v>
      </c>
      <c r="AJ98" s="511">
        <v>1.2096873537165242</v>
      </c>
      <c r="AK98" s="511">
        <v>1.3871194076700086</v>
      </c>
      <c r="AL98" s="511">
        <v>789.62280420803665</v>
      </c>
      <c r="AM98" s="576">
        <v>981.44011152347639</v>
      </c>
      <c r="AN98" s="587"/>
      <c r="AO98" s="587"/>
      <c r="AP98" s="513">
        <v>0.96516423532143614</v>
      </c>
      <c r="AQ98" s="514">
        <v>0.78939425303007604</v>
      </c>
      <c r="AR98" s="514">
        <v>0.96516423532143614</v>
      </c>
      <c r="AS98" s="514">
        <v>0.88546845981473543</v>
      </c>
      <c r="AT98" s="511">
        <v>54.267000000000003</v>
      </c>
      <c r="AU98" s="511">
        <v>558.85199999999998</v>
      </c>
      <c r="AV98" s="515">
        <v>96.975751823445265</v>
      </c>
      <c r="AW98" s="515">
        <v>91.812116596698445</v>
      </c>
      <c r="AX98" s="511">
        <v>1.181196675696095</v>
      </c>
      <c r="AY98" s="511">
        <v>1.5852139743617277</v>
      </c>
      <c r="AZ98" s="511">
        <v>0</v>
      </c>
      <c r="BA98" s="511">
        <v>0</v>
      </c>
      <c r="BB98" s="511">
        <v>726.40831444524315</v>
      </c>
      <c r="BC98" s="511">
        <v>909.41880855754323</v>
      </c>
      <c r="BD98" s="511">
        <v>552.45360900731805</v>
      </c>
      <c r="BE98" s="576">
        <v>637.12682248609622</v>
      </c>
      <c r="BF98" s="511">
        <v>26.77317706893735</v>
      </c>
      <c r="BG98" s="512">
        <v>36.216923264120005</v>
      </c>
      <c r="BH98" s="513">
        <v>0.96611556273929888</v>
      </c>
      <c r="BI98" s="514">
        <v>0.79973447911501938</v>
      </c>
      <c r="BJ98" s="514">
        <v>0.96611556273929888</v>
      </c>
      <c r="BK98" s="514">
        <v>0.79973447911501938</v>
      </c>
      <c r="BL98" s="511">
        <v>53.938000000000002</v>
      </c>
      <c r="BM98" s="511">
        <v>565.83100000000002</v>
      </c>
      <c r="BN98" s="511">
        <v>2.4175905669472355</v>
      </c>
      <c r="BO98" s="511">
        <v>2.6900258204304821</v>
      </c>
      <c r="BP98" s="515">
        <v>0</v>
      </c>
      <c r="BQ98" s="515">
        <v>0</v>
      </c>
      <c r="BR98" s="515">
        <v>801.01885097884281</v>
      </c>
      <c r="BS98" s="515">
        <v>969.16908942351972</v>
      </c>
      <c r="BT98" s="515">
        <v>0</v>
      </c>
      <c r="BU98" s="516">
        <v>0</v>
      </c>
      <c r="BV98" s="513">
        <v>0.88718108072014057</v>
      </c>
      <c r="BW98" s="514">
        <v>0.83864339244183816</v>
      </c>
      <c r="BX98" s="514">
        <v>0.88718108072014057</v>
      </c>
      <c r="BY98" s="514">
        <v>0.86005518719699281</v>
      </c>
      <c r="BZ98" s="511">
        <v>47.417999999999999</v>
      </c>
      <c r="CA98" s="511">
        <v>581.221</v>
      </c>
      <c r="CB98" s="515">
        <v>76.50559484705829</v>
      </c>
      <c r="CC98" s="515">
        <v>82.088547548825019</v>
      </c>
      <c r="CD98" s="511">
        <v>1.9760428529250496</v>
      </c>
      <c r="CE98" s="511">
        <v>2.1453113359634286</v>
      </c>
      <c r="CF98" s="515">
        <v>0</v>
      </c>
      <c r="CG98" s="515">
        <v>0</v>
      </c>
      <c r="CH98" s="515">
        <v>803.3161503205805</v>
      </c>
      <c r="CI98" s="515">
        <v>878.48795030186488</v>
      </c>
      <c r="CJ98" s="515">
        <v>0</v>
      </c>
      <c r="CK98" s="515">
        <v>569.33662238632178</v>
      </c>
      <c r="CL98" s="515">
        <v>0</v>
      </c>
      <c r="CM98" s="516">
        <v>0</v>
      </c>
    </row>
    <row r="99" spans="1:91">
      <c r="A99" s="558">
        <v>46067</v>
      </c>
      <c r="B99" s="513">
        <v>1.2036503264491898</v>
      </c>
      <c r="C99" s="514">
        <v>0.83815197318040702</v>
      </c>
      <c r="D99" s="514">
        <v>1.2036503264491898</v>
      </c>
      <c r="E99" s="514">
        <v>0.84236636161431955</v>
      </c>
      <c r="F99" s="511">
        <v>97.888999999999996</v>
      </c>
      <c r="G99" s="511">
        <v>907.51400000000001</v>
      </c>
      <c r="H99" s="511">
        <v>1.6676848266914566</v>
      </c>
      <c r="I99" s="511">
        <v>2.3658489015045494</v>
      </c>
      <c r="J99" s="511">
        <v>598.74408769116792</v>
      </c>
      <c r="K99" s="512">
        <v>837.55289725557998</v>
      </c>
      <c r="L99" s="513">
        <v>0.86041745271557901</v>
      </c>
      <c r="M99" s="514">
        <v>0.69433776565517002</v>
      </c>
      <c r="N99" s="514">
        <v>0.86041745271557901</v>
      </c>
      <c r="O99" s="514">
        <v>0.77272062427618537</v>
      </c>
      <c r="P99" s="511">
        <v>58.311</v>
      </c>
      <c r="Q99" s="511">
        <v>637.27599999999995</v>
      </c>
      <c r="R99" s="511">
        <v>2.334207953902351</v>
      </c>
      <c r="S99" s="511">
        <v>2.4325457101789487</v>
      </c>
      <c r="T99" s="511">
        <v>0</v>
      </c>
      <c r="U99" s="511">
        <v>0.28323677653010626</v>
      </c>
      <c r="V99" s="511">
        <v>762.99823360944208</v>
      </c>
      <c r="W99" s="511">
        <v>706.97165749220017</v>
      </c>
      <c r="X99" s="511">
        <v>387.16537188523608</v>
      </c>
      <c r="Y99" s="576">
        <v>499.46647920210398</v>
      </c>
      <c r="Z99" s="511">
        <v>0</v>
      </c>
      <c r="AA99" s="576">
        <v>0</v>
      </c>
      <c r="AB99" s="513">
        <v>0.86801873281822983</v>
      </c>
      <c r="AC99" s="514">
        <v>0.74316478989019286</v>
      </c>
      <c r="AD99" s="514">
        <v>0.86801873281822983</v>
      </c>
      <c r="AE99" s="514">
        <v>0.81490154813579474</v>
      </c>
      <c r="AF99" s="511">
        <v>41.173999999999999</v>
      </c>
      <c r="AG99" s="511">
        <v>474.44599999999997</v>
      </c>
      <c r="AH99" s="511">
        <v>155.93351860453973</v>
      </c>
      <c r="AI99" s="511">
        <v>124.26163149409956</v>
      </c>
      <c r="AJ99" s="511">
        <v>1.1925001214358577</v>
      </c>
      <c r="AK99" s="511">
        <v>1.3702296994810792</v>
      </c>
      <c r="AL99" s="511">
        <v>1012.0576091708535</v>
      </c>
      <c r="AM99" s="576">
        <v>984.09719968131344</v>
      </c>
      <c r="AN99" s="587"/>
      <c r="AO99" s="587"/>
      <c r="AP99" s="513">
        <v>0.11972402054051487</v>
      </c>
      <c r="AQ99" s="514">
        <v>0.7423102480681435</v>
      </c>
      <c r="AR99" s="514">
        <v>0.17958603081077235</v>
      </c>
      <c r="AS99" s="514">
        <v>0.84768493061537864</v>
      </c>
      <c r="AT99" s="511">
        <v>6.41</v>
      </c>
      <c r="AU99" s="511">
        <v>565.26199999999994</v>
      </c>
      <c r="AV99" s="515">
        <v>284.30337641530593</v>
      </c>
      <c r="AW99" s="515">
        <v>93.994943277843248</v>
      </c>
      <c r="AX99" s="511">
        <v>4.180967238689548</v>
      </c>
      <c r="AY99" s="511">
        <v>1.6146494899710226</v>
      </c>
      <c r="AZ99" s="511">
        <v>0</v>
      </c>
      <c r="BA99" s="511">
        <v>0</v>
      </c>
      <c r="BB99" s="511">
        <v>3502.4118564742616</v>
      </c>
      <c r="BC99" s="511">
        <v>938.82302365982514</v>
      </c>
      <c r="BD99" s="511">
        <v>533.54134165365906</v>
      </c>
      <c r="BE99" s="576">
        <v>635.9521761590197</v>
      </c>
      <c r="BF99" s="511">
        <v>166.94227769110856</v>
      </c>
      <c r="BG99" s="512">
        <v>37.699332345001075</v>
      </c>
      <c r="BH99" s="513">
        <v>0.88422758623651476</v>
      </c>
      <c r="BI99" s="514">
        <v>0.80629991073063745</v>
      </c>
      <c r="BJ99" s="514">
        <v>0.88422758623651476</v>
      </c>
      <c r="BK99" s="514">
        <v>0.80629991073063745</v>
      </c>
      <c r="BL99" s="511">
        <v>52.707999999999998</v>
      </c>
      <c r="BM99" s="511">
        <v>618.53899999999999</v>
      </c>
      <c r="BN99" s="511">
        <v>2.5309250967595052</v>
      </c>
      <c r="BO99" s="511">
        <v>2.6764682582666577</v>
      </c>
      <c r="BP99" s="515">
        <v>0</v>
      </c>
      <c r="BQ99" s="515">
        <v>0</v>
      </c>
      <c r="BR99" s="515">
        <v>914.08680922654105</v>
      </c>
      <c r="BS99" s="515">
        <v>964.47532423713324</v>
      </c>
      <c r="BT99" s="515">
        <v>0</v>
      </c>
      <c r="BU99" s="516">
        <v>0</v>
      </c>
      <c r="BV99" s="513">
        <v>0.89010411687826718</v>
      </c>
      <c r="BW99" s="514">
        <v>0.84237485583429605</v>
      </c>
      <c r="BX99" s="514">
        <v>0.89010411687826718</v>
      </c>
      <c r="BY99" s="514">
        <v>0.86228556285597946</v>
      </c>
      <c r="BZ99" s="511">
        <v>48.228000000000002</v>
      </c>
      <c r="CA99" s="511">
        <v>629.44899999999996</v>
      </c>
      <c r="CB99" s="515">
        <v>101.89534424306568</v>
      </c>
      <c r="CC99" s="515">
        <v>83.606132279231829</v>
      </c>
      <c r="CD99" s="511">
        <v>2.0009123330845151</v>
      </c>
      <c r="CE99" s="511">
        <v>2.1342475720828853</v>
      </c>
      <c r="CF99" s="515">
        <v>0</v>
      </c>
      <c r="CG99" s="515">
        <v>0</v>
      </c>
      <c r="CH99" s="515">
        <v>971.04778260114199</v>
      </c>
      <c r="CI99" s="515">
        <v>885.57982842404715</v>
      </c>
      <c r="CJ99" s="515">
        <v>0</v>
      </c>
      <c r="CK99" s="515">
        <v>525.714396241793</v>
      </c>
      <c r="CL99" s="515">
        <v>0</v>
      </c>
      <c r="CM99" s="516">
        <v>0</v>
      </c>
    </row>
    <row r="100" spans="1:91">
      <c r="A100" s="558">
        <v>46068</v>
      </c>
      <c r="B100" s="513">
        <v>0.96046578365461688</v>
      </c>
      <c r="C100" s="514">
        <v>0.84639558648992963</v>
      </c>
      <c r="D100" s="514">
        <v>0.96046578365461688</v>
      </c>
      <c r="E100" s="514">
        <v>0.85036324900411453</v>
      </c>
      <c r="F100" s="511">
        <v>75.155000000000001</v>
      </c>
      <c r="G100" s="511">
        <v>982.66899999999998</v>
      </c>
      <c r="H100" s="511">
        <v>2.1253143503426251</v>
      </c>
      <c r="I100" s="511">
        <v>2.3474527027920895</v>
      </c>
      <c r="J100" s="511">
        <v>728.69642738342577</v>
      </c>
      <c r="K100" s="512">
        <v>829.22750183429196</v>
      </c>
      <c r="L100" s="513">
        <v>0.96281323908243588</v>
      </c>
      <c r="M100" s="514">
        <v>0.71309264445024589</v>
      </c>
      <c r="N100" s="514">
        <v>0.96281323908243588</v>
      </c>
      <c r="O100" s="514">
        <v>0.78738336544511811</v>
      </c>
      <c r="P100" s="511">
        <v>66.367999999999995</v>
      </c>
      <c r="Q100" s="511">
        <v>703.64400000000001</v>
      </c>
      <c r="R100" s="511">
        <v>2.0087240838958533</v>
      </c>
      <c r="S100" s="511">
        <v>2.3925706749435793</v>
      </c>
      <c r="T100" s="511">
        <v>0</v>
      </c>
      <c r="U100" s="511">
        <v>0.25652176384649056</v>
      </c>
      <c r="V100" s="511">
        <v>580.7734148987721</v>
      </c>
      <c r="W100" s="511">
        <v>695.06858581896677</v>
      </c>
      <c r="X100" s="511">
        <v>411.70443587270972</v>
      </c>
      <c r="Y100" s="576">
        <v>491.18872611718427</v>
      </c>
      <c r="Z100" s="511">
        <v>0</v>
      </c>
      <c r="AA100" s="576">
        <v>0</v>
      </c>
      <c r="AB100" s="513">
        <v>1.032746938470241</v>
      </c>
      <c r="AC100" s="514">
        <v>0.76309582203505333</v>
      </c>
      <c r="AD100" s="514">
        <v>1.032746938470241</v>
      </c>
      <c r="AE100" s="514">
        <v>0.8312339698596185</v>
      </c>
      <c r="AF100" s="511">
        <v>48.732999999999997</v>
      </c>
      <c r="AG100" s="511">
        <v>523.17899999999997</v>
      </c>
      <c r="AH100" s="511">
        <v>100.18960457736866</v>
      </c>
      <c r="AI100" s="511">
        <v>122.01937389634993</v>
      </c>
      <c r="AJ100" s="511">
        <v>0.98701085506740827</v>
      </c>
      <c r="AK100" s="511">
        <v>1.3345336873230769</v>
      </c>
      <c r="AL100" s="511">
        <v>745.59702870744673</v>
      </c>
      <c r="AM100" s="576">
        <v>961.88142108150441</v>
      </c>
      <c r="AN100" s="587"/>
      <c r="AO100" s="587"/>
      <c r="AP100" s="513">
        <v>0.83904886157200032</v>
      </c>
      <c r="AQ100" s="514">
        <v>0.74800142945203485</v>
      </c>
      <c r="AR100" s="514">
        <v>0.83904886157200032</v>
      </c>
      <c r="AS100" s="514">
        <v>0.84710954920821901</v>
      </c>
      <c r="AT100" s="511">
        <v>39.938000000000002</v>
      </c>
      <c r="AU100" s="511">
        <v>605.19999999999993</v>
      </c>
      <c r="AV100" s="515">
        <v>121.11124418671386</v>
      </c>
      <c r="AW100" s="515">
        <v>95.784386149122952</v>
      </c>
      <c r="AX100" s="511">
        <v>1.5649256347338374</v>
      </c>
      <c r="AY100" s="511">
        <v>1.6113681427627236</v>
      </c>
      <c r="AZ100" s="511">
        <v>0</v>
      </c>
      <c r="BA100" s="511">
        <v>0</v>
      </c>
      <c r="BB100" s="511">
        <v>1016.2046171565928</v>
      </c>
      <c r="BC100" s="511">
        <v>943.92954395241293</v>
      </c>
      <c r="BD100" s="511">
        <v>55.836546647302185</v>
      </c>
      <c r="BE100" s="576">
        <v>597.66952908129497</v>
      </c>
      <c r="BF100" s="511">
        <v>26.794030747659018</v>
      </c>
      <c r="BG100" s="512">
        <v>36.97967614011899</v>
      </c>
      <c r="BH100" s="513">
        <v>1.0269504211851539</v>
      </c>
      <c r="BI100" s="514">
        <v>0.82216166578776828</v>
      </c>
      <c r="BJ100" s="514">
        <v>1.0269504211851539</v>
      </c>
      <c r="BK100" s="514">
        <v>0.82216166578776828</v>
      </c>
      <c r="BL100" s="511">
        <v>61.018999999999998</v>
      </c>
      <c r="BM100" s="511">
        <v>679.55799999999999</v>
      </c>
      <c r="BN100" s="511">
        <v>2.1501499532932362</v>
      </c>
      <c r="BO100" s="511">
        <v>2.6292089858407968</v>
      </c>
      <c r="BP100" s="515">
        <v>0</v>
      </c>
      <c r="BQ100" s="515">
        <v>0</v>
      </c>
      <c r="BR100" s="515">
        <v>734.31367663727769</v>
      </c>
      <c r="BS100" s="515">
        <v>943.80860620144597</v>
      </c>
      <c r="BT100" s="515">
        <v>0</v>
      </c>
      <c r="BU100" s="516">
        <v>0</v>
      </c>
      <c r="BV100" s="513">
        <v>0.96349455376529058</v>
      </c>
      <c r="BW100" s="514">
        <v>0.85019978192155032</v>
      </c>
      <c r="BX100" s="514">
        <v>0.96349455376529058</v>
      </c>
      <c r="BY100" s="514">
        <v>0.86896850353115707</v>
      </c>
      <c r="BZ100" s="511">
        <v>49.725000000000001</v>
      </c>
      <c r="CA100" s="511">
        <v>679.17399999999998</v>
      </c>
      <c r="CB100" s="515">
        <v>74.620796979429159</v>
      </c>
      <c r="CC100" s="515">
        <v>82.948280539055247</v>
      </c>
      <c r="CD100" s="511">
        <v>1.8280542986425341</v>
      </c>
      <c r="CE100" s="511">
        <v>2.1118299581550533</v>
      </c>
      <c r="CF100" s="515">
        <v>0</v>
      </c>
      <c r="CG100" s="515">
        <v>0</v>
      </c>
      <c r="CH100" s="515">
        <v>920.83366043780813</v>
      </c>
      <c r="CI100" s="515">
        <v>888.1609001330412</v>
      </c>
      <c r="CJ100" s="515">
        <v>0</v>
      </c>
      <c r="CK100" s="515">
        <v>487.22477745025623</v>
      </c>
      <c r="CL100" s="515">
        <v>0</v>
      </c>
      <c r="CM100" s="516">
        <v>0</v>
      </c>
    </row>
    <row r="101" spans="1:91">
      <c r="A101" s="558">
        <v>46069</v>
      </c>
      <c r="B101" s="513">
        <v>0.89454488040655133</v>
      </c>
      <c r="C101" s="514">
        <v>0.8488914735599814</v>
      </c>
      <c r="D101" s="514">
        <v>0.89454488040655133</v>
      </c>
      <c r="E101" s="514">
        <v>0.85266364355755453</v>
      </c>
      <c r="F101" s="511">
        <v>56.779000000000003</v>
      </c>
      <c r="G101" s="511">
        <v>1039.4480000000001</v>
      </c>
      <c r="H101" s="511">
        <v>2.0874090772997058</v>
      </c>
      <c r="I101" s="511">
        <v>2.3332480316475666</v>
      </c>
      <c r="J101" s="511">
        <v>953.33943887703015</v>
      </c>
      <c r="K101" s="512">
        <v>836.00701526194723</v>
      </c>
      <c r="L101" s="513">
        <v>0.95610800393119844</v>
      </c>
      <c r="M101" s="514">
        <v>0.72921903034612756</v>
      </c>
      <c r="N101" s="514">
        <v>0.95610800393119844</v>
      </c>
      <c r="O101" s="514">
        <v>0.79966143211655694</v>
      </c>
      <c r="P101" s="511">
        <v>67.055999999999997</v>
      </c>
      <c r="Q101" s="511">
        <v>770.7</v>
      </c>
      <c r="R101" s="511">
        <v>2.0726109520400864</v>
      </c>
      <c r="S101" s="511">
        <v>2.3647320617620342</v>
      </c>
      <c r="T101" s="511">
        <v>0</v>
      </c>
      <c r="U101" s="511">
        <v>0.23420267289477098</v>
      </c>
      <c r="V101" s="511">
        <v>599.84177403962462</v>
      </c>
      <c r="W101" s="511">
        <v>686.78322304398876</v>
      </c>
      <c r="X101" s="511">
        <v>345.0697924123121</v>
      </c>
      <c r="Y101" s="576">
        <v>478.47541196315041</v>
      </c>
      <c r="Z101" s="511">
        <v>0</v>
      </c>
      <c r="AA101" s="576">
        <v>0</v>
      </c>
      <c r="AB101" s="513">
        <v>0.94015972834620154</v>
      </c>
      <c r="AC101" s="514">
        <v>0.77411918262179036</v>
      </c>
      <c r="AD101" s="514">
        <v>0.94015972834620154</v>
      </c>
      <c r="AE101" s="514">
        <v>0.83857997492422054</v>
      </c>
      <c r="AF101" s="511">
        <v>42.792999999999999</v>
      </c>
      <c r="AG101" s="511">
        <v>565.97199999999998</v>
      </c>
      <c r="AH101" s="511">
        <v>117.93699100020849</v>
      </c>
      <c r="AI101" s="511">
        <v>121.71070595646142</v>
      </c>
      <c r="AJ101" s="511">
        <v>1.1590680718809152</v>
      </c>
      <c r="AK101" s="511">
        <v>1.321266776448305</v>
      </c>
      <c r="AL101" s="511">
        <v>898.03612740401468</v>
      </c>
      <c r="AM101" s="576">
        <v>957.05409454884773</v>
      </c>
      <c r="AN101" s="587"/>
      <c r="AO101" s="587"/>
      <c r="AP101" s="513">
        <v>0.90328231287792793</v>
      </c>
      <c r="AQ101" s="514">
        <v>0.75697690669916062</v>
      </c>
      <c r="AR101" s="514">
        <v>0.90328231287792793</v>
      </c>
      <c r="AS101" s="514">
        <v>0.85075867727598742</v>
      </c>
      <c r="AT101" s="511">
        <v>44.835000000000001</v>
      </c>
      <c r="AU101" s="511">
        <v>650.03499999999997</v>
      </c>
      <c r="AV101" s="515">
        <v>122.48442616796132</v>
      </c>
      <c r="AW101" s="515">
        <v>97.625973593252297</v>
      </c>
      <c r="AX101" s="511">
        <v>1.3806178208988513</v>
      </c>
      <c r="AY101" s="511">
        <v>1.5954525525548626</v>
      </c>
      <c r="AZ101" s="511">
        <v>0</v>
      </c>
      <c r="BA101" s="511">
        <v>0</v>
      </c>
      <c r="BB101" s="511">
        <v>1042.0354633656734</v>
      </c>
      <c r="BC101" s="511">
        <v>950.69622404947438</v>
      </c>
      <c r="BD101" s="511">
        <v>57.767369242779083</v>
      </c>
      <c r="BE101" s="576">
        <v>560.43074449837275</v>
      </c>
      <c r="BF101" s="511">
        <v>24.090554254488161</v>
      </c>
      <c r="BG101" s="512">
        <v>36.090672040736237</v>
      </c>
      <c r="BH101" s="513">
        <v>0.91596551996633868</v>
      </c>
      <c r="BI101" s="514">
        <v>0.82828717387248918</v>
      </c>
      <c r="BJ101" s="514">
        <v>0.91596551996633868</v>
      </c>
      <c r="BK101" s="514">
        <v>0.82828717387248918</v>
      </c>
      <c r="BL101" s="511">
        <v>52.893000000000001</v>
      </c>
      <c r="BM101" s="511">
        <v>732.45100000000002</v>
      </c>
      <c r="BN101" s="511">
        <v>2.5239634734274858</v>
      </c>
      <c r="BO101" s="511">
        <v>2.6216088175181689</v>
      </c>
      <c r="BP101" s="515">
        <v>0</v>
      </c>
      <c r="BQ101" s="515">
        <v>0</v>
      </c>
      <c r="BR101" s="515">
        <v>868.26573021701597</v>
      </c>
      <c r="BS101" s="515">
        <v>938.35337528573359</v>
      </c>
      <c r="BT101" s="515">
        <v>0</v>
      </c>
      <c r="BU101" s="516">
        <v>0</v>
      </c>
      <c r="BV101" s="513">
        <v>0.87863688058774869</v>
      </c>
      <c r="BW101" s="514">
        <v>0.85187426891106088</v>
      </c>
      <c r="BX101" s="514">
        <v>0.87863688058774869</v>
      </c>
      <c r="BY101" s="514">
        <v>0.86954962770902333</v>
      </c>
      <c r="BZ101" s="511">
        <v>43.915999999999997</v>
      </c>
      <c r="CA101" s="511">
        <v>723.08999999999992</v>
      </c>
      <c r="CB101" s="515">
        <v>86.563737519071267</v>
      </c>
      <c r="CC101" s="515">
        <v>83.167860962978125</v>
      </c>
      <c r="CD101" s="511">
        <v>2.0789689407049825</v>
      </c>
      <c r="CE101" s="511">
        <v>2.1098341838498667</v>
      </c>
      <c r="CF101" s="515">
        <v>0</v>
      </c>
      <c r="CG101" s="515">
        <v>0</v>
      </c>
      <c r="CH101" s="515">
        <v>1054.1442920947165</v>
      </c>
      <c r="CI101" s="515">
        <v>898.24170147366135</v>
      </c>
      <c r="CJ101" s="515">
        <v>0</v>
      </c>
      <c r="CK101" s="515">
        <v>457.63376758079954</v>
      </c>
      <c r="CL101" s="515">
        <v>0</v>
      </c>
      <c r="CM101" s="516">
        <v>0</v>
      </c>
    </row>
    <row r="102" spans="1:91">
      <c r="A102" s="558">
        <v>46070</v>
      </c>
      <c r="B102" s="513">
        <v>0.87314561056136941</v>
      </c>
      <c r="C102" s="514">
        <v>0.85006141613254427</v>
      </c>
      <c r="D102" s="514">
        <v>0.87314561056136941</v>
      </c>
      <c r="E102" s="514">
        <v>0.85365580620932247</v>
      </c>
      <c r="F102" s="511">
        <v>54.186</v>
      </c>
      <c r="G102" s="511">
        <v>1093.634</v>
      </c>
      <c r="H102" s="511">
        <v>2.28215775292511</v>
      </c>
      <c r="I102" s="511">
        <v>2.3307166748656316</v>
      </c>
      <c r="J102" s="511">
        <v>1044.9654892407252</v>
      </c>
      <c r="K102" s="512">
        <v>846.3602265474542</v>
      </c>
      <c r="L102" s="513">
        <v>0.95137461281811364</v>
      </c>
      <c r="M102" s="514">
        <v>0.74306882440946531</v>
      </c>
      <c r="N102" s="514">
        <v>0.95137461281811364</v>
      </c>
      <c r="O102" s="514">
        <v>0.8099712251760669</v>
      </c>
      <c r="P102" s="511">
        <v>66.852999999999994</v>
      </c>
      <c r="Q102" s="511">
        <v>837.553</v>
      </c>
      <c r="R102" s="511">
        <v>2.0202982663455642</v>
      </c>
      <c r="S102" s="511">
        <v>2.3372395537954014</v>
      </c>
      <c r="T102" s="511">
        <v>0</v>
      </c>
      <c r="U102" s="511">
        <v>0.21550874989403657</v>
      </c>
      <c r="V102" s="511">
        <v>597.37558523924724</v>
      </c>
      <c r="W102" s="511">
        <v>679.64675668286259</v>
      </c>
      <c r="X102" s="511">
        <v>413.13030080923818</v>
      </c>
      <c r="Y102" s="576">
        <v>473.25960267589033</v>
      </c>
      <c r="Z102" s="511">
        <v>0</v>
      </c>
      <c r="AA102" s="576">
        <v>0</v>
      </c>
      <c r="AB102" s="513">
        <v>0.89332623323422999</v>
      </c>
      <c r="AC102" s="514">
        <v>0.78047511714546103</v>
      </c>
      <c r="AD102" s="514">
        <v>0.89332623323422999</v>
      </c>
      <c r="AE102" s="514">
        <v>0.8417280468814774</v>
      </c>
      <c r="AF102" s="511">
        <v>36.784999999999997</v>
      </c>
      <c r="AG102" s="511">
        <v>602.75699999999995</v>
      </c>
      <c r="AH102" s="511">
        <v>123.92754960474834</v>
      </c>
      <c r="AI102" s="511">
        <v>121.84599529130489</v>
      </c>
      <c r="AJ102" s="511">
        <v>1.3619681935571566</v>
      </c>
      <c r="AK102" s="511">
        <v>1.3237506988720167</v>
      </c>
      <c r="AL102" s="511">
        <v>1037.175479135527</v>
      </c>
      <c r="AM102" s="576">
        <v>961.94373520340821</v>
      </c>
      <c r="AN102" s="587"/>
      <c r="AO102" s="587"/>
      <c r="AP102" s="513">
        <v>0.92141057416063898</v>
      </c>
      <c r="AQ102" s="514">
        <v>0.76606419093006251</v>
      </c>
      <c r="AR102" s="514">
        <v>0.92141057416063898</v>
      </c>
      <c r="AS102" s="514">
        <v>0.85511708259170738</v>
      </c>
      <c r="AT102" s="511">
        <v>46.284999999999997</v>
      </c>
      <c r="AU102" s="511">
        <v>696.31999999999994</v>
      </c>
      <c r="AV102" s="515">
        <v>121.71481987318285</v>
      </c>
      <c r="AW102" s="515">
        <v>99.227180294290008</v>
      </c>
      <c r="AX102" s="511">
        <v>1.4151452954520904</v>
      </c>
      <c r="AY102" s="511">
        <v>1.5834673713235297</v>
      </c>
      <c r="AZ102" s="511">
        <v>0</v>
      </c>
      <c r="BA102" s="511">
        <v>0</v>
      </c>
      <c r="BB102" s="511">
        <v>1002.7546721400024</v>
      </c>
      <c r="BC102" s="511">
        <v>954.15659466911791</v>
      </c>
      <c r="BD102" s="511">
        <v>83.396348709085018</v>
      </c>
      <c r="BE102" s="576">
        <v>528.72185058593709</v>
      </c>
      <c r="BF102" s="511">
        <v>23.327211839689134</v>
      </c>
      <c r="BG102" s="512">
        <v>35.242273667279413</v>
      </c>
      <c r="BH102" s="513">
        <v>0.795821623477451</v>
      </c>
      <c r="BI102" s="514">
        <v>0.82623255916077964</v>
      </c>
      <c r="BJ102" s="514">
        <v>0.795821623477451</v>
      </c>
      <c r="BK102" s="514">
        <v>0.82623255916077964</v>
      </c>
      <c r="BL102" s="511">
        <v>47.545999999999999</v>
      </c>
      <c r="BM102" s="511">
        <v>779.99700000000007</v>
      </c>
      <c r="BN102" s="511">
        <v>2.6458587473183863</v>
      </c>
      <c r="BO102" s="511">
        <v>2.6230870118731224</v>
      </c>
      <c r="BP102" s="515">
        <v>0</v>
      </c>
      <c r="BQ102" s="515">
        <v>0</v>
      </c>
      <c r="BR102" s="515">
        <v>911.96245236801883</v>
      </c>
      <c r="BS102" s="515">
        <v>936.74467317400013</v>
      </c>
      <c r="BT102" s="515">
        <v>0</v>
      </c>
      <c r="BU102" s="516">
        <v>0</v>
      </c>
      <c r="BV102" s="513">
        <v>0.87425499428030595</v>
      </c>
      <c r="BW102" s="514">
        <v>0.85314179395280765</v>
      </c>
      <c r="BX102" s="514">
        <v>0.87425499428030595</v>
      </c>
      <c r="BY102" s="514">
        <v>0.86982132461055861</v>
      </c>
      <c r="BZ102" s="511">
        <v>44.551000000000002</v>
      </c>
      <c r="CA102" s="511">
        <v>767.64099999999996</v>
      </c>
      <c r="CB102" s="515">
        <v>93.146161701399862</v>
      </c>
      <c r="CC102" s="515">
        <v>83.746964054393814</v>
      </c>
      <c r="CD102" s="511">
        <v>2.0762721375502231</v>
      </c>
      <c r="CE102" s="511">
        <v>2.1078863687583129</v>
      </c>
      <c r="CF102" s="515">
        <v>0</v>
      </c>
      <c r="CG102" s="515">
        <v>0</v>
      </c>
      <c r="CH102" s="515">
        <v>982.18520885524867</v>
      </c>
      <c r="CI102" s="515">
        <v>903.11346730867672</v>
      </c>
      <c r="CJ102" s="515">
        <v>0</v>
      </c>
      <c r="CK102" s="515">
        <v>431.07442280962107</v>
      </c>
      <c r="CL102" s="515">
        <v>0</v>
      </c>
      <c r="CM102" s="516">
        <v>0</v>
      </c>
    </row>
    <row r="103" spans="1:91">
      <c r="A103" s="558">
        <v>46071</v>
      </c>
      <c r="B103" s="513">
        <v>0.87828662429820503</v>
      </c>
      <c r="C103" s="514">
        <v>0.85123218629286901</v>
      </c>
      <c r="D103" s="514">
        <v>0.87828662429820503</v>
      </c>
      <c r="E103" s="514">
        <v>0.85468162265525116</v>
      </c>
      <c r="F103" s="511">
        <v>48.898000000000003</v>
      </c>
      <c r="G103" s="511">
        <v>1142.5319999999999</v>
      </c>
      <c r="H103" s="511">
        <v>2.4601210683463535</v>
      </c>
      <c r="I103" s="511">
        <v>2.3362549145231819</v>
      </c>
      <c r="J103" s="511">
        <v>1159.9026545053207</v>
      </c>
      <c r="K103" s="512">
        <v>859.77919218017507</v>
      </c>
      <c r="L103" s="513">
        <v>0.9875466354854624</v>
      </c>
      <c r="M103" s="514">
        <v>0.75752556354683886</v>
      </c>
      <c r="N103" s="514">
        <v>0.9875466354854624</v>
      </c>
      <c r="O103" s="514">
        <v>0.82135662254744868</v>
      </c>
      <c r="P103" s="511">
        <v>69.959000000000003</v>
      </c>
      <c r="Q103" s="511">
        <v>907.51199999999994</v>
      </c>
      <c r="R103" s="511">
        <v>1.9367629611629669</v>
      </c>
      <c r="S103" s="511">
        <v>2.3063672987244246</v>
      </c>
      <c r="T103" s="511">
        <v>0</v>
      </c>
      <c r="U103" s="511">
        <v>0.19889544160297606</v>
      </c>
      <c r="V103" s="511">
        <v>562.93657713804407</v>
      </c>
      <c r="W103" s="511">
        <v>670.64971041705462</v>
      </c>
      <c r="X103" s="511">
        <v>359.29615917894768</v>
      </c>
      <c r="Y103" s="576">
        <v>464.47429896243796</v>
      </c>
      <c r="Z103" s="511">
        <v>0</v>
      </c>
      <c r="AA103" s="576">
        <v>0</v>
      </c>
      <c r="AB103" s="513">
        <v>0.91969981728458694</v>
      </c>
      <c r="AC103" s="514">
        <v>0.78752260074265912</v>
      </c>
      <c r="AD103" s="514">
        <v>0.91969981728458694</v>
      </c>
      <c r="AE103" s="514">
        <v>0.84596785314109824</v>
      </c>
      <c r="AF103" s="511">
        <v>37.871000000000002</v>
      </c>
      <c r="AG103" s="511">
        <v>640.62799999999993</v>
      </c>
      <c r="AH103" s="511">
        <v>98.314527851983129</v>
      </c>
      <c r="AI103" s="511">
        <v>120.45492246371298</v>
      </c>
      <c r="AJ103" s="511">
        <v>1.3097092762271922</v>
      </c>
      <c r="AK103" s="511">
        <v>1.3229206341277624</v>
      </c>
      <c r="AL103" s="511">
        <v>993.55496290037229</v>
      </c>
      <c r="AM103" s="576">
        <v>963.81244653683723</v>
      </c>
      <c r="AN103" s="587"/>
      <c r="AO103" s="587"/>
      <c r="AP103" s="513">
        <v>0.90116324870009756</v>
      </c>
      <c r="AQ103" s="514">
        <v>0.77276470905669525</v>
      </c>
      <c r="AR103" s="514">
        <v>0.94859289336852382</v>
      </c>
      <c r="AS103" s="514">
        <v>0.86001870132599678</v>
      </c>
      <c r="AT103" s="511">
        <v>42.746000000000002</v>
      </c>
      <c r="AU103" s="511">
        <v>739.06599999999992</v>
      </c>
      <c r="AV103" s="515">
        <v>105.11649047002848</v>
      </c>
      <c r="AW103" s="515">
        <v>99.567805424890139</v>
      </c>
      <c r="AX103" s="511">
        <v>1.4831797127216582</v>
      </c>
      <c r="AY103" s="511">
        <v>1.577666947200927</v>
      </c>
      <c r="AZ103" s="511">
        <v>0</v>
      </c>
      <c r="BA103" s="511">
        <v>0</v>
      </c>
      <c r="BB103" s="511">
        <v>980.37056098816186</v>
      </c>
      <c r="BC103" s="511">
        <v>955.67275453071863</v>
      </c>
      <c r="BD103" s="511">
        <v>35.324942684697767</v>
      </c>
      <c r="BE103" s="576">
        <v>500.18482652428867</v>
      </c>
      <c r="BF103" s="511">
        <v>25.499461937959108</v>
      </c>
      <c r="BG103" s="512">
        <v>34.67877023161666</v>
      </c>
      <c r="BH103" s="513">
        <v>0.94441215035964632</v>
      </c>
      <c r="BI103" s="514">
        <v>0.83273682475641986</v>
      </c>
      <c r="BJ103" s="514">
        <v>0.94441215035964632</v>
      </c>
      <c r="BK103" s="514">
        <v>0.83273682475641986</v>
      </c>
      <c r="BL103" s="511">
        <v>51.927</v>
      </c>
      <c r="BM103" s="511">
        <v>831.92400000000009</v>
      </c>
      <c r="BN103" s="511">
        <v>2.418780210680378</v>
      </c>
      <c r="BO103" s="511">
        <v>2.6103345978719212</v>
      </c>
      <c r="BP103" s="515">
        <v>0</v>
      </c>
      <c r="BQ103" s="515">
        <v>0</v>
      </c>
      <c r="BR103" s="515">
        <v>854.56776685204829</v>
      </c>
      <c r="BS103" s="515">
        <v>931.61535821905238</v>
      </c>
      <c r="BT103" s="515">
        <v>0</v>
      </c>
      <c r="BU103" s="516">
        <v>0</v>
      </c>
      <c r="BV103" s="513">
        <v>0.76671481372863171</v>
      </c>
      <c r="BW103" s="514">
        <v>0.8483407329835726</v>
      </c>
      <c r="BX103" s="514">
        <v>0.76671481372863171</v>
      </c>
      <c r="BY103" s="514">
        <v>0.86398806378937154</v>
      </c>
      <c r="BZ103" s="511">
        <v>40.576999999999998</v>
      </c>
      <c r="CA103" s="511">
        <v>808.21799999999996</v>
      </c>
      <c r="CB103" s="515">
        <v>90.603568871176009</v>
      </c>
      <c r="CC103" s="515">
        <v>84.091203422547665</v>
      </c>
      <c r="CD103" s="511">
        <v>2.2180052739236515</v>
      </c>
      <c r="CE103" s="511">
        <v>2.1134149449777162</v>
      </c>
      <c r="CF103" s="515">
        <v>0</v>
      </c>
      <c r="CG103" s="515">
        <v>0</v>
      </c>
      <c r="CH103" s="515">
        <v>998.4873098226301</v>
      </c>
      <c r="CI103" s="515">
        <v>907.90176008078606</v>
      </c>
      <c r="CJ103" s="515">
        <v>0</v>
      </c>
      <c r="CK103" s="515">
        <v>409.43210990104194</v>
      </c>
      <c r="CL103" s="515">
        <v>0</v>
      </c>
      <c r="CM103" s="516">
        <v>0</v>
      </c>
    </row>
    <row r="104" spans="1:91">
      <c r="A104" s="558">
        <v>46072</v>
      </c>
      <c r="B104" s="513">
        <v>1.0206118036167218</v>
      </c>
      <c r="C104" s="514">
        <v>0.85827936097115387</v>
      </c>
      <c r="D104" s="514">
        <v>1.0206118036167218</v>
      </c>
      <c r="E104" s="514">
        <v>0.86161208790120158</v>
      </c>
      <c r="F104" s="511">
        <v>59.469000000000001</v>
      </c>
      <c r="G104" s="511">
        <v>1202.001</v>
      </c>
      <c r="H104" s="511">
        <v>2.1517261094015367</v>
      </c>
      <c r="I104" s="511">
        <v>2.3271253518091917</v>
      </c>
      <c r="J104" s="511">
        <v>993.44969648055894</v>
      </c>
      <c r="K104" s="512">
        <v>866.39254043882011</v>
      </c>
      <c r="L104" s="513">
        <v>0.64041748503554063</v>
      </c>
      <c r="M104" s="514">
        <v>0.75119785245560644</v>
      </c>
      <c r="N104" s="514">
        <v>0.64041748503554063</v>
      </c>
      <c r="O104" s="514">
        <v>0.81080415727036026</v>
      </c>
      <c r="P104" s="511">
        <v>43.823</v>
      </c>
      <c r="Q104" s="511">
        <v>951.33499999999992</v>
      </c>
      <c r="R104" s="511">
        <v>2.5132692878168998</v>
      </c>
      <c r="S104" s="511">
        <v>2.3158981851818763</v>
      </c>
      <c r="T104" s="511">
        <v>0</v>
      </c>
      <c r="U104" s="511">
        <v>0.18973337467874093</v>
      </c>
      <c r="V104" s="511">
        <v>721.1553293932343</v>
      </c>
      <c r="W104" s="511">
        <v>672.97623865410367</v>
      </c>
      <c r="X104" s="511">
        <v>454.55582684891493</v>
      </c>
      <c r="Y104" s="576">
        <v>464.0174071173667</v>
      </c>
      <c r="Z104" s="511">
        <v>0</v>
      </c>
      <c r="AA104" s="576">
        <v>0</v>
      </c>
      <c r="AB104" s="513">
        <v>0.92976286359165794</v>
      </c>
      <c r="AC104" s="514">
        <v>0.79515987877783567</v>
      </c>
      <c r="AD104" s="514">
        <v>0.92976286359165794</v>
      </c>
      <c r="AE104" s="514">
        <v>0.85078176271047501</v>
      </c>
      <c r="AF104" s="511">
        <v>42.914000000000001</v>
      </c>
      <c r="AG104" s="511">
        <v>683.54199999999992</v>
      </c>
      <c r="AH104" s="511">
        <v>0</v>
      </c>
      <c r="AI104" s="511">
        <v>112.89254510781126</v>
      </c>
      <c r="AJ104" s="511">
        <v>1.183762874586382</v>
      </c>
      <c r="AK104" s="511">
        <v>1.3141840589166434</v>
      </c>
      <c r="AL104" s="511">
        <v>957.48380481894867</v>
      </c>
      <c r="AM104" s="576">
        <v>963.41512299171256</v>
      </c>
      <c r="AN104" s="587"/>
      <c r="AO104" s="587"/>
      <c r="AP104" s="513">
        <v>0.86667176969617132</v>
      </c>
      <c r="AQ104" s="514">
        <v>0.77745943264932083</v>
      </c>
      <c r="AR104" s="514">
        <v>0.86667176969617132</v>
      </c>
      <c r="AS104" s="514">
        <v>0.86038678771862687</v>
      </c>
      <c r="AT104" s="511">
        <v>43.619</v>
      </c>
      <c r="AU104" s="511">
        <v>782.68499999999995</v>
      </c>
      <c r="AV104" s="515">
        <v>0</v>
      </c>
      <c r="AW104" s="515">
        <v>94.01889608738108</v>
      </c>
      <c r="AX104" s="511">
        <v>1.4947614571631629</v>
      </c>
      <c r="AY104" s="511">
        <v>1.5730466279537749</v>
      </c>
      <c r="AZ104" s="511">
        <v>0</v>
      </c>
      <c r="BA104" s="511">
        <v>0</v>
      </c>
      <c r="BB104" s="511">
        <v>1086.4407712235491</v>
      </c>
      <c r="BC104" s="511">
        <v>962.96045024498994</v>
      </c>
      <c r="BD104" s="511">
        <v>61.670373002587489</v>
      </c>
      <c r="BE104" s="576">
        <v>475.74643566696648</v>
      </c>
      <c r="BF104" s="511">
        <v>5.9607051972764156</v>
      </c>
      <c r="BG104" s="512">
        <v>33.078313753297934</v>
      </c>
      <c r="BH104" s="513">
        <v>0.76974534395405692</v>
      </c>
      <c r="BI104" s="514">
        <v>0.82972821939012087</v>
      </c>
      <c r="BJ104" s="514">
        <v>0.76974534395405692</v>
      </c>
      <c r="BK104" s="514">
        <v>0.82972821939012087</v>
      </c>
      <c r="BL104" s="511">
        <v>38.570999999999998</v>
      </c>
      <c r="BM104" s="511">
        <v>870.49500000000012</v>
      </c>
      <c r="BN104" s="511">
        <v>3.0826268440019708</v>
      </c>
      <c r="BO104" s="511">
        <v>2.6312615236158741</v>
      </c>
      <c r="BP104" s="515">
        <v>0</v>
      </c>
      <c r="BQ104" s="515">
        <v>0</v>
      </c>
      <c r="BR104" s="515">
        <v>1313.1621218166463</v>
      </c>
      <c r="BS104" s="515">
        <v>948.52141766651948</v>
      </c>
      <c r="BT104" s="515">
        <v>0</v>
      </c>
      <c r="BU104" s="516">
        <v>0</v>
      </c>
      <c r="BV104" s="513">
        <v>0.89878447460656763</v>
      </c>
      <c r="BW104" s="514">
        <v>0.85102721684171878</v>
      </c>
      <c r="BX104" s="514">
        <v>0.89878447460656763</v>
      </c>
      <c r="BY104" s="514">
        <v>0.86587354589169874</v>
      </c>
      <c r="BZ104" s="511">
        <v>48.167999999999999</v>
      </c>
      <c r="CA104" s="511">
        <v>856.38599999999997</v>
      </c>
      <c r="CB104" s="515">
        <v>0</v>
      </c>
      <c r="CC104" s="515">
        <v>79.361437771944694</v>
      </c>
      <c r="CD104" s="511">
        <v>1.9348945357913969</v>
      </c>
      <c r="CE104" s="511">
        <v>2.103373945860862</v>
      </c>
      <c r="CF104" s="515">
        <v>0</v>
      </c>
      <c r="CG104" s="515">
        <v>0</v>
      </c>
      <c r="CH104" s="515">
        <v>991.28890133305208</v>
      </c>
      <c r="CI104" s="515">
        <v>912.59192528647498</v>
      </c>
      <c r="CJ104" s="515">
        <v>0</v>
      </c>
      <c r="CK104" s="515">
        <v>386.40332863918877</v>
      </c>
      <c r="CL104" s="515">
        <v>0</v>
      </c>
      <c r="CM104" s="516">
        <v>0</v>
      </c>
    </row>
    <row r="105" spans="1:91">
      <c r="A105" s="558">
        <v>46073</v>
      </c>
      <c r="B105" s="513">
        <v>0.90813899761564321</v>
      </c>
      <c r="C105" s="514">
        <v>0.86042505262097424</v>
      </c>
      <c r="D105" s="514">
        <v>0.90813899761564321</v>
      </c>
      <c r="E105" s="514">
        <v>0.86362179588215005</v>
      </c>
      <c r="F105" s="511">
        <v>57.194000000000003</v>
      </c>
      <c r="G105" s="511">
        <v>1259.1949999999999</v>
      </c>
      <c r="H105" s="511">
        <v>2.3413644787914816</v>
      </c>
      <c r="I105" s="511">
        <v>2.3277721083708243</v>
      </c>
      <c r="J105" s="511">
        <v>1071.4197293421905</v>
      </c>
      <c r="K105" s="512">
        <v>875.70509730422975</v>
      </c>
      <c r="L105" s="513">
        <v>0.33086607713904559</v>
      </c>
      <c r="M105" s="514">
        <v>0.73039550138329912</v>
      </c>
      <c r="N105" s="514">
        <v>0.33086607713904559</v>
      </c>
      <c r="O105" s="514">
        <v>0.78526744900576384</v>
      </c>
      <c r="P105" s="511">
        <v>21.817</v>
      </c>
      <c r="Q105" s="511">
        <v>973.15199999999993</v>
      </c>
      <c r="R105" s="511">
        <v>5.8212861529999538</v>
      </c>
      <c r="S105" s="511">
        <v>2.3944851369570226</v>
      </c>
      <c r="T105" s="511">
        <v>0</v>
      </c>
      <c r="U105" s="511">
        <v>0.18547976061293611</v>
      </c>
      <c r="V105" s="511">
        <v>1515.8990695328412</v>
      </c>
      <c r="W105" s="511">
        <v>691.87364358291393</v>
      </c>
      <c r="X105" s="511">
        <v>891.27744419489386</v>
      </c>
      <c r="Y105" s="576">
        <v>473.59610831606989</v>
      </c>
      <c r="Z105" s="511">
        <v>0</v>
      </c>
      <c r="AA105" s="576">
        <v>0</v>
      </c>
      <c r="AB105" s="513">
        <v>0.86052814508655673</v>
      </c>
      <c r="AC105" s="514">
        <v>0.79829791325923749</v>
      </c>
      <c r="AD105" s="514">
        <v>0.86052814508655673</v>
      </c>
      <c r="AE105" s="514">
        <v>0.8512806954253318</v>
      </c>
      <c r="AF105" s="511">
        <v>37.302</v>
      </c>
      <c r="AG105" s="511">
        <v>720.84399999999994</v>
      </c>
      <c r="AH105" s="511">
        <v>106.64952259949145</v>
      </c>
      <c r="AI105" s="511">
        <v>112.56948321702025</v>
      </c>
      <c r="AJ105" s="511">
        <v>1.3779422014905367</v>
      </c>
      <c r="AK105" s="511">
        <v>1.3174833944653768</v>
      </c>
      <c r="AL105" s="511">
        <v>1030.2069594123541</v>
      </c>
      <c r="AM105" s="576">
        <v>966.87144513931025</v>
      </c>
      <c r="AN105" s="587"/>
      <c r="AO105" s="587"/>
      <c r="AP105" s="513">
        <v>0.99831980336529591</v>
      </c>
      <c r="AQ105" s="514">
        <v>0.78751504535143813</v>
      </c>
      <c r="AR105" s="514">
        <v>0.99831980336529591</v>
      </c>
      <c r="AS105" s="514">
        <v>0.86730304248728851</v>
      </c>
      <c r="AT105" s="511">
        <v>47.941000000000003</v>
      </c>
      <c r="AU105" s="511">
        <v>830.62599999999998</v>
      </c>
      <c r="AV105" s="515">
        <v>95.016094739132257</v>
      </c>
      <c r="AW105" s="515">
        <v>94.076451112824046</v>
      </c>
      <c r="AX105" s="511">
        <v>1.3203729584280677</v>
      </c>
      <c r="AY105" s="511">
        <v>1.5584631350330957</v>
      </c>
      <c r="AZ105" s="511">
        <v>0</v>
      </c>
      <c r="BA105" s="511">
        <v>0</v>
      </c>
      <c r="BB105" s="511">
        <v>976.17446444588109</v>
      </c>
      <c r="BC105" s="511">
        <v>963.72311967118776</v>
      </c>
      <c r="BD105" s="511">
        <v>107.63229803300175</v>
      </c>
      <c r="BE105" s="576">
        <v>454.50009872072366</v>
      </c>
      <c r="BF105" s="511">
        <v>0</v>
      </c>
      <c r="BG105" s="512">
        <v>31.169142309535211</v>
      </c>
      <c r="BH105" s="513">
        <v>0.93241338961597076</v>
      </c>
      <c r="BI105" s="514">
        <v>0.83452866899588407</v>
      </c>
      <c r="BJ105" s="514">
        <v>0.93241338961597076</v>
      </c>
      <c r="BK105" s="514">
        <v>0.83452866899588407</v>
      </c>
      <c r="BL105" s="511">
        <v>47.973999999999997</v>
      </c>
      <c r="BM105" s="511">
        <v>918.46900000000016</v>
      </c>
      <c r="BN105" s="511">
        <v>2.4138074790511528</v>
      </c>
      <c r="BO105" s="511">
        <v>2.6199033391437276</v>
      </c>
      <c r="BP105" s="515">
        <v>0</v>
      </c>
      <c r="BQ105" s="515">
        <v>0</v>
      </c>
      <c r="BR105" s="515">
        <v>962.72384792743185</v>
      </c>
      <c r="BS105" s="515">
        <v>949.26324715596002</v>
      </c>
      <c r="BT105" s="515">
        <v>43.267186392629341</v>
      </c>
      <c r="BU105" s="516">
        <v>2.2599565145911287</v>
      </c>
      <c r="BV105" s="513">
        <v>1.0646195507718605</v>
      </c>
      <c r="BW105" s="514">
        <v>0.86086424014334206</v>
      </c>
      <c r="BX105" s="514">
        <v>1.0646195507718605</v>
      </c>
      <c r="BY105" s="514">
        <v>0.87517902371219725</v>
      </c>
      <c r="BZ105" s="511">
        <v>51.722000000000001</v>
      </c>
      <c r="CA105" s="511">
        <v>908.10799999999995</v>
      </c>
      <c r="CB105" s="515">
        <v>68.647633697556742</v>
      </c>
      <c r="CC105" s="515">
        <v>78.751224697799884</v>
      </c>
      <c r="CD105" s="511">
        <v>1.6588685665674181</v>
      </c>
      <c r="CE105" s="511">
        <v>2.0780567950067614</v>
      </c>
      <c r="CF105" s="515">
        <v>0</v>
      </c>
      <c r="CG105" s="515">
        <v>0</v>
      </c>
      <c r="CH105" s="515">
        <v>849.94056918779722</v>
      </c>
      <c r="CI105" s="515">
        <v>909.02356839485435</v>
      </c>
      <c r="CJ105" s="515">
        <v>0</v>
      </c>
      <c r="CK105" s="515">
        <v>364.3954254339796</v>
      </c>
      <c r="CL105" s="515">
        <v>38.558060399829863</v>
      </c>
      <c r="CM105" s="516">
        <v>2.1961044281076698</v>
      </c>
    </row>
    <row r="106" spans="1:91">
      <c r="A106" s="558">
        <v>46074</v>
      </c>
      <c r="B106" s="513">
        <v>0.85498107688067759</v>
      </c>
      <c r="C106" s="514">
        <v>0.86020651780714186</v>
      </c>
      <c r="D106" s="514">
        <v>0.85498107688067759</v>
      </c>
      <c r="E106" s="514">
        <v>0.86327369901560402</v>
      </c>
      <c r="F106" s="511">
        <v>52.328000000000003</v>
      </c>
      <c r="G106" s="511">
        <v>1311.5229999999999</v>
      </c>
      <c r="H106" s="511">
        <v>2.3751719920501451</v>
      </c>
      <c r="I106" s="511">
        <v>2.3296632998430069</v>
      </c>
      <c r="J106" s="511">
        <v>1085.4223360342671</v>
      </c>
      <c r="K106" s="512">
        <v>884.07253246797859</v>
      </c>
      <c r="L106" s="513">
        <v>0.87249810393785698</v>
      </c>
      <c r="M106" s="514">
        <v>0.73658425425102303</v>
      </c>
      <c r="N106" s="514">
        <v>0.87249810393785698</v>
      </c>
      <c r="O106" s="514">
        <v>0.78933854291647365</v>
      </c>
      <c r="P106" s="511">
        <v>52.933</v>
      </c>
      <c r="Q106" s="511">
        <v>1026.085</v>
      </c>
      <c r="R106" s="511">
        <v>2.5330701074943796</v>
      </c>
      <c r="S106" s="511">
        <v>2.4016343675231586</v>
      </c>
      <c r="T106" s="511">
        <v>0</v>
      </c>
      <c r="U106" s="511">
        <v>0.17591135237334138</v>
      </c>
      <c r="V106" s="511">
        <v>683.7146959364236</v>
      </c>
      <c r="W106" s="511">
        <v>691.45274514294863</v>
      </c>
      <c r="X106" s="511">
        <v>365.19751383824831</v>
      </c>
      <c r="Y106" s="576">
        <v>468.00411271970643</v>
      </c>
      <c r="Z106" s="511">
        <v>0</v>
      </c>
      <c r="AA106" s="576">
        <v>0</v>
      </c>
      <c r="AB106" s="513">
        <v>0.92559973572551879</v>
      </c>
      <c r="AC106" s="514">
        <v>0.80418298878543726</v>
      </c>
      <c r="AD106" s="514">
        <v>0.92559973572551879</v>
      </c>
      <c r="AE106" s="514">
        <v>0.85493323416086109</v>
      </c>
      <c r="AF106" s="511">
        <v>40.511000000000003</v>
      </c>
      <c r="AG106" s="511">
        <v>761.3549999999999</v>
      </c>
      <c r="AH106" s="511">
        <v>126.84077831439714</v>
      </c>
      <c r="AI106" s="511">
        <v>113.32884571636659</v>
      </c>
      <c r="AJ106" s="511">
        <v>1.3650613413640738</v>
      </c>
      <c r="AK106" s="511">
        <v>1.3200149733041751</v>
      </c>
      <c r="AL106" s="511">
        <v>977.70926415047779</v>
      </c>
      <c r="AM106" s="576">
        <v>967.44811553086402</v>
      </c>
      <c r="AN106" s="587"/>
      <c r="AO106" s="587"/>
      <c r="AP106" s="513">
        <v>0.71040427884980673</v>
      </c>
      <c r="AQ106" s="514">
        <v>0.78426128908514137</v>
      </c>
      <c r="AR106" s="514">
        <v>0.71040427884980673</v>
      </c>
      <c r="AS106" s="514">
        <v>0.86004283848968999</v>
      </c>
      <c r="AT106" s="511">
        <v>33.01</v>
      </c>
      <c r="AU106" s="511">
        <v>863.63599999999997</v>
      </c>
      <c r="AV106" s="515">
        <v>154.64984255744264</v>
      </c>
      <c r="AW106" s="515">
        <v>96.3916946316061</v>
      </c>
      <c r="AX106" s="511">
        <v>1.9206301120872464</v>
      </c>
      <c r="AY106" s="511">
        <v>1.5723059251814426</v>
      </c>
      <c r="AZ106" s="511">
        <v>0</v>
      </c>
      <c r="BA106" s="511">
        <v>0</v>
      </c>
      <c r="BB106" s="511">
        <v>1268.039382005453</v>
      </c>
      <c r="BC106" s="511">
        <v>975.35473278094014</v>
      </c>
      <c r="BD106" s="511">
        <v>227.80975461980944</v>
      </c>
      <c r="BE106" s="576">
        <v>445.83551287811036</v>
      </c>
      <c r="BF106" s="511">
        <v>0</v>
      </c>
      <c r="BG106" s="512">
        <v>29.977791569596445</v>
      </c>
      <c r="BH106" s="513">
        <v>0.96770479024943312</v>
      </c>
      <c r="BI106" s="514">
        <v>0.84047970929853066</v>
      </c>
      <c r="BJ106" s="514">
        <v>0.96770479024943312</v>
      </c>
      <c r="BK106" s="514">
        <v>0.84047970929853066</v>
      </c>
      <c r="BL106" s="511">
        <v>49.817999999999998</v>
      </c>
      <c r="BM106" s="511">
        <v>968.28700000000015</v>
      </c>
      <c r="BN106" s="511">
        <v>2.2762856798747442</v>
      </c>
      <c r="BO106" s="511">
        <v>2.6022243405106136</v>
      </c>
      <c r="BP106" s="515">
        <v>0</v>
      </c>
      <c r="BQ106" s="515">
        <v>0</v>
      </c>
      <c r="BR106" s="515">
        <v>983.12787835636743</v>
      </c>
      <c r="BS106" s="515">
        <v>951.00556962558107</v>
      </c>
      <c r="BT106" s="515">
        <v>46.81440443213296</v>
      </c>
      <c r="BU106" s="516">
        <v>4.5522660120398184</v>
      </c>
      <c r="BV106" s="513">
        <v>1.0038511245541755</v>
      </c>
      <c r="BW106" s="514">
        <v>0.86780869421321249</v>
      </c>
      <c r="BX106" s="514">
        <v>1.0038511245541755</v>
      </c>
      <c r="BY106" s="514">
        <v>0.88152703863887383</v>
      </c>
      <c r="BZ106" s="511">
        <v>54.055</v>
      </c>
      <c r="CA106" s="511">
        <v>962.1629999999999</v>
      </c>
      <c r="CB106" s="515">
        <v>78.504521818227289</v>
      </c>
      <c r="CC106" s="515">
        <v>78.737364754988434</v>
      </c>
      <c r="CD106" s="511">
        <v>1.6982702802700953</v>
      </c>
      <c r="CE106" s="511">
        <v>2.0567201191482107</v>
      </c>
      <c r="CF106" s="515">
        <v>0</v>
      </c>
      <c r="CG106" s="515">
        <v>0</v>
      </c>
      <c r="CH106" s="515">
        <v>837.04514579668592</v>
      </c>
      <c r="CI106" s="515">
        <v>904.97976954419812</v>
      </c>
      <c r="CJ106" s="515">
        <v>0</v>
      </c>
      <c r="CK106" s="515">
        <v>343.9234318925175</v>
      </c>
      <c r="CL106" s="515">
        <v>50.648413652761079</v>
      </c>
      <c r="CM106" s="516">
        <v>4.9181895375315836</v>
      </c>
    </row>
    <row r="107" spans="1:91">
      <c r="A107" s="558">
        <v>46075</v>
      </c>
      <c r="B107" s="513">
        <v>0.88069426405554119</v>
      </c>
      <c r="C107" s="514">
        <v>0.86097217430848605</v>
      </c>
      <c r="D107" s="514">
        <v>0.93232771875502296</v>
      </c>
      <c r="E107" s="514">
        <v>0.86572488412283777</v>
      </c>
      <c r="F107" s="511">
        <v>52.128999999999998</v>
      </c>
      <c r="G107" s="511">
        <v>1363.6519999999998</v>
      </c>
      <c r="H107" s="511">
        <v>2.1022463503999695</v>
      </c>
      <c r="I107" s="511">
        <v>2.3209697195472159</v>
      </c>
      <c r="J107" s="511">
        <v>944.66688407603908</v>
      </c>
      <c r="K107" s="512">
        <v>886.38890274058235</v>
      </c>
      <c r="L107" s="513">
        <v>0.96347058135906349</v>
      </c>
      <c r="M107" s="514">
        <v>0.74681288137949964</v>
      </c>
      <c r="N107" s="514">
        <v>0.96347058135906349</v>
      </c>
      <c r="O107" s="514">
        <v>0.79772403559230176</v>
      </c>
      <c r="P107" s="511">
        <v>63.363999999999997</v>
      </c>
      <c r="Q107" s="511">
        <v>1089.4490000000001</v>
      </c>
      <c r="R107" s="511">
        <v>1.7963828041159018</v>
      </c>
      <c r="S107" s="511">
        <v>2.3664320220588575</v>
      </c>
      <c r="T107" s="511">
        <v>0</v>
      </c>
      <c r="U107" s="511">
        <v>0.16568008231684089</v>
      </c>
      <c r="V107" s="511">
        <v>470.15197904173027</v>
      </c>
      <c r="W107" s="511">
        <v>678.581558200524</v>
      </c>
      <c r="X107" s="511">
        <v>424.56284325484501</v>
      </c>
      <c r="Y107" s="576">
        <v>465.47750284776987</v>
      </c>
      <c r="Z107" s="511">
        <v>0</v>
      </c>
      <c r="AA107" s="576">
        <v>0</v>
      </c>
      <c r="AB107" s="513">
        <v>0.89503430112711702</v>
      </c>
      <c r="AC107" s="514">
        <v>0.80820139183717576</v>
      </c>
      <c r="AD107" s="514">
        <v>0.89503430112711702</v>
      </c>
      <c r="AE107" s="514">
        <v>0.85681361137986778</v>
      </c>
      <c r="AF107" s="511">
        <v>39.213999999999999</v>
      </c>
      <c r="AG107" s="511">
        <v>800.56899999999996</v>
      </c>
      <c r="AH107" s="511">
        <v>125.94185103102309</v>
      </c>
      <c r="AI107" s="511">
        <v>113.94666428092373</v>
      </c>
      <c r="AJ107" s="511">
        <v>1.417860968021625</v>
      </c>
      <c r="AK107" s="511">
        <v>1.3248077305016805</v>
      </c>
      <c r="AL107" s="511">
        <v>1023.7297903809585</v>
      </c>
      <c r="AM107" s="576">
        <v>970.20494173519046</v>
      </c>
      <c r="AN107" s="587"/>
      <c r="AO107" s="587"/>
      <c r="AP107" s="513">
        <v>0.91551242841054048</v>
      </c>
      <c r="AQ107" s="514">
        <v>0.78961609558492551</v>
      </c>
      <c r="AR107" s="514">
        <v>0.91551242841054048</v>
      </c>
      <c r="AS107" s="514">
        <v>0.86251482576891736</v>
      </c>
      <c r="AT107" s="511">
        <v>42.881</v>
      </c>
      <c r="AU107" s="511">
        <v>906.51699999999994</v>
      </c>
      <c r="AV107" s="515">
        <v>121.81970468676967</v>
      </c>
      <c r="AW107" s="515">
        <v>97.594516530340996</v>
      </c>
      <c r="AX107" s="511">
        <v>1.4878384366036239</v>
      </c>
      <c r="AY107" s="511">
        <v>1.5683103571140975</v>
      </c>
      <c r="AZ107" s="511">
        <v>0</v>
      </c>
      <c r="BA107" s="511">
        <v>0</v>
      </c>
      <c r="BB107" s="511">
        <v>1056.0513980550836</v>
      </c>
      <c r="BC107" s="511">
        <v>979.17192948394802</v>
      </c>
      <c r="BD107" s="511">
        <v>143.65336629276371</v>
      </c>
      <c r="BE107" s="576">
        <v>431.54138201489849</v>
      </c>
      <c r="BF107" s="511">
        <v>0</v>
      </c>
      <c r="BG107" s="512">
        <v>28.559751223639488</v>
      </c>
      <c r="BH107" s="513">
        <v>0.96907912350739023</v>
      </c>
      <c r="BI107" s="514">
        <v>0.8462549991290983</v>
      </c>
      <c r="BJ107" s="514">
        <v>0.96907912350739023</v>
      </c>
      <c r="BK107" s="514">
        <v>0.8462549991290983</v>
      </c>
      <c r="BL107" s="511">
        <v>52.496000000000002</v>
      </c>
      <c r="BM107" s="511">
        <v>1020.7830000000001</v>
      </c>
      <c r="BN107" s="511">
        <v>2.1963578177384941</v>
      </c>
      <c r="BO107" s="511">
        <v>2.581351766242189</v>
      </c>
      <c r="BP107" s="515">
        <v>0</v>
      </c>
      <c r="BQ107" s="515">
        <v>0</v>
      </c>
      <c r="BR107" s="515">
        <v>883.43258794609699</v>
      </c>
      <c r="BS107" s="515">
        <v>947.53048114326293</v>
      </c>
      <c r="BT107" s="515">
        <v>46.174946662602864</v>
      </c>
      <c r="BU107" s="516">
        <v>6.6928034655749542</v>
      </c>
      <c r="BV107" s="513">
        <v>0.85255095729885511</v>
      </c>
      <c r="BW107" s="514">
        <v>0.86706402253174752</v>
      </c>
      <c r="BX107" s="514">
        <v>0.85255095729885511</v>
      </c>
      <c r="BY107" s="514">
        <v>0.88009157872910837</v>
      </c>
      <c r="BZ107" s="511">
        <v>48.500999999999998</v>
      </c>
      <c r="CA107" s="511">
        <v>1010.6639999999999</v>
      </c>
      <c r="CB107" s="515">
        <v>84.793416568649889</v>
      </c>
      <c r="CC107" s="515">
        <v>79.027990095372971</v>
      </c>
      <c r="CD107" s="511">
        <v>1.981402445310406</v>
      </c>
      <c r="CE107" s="511">
        <v>2.0531056810176285</v>
      </c>
      <c r="CF107" s="515">
        <v>0</v>
      </c>
      <c r="CG107" s="515">
        <v>0</v>
      </c>
      <c r="CH107" s="515">
        <v>901.36168044333976</v>
      </c>
      <c r="CI107" s="515">
        <v>904.80614018817005</v>
      </c>
      <c r="CJ107" s="515">
        <v>0</v>
      </c>
      <c r="CK107" s="515">
        <v>327.41880684381783</v>
      </c>
      <c r="CL107" s="515">
        <v>54.143213541988821</v>
      </c>
      <c r="CM107" s="516">
        <v>7.280461162166656</v>
      </c>
    </row>
    <row r="108" spans="1:91">
      <c r="A108" s="558">
        <v>46076</v>
      </c>
      <c r="B108" s="513">
        <v>0</v>
      </c>
      <c r="C108" s="514">
        <v>0.83004937460472084</v>
      </c>
      <c r="D108" s="514" t="e">
        <v>#DIV/0!</v>
      </c>
      <c r="E108" s="514">
        <v>0.86572488412283777</v>
      </c>
      <c r="F108" s="511">
        <v>0</v>
      </c>
      <c r="G108" s="511">
        <v>1363.6519999999998</v>
      </c>
      <c r="H108" s="511">
        <v>0</v>
      </c>
      <c r="I108" s="511">
        <v>2.3210122523928396</v>
      </c>
      <c r="J108" s="511">
        <v>0</v>
      </c>
      <c r="K108" s="512">
        <v>889.71651125067103</v>
      </c>
      <c r="L108" s="513">
        <v>0.95208482077190359</v>
      </c>
      <c r="M108" s="514">
        <v>0.75775848693588832</v>
      </c>
      <c r="N108" s="514">
        <v>0.95208482077190359</v>
      </c>
      <c r="O108" s="514">
        <v>0.80648419968138474</v>
      </c>
      <c r="P108" s="511">
        <v>78.230999999999995</v>
      </c>
      <c r="Q108" s="511">
        <v>1167.68</v>
      </c>
      <c r="R108" s="511">
        <v>1.753933862535312</v>
      </c>
      <c r="S108" s="511">
        <v>2.3253965127432177</v>
      </c>
      <c r="T108" s="511">
        <v>0</v>
      </c>
      <c r="U108" s="511">
        <v>0.15458002192381473</v>
      </c>
      <c r="V108" s="511">
        <v>412.73599979545696</v>
      </c>
      <c r="W108" s="511">
        <v>660.77071629213572</v>
      </c>
      <c r="X108" s="511">
        <v>386.86709872045611</v>
      </c>
      <c r="Y108" s="576">
        <v>460.21084543710606</v>
      </c>
      <c r="Z108" s="511">
        <v>0</v>
      </c>
      <c r="AA108" s="576">
        <v>0</v>
      </c>
      <c r="AB108" s="513">
        <v>0.89460982842505332</v>
      </c>
      <c r="AC108" s="514">
        <v>0.8118064215274664</v>
      </c>
      <c r="AD108" s="514">
        <v>0.89460982842505332</v>
      </c>
      <c r="AE108" s="514">
        <v>0.85848116313045664</v>
      </c>
      <c r="AF108" s="511">
        <v>38.581000000000003</v>
      </c>
      <c r="AG108" s="511">
        <v>839.15</v>
      </c>
      <c r="AH108" s="511">
        <v>129.96249209297207</v>
      </c>
      <c r="AI108" s="511">
        <v>114.68301255336208</v>
      </c>
      <c r="AJ108" s="511">
        <v>1.360773437702496</v>
      </c>
      <c r="AK108" s="511">
        <v>1.3264613001251266</v>
      </c>
      <c r="AL108" s="511">
        <v>922.41517845572582</v>
      </c>
      <c r="AM108" s="576">
        <v>968.00774593338485</v>
      </c>
      <c r="AN108" s="587"/>
      <c r="AO108" s="587"/>
      <c r="AP108" s="513">
        <v>0.83901005895924707</v>
      </c>
      <c r="AQ108" s="514">
        <v>0.79154003336243983</v>
      </c>
      <c r="AR108" s="514">
        <v>0.83901005895924707</v>
      </c>
      <c r="AS108" s="514">
        <v>0.86151835458670867</v>
      </c>
      <c r="AT108" s="511">
        <v>39.039000000000001</v>
      </c>
      <c r="AU108" s="511">
        <v>945.55599999999993</v>
      </c>
      <c r="AV108" s="515">
        <v>134.9202639990217</v>
      </c>
      <c r="AW108" s="515">
        <v>99.135577932764363</v>
      </c>
      <c r="AX108" s="511">
        <v>1.5830323522631213</v>
      </c>
      <c r="AY108" s="511">
        <v>1.5689181814720654</v>
      </c>
      <c r="AZ108" s="511">
        <v>0</v>
      </c>
      <c r="BA108" s="511">
        <v>0</v>
      </c>
      <c r="BB108" s="511">
        <v>1109.3445016521953</v>
      </c>
      <c r="BC108" s="511">
        <v>984.5463409887941</v>
      </c>
      <c r="BD108" s="511">
        <v>436.99889853736119</v>
      </c>
      <c r="BE108" s="576">
        <v>431.76670551506186</v>
      </c>
      <c r="BF108" s="511">
        <v>0</v>
      </c>
      <c r="BG108" s="512">
        <v>27.380609926857847</v>
      </c>
      <c r="BH108" s="513">
        <v>0.64087828055665952</v>
      </c>
      <c r="BI108" s="514">
        <v>0.83772225320479787</v>
      </c>
      <c r="BJ108" s="514">
        <v>0.64087828055665952</v>
      </c>
      <c r="BK108" s="514">
        <v>0.83772225320479787</v>
      </c>
      <c r="BL108" s="511">
        <v>33.51</v>
      </c>
      <c r="BM108" s="511">
        <v>1054.2930000000001</v>
      </c>
      <c r="BN108" s="511">
        <v>2.7752909579230081</v>
      </c>
      <c r="BO108" s="511">
        <v>2.5875159941306642</v>
      </c>
      <c r="BP108" s="515">
        <v>0</v>
      </c>
      <c r="BQ108" s="515">
        <v>0</v>
      </c>
      <c r="BR108" s="515">
        <v>1128.2545351324884</v>
      </c>
      <c r="BS108" s="515">
        <v>953.27467469209489</v>
      </c>
      <c r="BT108" s="515">
        <v>45.147717099373324</v>
      </c>
      <c r="BU108" s="516">
        <v>7.9150672536002773</v>
      </c>
      <c r="BV108" s="513">
        <v>1.089043140713928</v>
      </c>
      <c r="BW108" s="514">
        <v>0.87625811895221506</v>
      </c>
      <c r="BX108" s="514">
        <v>1.089043140713928</v>
      </c>
      <c r="BY108" s="514">
        <v>0.88887066001894477</v>
      </c>
      <c r="BZ108" s="511">
        <v>54.848999999999997</v>
      </c>
      <c r="CA108" s="511">
        <v>1065.5129999999999</v>
      </c>
      <c r="CB108" s="515">
        <v>70.735380887586587</v>
      </c>
      <c r="CC108" s="515">
        <v>78.60111466312776</v>
      </c>
      <c r="CD108" s="511">
        <v>1.6663931885722623</v>
      </c>
      <c r="CE108" s="511">
        <v>2.0331990318278614</v>
      </c>
      <c r="CF108" s="515">
        <v>0</v>
      </c>
      <c r="CG108" s="515">
        <v>0</v>
      </c>
      <c r="CH108" s="515">
        <v>798.83481062025305</v>
      </c>
      <c r="CI108" s="515">
        <v>899.35109510146458</v>
      </c>
      <c r="CJ108" s="515">
        <v>0</v>
      </c>
      <c r="CK108" s="515">
        <v>310.56439574176977</v>
      </c>
      <c r="CL108" s="515">
        <v>39.69261062188918</v>
      </c>
      <c r="CM108" s="516">
        <v>8.9489288258331907</v>
      </c>
    </row>
    <row r="109" spans="1:91">
      <c r="A109" s="558">
        <v>46077</v>
      </c>
      <c r="B109" s="513">
        <v>0</v>
      </c>
      <c r="C109" s="514">
        <v>0.8012708173720563</v>
      </c>
      <c r="D109" s="514" t="e">
        <v>#DIV/0!</v>
      </c>
      <c r="E109" s="514">
        <v>0.86572488412283777</v>
      </c>
      <c r="F109" s="511">
        <v>0</v>
      </c>
      <c r="G109" s="511">
        <v>1363.6519999999998</v>
      </c>
      <c r="H109" s="511">
        <v>0</v>
      </c>
      <c r="I109" s="511">
        <v>2.3210327854907264</v>
      </c>
      <c r="J109" s="511">
        <v>0</v>
      </c>
      <c r="K109" s="512">
        <v>891.03397347710415</v>
      </c>
      <c r="L109" s="513">
        <v>0.93496468379430031</v>
      </c>
      <c r="M109" s="514">
        <v>0.7672327450671097</v>
      </c>
      <c r="N109" s="514">
        <v>0.93496468379430031</v>
      </c>
      <c r="O109" s="514">
        <v>0.81377001275425831</v>
      </c>
      <c r="P109" s="511">
        <v>81.38</v>
      </c>
      <c r="Q109" s="511">
        <v>1249.06</v>
      </c>
      <c r="R109" s="511">
        <v>1.7725116736298845</v>
      </c>
      <c r="S109" s="511">
        <v>2.2893744095559865</v>
      </c>
      <c r="T109" s="511">
        <v>0</v>
      </c>
      <c r="U109" s="511">
        <v>0.14450867052023122</v>
      </c>
      <c r="V109" s="511">
        <v>399.90956008846837</v>
      </c>
      <c r="W109" s="511">
        <v>643.77483067266633</v>
      </c>
      <c r="X109" s="511">
        <v>359.99016957483411</v>
      </c>
      <c r="Y109" s="576">
        <v>453.68116823851534</v>
      </c>
      <c r="Z109" s="511">
        <v>0</v>
      </c>
      <c r="AA109" s="576">
        <v>0</v>
      </c>
      <c r="AB109" s="513">
        <v>0.85900947777906123</v>
      </c>
      <c r="AC109" s="514">
        <v>0.81376417105909538</v>
      </c>
      <c r="AD109" s="514">
        <v>0.85900947777906123</v>
      </c>
      <c r="AE109" s="514">
        <v>0.8585042797093928</v>
      </c>
      <c r="AF109" s="511">
        <v>38.420999999999999</v>
      </c>
      <c r="AG109" s="511">
        <v>877.57100000000003</v>
      </c>
      <c r="AH109" s="511">
        <v>140.94307186294157</v>
      </c>
      <c r="AI109" s="511">
        <v>115.83270612656965</v>
      </c>
      <c r="AJ109" s="511">
        <v>1.3039743890060125</v>
      </c>
      <c r="AK109" s="511">
        <v>1.3254767990282266</v>
      </c>
      <c r="AL109" s="511">
        <v>1037.8844902527169</v>
      </c>
      <c r="AM109" s="576">
        <v>971.06702477634235</v>
      </c>
      <c r="AN109" s="587"/>
      <c r="AO109" s="587"/>
      <c r="AP109" s="513">
        <v>0.69045158353115288</v>
      </c>
      <c r="AQ109" s="514">
        <v>0.78735523751480996</v>
      </c>
      <c r="AR109" s="514">
        <v>0.70400281675594445</v>
      </c>
      <c r="AS109" s="514">
        <v>0.85457713916575806</v>
      </c>
      <c r="AT109" s="511">
        <v>35.619</v>
      </c>
      <c r="AU109" s="511">
        <v>981.17499999999995</v>
      </c>
      <c r="AV109" s="515">
        <v>139.127163236586</v>
      </c>
      <c r="AW109" s="515">
        <v>100.58736816074288</v>
      </c>
      <c r="AX109" s="511">
        <v>1.7069541536820236</v>
      </c>
      <c r="AY109" s="511">
        <v>1.5739292175198107</v>
      </c>
      <c r="AZ109" s="511">
        <v>0</v>
      </c>
      <c r="BA109" s="511">
        <v>0</v>
      </c>
      <c r="BB109" s="511">
        <v>1083.594710688116</v>
      </c>
      <c r="BC109" s="511">
        <v>988.1420337860219</v>
      </c>
      <c r="BD109" s="511">
        <v>542.91810550548814</v>
      </c>
      <c r="BE109" s="576">
        <v>435.80176726883559</v>
      </c>
      <c r="BF109" s="511">
        <v>0</v>
      </c>
      <c r="BG109" s="512">
        <v>26.386628277320554</v>
      </c>
      <c r="BH109" s="513">
        <v>0.72469351499291257</v>
      </c>
      <c r="BI109" s="514">
        <v>0.83337370479214679</v>
      </c>
      <c r="BJ109" s="514">
        <v>0.72469351499291257</v>
      </c>
      <c r="BK109" s="514">
        <v>0.83337370479214679</v>
      </c>
      <c r="BL109" s="511">
        <v>36.493000000000002</v>
      </c>
      <c r="BM109" s="511">
        <v>1090.7860000000001</v>
      </c>
      <c r="BN109" s="511">
        <v>2.3922396075959771</v>
      </c>
      <c r="BO109" s="511">
        <v>2.5809828875691481</v>
      </c>
      <c r="BP109" s="515">
        <v>0</v>
      </c>
      <c r="BQ109" s="515">
        <v>0</v>
      </c>
      <c r="BR109" s="515">
        <v>1086.8734126558995</v>
      </c>
      <c r="BS109" s="515">
        <v>957.74431286540607</v>
      </c>
      <c r="BT109" s="515">
        <v>79.741320253199248</v>
      </c>
      <c r="BU109" s="516">
        <v>10.318064221579668</v>
      </c>
      <c r="BV109" s="513">
        <v>0.9532207353806591</v>
      </c>
      <c r="BW109" s="514">
        <v>0.87953035617674891</v>
      </c>
      <c r="BX109" s="514">
        <v>0.9532207353806591</v>
      </c>
      <c r="BY109" s="514">
        <v>0.89164433031848112</v>
      </c>
      <c r="BZ109" s="511">
        <v>51.47</v>
      </c>
      <c r="CA109" s="511">
        <v>1116.9829999999999</v>
      </c>
      <c r="CB109" s="515">
        <v>79.682452081405955</v>
      </c>
      <c r="CC109" s="515">
        <v>78.650942133123976</v>
      </c>
      <c r="CD109" s="511">
        <v>1.8399067417913348</v>
      </c>
      <c r="CE109" s="511">
        <v>2.0242922228896947</v>
      </c>
      <c r="CF109" s="515">
        <v>0</v>
      </c>
      <c r="CG109" s="515">
        <v>0</v>
      </c>
      <c r="CH109" s="515">
        <v>819.82530701279711</v>
      </c>
      <c r="CI109" s="515">
        <v>895.68658784135073</v>
      </c>
      <c r="CJ109" s="515">
        <v>613.01340586749507</v>
      </c>
      <c r="CK109" s="515">
        <v>324.50108998973155</v>
      </c>
      <c r="CL109" s="515">
        <v>0</v>
      </c>
      <c r="CM109" s="516">
        <v>8.5365668054034849</v>
      </c>
    </row>
    <row r="110" spans="1:91">
      <c r="A110" s="558">
        <v>46078</v>
      </c>
      <c r="B110" s="513">
        <v>0</v>
      </c>
      <c r="C110" s="514">
        <v>0.77442094765802405</v>
      </c>
      <c r="D110" s="514" t="e">
        <v>#DIV/0!</v>
      </c>
      <c r="E110" s="514">
        <v>0.86572488412283777</v>
      </c>
      <c r="F110" s="511">
        <v>0</v>
      </c>
      <c r="G110" s="511">
        <v>1363.6519999999998</v>
      </c>
      <c r="H110" s="511">
        <v>0</v>
      </c>
      <c r="I110" s="511">
        <v>2.3210327854907264</v>
      </c>
      <c r="J110" s="511">
        <v>0</v>
      </c>
      <c r="K110" s="512">
        <v>892.61257270916701</v>
      </c>
      <c r="L110" s="513">
        <v>0.9569675443482184</v>
      </c>
      <c r="M110" s="514">
        <v>0.77680513715258503</v>
      </c>
      <c r="N110" s="514">
        <v>0.9569675443482184</v>
      </c>
      <c r="O110" s="514">
        <v>0.82140936578262747</v>
      </c>
      <c r="P110" s="511">
        <v>82.777000000000001</v>
      </c>
      <c r="Q110" s="511">
        <v>1331.837</v>
      </c>
      <c r="R110" s="511">
        <v>1.8093310943861218</v>
      </c>
      <c r="S110" s="511">
        <v>2.2595385171008169</v>
      </c>
      <c r="T110" s="511">
        <v>0</v>
      </c>
      <c r="U110" s="511">
        <v>0.13552709528268098</v>
      </c>
      <c r="V110" s="511">
        <v>377.1227514889278</v>
      </c>
      <c r="W110" s="511">
        <v>627.20173714951568</v>
      </c>
      <c r="X110" s="511">
        <v>318.40970317841908</v>
      </c>
      <c r="Y110" s="576">
        <v>445.27370841927353</v>
      </c>
      <c r="Z110" s="511">
        <v>0</v>
      </c>
      <c r="AA110" s="576">
        <v>0</v>
      </c>
      <c r="AB110" s="513">
        <v>0.89916426773932612</v>
      </c>
      <c r="AC110" s="514">
        <v>0.81691097261700563</v>
      </c>
      <c r="AD110" s="514">
        <v>0.89916426773932612</v>
      </c>
      <c r="AE110" s="514">
        <v>0.86008168470055191</v>
      </c>
      <c r="AF110" s="511">
        <v>37.097000000000001</v>
      </c>
      <c r="AG110" s="511">
        <v>914.66800000000001</v>
      </c>
      <c r="AH110" s="511">
        <v>140.76957182554014</v>
      </c>
      <c r="AI110" s="511">
        <v>116.84409266992166</v>
      </c>
      <c r="AJ110" s="511">
        <v>1.3532091543790603</v>
      </c>
      <c r="AK110" s="511">
        <v>1.326601564720751</v>
      </c>
      <c r="AL110" s="511">
        <v>990.44828422784508</v>
      </c>
      <c r="AM110" s="576">
        <v>971.85308767771471</v>
      </c>
      <c r="AN110" s="587"/>
      <c r="AO110" s="587"/>
      <c r="AP110" s="513">
        <v>0.85810712153065205</v>
      </c>
      <c r="AQ110" s="514">
        <v>0.79039509430520893</v>
      </c>
      <c r="AR110" s="514">
        <v>0.85810712153065205</v>
      </c>
      <c r="AS110" s="514">
        <v>0.85474115207372203</v>
      </c>
      <c r="AT110" s="511">
        <v>48.006999999999998</v>
      </c>
      <c r="AU110" s="511">
        <v>1029.182</v>
      </c>
      <c r="AV110" s="515">
        <v>113.9982290686188</v>
      </c>
      <c r="AW110" s="515">
        <v>101.21292826537393</v>
      </c>
      <c r="AX110" s="511">
        <v>1.445622513383465</v>
      </c>
      <c r="AY110" s="511">
        <v>1.5679442508710804</v>
      </c>
      <c r="AZ110" s="511">
        <v>0</v>
      </c>
      <c r="BA110" s="511">
        <v>0</v>
      </c>
      <c r="BB110" s="511">
        <v>791.19003478659204</v>
      </c>
      <c r="BC110" s="511">
        <v>978.95505362511199</v>
      </c>
      <c r="BD110" s="511">
        <v>535.04280625742115</v>
      </c>
      <c r="BE110" s="576">
        <v>440.43094321509687</v>
      </c>
      <c r="BF110" s="511">
        <v>0</v>
      </c>
      <c r="BG110" s="512">
        <v>25.155803346735556</v>
      </c>
      <c r="BH110" s="513">
        <v>0.99340495507543558</v>
      </c>
      <c r="BI110" s="514">
        <v>0.83908655204809846</v>
      </c>
      <c r="BJ110" s="514">
        <v>0.99340495507543558</v>
      </c>
      <c r="BK110" s="514">
        <v>0.83908655204809846</v>
      </c>
      <c r="BL110" s="511">
        <v>48.134999999999998</v>
      </c>
      <c r="BM110" s="511">
        <v>1138.921</v>
      </c>
      <c r="BN110" s="511">
        <v>2.2478446037187081</v>
      </c>
      <c r="BO110" s="511">
        <v>2.5669032356063335</v>
      </c>
      <c r="BP110" s="515">
        <v>0</v>
      </c>
      <c r="BQ110" s="515">
        <v>0</v>
      </c>
      <c r="BR110" s="515">
        <v>907.44715708778517</v>
      </c>
      <c r="BS110" s="515">
        <v>955.61856964585365</v>
      </c>
      <c r="BT110" s="515">
        <v>63.986704061493718</v>
      </c>
      <c r="BU110" s="516">
        <v>12.58629878630739</v>
      </c>
      <c r="BV110" s="513">
        <v>1.0136765386489306</v>
      </c>
      <c r="BW110" s="514">
        <v>0.88552022979279921</v>
      </c>
      <c r="BX110" s="514">
        <v>1.0136765386489306</v>
      </c>
      <c r="BY110" s="514">
        <v>0.89716494735718322</v>
      </c>
      <c r="BZ110" s="511">
        <v>60.168999999999997</v>
      </c>
      <c r="CA110" s="511">
        <v>1177.152</v>
      </c>
      <c r="CB110" s="515">
        <v>57.573803970329521</v>
      </c>
      <c r="CC110" s="515">
        <v>77.573604349968377</v>
      </c>
      <c r="CD110" s="511">
        <v>1.6254217287972212</v>
      </c>
      <c r="CE110" s="511">
        <v>2.0039043386070787</v>
      </c>
      <c r="CF110" s="515">
        <v>0</v>
      </c>
      <c r="CG110" s="515">
        <v>0</v>
      </c>
      <c r="CH110" s="515">
        <v>612.40856742805886</v>
      </c>
      <c r="CI110" s="515">
        <v>881.20710243059045</v>
      </c>
      <c r="CJ110" s="515">
        <v>444.31850288354508</v>
      </c>
      <c r="CK110" s="515">
        <v>330.62544259365001</v>
      </c>
      <c r="CL110" s="515">
        <v>0</v>
      </c>
      <c r="CM110" s="516">
        <v>8.1002283477409893</v>
      </c>
    </row>
    <row r="111" spans="1:91">
      <c r="A111" s="558">
        <v>46079</v>
      </c>
      <c r="B111" s="513">
        <v>0.28223865149827099</v>
      </c>
      <c r="C111" s="514">
        <v>0.75786167243228508</v>
      </c>
      <c r="D111" s="514">
        <v>0.74996123292179462</v>
      </c>
      <c r="E111" s="514">
        <v>0.86405373181571754</v>
      </c>
      <c r="F111" s="511">
        <v>17.303000000000001</v>
      </c>
      <c r="G111" s="511">
        <v>1380.9549999999999</v>
      </c>
      <c r="H111" s="511">
        <v>3.7956423741547707</v>
      </c>
      <c r="I111" s="511">
        <v>2.3395092526548655</v>
      </c>
      <c r="J111" s="511">
        <v>1609.1579494885191</v>
      </c>
      <c r="K111" s="512">
        <v>901.59069629350756</v>
      </c>
      <c r="L111" s="513">
        <v>1.0387400895965289</v>
      </c>
      <c r="M111" s="514">
        <v>0.78799400213116144</v>
      </c>
      <c r="N111" s="514">
        <v>1.0387400895965289</v>
      </c>
      <c r="O111" s="514">
        <v>0.83120195071888314</v>
      </c>
      <c r="P111" s="511">
        <v>79.468999999999994</v>
      </c>
      <c r="Q111" s="511">
        <v>1411.306</v>
      </c>
      <c r="R111" s="511">
        <v>1.6461009953566801</v>
      </c>
      <c r="S111" s="511">
        <v>2.2249965634667466</v>
      </c>
      <c r="T111" s="511">
        <v>0</v>
      </c>
      <c r="U111" s="511">
        <v>0.1278957221183783</v>
      </c>
      <c r="V111" s="511">
        <v>459.19025028630051</v>
      </c>
      <c r="W111" s="511">
        <v>617.74120566340787</v>
      </c>
      <c r="X111" s="511">
        <v>399.76594646969261</v>
      </c>
      <c r="Y111" s="576">
        <v>442.71121925365583</v>
      </c>
      <c r="Z111" s="511">
        <v>0</v>
      </c>
      <c r="AA111" s="576">
        <v>0</v>
      </c>
      <c r="AB111" s="513">
        <v>0.87889070201651198</v>
      </c>
      <c r="AC111" s="514">
        <v>0.81905570946707806</v>
      </c>
      <c r="AD111" s="514">
        <v>0.87889070201651198</v>
      </c>
      <c r="AE111" s="514">
        <v>0.86076569391444191</v>
      </c>
      <c r="AF111" s="511">
        <v>35.273000000000003</v>
      </c>
      <c r="AG111" s="511">
        <v>949.94100000000003</v>
      </c>
      <c r="AH111" s="511">
        <v>142.32078820173763</v>
      </c>
      <c r="AI111" s="511">
        <v>117.79008771750225</v>
      </c>
      <c r="AJ111" s="511">
        <v>1.4373600204122132</v>
      </c>
      <c r="AK111" s="511">
        <v>1.3307142233043945</v>
      </c>
      <c r="AL111" s="511">
        <v>1109.4395146429281</v>
      </c>
      <c r="AM111" s="576">
        <v>976.96191658218765</v>
      </c>
      <c r="AN111" s="587"/>
      <c r="AO111" s="587"/>
      <c r="AP111" s="513">
        <v>0.77652219240395037</v>
      </c>
      <c r="AQ111" s="514">
        <v>0.78988169219780713</v>
      </c>
      <c r="AR111" s="514">
        <v>0.77652219240395037</v>
      </c>
      <c r="AS111" s="514">
        <v>0.85162020591528753</v>
      </c>
      <c r="AT111" s="511">
        <v>38.856999999999999</v>
      </c>
      <c r="AU111" s="511">
        <v>1068.039</v>
      </c>
      <c r="AV111" s="515">
        <v>132.96535478980627</v>
      </c>
      <c r="AW111" s="515">
        <v>102.36813330700618</v>
      </c>
      <c r="AX111" s="511">
        <v>1.7886095169467535</v>
      </c>
      <c r="AY111" s="511">
        <v>1.5759724129924098</v>
      </c>
      <c r="AZ111" s="511">
        <v>0</v>
      </c>
      <c r="BA111" s="511">
        <v>0</v>
      </c>
      <c r="BB111" s="511">
        <v>1140.1616182412456</v>
      </c>
      <c r="BC111" s="511">
        <v>984.82001125427087</v>
      </c>
      <c r="BD111" s="511">
        <v>577.56646164140352</v>
      </c>
      <c r="BE111" s="576">
        <v>445.42015694183436</v>
      </c>
      <c r="BF111" s="511">
        <v>0</v>
      </c>
      <c r="BG111" s="512">
        <v>24.240594210511034</v>
      </c>
      <c r="BH111" s="513">
        <v>0.81189469061322617</v>
      </c>
      <c r="BI111" s="514">
        <v>0.83814930629824214</v>
      </c>
      <c r="BJ111" s="514">
        <v>0.81189469061322617</v>
      </c>
      <c r="BK111" s="514">
        <v>0.83814930629824214</v>
      </c>
      <c r="BL111" s="511">
        <v>39.340000000000003</v>
      </c>
      <c r="BM111" s="511">
        <v>1178.261</v>
      </c>
      <c r="BN111" s="511">
        <v>2.4936451448906962</v>
      </c>
      <c r="BO111" s="511">
        <v>2.5644572806873867</v>
      </c>
      <c r="BP111" s="515">
        <v>0</v>
      </c>
      <c r="BQ111" s="515">
        <v>0</v>
      </c>
      <c r="BR111" s="515">
        <v>1184.3196658742111</v>
      </c>
      <c r="BS111" s="515">
        <v>963.25448488502695</v>
      </c>
      <c r="BT111" s="515">
        <v>75.49567869852568</v>
      </c>
      <c r="BU111" s="516">
        <v>14.686729001469114</v>
      </c>
      <c r="BV111" s="513">
        <v>0.94780568031874879</v>
      </c>
      <c r="BW111" s="514">
        <v>0.8879256487850834</v>
      </c>
      <c r="BX111" s="514">
        <v>0.94780568031874879</v>
      </c>
      <c r="BY111" s="514">
        <v>0.89914536788101285</v>
      </c>
      <c r="BZ111" s="511">
        <v>50.613</v>
      </c>
      <c r="CA111" s="511">
        <v>1227.7650000000001</v>
      </c>
      <c r="CB111" s="515">
        <v>65.818743142919942</v>
      </c>
      <c r="CC111" s="515">
        <v>77.089025631506502</v>
      </c>
      <c r="CD111" s="511">
        <v>1.8967458953233358</v>
      </c>
      <c r="CE111" s="511">
        <v>1.9994868724878132</v>
      </c>
      <c r="CF111" s="515">
        <v>0</v>
      </c>
      <c r="CG111" s="515">
        <v>0</v>
      </c>
      <c r="CH111" s="515">
        <v>829.40438908005206</v>
      </c>
      <c r="CI111" s="515">
        <v>879.07160359261184</v>
      </c>
      <c r="CJ111" s="515">
        <v>500.01975776974348</v>
      </c>
      <c r="CK111" s="515">
        <v>337.60850081245212</v>
      </c>
      <c r="CL111" s="515">
        <v>0</v>
      </c>
      <c r="CM111" s="516">
        <v>7.7663070701640793</v>
      </c>
    </row>
    <row r="112" spans="1:91">
      <c r="A112" s="558">
        <v>46080</v>
      </c>
      <c r="B112" s="513">
        <v>0.81684742822662459</v>
      </c>
      <c r="C112" s="514">
        <v>0.75986215612528507</v>
      </c>
      <c r="D112" s="514">
        <v>0.81684742822662459</v>
      </c>
      <c r="E112" s="514">
        <v>0.86223704641920262</v>
      </c>
      <c r="F112" s="511">
        <v>52.252000000000002</v>
      </c>
      <c r="G112" s="511">
        <v>1433.2069999999999</v>
      </c>
      <c r="H112" s="511">
        <v>2.5012248334991964</v>
      </c>
      <c r="I112" s="511">
        <v>2.3454050950072109</v>
      </c>
      <c r="J112" s="511">
        <v>1006.4234861823256</v>
      </c>
      <c r="K112" s="512">
        <v>905.41270032870329</v>
      </c>
      <c r="L112" s="513">
        <v>0.9641166243469681</v>
      </c>
      <c r="M112" s="514">
        <v>0.79528383180246365</v>
      </c>
      <c r="N112" s="514">
        <v>0.9641166243469681</v>
      </c>
      <c r="O112" s="514">
        <v>0.83699189341923286</v>
      </c>
      <c r="P112" s="511">
        <v>74.557000000000002</v>
      </c>
      <c r="Q112" s="511">
        <v>1485.8630000000001</v>
      </c>
      <c r="R112" s="511">
        <v>1.9991550089193504</v>
      </c>
      <c r="S112" s="511">
        <v>2.2136643822478925</v>
      </c>
      <c r="T112" s="511">
        <v>0</v>
      </c>
      <c r="U112" s="511">
        <v>0.12147822511227481</v>
      </c>
      <c r="V112" s="511">
        <v>454.55369717127297</v>
      </c>
      <c r="W112" s="511">
        <v>609.5528524500578</v>
      </c>
      <c r="X112" s="511">
        <v>349.18250466086346</v>
      </c>
      <c r="Y112" s="576">
        <v>438.01817529610736</v>
      </c>
      <c r="Z112" s="511">
        <v>0</v>
      </c>
      <c r="AA112" s="576">
        <v>0</v>
      </c>
      <c r="AB112" s="513">
        <v>0.85321559088798038</v>
      </c>
      <c r="AC112" s="514">
        <v>0.82039877964405583</v>
      </c>
      <c r="AD112" s="514">
        <v>0.85321559088798038</v>
      </c>
      <c r="AE112" s="514">
        <v>0.86045435166506035</v>
      </c>
      <c r="AF112" s="511">
        <v>40.499000000000002</v>
      </c>
      <c r="AG112" s="511">
        <v>990.44</v>
      </c>
      <c r="AH112" s="511">
        <v>109.30493285050845</v>
      </c>
      <c r="AI112" s="511">
        <v>117.44313051973319</v>
      </c>
      <c r="AJ112" s="511">
        <v>1.1679300723474653</v>
      </c>
      <c r="AK112" s="511">
        <v>1.3240579944267192</v>
      </c>
      <c r="AL112" s="511">
        <v>825.64112694142386</v>
      </c>
      <c r="AM112" s="576">
        <v>970.77442348855118</v>
      </c>
      <c r="AN112" s="587"/>
      <c r="AO112" s="587"/>
      <c r="AP112" s="513">
        <v>0.81409549478683052</v>
      </c>
      <c r="AQ112" s="514">
        <v>0.79077169137893577</v>
      </c>
      <c r="AR112" s="514">
        <v>0.81409549478683052</v>
      </c>
      <c r="AS112" s="514">
        <v>0.85013740795430359</v>
      </c>
      <c r="AT112" s="511">
        <v>42.003999999999998</v>
      </c>
      <c r="AU112" s="511">
        <v>1110.0429999999999</v>
      </c>
      <c r="AV112" s="515">
        <v>116.41398513251335</v>
      </c>
      <c r="AW112" s="515">
        <v>102.89962799692235</v>
      </c>
      <c r="AX112" s="511">
        <v>1.5260451385582325</v>
      </c>
      <c r="AY112" s="511">
        <v>1.574083166147618</v>
      </c>
      <c r="AZ112" s="511">
        <v>0</v>
      </c>
      <c r="BA112" s="511">
        <v>0</v>
      </c>
      <c r="BB112" s="511">
        <v>950.32949242929124</v>
      </c>
      <c r="BC112" s="511">
        <v>983.51489086458821</v>
      </c>
      <c r="BD112" s="511">
        <v>566.39367679268696</v>
      </c>
      <c r="BE112" s="576">
        <v>449.99779197742777</v>
      </c>
      <c r="BF112" s="511">
        <v>0</v>
      </c>
      <c r="BG112" s="512">
        <v>23.323330717819033</v>
      </c>
      <c r="BH112" s="513">
        <v>0.95404961453331061</v>
      </c>
      <c r="BI112" s="514">
        <v>0.8424308250287168</v>
      </c>
      <c r="BJ112" s="514">
        <v>0.95404961453331061</v>
      </c>
      <c r="BK112" s="514">
        <v>0.8424308250287168</v>
      </c>
      <c r="BL112" s="511">
        <v>51.445999999999998</v>
      </c>
      <c r="BM112" s="511">
        <v>1229.7069999999999</v>
      </c>
      <c r="BN112" s="511">
        <v>1.918516502740738</v>
      </c>
      <c r="BO112" s="511">
        <v>2.5374337138846905</v>
      </c>
      <c r="BP112" s="515">
        <v>0</v>
      </c>
      <c r="BQ112" s="515">
        <v>0</v>
      </c>
      <c r="BR112" s="515">
        <v>838.98844552804735</v>
      </c>
      <c r="BS112" s="515">
        <v>958.05569309091743</v>
      </c>
      <c r="BT112" s="515">
        <v>66.477471523539251</v>
      </c>
      <c r="BU112" s="516">
        <v>16.853445576873192</v>
      </c>
      <c r="BV112" s="513">
        <v>0.93725698515469491</v>
      </c>
      <c r="BW112" s="514">
        <v>0.88980519044219941</v>
      </c>
      <c r="BX112" s="514">
        <v>0.93725698515469491</v>
      </c>
      <c r="BY112" s="514">
        <v>0.90061507477358005</v>
      </c>
      <c r="BZ112" s="511">
        <v>51.332999999999998</v>
      </c>
      <c r="CA112" s="511">
        <v>1279.0980000000002</v>
      </c>
      <c r="CB112" s="515">
        <v>68.638234527130081</v>
      </c>
      <c r="CC112" s="515">
        <v>76.74987690344895</v>
      </c>
      <c r="CD112" s="511">
        <v>1.9227397580503771</v>
      </c>
      <c r="CE112" s="511">
        <v>1.9964068429471389</v>
      </c>
      <c r="CF112" s="515">
        <v>0</v>
      </c>
      <c r="CG112" s="515">
        <v>0</v>
      </c>
      <c r="CH112" s="515">
        <v>701.30949742591304</v>
      </c>
      <c r="CI112" s="515">
        <v>871.93762152411102</v>
      </c>
      <c r="CJ112" s="515">
        <v>589.85837570373883</v>
      </c>
      <c r="CK112" s="515">
        <v>347.7318399372059</v>
      </c>
      <c r="CL112" s="515">
        <v>0</v>
      </c>
      <c r="CM112" s="516">
        <v>7.4546281832979169</v>
      </c>
    </row>
    <row r="113" spans="1:91">
      <c r="A113" s="558">
        <v>46081</v>
      </c>
      <c r="B113" s="513">
        <v>0.88693015264279851</v>
      </c>
      <c r="C113" s="514">
        <v>0.76408871629474606</v>
      </c>
      <c r="D113" s="514">
        <v>0.88693015264279851</v>
      </c>
      <c r="E113" s="514">
        <v>0.86316489387359752</v>
      </c>
      <c r="F113" s="511">
        <v>57.558</v>
      </c>
      <c r="G113" s="511">
        <v>1490.7649999999999</v>
      </c>
      <c r="H113" s="511">
        <v>2.4542374648180965</v>
      </c>
      <c r="I113" s="511">
        <v>2.3496070809282483</v>
      </c>
      <c r="J113" s="511">
        <v>1061.8913096354795</v>
      </c>
      <c r="K113" s="512">
        <v>911.45429360093556</v>
      </c>
      <c r="L113" s="513">
        <v>0.95676124588348033</v>
      </c>
      <c r="M113" s="514">
        <v>0.8016123968395289</v>
      </c>
      <c r="N113" s="514">
        <v>0.95676124588348033</v>
      </c>
      <c r="O113" s="514">
        <v>0.84192188910440213</v>
      </c>
      <c r="P113" s="511">
        <v>72.915000000000006</v>
      </c>
      <c r="Q113" s="511">
        <v>1558.778</v>
      </c>
      <c r="R113" s="511">
        <v>1.9665089487759719</v>
      </c>
      <c r="S113" s="511">
        <v>2.2021031859572049</v>
      </c>
      <c r="T113" s="511">
        <v>0</v>
      </c>
      <c r="U113" s="511">
        <v>0.11579583494249983</v>
      </c>
      <c r="V113" s="511">
        <v>535.96667352397515</v>
      </c>
      <c r="W113" s="511">
        <v>606.11070979959993</v>
      </c>
      <c r="X113" s="511">
        <v>333.51162312281423</v>
      </c>
      <c r="Y113" s="576">
        <v>433.12966952317777</v>
      </c>
      <c r="Z113" s="511">
        <v>0</v>
      </c>
      <c r="AA113" s="576">
        <v>0</v>
      </c>
      <c r="AB113" s="513">
        <v>0.48210094140421805</v>
      </c>
      <c r="AC113" s="514">
        <v>0.80807069348419591</v>
      </c>
      <c r="AD113" s="514">
        <v>0.48210094140421805</v>
      </c>
      <c r="AE113" s="514">
        <v>0.84601908225741262</v>
      </c>
      <c r="AF113" s="511">
        <v>22.012</v>
      </c>
      <c r="AG113" s="511">
        <v>1012.452</v>
      </c>
      <c r="AH113" s="511">
        <v>195.32282282994913</v>
      </c>
      <c r="AI113" s="511">
        <v>119.13633453052331</v>
      </c>
      <c r="AJ113" s="511">
        <v>2.007995638742504</v>
      </c>
      <c r="AK113" s="511">
        <v>1.338927672620529</v>
      </c>
      <c r="AL113" s="511">
        <v>1361.5455206250804</v>
      </c>
      <c r="AM113" s="576">
        <v>979.27028639382411</v>
      </c>
      <c r="AN113" s="587"/>
      <c r="AO113" s="587"/>
      <c r="AP113" s="513">
        <v>0.42820482470957749</v>
      </c>
      <c r="AQ113" s="514">
        <v>0.77808815844086465</v>
      </c>
      <c r="AR113" s="514">
        <v>0.42820482470957749</v>
      </c>
      <c r="AS113" s="514">
        <v>0.83431057084824389</v>
      </c>
      <c r="AT113" s="511">
        <v>21.79</v>
      </c>
      <c r="AU113" s="511">
        <v>1131.8329999999999</v>
      </c>
      <c r="AV113" s="515">
        <v>164.00830787430638</v>
      </c>
      <c r="AW113" s="515">
        <v>104.07608966090298</v>
      </c>
      <c r="AX113" s="511">
        <v>2.3497016980266179</v>
      </c>
      <c r="AY113" s="511">
        <v>1.5890153406023684</v>
      </c>
      <c r="AZ113" s="511">
        <v>0</v>
      </c>
      <c r="BA113" s="511">
        <v>0</v>
      </c>
      <c r="BB113" s="511">
        <v>1406.1652134006438</v>
      </c>
      <c r="BC113" s="511">
        <v>991.65173660778612</v>
      </c>
      <c r="BD113" s="511">
        <v>545.16750803120442</v>
      </c>
      <c r="BE113" s="576">
        <v>451.82999523781325</v>
      </c>
      <c r="BF113" s="511">
        <v>0</v>
      </c>
      <c r="BG113" s="512">
        <v>22.87431096283639</v>
      </c>
      <c r="BH113" s="513">
        <v>0.86490899572152302</v>
      </c>
      <c r="BI113" s="514">
        <v>0.84316927580137424</v>
      </c>
      <c r="BJ113" s="514">
        <v>0.86490899572152302</v>
      </c>
      <c r="BK113" s="514">
        <v>0.84316927580137424</v>
      </c>
      <c r="BL113" s="511">
        <v>42.884999999999998</v>
      </c>
      <c r="BM113" s="511">
        <v>1272.5919999999999</v>
      </c>
      <c r="BN113" s="511">
        <v>2.5976448641716221</v>
      </c>
      <c r="BO113" s="511">
        <v>2.5394627657568183</v>
      </c>
      <c r="BP113" s="515">
        <v>0</v>
      </c>
      <c r="BQ113" s="515">
        <v>0</v>
      </c>
      <c r="BR113" s="515">
        <v>1094.5629115774652</v>
      </c>
      <c r="BS113" s="515">
        <v>962.65584150045936</v>
      </c>
      <c r="BT113" s="515">
        <v>61.326804243908128</v>
      </c>
      <c r="BU113" s="516">
        <v>18.352150571432166</v>
      </c>
      <c r="BV113" s="513">
        <v>0.8829771604210942</v>
      </c>
      <c r="BW113" s="514">
        <v>0.8895657293164585</v>
      </c>
      <c r="BX113" s="514">
        <v>0.8829771604210942</v>
      </c>
      <c r="BY113" s="514">
        <v>0.89998925956863929</v>
      </c>
      <c r="BZ113" s="511">
        <v>46.131999999999998</v>
      </c>
      <c r="CA113" s="511">
        <v>1325.2300000000002</v>
      </c>
      <c r="CB113" s="515">
        <v>90.670532283144539</v>
      </c>
      <c r="CC113" s="515">
        <v>77.234462729287557</v>
      </c>
      <c r="CD113" s="511">
        <v>2.2652388797364087</v>
      </c>
      <c r="CE113" s="511">
        <v>2.0057650370124427</v>
      </c>
      <c r="CF113" s="515">
        <v>0</v>
      </c>
      <c r="CG113" s="515">
        <v>0</v>
      </c>
      <c r="CH113" s="515">
        <v>836.09402447325931</v>
      </c>
      <c r="CI113" s="515">
        <v>870.68988579586016</v>
      </c>
      <c r="CJ113" s="515">
        <v>573.15529350558995</v>
      </c>
      <c r="CK113" s="515">
        <v>355.57895686031867</v>
      </c>
      <c r="CL113" s="515">
        <v>0</v>
      </c>
      <c r="CM113" s="516">
        <v>7.1951283928072849</v>
      </c>
    </row>
    <row r="114" spans="1:91">
      <c r="A114" s="558"/>
      <c r="B114" s="513"/>
      <c r="C114" s="514"/>
      <c r="D114" s="514"/>
      <c r="E114" s="514"/>
      <c r="F114" s="511"/>
      <c r="G114" s="511"/>
      <c r="H114" s="511"/>
      <c r="I114" s="511"/>
      <c r="J114" s="511"/>
      <c r="K114" s="512"/>
      <c r="L114" s="513"/>
      <c r="M114" s="514"/>
      <c r="N114" s="514"/>
      <c r="O114" s="514"/>
      <c r="P114" s="511"/>
      <c r="Q114" s="511"/>
      <c r="R114" s="511"/>
      <c r="S114" s="511"/>
      <c r="T114" s="511"/>
      <c r="U114" s="511"/>
      <c r="V114" s="511"/>
      <c r="W114" s="511"/>
      <c r="X114" s="511"/>
      <c r="Y114" s="576"/>
      <c r="Z114" s="511"/>
      <c r="AA114" s="576"/>
      <c r="AB114" s="513"/>
      <c r="AC114" s="514"/>
      <c r="AD114" s="514"/>
      <c r="AE114" s="514"/>
      <c r="AF114" s="511"/>
      <c r="AG114" s="511"/>
      <c r="AH114" s="511"/>
      <c r="AI114" s="511"/>
      <c r="AJ114" s="511"/>
      <c r="AK114" s="511"/>
      <c r="AL114" s="511"/>
      <c r="AM114" s="576"/>
      <c r="AN114" s="587"/>
      <c r="AO114" s="587"/>
      <c r="AP114" s="513"/>
      <c r="AQ114" s="514"/>
      <c r="AR114" s="514"/>
      <c r="AS114" s="514"/>
      <c r="AT114" s="511"/>
      <c r="AU114" s="511"/>
      <c r="AV114" s="515"/>
      <c r="AW114" s="515"/>
      <c r="AX114" s="511"/>
      <c r="AY114" s="511"/>
      <c r="AZ114" s="511"/>
      <c r="BA114" s="511"/>
      <c r="BB114" s="511"/>
      <c r="BC114" s="511"/>
      <c r="BD114" s="511"/>
      <c r="BE114" s="576"/>
      <c r="BF114" s="511"/>
      <c r="BG114" s="512"/>
      <c r="BH114" s="513"/>
      <c r="BI114" s="514"/>
      <c r="BJ114" s="514"/>
      <c r="BK114" s="514"/>
      <c r="BL114" s="511"/>
      <c r="BM114" s="511"/>
      <c r="BN114" s="511"/>
      <c r="BO114" s="511"/>
      <c r="BP114" s="515"/>
      <c r="BQ114" s="515"/>
      <c r="BR114" s="515"/>
      <c r="BS114" s="515"/>
      <c r="BT114" s="515"/>
      <c r="BU114" s="516"/>
      <c r="BV114" s="513"/>
      <c r="BW114" s="514"/>
      <c r="BX114" s="514"/>
      <c r="BY114" s="514"/>
      <c r="BZ114" s="511"/>
      <c r="CA114" s="511"/>
      <c r="CB114" s="515"/>
      <c r="CC114" s="515"/>
      <c r="CD114" s="511"/>
      <c r="CE114" s="511"/>
      <c r="CF114" s="515"/>
      <c r="CG114" s="515"/>
      <c r="CH114" s="515"/>
      <c r="CI114" s="515"/>
      <c r="CJ114" s="515"/>
      <c r="CK114" s="515"/>
      <c r="CL114" s="515"/>
      <c r="CM114" s="516"/>
    </row>
    <row r="115" spans="1:91">
      <c r="A115" s="567" t="s">
        <v>228</v>
      </c>
      <c r="B115" s="704">
        <v>0.76408871629474606</v>
      </c>
      <c r="C115" s="705"/>
      <c r="D115" s="706">
        <v>0.86316489387359752</v>
      </c>
      <c r="E115" s="705"/>
      <c r="F115" s="707">
        <v>1490.7649999999999</v>
      </c>
      <c r="G115" s="708"/>
      <c r="H115" s="709">
        <v>2.3496070809282483</v>
      </c>
      <c r="I115" s="710"/>
      <c r="J115" s="707">
        <v>911.45429360093556</v>
      </c>
      <c r="K115" s="719"/>
      <c r="L115" s="704">
        <v>0.8016123968395289</v>
      </c>
      <c r="M115" s="705"/>
      <c r="N115" s="706">
        <v>0.84192188910440213</v>
      </c>
      <c r="O115" s="705"/>
      <c r="P115" s="707">
        <v>1558.778</v>
      </c>
      <c r="Q115" s="708"/>
      <c r="R115" s="709">
        <v>2.2021031859572049</v>
      </c>
      <c r="S115" s="710"/>
      <c r="T115" s="709">
        <v>0.11579583494249983</v>
      </c>
      <c r="U115" s="710"/>
      <c r="V115" s="707">
        <v>606.11070979959993</v>
      </c>
      <c r="W115" s="708"/>
      <c r="X115" s="709">
        <v>433.12966952317777</v>
      </c>
      <c r="Y115" s="710"/>
      <c r="Z115" s="718">
        <v>0</v>
      </c>
      <c r="AA115" s="814"/>
      <c r="AB115" s="729">
        <v>0.80807069348419591</v>
      </c>
      <c r="AC115" s="727"/>
      <c r="AD115" s="727">
        <v>0.84601908225741262</v>
      </c>
      <c r="AE115" s="727"/>
      <c r="AF115" s="816">
        <v>1012.452</v>
      </c>
      <c r="AG115" s="816"/>
      <c r="AH115" s="816">
        <v>119.13633453052331</v>
      </c>
      <c r="AI115" s="816"/>
      <c r="AJ115" s="716">
        <v>1.338927672620529</v>
      </c>
      <c r="AK115" s="716"/>
      <c r="AL115" s="716">
        <v>979.27028639382411</v>
      </c>
      <c r="AM115" s="716"/>
      <c r="AN115" s="816">
        <v>0</v>
      </c>
      <c r="AO115" s="817"/>
      <c r="AP115" s="705">
        <v>0.77808815844086465</v>
      </c>
      <c r="AQ115" s="727"/>
      <c r="AR115" s="727">
        <v>0.83431057084824389</v>
      </c>
      <c r="AS115" s="727"/>
      <c r="AT115" s="815">
        <v>1131.8329999999999</v>
      </c>
      <c r="AU115" s="815"/>
      <c r="AV115" s="816">
        <v>104.07608966090298</v>
      </c>
      <c r="AW115" s="816"/>
      <c r="AX115" s="716">
        <v>1.5890153406023684</v>
      </c>
      <c r="AY115" s="716"/>
      <c r="AZ115" s="716">
        <v>0</v>
      </c>
      <c r="BA115" s="716"/>
      <c r="BB115" s="816">
        <v>991.65173660778612</v>
      </c>
      <c r="BC115" s="816"/>
      <c r="BD115" s="816">
        <v>451.82999523781325</v>
      </c>
      <c r="BE115" s="707"/>
      <c r="BF115" s="816">
        <v>0</v>
      </c>
      <c r="BG115" s="817"/>
      <c r="BH115" s="704">
        <v>0.84316927580137424</v>
      </c>
      <c r="BI115" s="705"/>
      <c r="BJ115" s="706">
        <v>0.84316927580137424</v>
      </c>
      <c r="BK115" s="705"/>
      <c r="BL115" s="707">
        <v>1272.5919999999999</v>
      </c>
      <c r="BM115" s="708"/>
      <c r="BN115" s="707">
        <v>2.5394627657568183</v>
      </c>
      <c r="BO115" s="708"/>
      <c r="BP115" s="709">
        <v>0</v>
      </c>
      <c r="BQ115" s="710"/>
      <c r="BR115" s="707">
        <v>962.65584150045936</v>
      </c>
      <c r="BS115" s="708"/>
      <c r="BT115" s="709">
        <v>18.352150571432166</v>
      </c>
      <c r="BU115" s="814"/>
      <c r="BV115" s="704">
        <v>0.8895657293164585</v>
      </c>
      <c r="BW115" s="705"/>
      <c r="BX115" s="706">
        <v>0.89998925956863929</v>
      </c>
      <c r="BY115" s="705"/>
      <c r="BZ115" s="707">
        <v>1325.2300000000002</v>
      </c>
      <c r="CA115" s="708"/>
      <c r="CB115" s="709">
        <v>77.234462729287557</v>
      </c>
      <c r="CC115" s="710"/>
      <c r="CD115" s="709">
        <v>2.0057650370124427</v>
      </c>
      <c r="CE115" s="710"/>
      <c r="CF115" s="709">
        <v>0</v>
      </c>
      <c r="CG115" s="710"/>
      <c r="CH115" s="707">
        <v>870.68988579586016</v>
      </c>
      <c r="CI115" s="708"/>
      <c r="CJ115" s="816">
        <v>355.57895686031867</v>
      </c>
      <c r="CK115" s="816"/>
      <c r="CL115" s="816">
        <v>7.1951283928072849</v>
      </c>
      <c r="CM115" s="817"/>
    </row>
    <row r="116" spans="1:91" ht="13.5" thickBot="1">
      <c r="A116" s="578"/>
      <c r="B116" s="580"/>
      <c r="C116" s="578"/>
      <c r="D116" s="578"/>
      <c r="E116" s="578"/>
      <c r="F116" s="578"/>
      <c r="G116" s="578"/>
      <c r="H116" s="578"/>
      <c r="I116" s="578"/>
      <c r="J116" s="578"/>
      <c r="K116" s="578"/>
      <c r="L116" s="578"/>
      <c r="M116" s="578"/>
      <c r="N116" s="578"/>
      <c r="O116" s="578"/>
      <c r="P116" s="578"/>
      <c r="Q116" s="578"/>
      <c r="R116" s="578"/>
      <c r="S116" s="578"/>
      <c r="T116" s="578"/>
      <c r="U116" s="578"/>
      <c r="V116" s="578"/>
      <c r="W116" s="578"/>
      <c r="X116" s="578"/>
      <c r="Y116" s="578"/>
      <c r="Z116" s="578"/>
      <c r="AA116" s="578"/>
      <c r="AB116" s="578"/>
      <c r="AC116" s="578"/>
      <c r="AD116" s="578"/>
      <c r="AE116" s="578"/>
      <c r="AF116" s="578"/>
      <c r="AG116" s="578"/>
      <c r="AH116" s="578"/>
      <c r="AI116" s="578"/>
      <c r="AJ116" s="578"/>
      <c r="AK116" s="578"/>
      <c r="AL116" s="578"/>
      <c r="AM116" s="578"/>
      <c r="AN116" s="578"/>
      <c r="AO116" s="578"/>
      <c r="AP116" s="578"/>
      <c r="AQ116" s="578"/>
      <c r="AR116" s="578"/>
      <c r="AS116" s="578"/>
      <c r="AT116" s="578"/>
      <c r="AU116" s="578"/>
      <c r="AV116" s="578"/>
      <c r="AW116" s="578"/>
      <c r="AX116" s="578"/>
      <c r="AY116" s="578"/>
      <c r="AZ116" s="578"/>
      <c r="BA116" s="578"/>
      <c r="BB116" s="578"/>
      <c r="BC116" s="578"/>
      <c r="BD116" s="578"/>
      <c r="BE116" s="578"/>
      <c r="BF116" s="578"/>
      <c r="BG116" s="578"/>
      <c r="BH116" s="578"/>
      <c r="BI116" s="578"/>
      <c r="BJ116" s="578"/>
      <c r="BK116" s="578"/>
      <c r="BL116" s="578"/>
      <c r="BM116" s="578"/>
      <c r="BN116" s="578"/>
      <c r="BO116" s="578"/>
      <c r="BP116" s="578"/>
      <c r="BQ116" s="578"/>
      <c r="BR116" s="578"/>
      <c r="BS116" s="578"/>
      <c r="BT116" s="578"/>
      <c r="BU116" s="578"/>
      <c r="BV116" s="578"/>
      <c r="BW116" s="578"/>
      <c r="BX116" s="578"/>
      <c r="BY116" s="578"/>
      <c r="BZ116" s="578"/>
      <c r="CA116" s="578"/>
      <c r="CB116" s="578"/>
      <c r="CC116" s="578"/>
      <c r="CD116" s="578"/>
      <c r="CE116" s="578"/>
      <c r="CF116" s="578"/>
      <c r="CG116" s="578"/>
      <c r="CH116" s="578"/>
      <c r="CI116" s="578"/>
      <c r="CJ116" s="578"/>
      <c r="CK116" s="578"/>
      <c r="CL116" s="578"/>
      <c r="CM116" s="578"/>
    </row>
    <row r="117" spans="1:91" ht="13.5" thickBot="1">
      <c r="A117" s="629" t="s">
        <v>29</v>
      </c>
      <c r="B117" s="632" t="s">
        <v>149</v>
      </c>
      <c r="C117" s="633"/>
      <c r="D117" s="633"/>
      <c r="E117" s="633"/>
      <c r="F117" s="633"/>
      <c r="G117" s="633"/>
      <c r="H117" s="633"/>
      <c r="I117" s="633"/>
      <c r="J117" s="633"/>
      <c r="K117" s="634"/>
      <c r="L117" s="635" t="s">
        <v>212</v>
      </c>
      <c r="M117" s="636"/>
      <c r="N117" s="636"/>
      <c r="O117" s="636"/>
      <c r="P117" s="636"/>
      <c r="Q117" s="636"/>
      <c r="R117" s="636"/>
      <c r="S117" s="636"/>
      <c r="T117" s="636"/>
      <c r="U117" s="636"/>
      <c r="V117" s="636"/>
      <c r="W117" s="636"/>
      <c r="X117" s="636"/>
      <c r="Y117" s="636"/>
      <c r="Z117" s="636"/>
      <c r="AA117" s="637"/>
      <c r="AB117" s="638" t="s">
        <v>314</v>
      </c>
      <c r="AC117" s="639"/>
      <c r="AD117" s="639"/>
      <c r="AE117" s="639"/>
      <c r="AF117" s="639"/>
      <c r="AG117" s="639"/>
      <c r="AH117" s="639"/>
      <c r="AI117" s="639"/>
      <c r="AJ117" s="639"/>
      <c r="AK117" s="639"/>
      <c r="AL117" s="639"/>
      <c r="AM117" s="639"/>
      <c r="AN117" s="639"/>
      <c r="AO117" s="640"/>
      <c r="AP117" s="641" t="s">
        <v>315</v>
      </c>
      <c r="AQ117" s="642"/>
      <c r="AR117" s="642"/>
      <c r="AS117" s="642"/>
      <c r="AT117" s="642"/>
      <c r="AU117" s="642"/>
      <c r="AV117" s="642"/>
      <c r="AW117" s="642"/>
      <c r="AX117" s="642"/>
      <c r="AY117" s="642"/>
      <c r="AZ117" s="642"/>
      <c r="BA117" s="642"/>
      <c r="BB117" s="642"/>
      <c r="BC117" s="642"/>
      <c r="BD117" s="642"/>
      <c r="BE117" s="642"/>
      <c r="BF117" s="642"/>
      <c r="BG117" s="643"/>
      <c r="BH117" s="644" t="s">
        <v>213</v>
      </c>
      <c r="BI117" s="645"/>
      <c r="BJ117" s="645"/>
      <c r="BK117" s="645"/>
      <c r="BL117" s="645"/>
      <c r="BM117" s="645"/>
      <c r="BN117" s="645"/>
      <c r="BO117" s="645"/>
      <c r="BP117" s="645"/>
      <c r="BQ117" s="645"/>
      <c r="BR117" s="645"/>
      <c r="BS117" s="645"/>
      <c r="BT117" s="645"/>
      <c r="BU117" s="646"/>
      <c r="BV117" s="810" t="s">
        <v>316</v>
      </c>
      <c r="BW117" s="811"/>
      <c r="BX117" s="811"/>
      <c r="BY117" s="811"/>
      <c r="BZ117" s="811"/>
      <c r="CA117" s="811"/>
      <c r="CB117" s="811"/>
      <c r="CC117" s="811"/>
      <c r="CD117" s="811"/>
      <c r="CE117" s="811"/>
      <c r="CF117" s="811"/>
      <c r="CG117" s="811"/>
      <c r="CH117" s="811"/>
      <c r="CI117" s="811"/>
      <c r="CJ117" s="811"/>
      <c r="CK117" s="811"/>
      <c r="CL117" s="811"/>
      <c r="CM117" s="812"/>
    </row>
    <row r="118" spans="1:91">
      <c r="A118" s="630"/>
      <c r="B118" s="653" t="s">
        <v>404</v>
      </c>
      <c r="C118" s="648"/>
      <c r="D118" s="647" t="s">
        <v>405</v>
      </c>
      <c r="E118" s="648"/>
      <c r="F118" s="647" t="s">
        <v>214</v>
      </c>
      <c r="G118" s="648"/>
      <c r="H118" s="647" t="s">
        <v>215</v>
      </c>
      <c r="I118" s="648"/>
      <c r="J118" s="647" t="s">
        <v>216</v>
      </c>
      <c r="K118" s="650"/>
      <c r="L118" s="653" t="s">
        <v>404</v>
      </c>
      <c r="M118" s="648"/>
      <c r="N118" s="647" t="s">
        <v>405</v>
      </c>
      <c r="O118" s="648"/>
      <c r="P118" s="647" t="s">
        <v>214</v>
      </c>
      <c r="Q118" s="648"/>
      <c r="R118" s="647" t="s">
        <v>317</v>
      </c>
      <c r="S118" s="648"/>
      <c r="T118" s="647" t="s">
        <v>318</v>
      </c>
      <c r="U118" s="648"/>
      <c r="V118" s="647" t="s">
        <v>216</v>
      </c>
      <c r="W118" s="648"/>
      <c r="X118" s="647" t="s">
        <v>319</v>
      </c>
      <c r="Y118" s="650"/>
      <c r="Z118" s="649" t="s">
        <v>430</v>
      </c>
      <c r="AA118" s="650"/>
      <c r="AB118" s="653" t="s">
        <v>404</v>
      </c>
      <c r="AC118" s="648"/>
      <c r="AD118" s="647" t="s">
        <v>405</v>
      </c>
      <c r="AE118" s="648"/>
      <c r="AF118" s="647" t="s">
        <v>214</v>
      </c>
      <c r="AG118" s="648"/>
      <c r="AH118" s="647" t="s">
        <v>320</v>
      </c>
      <c r="AI118" s="648"/>
      <c r="AJ118" s="647" t="s">
        <v>217</v>
      </c>
      <c r="AK118" s="648"/>
      <c r="AL118" s="647" t="s">
        <v>218</v>
      </c>
      <c r="AM118" s="650"/>
      <c r="AN118" s="813" t="s">
        <v>428</v>
      </c>
      <c r="AO118" s="654"/>
      <c r="AP118" s="653" t="s">
        <v>404</v>
      </c>
      <c r="AQ118" s="648"/>
      <c r="AR118" s="647" t="s">
        <v>405</v>
      </c>
      <c r="AS118" s="648"/>
      <c r="AT118" s="647" t="s">
        <v>214</v>
      </c>
      <c r="AU118" s="648"/>
      <c r="AV118" s="647" t="s">
        <v>320</v>
      </c>
      <c r="AW118" s="648"/>
      <c r="AX118" s="647" t="s">
        <v>217</v>
      </c>
      <c r="AY118" s="648"/>
      <c r="AZ118" s="647" t="s">
        <v>321</v>
      </c>
      <c r="BA118" s="648"/>
      <c r="BB118" s="647" t="s">
        <v>218</v>
      </c>
      <c r="BC118" s="648"/>
      <c r="BD118" s="647" t="s">
        <v>322</v>
      </c>
      <c r="BE118" s="650"/>
      <c r="BF118" s="666" t="s">
        <v>428</v>
      </c>
      <c r="BG118" s="655"/>
      <c r="BH118" s="653" t="s">
        <v>404</v>
      </c>
      <c r="BI118" s="648"/>
      <c r="BJ118" s="647" t="s">
        <v>405</v>
      </c>
      <c r="BK118" s="648"/>
      <c r="BL118" s="647" t="s">
        <v>214</v>
      </c>
      <c r="BM118" s="648"/>
      <c r="BN118" s="647" t="s">
        <v>217</v>
      </c>
      <c r="BO118" s="648"/>
      <c r="BP118" s="647" t="s">
        <v>318</v>
      </c>
      <c r="BQ118" s="648"/>
      <c r="BR118" s="647" t="s">
        <v>218</v>
      </c>
      <c r="BS118" s="648"/>
      <c r="BT118" s="647" t="s">
        <v>319</v>
      </c>
      <c r="BU118" s="650"/>
      <c r="BV118" s="653" t="s">
        <v>404</v>
      </c>
      <c r="BW118" s="648"/>
      <c r="BX118" s="647" t="s">
        <v>405</v>
      </c>
      <c r="BY118" s="648"/>
      <c r="BZ118" s="647" t="s">
        <v>214</v>
      </c>
      <c r="CA118" s="648"/>
      <c r="CB118" s="647" t="s">
        <v>320</v>
      </c>
      <c r="CC118" s="648"/>
      <c r="CD118" s="647" t="s">
        <v>217</v>
      </c>
      <c r="CE118" s="648"/>
      <c r="CF118" s="647" t="s">
        <v>321</v>
      </c>
      <c r="CG118" s="648"/>
      <c r="CH118" s="647" t="s">
        <v>218</v>
      </c>
      <c r="CI118" s="648"/>
      <c r="CJ118" s="666" t="s">
        <v>322</v>
      </c>
      <c r="CK118" s="666"/>
      <c r="CL118" s="666" t="s">
        <v>431</v>
      </c>
      <c r="CM118" s="655"/>
    </row>
    <row r="119" spans="1:91" ht="13.5" thickBot="1">
      <c r="A119" s="631"/>
      <c r="B119" s="508" t="s">
        <v>219</v>
      </c>
      <c r="C119" s="509" t="s">
        <v>220</v>
      </c>
      <c r="D119" s="509" t="s">
        <v>219</v>
      </c>
      <c r="E119" s="509" t="s">
        <v>220</v>
      </c>
      <c r="F119" s="509" t="s">
        <v>219</v>
      </c>
      <c r="G119" s="509" t="s">
        <v>220</v>
      </c>
      <c r="H119" s="509" t="s">
        <v>219</v>
      </c>
      <c r="I119" s="509" t="s">
        <v>220</v>
      </c>
      <c r="J119" s="509" t="s">
        <v>219</v>
      </c>
      <c r="K119" s="510" t="s">
        <v>220</v>
      </c>
      <c r="L119" s="508" t="s">
        <v>219</v>
      </c>
      <c r="M119" s="509" t="s">
        <v>220</v>
      </c>
      <c r="N119" s="509" t="s">
        <v>219</v>
      </c>
      <c r="O119" s="509" t="s">
        <v>220</v>
      </c>
      <c r="P119" s="583" t="s">
        <v>219</v>
      </c>
      <c r="Q119" s="583" t="s">
        <v>220</v>
      </c>
      <c r="R119" s="583" t="s">
        <v>219</v>
      </c>
      <c r="S119" s="583" t="s">
        <v>220</v>
      </c>
      <c r="T119" s="583" t="s">
        <v>219</v>
      </c>
      <c r="U119" s="583" t="s">
        <v>220</v>
      </c>
      <c r="V119" s="583" t="s">
        <v>219</v>
      </c>
      <c r="W119" s="583" t="s">
        <v>220</v>
      </c>
      <c r="X119" s="583" t="s">
        <v>219</v>
      </c>
      <c r="Y119" s="584" t="s">
        <v>220</v>
      </c>
      <c r="Z119" s="592" t="s">
        <v>219</v>
      </c>
      <c r="AA119" s="584" t="s">
        <v>220</v>
      </c>
      <c r="AB119" s="581" t="s">
        <v>219</v>
      </c>
      <c r="AC119" s="583" t="s">
        <v>220</v>
      </c>
      <c r="AD119" s="583" t="s">
        <v>219</v>
      </c>
      <c r="AE119" s="583" t="s">
        <v>220</v>
      </c>
      <c r="AF119" s="583" t="s">
        <v>219</v>
      </c>
      <c r="AG119" s="583" t="s">
        <v>220</v>
      </c>
      <c r="AH119" s="583" t="s">
        <v>219</v>
      </c>
      <c r="AI119" s="583" t="s">
        <v>220</v>
      </c>
      <c r="AJ119" s="583" t="s">
        <v>219</v>
      </c>
      <c r="AK119" s="583" t="s">
        <v>220</v>
      </c>
      <c r="AL119" s="583" t="s">
        <v>219</v>
      </c>
      <c r="AM119" s="585" t="s">
        <v>220</v>
      </c>
      <c r="AN119" s="509" t="s">
        <v>219</v>
      </c>
      <c r="AO119" s="586" t="s">
        <v>220</v>
      </c>
      <c r="AP119" s="581" t="s">
        <v>219</v>
      </c>
      <c r="AQ119" s="583" t="s">
        <v>220</v>
      </c>
      <c r="AR119" s="583" t="s">
        <v>219</v>
      </c>
      <c r="AS119" s="583" t="s">
        <v>220</v>
      </c>
      <c r="AT119" s="583" t="s">
        <v>219</v>
      </c>
      <c r="AU119" s="583" t="s">
        <v>220</v>
      </c>
      <c r="AV119" s="583" t="s">
        <v>219</v>
      </c>
      <c r="AW119" s="583" t="s">
        <v>220</v>
      </c>
      <c r="AX119" s="583" t="s">
        <v>219</v>
      </c>
      <c r="AY119" s="583" t="s">
        <v>220</v>
      </c>
      <c r="AZ119" s="583" t="s">
        <v>219</v>
      </c>
      <c r="BA119" s="583" t="s">
        <v>220</v>
      </c>
      <c r="BB119" s="583" t="s">
        <v>219</v>
      </c>
      <c r="BC119" s="583" t="s">
        <v>220</v>
      </c>
      <c r="BD119" s="583" t="s">
        <v>219</v>
      </c>
      <c r="BE119" s="584" t="s">
        <v>220</v>
      </c>
      <c r="BF119" s="583" t="s">
        <v>219</v>
      </c>
      <c r="BG119" s="584" t="s">
        <v>220</v>
      </c>
      <c r="BH119" s="581" t="s">
        <v>219</v>
      </c>
      <c r="BI119" s="583" t="s">
        <v>220</v>
      </c>
      <c r="BJ119" s="583" t="s">
        <v>219</v>
      </c>
      <c r="BK119" s="583" t="s">
        <v>220</v>
      </c>
      <c r="BL119" s="583" t="s">
        <v>219</v>
      </c>
      <c r="BM119" s="583" t="s">
        <v>220</v>
      </c>
      <c r="BN119" s="583" t="s">
        <v>219</v>
      </c>
      <c r="BO119" s="583" t="s">
        <v>220</v>
      </c>
      <c r="BP119" s="583" t="s">
        <v>219</v>
      </c>
      <c r="BQ119" s="583" t="s">
        <v>220</v>
      </c>
      <c r="BR119" s="583" t="s">
        <v>219</v>
      </c>
      <c r="BS119" s="583" t="s">
        <v>220</v>
      </c>
      <c r="BT119" s="583" t="s">
        <v>219</v>
      </c>
      <c r="BU119" s="584" t="s">
        <v>220</v>
      </c>
      <c r="BV119" s="508" t="s">
        <v>219</v>
      </c>
      <c r="BW119" s="509" t="s">
        <v>220</v>
      </c>
      <c r="BX119" s="509" t="s">
        <v>219</v>
      </c>
      <c r="BY119" s="509" t="s">
        <v>220</v>
      </c>
      <c r="BZ119" s="509" t="s">
        <v>219</v>
      </c>
      <c r="CA119" s="509" t="s">
        <v>220</v>
      </c>
      <c r="CB119" s="509" t="s">
        <v>219</v>
      </c>
      <c r="CC119" s="509" t="s">
        <v>220</v>
      </c>
      <c r="CD119" s="509" t="s">
        <v>219</v>
      </c>
      <c r="CE119" s="509" t="s">
        <v>220</v>
      </c>
      <c r="CF119" s="509" t="s">
        <v>219</v>
      </c>
      <c r="CG119" s="509" t="s">
        <v>220</v>
      </c>
      <c r="CH119" s="509" t="s">
        <v>219</v>
      </c>
      <c r="CI119" s="509" t="s">
        <v>220</v>
      </c>
      <c r="CJ119" s="509" t="s">
        <v>219</v>
      </c>
      <c r="CK119" s="509" t="s">
        <v>220</v>
      </c>
      <c r="CL119" s="509" t="s">
        <v>219</v>
      </c>
      <c r="CM119" s="510" t="s">
        <v>220</v>
      </c>
    </row>
    <row r="120" spans="1:91" ht="13.5" thickTop="1">
      <c r="A120" s="557">
        <v>46023</v>
      </c>
      <c r="B120" s="519">
        <v>0.83969336576326548</v>
      </c>
      <c r="C120" s="520">
        <v>0.83969336576326548</v>
      </c>
      <c r="D120" s="520">
        <v>0.83969336576326548</v>
      </c>
      <c r="E120" s="520">
        <v>0.83969336576326548</v>
      </c>
      <c r="F120" s="521">
        <v>56.256</v>
      </c>
      <c r="G120" s="521">
        <v>56.256</v>
      </c>
      <c r="H120" s="521">
        <v>2.2993991751990897</v>
      </c>
      <c r="I120" s="521">
        <v>2.2993991751990897</v>
      </c>
      <c r="J120" s="521">
        <v>924.19084186569603</v>
      </c>
      <c r="K120" s="547">
        <v>924.19084186569603</v>
      </c>
      <c r="L120" s="519">
        <v>0.96216878636233738</v>
      </c>
      <c r="M120" s="520">
        <v>0.96216878636233738</v>
      </c>
      <c r="N120" s="520">
        <v>0.96216878636233738</v>
      </c>
      <c r="O120" s="520">
        <v>0.96216878636233738</v>
      </c>
      <c r="P120" s="521">
        <v>60.881999999999998</v>
      </c>
      <c r="Q120" s="521">
        <v>60.881999999999998</v>
      </c>
      <c r="R120" s="521">
        <v>1.9097762885581946</v>
      </c>
      <c r="S120" s="521">
        <v>1.9097762885581946</v>
      </c>
      <c r="T120" s="521">
        <v>0.25623336946880854</v>
      </c>
      <c r="U120" s="521">
        <v>0.25623336946880854</v>
      </c>
      <c r="V120" s="521">
        <v>552.27357839757133</v>
      </c>
      <c r="W120" s="521">
        <v>552.27357839757133</v>
      </c>
      <c r="X120" s="521">
        <v>479.27137741861304</v>
      </c>
      <c r="Y120" s="555">
        <v>479.27137741861304</v>
      </c>
      <c r="Z120" s="521">
        <v>0</v>
      </c>
      <c r="AA120" s="555">
        <v>0</v>
      </c>
      <c r="AB120" s="519">
        <v>0.92572139748662596</v>
      </c>
      <c r="AC120" s="520">
        <v>0.92572139748662596</v>
      </c>
      <c r="AD120" s="520">
        <v>0.92572139748662596</v>
      </c>
      <c r="AE120" s="520">
        <v>0.92572139748662596</v>
      </c>
      <c r="AF120" s="521">
        <v>39.265999999999998</v>
      </c>
      <c r="AG120" s="521">
        <v>39.265999999999998</v>
      </c>
      <c r="AH120" s="521">
        <v>137.20192500371562</v>
      </c>
      <c r="AI120" s="521">
        <v>137.20192500371562</v>
      </c>
      <c r="AJ120" s="521">
        <v>1.281006468700657</v>
      </c>
      <c r="AK120" s="521">
        <v>1.281006468700657</v>
      </c>
      <c r="AL120" s="521">
        <v>979.50593388679545</v>
      </c>
      <c r="AM120" s="555">
        <v>979.50593388679545</v>
      </c>
      <c r="AN120" s="587"/>
      <c r="AO120" s="587"/>
      <c r="AP120" s="519">
        <v>0.80407708966905955</v>
      </c>
      <c r="AQ120" s="520">
        <v>0.80407708966905955</v>
      </c>
      <c r="AR120" s="520">
        <v>0.80407708966905955</v>
      </c>
      <c r="AS120" s="520">
        <v>0.80407708966905955</v>
      </c>
      <c r="AT120" s="521">
        <v>44.228000000000002</v>
      </c>
      <c r="AU120" s="521">
        <v>44.228000000000002</v>
      </c>
      <c r="AV120" s="522">
        <v>104.22794113192748</v>
      </c>
      <c r="AW120" s="522">
        <v>104.22794113192747</v>
      </c>
      <c r="AX120" s="521">
        <v>1.4131319526092068</v>
      </c>
      <c r="AY120" s="521">
        <v>1.4131319526092068</v>
      </c>
      <c r="AZ120" s="521">
        <v>0.11078954508456182</v>
      </c>
      <c r="BA120" s="521">
        <v>0.11078954508456182</v>
      </c>
      <c r="BB120" s="521">
        <v>867.57890928823394</v>
      </c>
      <c r="BC120" s="521">
        <v>867.57890928823394</v>
      </c>
      <c r="BD120" s="521">
        <v>572.48801664104087</v>
      </c>
      <c r="BE120" s="555">
        <v>572.48801664104087</v>
      </c>
      <c r="BF120" s="521">
        <v>3.1608935515960108</v>
      </c>
      <c r="BG120" s="547">
        <v>3.1608935515960108</v>
      </c>
      <c r="BH120" s="519">
        <v>1.0139614048564334</v>
      </c>
      <c r="BI120" s="520">
        <v>1.0139614048564334</v>
      </c>
      <c r="BJ120" s="520">
        <v>1.0139614048564334</v>
      </c>
      <c r="BK120" s="520">
        <v>1.0139614048564334</v>
      </c>
      <c r="BL120" s="521">
        <v>56.798000000000002</v>
      </c>
      <c r="BM120" s="521">
        <v>56.798000000000002</v>
      </c>
      <c r="BN120" s="521">
        <v>2.3152223669847527</v>
      </c>
      <c r="BO120" s="521">
        <v>2.3152223669847527</v>
      </c>
      <c r="BP120" s="522">
        <v>0</v>
      </c>
      <c r="BQ120" s="522">
        <v>0</v>
      </c>
      <c r="BR120" s="522">
        <v>831.62249532967417</v>
      </c>
      <c r="BS120" s="522">
        <v>831.62249532967417</v>
      </c>
      <c r="BT120" s="522">
        <v>0</v>
      </c>
      <c r="BU120" s="523">
        <v>0</v>
      </c>
      <c r="BV120" s="588">
        <v>0.893099097926073</v>
      </c>
      <c r="BW120" s="589">
        <v>0.893099097926073</v>
      </c>
      <c r="BX120" s="589">
        <v>0.893099097926073</v>
      </c>
      <c r="BY120" s="589">
        <v>0.893099097926073</v>
      </c>
      <c r="BZ120" s="587">
        <v>40.948999999999998</v>
      </c>
      <c r="CA120" s="587">
        <v>40.948999999999998</v>
      </c>
      <c r="CB120" s="590">
        <v>103.73478796603624</v>
      </c>
      <c r="CC120" s="590">
        <v>103.73478796603624</v>
      </c>
      <c r="CD120" s="587">
        <v>2.3688002149014631</v>
      </c>
      <c r="CE120" s="587">
        <v>2.3688002149014631</v>
      </c>
      <c r="CF120" s="590">
        <v>0</v>
      </c>
      <c r="CG120" s="590">
        <v>0</v>
      </c>
      <c r="CH120" s="590">
        <v>1101.1098075719717</v>
      </c>
      <c r="CI120" s="590">
        <v>1101.1098075719717</v>
      </c>
      <c r="CJ120" s="590">
        <v>0</v>
      </c>
      <c r="CK120" s="590">
        <v>0</v>
      </c>
      <c r="CL120" s="590"/>
      <c r="CM120" s="591"/>
    </row>
    <row r="121" spans="1:91">
      <c r="A121" s="558">
        <v>46024</v>
      </c>
      <c r="B121" s="513">
        <v>0.25486980838383616</v>
      </c>
      <c r="C121" s="514">
        <v>0.54470348792118195</v>
      </c>
      <c r="D121" s="514">
        <v>0.25486980838383616</v>
      </c>
      <c r="E121" s="514">
        <v>0.54470348792118195</v>
      </c>
      <c r="F121" s="511">
        <v>17.379000000000001</v>
      </c>
      <c r="G121" s="511">
        <v>73.635000000000005</v>
      </c>
      <c r="H121" s="511">
        <v>4.3790781978249615</v>
      </c>
      <c r="I121" s="511">
        <v>2.7902356216473141</v>
      </c>
      <c r="J121" s="511">
        <v>1882.7780654814799</v>
      </c>
      <c r="K121" s="512">
        <v>1150.4322672641981</v>
      </c>
      <c r="L121" s="513">
        <v>0.83344682181130691</v>
      </c>
      <c r="M121" s="514">
        <v>0.89683363915360426</v>
      </c>
      <c r="N121" s="514">
        <v>0.90278609635979645</v>
      </c>
      <c r="O121" s="514">
        <v>0.93321425185193996</v>
      </c>
      <c r="P121" s="511">
        <v>54.357999999999997</v>
      </c>
      <c r="Q121" s="511">
        <v>115.24</v>
      </c>
      <c r="R121" s="511">
        <v>1.636576032966629</v>
      </c>
      <c r="S121" s="511">
        <v>1.780909406456092</v>
      </c>
      <c r="T121" s="511">
        <v>0.27042937562088376</v>
      </c>
      <c r="U121" s="511">
        <v>0.26292953835473792</v>
      </c>
      <c r="V121" s="511">
        <v>533.15243386435213</v>
      </c>
      <c r="W121" s="511">
        <v>543.25425199582958</v>
      </c>
      <c r="X121" s="511">
        <v>463.66680157474519</v>
      </c>
      <c r="Y121" s="576">
        <v>471.91079486289482</v>
      </c>
      <c r="Z121" s="511">
        <v>0</v>
      </c>
      <c r="AA121" s="576">
        <v>0</v>
      </c>
      <c r="AB121" s="513">
        <v>0.86629391191108562</v>
      </c>
      <c r="AC121" s="514">
        <v>0.89621951655314736</v>
      </c>
      <c r="AD121" s="514">
        <v>0.86629391191108562</v>
      </c>
      <c r="AE121" s="514">
        <v>0.89621951655314736</v>
      </c>
      <c r="AF121" s="511">
        <v>36.225000000000001</v>
      </c>
      <c r="AG121" s="511">
        <v>75.491</v>
      </c>
      <c r="AH121" s="511">
        <v>151.06465634442364</v>
      </c>
      <c r="AI121" s="511">
        <v>143.85407483372379</v>
      </c>
      <c r="AJ121" s="511">
        <v>1.3112491373360937</v>
      </c>
      <c r="AK121" s="511">
        <v>1.2955186710998661</v>
      </c>
      <c r="AL121" s="511">
        <v>1107.2684610076215</v>
      </c>
      <c r="AM121" s="576">
        <v>1040.8138718522737</v>
      </c>
      <c r="AN121" s="587"/>
      <c r="AO121" s="587"/>
      <c r="AP121" s="513">
        <v>0.8428772457953152</v>
      </c>
      <c r="AQ121" s="514">
        <v>0.82348382082965399</v>
      </c>
      <c r="AR121" s="514">
        <v>0.8428772457953152</v>
      </c>
      <c r="AS121" s="514">
        <v>0.82348382082965399</v>
      </c>
      <c r="AT121" s="511">
        <v>46.393999999999998</v>
      </c>
      <c r="AU121" s="511">
        <v>90.622</v>
      </c>
      <c r="AV121" s="515">
        <v>112.42126627667913</v>
      </c>
      <c r="AW121" s="515">
        <v>108.42252000643487</v>
      </c>
      <c r="AX121" s="511">
        <v>1.4096650428934778</v>
      </c>
      <c r="AY121" s="511">
        <v>1.4113570656132066</v>
      </c>
      <c r="AZ121" s="511">
        <v>8.8373496572832694E-2</v>
      </c>
      <c r="BA121" s="511">
        <v>9.931363245128115E-2</v>
      </c>
      <c r="BB121" s="511">
        <v>940.00948398499952</v>
      </c>
      <c r="BC121" s="511">
        <v>904.65979563461497</v>
      </c>
      <c r="BD121" s="511">
        <v>577.22981420011115</v>
      </c>
      <c r="BE121" s="576">
        <v>574.91558341241546</v>
      </c>
      <c r="BF121" s="511">
        <v>24.143208173470835</v>
      </c>
      <c r="BG121" s="512">
        <v>13.902805058374282</v>
      </c>
      <c r="BH121" s="513">
        <v>0.75939699464030008</v>
      </c>
      <c r="BI121" s="514">
        <v>0.88472486810003148</v>
      </c>
      <c r="BJ121" s="514">
        <v>0.75939699464030008</v>
      </c>
      <c r="BK121" s="514">
        <v>0.88472486810003148</v>
      </c>
      <c r="BL121" s="511">
        <v>43.865000000000002</v>
      </c>
      <c r="BM121" s="511">
        <v>100.66300000000001</v>
      </c>
      <c r="BN121" s="511">
        <v>2.4666590675937536</v>
      </c>
      <c r="BO121" s="511">
        <v>2.3812125607224099</v>
      </c>
      <c r="BP121" s="515">
        <v>0</v>
      </c>
      <c r="BQ121" s="515">
        <v>0</v>
      </c>
      <c r="BR121" s="515">
        <v>876.14042546547671</v>
      </c>
      <c r="BS121" s="515">
        <v>851.02166886321652</v>
      </c>
      <c r="BT121" s="515">
        <v>0</v>
      </c>
      <c r="BU121" s="516">
        <v>0</v>
      </c>
      <c r="BV121" s="513">
        <v>0.40239946001262877</v>
      </c>
      <c r="BW121" s="514">
        <v>0.64754465026296493</v>
      </c>
      <c r="BX121" s="514">
        <v>0.45879273350608502</v>
      </c>
      <c r="BY121" s="514">
        <v>0.68998536828730939</v>
      </c>
      <c r="BZ121" s="511">
        <v>18.481000000000002</v>
      </c>
      <c r="CA121" s="511">
        <v>59.43</v>
      </c>
      <c r="CB121" s="515">
        <v>170.28356670542721</v>
      </c>
      <c r="CC121" s="515">
        <v>124.42952092721215</v>
      </c>
      <c r="CD121" s="511">
        <v>3.5495914723229256</v>
      </c>
      <c r="CE121" s="511">
        <v>2.735991923271075</v>
      </c>
      <c r="CF121" s="515">
        <v>0</v>
      </c>
      <c r="CG121" s="515">
        <v>0</v>
      </c>
      <c r="CH121" s="515">
        <v>1819.1926972002304</v>
      </c>
      <c r="CI121" s="515">
        <v>1324.4126829416475</v>
      </c>
      <c r="CJ121" s="515">
        <v>0</v>
      </c>
      <c r="CK121" s="515">
        <v>0</v>
      </c>
      <c r="CL121" s="515"/>
      <c r="CM121" s="516"/>
    </row>
    <row r="122" spans="1:91">
      <c r="A122" s="558">
        <v>46025</v>
      </c>
      <c r="B122" s="513">
        <v>0.84263383081147414</v>
      </c>
      <c r="C122" s="514">
        <v>0.63680368928654552</v>
      </c>
      <c r="D122" s="514">
        <v>0.84263383081147414</v>
      </c>
      <c r="E122" s="514">
        <v>0.63680368928654552</v>
      </c>
      <c r="F122" s="511">
        <v>50.97</v>
      </c>
      <c r="G122" s="511">
        <v>124.605</v>
      </c>
      <c r="H122" s="511">
        <v>2.5899352560329607</v>
      </c>
      <c r="I122" s="511">
        <v>2.7083022350627983</v>
      </c>
      <c r="J122" s="511">
        <v>965.99097508334808</v>
      </c>
      <c r="K122" s="512">
        <v>1074.9860760001404</v>
      </c>
      <c r="L122" s="513">
        <v>0.9574573203300023</v>
      </c>
      <c r="M122" s="514">
        <v>0.9173736434199089</v>
      </c>
      <c r="N122" s="514">
        <v>0.9574573203300023</v>
      </c>
      <c r="O122" s="514">
        <v>0.94164540438484445</v>
      </c>
      <c r="P122" s="511">
        <v>63.043999999999997</v>
      </c>
      <c r="Q122" s="511">
        <v>178.28399999999999</v>
      </c>
      <c r="R122" s="511">
        <v>1.3877926527504598</v>
      </c>
      <c r="S122" s="511">
        <v>1.6418971977294656</v>
      </c>
      <c r="T122" s="511">
        <v>0.2664805532643868</v>
      </c>
      <c r="U122" s="511">
        <v>0.26418523255031295</v>
      </c>
      <c r="V122" s="511">
        <v>446.90279804581763</v>
      </c>
      <c r="W122" s="511">
        <v>509.18287675842987</v>
      </c>
      <c r="X122" s="511">
        <v>452.47763466785102</v>
      </c>
      <c r="Y122" s="576">
        <v>465.03892665634606</v>
      </c>
      <c r="Z122" s="511">
        <v>0</v>
      </c>
      <c r="AA122" s="576">
        <v>0</v>
      </c>
      <c r="AB122" s="513">
        <v>0.89852330025876048</v>
      </c>
      <c r="AC122" s="514">
        <v>0.8969908659211091</v>
      </c>
      <c r="AD122" s="514">
        <v>0.89852330025876048</v>
      </c>
      <c r="AE122" s="514">
        <v>0.8969908659211091</v>
      </c>
      <c r="AF122" s="511">
        <v>38.095999999999997</v>
      </c>
      <c r="AG122" s="511">
        <v>113.58699999999999</v>
      </c>
      <c r="AH122" s="511">
        <v>135.54879778493685</v>
      </c>
      <c r="AI122" s="511">
        <v>141.06856386459367</v>
      </c>
      <c r="AJ122" s="511">
        <v>1.2389752204955902</v>
      </c>
      <c r="AK122" s="511">
        <v>1.2765545352901302</v>
      </c>
      <c r="AL122" s="511">
        <v>994.76480470386764</v>
      </c>
      <c r="AM122" s="576">
        <v>1025.3694524901491</v>
      </c>
      <c r="AN122" s="587"/>
      <c r="AO122" s="587"/>
      <c r="AP122" s="513">
        <v>0.78157906440734748</v>
      </c>
      <c r="AQ122" s="514">
        <v>0.80951237552232824</v>
      </c>
      <c r="AR122" s="514">
        <v>0.78157906440734748</v>
      </c>
      <c r="AS122" s="514">
        <v>0.80951237552232824</v>
      </c>
      <c r="AT122" s="511">
        <v>43.02</v>
      </c>
      <c r="AU122" s="511">
        <v>133.642</v>
      </c>
      <c r="AV122" s="515">
        <v>111.80562536959437</v>
      </c>
      <c r="AW122" s="515">
        <v>109.51155782929835</v>
      </c>
      <c r="AX122" s="511">
        <v>1.4458391445839145</v>
      </c>
      <c r="AY122" s="511">
        <v>1.4224570120171804</v>
      </c>
      <c r="AZ122" s="511">
        <v>0</v>
      </c>
      <c r="BA122" s="511">
        <v>6.7344098412175812E-2</v>
      </c>
      <c r="BB122" s="511">
        <v>915.77312877731072</v>
      </c>
      <c r="BC122" s="511">
        <v>908.23723081067317</v>
      </c>
      <c r="BD122" s="511">
        <v>594.37470943747189</v>
      </c>
      <c r="BE122" s="576">
        <v>581.17956929707691</v>
      </c>
      <c r="BF122" s="511">
        <v>27.896327289632865</v>
      </c>
      <c r="BG122" s="512">
        <v>18.407386899328053</v>
      </c>
      <c r="BH122" s="513">
        <v>0.93695611509621168</v>
      </c>
      <c r="BI122" s="514">
        <v>0.90256458319445787</v>
      </c>
      <c r="BJ122" s="514">
        <v>0.93695611509621168</v>
      </c>
      <c r="BK122" s="514">
        <v>0.90256458319445787</v>
      </c>
      <c r="BL122" s="511">
        <v>55.298999999999999</v>
      </c>
      <c r="BM122" s="511">
        <v>155.96200000000002</v>
      </c>
      <c r="BN122" s="511">
        <v>2.3653230618998538</v>
      </c>
      <c r="BO122" s="511">
        <v>2.3755786665982739</v>
      </c>
      <c r="BP122" s="515">
        <v>0</v>
      </c>
      <c r="BQ122" s="515">
        <v>0</v>
      </c>
      <c r="BR122" s="515">
        <v>760.94855047597866</v>
      </c>
      <c r="BS122" s="515">
        <v>819.08470105249421</v>
      </c>
      <c r="BT122" s="515">
        <v>0</v>
      </c>
      <c r="BU122" s="516">
        <v>0</v>
      </c>
      <c r="BV122" s="513">
        <v>0.9521060916958517</v>
      </c>
      <c r="BW122" s="514">
        <v>0.75104253241833974</v>
      </c>
      <c r="BX122" s="514">
        <v>0.9521060916958517</v>
      </c>
      <c r="BY122" s="514">
        <v>0.7828309779824747</v>
      </c>
      <c r="BZ122" s="511">
        <v>44.98</v>
      </c>
      <c r="CA122" s="511">
        <v>104.41</v>
      </c>
      <c r="CB122" s="515">
        <v>95.3813916448443</v>
      </c>
      <c r="CC122" s="515">
        <v>111.91553897988042</v>
      </c>
      <c r="CD122" s="511">
        <v>2.1164962205424636</v>
      </c>
      <c r="CE122" s="511">
        <v>2.4691121540082368</v>
      </c>
      <c r="CF122" s="515">
        <v>0</v>
      </c>
      <c r="CG122" s="515">
        <v>0</v>
      </c>
      <c r="CH122" s="515">
        <v>981.99168757734139</v>
      </c>
      <c r="CI122" s="515">
        <v>1176.8971540508662</v>
      </c>
      <c r="CJ122" s="515">
        <v>0</v>
      </c>
      <c r="CK122" s="515">
        <v>0</v>
      </c>
      <c r="CL122" s="515"/>
      <c r="CM122" s="516"/>
    </row>
    <row r="123" spans="1:91">
      <c r="A123" s="558">
        <v>46026</v>
      </c>
      <c r="B123" s="513">
        <v>0.83497904599266193</v>
      </c>
      <c r="C123" s="514">
        <v>0.68666015792175317</v>
      </c>
      <c r="D123" s="514">
        <v>0.83497904599266193</v>
      </c>
      <c r="E123" s="514">
        <v>0.68666015792175317</v>
      </c>
      <c r="F123" s="511">
        <v>54.92</v>
      </c>
      <c r="G123" s="511">
        <v>179.52500000000001</v>
      </c>
      <c r="H123" s="511">
        <v>2.3164603058994899</v>
      </c>
      <c r="I123" s="511">
        <v>2.5884305806990668</v>
      </c>
      <c r="J123" s="511">
        <v>931.84632192283311</v>
      </c>
      <c r="K123" s="512">
        <v>1031.196992062384</v>
      </c>
      <c r="L123" s="513">
        <v>0.92521145109736713</v>
      </c>
      <c r="M123" s="514">
        <v>0.91933736504320374</v>
      </c>
      <c r="N123" s="514">
        <v>0.92521145109736713</v>
      </c>
      <c r="O123" s="514">
        <v>0.93744685647533743</v>
      </c>
      <c r="P123" s="511">
        <v>60.11</v>
      </c>
      <c r="Q123" s="511">
        <v>238.39400000000001</v>
      </c>
      <c r="R123" s="511">
        <v>1.4041424055897522</v>
      </c>
      <c r="S123" s="511">
        <v>1.5819483711838387</v>
      </c>
      <c r="T123" s="511">
        <v>0.26784228913658298</v>
      </c>
      <c r="U123" s="511">
        <v>0.26510734330562008</v>
      </c>
      <c r="V123" s="511">
        <v>482.65180502412818</v>
      </c>
      <c r="W123" s="511">
        <v>502.49318355327841</v>
      </c>
      <c r="X123" s="511">
        <v>473.23240725336882</v>
      </c>
      <c r="Y123" s="576">
        <v>467.1048768005906</v>
      </c>
      <c r="Z123" s="511">
        <v>0</v>
      </c>
      <c r="AA123" s="576">
        <v>0</v>
      </c>
      <c r="AB123" s="513">
        <v>0.89508814191455766</v>
      </c>
      <c r="AC123" s="514">
        <v>0.89651356281276418</v>
      </c>
      <c r="AD123" s="514">
        <v>0.89508814191455766</v>
      </c>
      <c r="AE123" s="514">
        <v>0.89651356281276418</v>
      </c>
      <c r="AF123" s="511">
        <v>37.954000000000001</v>
      </c>
      <c r="AG123" s="511">
        <v>151.541</v>
      </c>
      <c r="AH123" s="511">
        <v>136.30978979240913</v>
      </c>
      <c r="AI123" s="511">
        <v>139.87671142112495</v>
      </c>
      <c r="AJ123" s="511">
        <v>1.269958370659219</v>
      </c>
      <c r="AK123" s="511">
        <v>1.2749025016332214</v>
      </c>
      <c r="AL123" s="511">
        <v>1055.1457026927717</v>
      </c>
      <c r="AM123" s="576">
        <v>1032.8270237097552</v>
      </c>
      <c r="AN123" s="587"/>
      <c r="AO123" s="587"/>
      <c r="AP123" s="513">
        <v>0.87693646703316508</v>
      </c>
      <c r="AQ123" s="514">
        <v>0.8262782069023118</v>
      </c>
      <c r="AR123" s="514">
        <v>0.87693646703316508</v>
      </c>
      <c r="AS123" s="514">
        <v>0.8262782069023118</v>
      </c>
      <c r="AT123" s="511">
        <v>47.914000000000001</v>
      </c>
      <c r="AU123" s="511">
        <v>181.55599999999998</v>
      </c>
      <c r="AV123" s="515">
        <v>103.40131377551815</v>
      </c>
      <c r="AW123" s="515">
        <v>107.89901826248247</v>
      </c>
      <c r="AX123" s="511">
        <v>1.387903326793839</v>
      </c>
      <c r="AY123" s="511">
        <v>1.4133380334442269</v>
      </c>
      <c r="AZ123" s="511">
        <v>0</v>
      </c>
      <c r="BA123" s="511">
        <v>4.9571482077155261E-2</v>
      </c>
      <c r="BB123" s="511">
        <v>881.09946988354238</v>
      </c>
      <c r="BC123" s="511">
        <v>901.07537068452746</v>
      </c>
      <c r="BD123" s="511">
        <v>528.86421505196904</v>
      </c>
      <c r="BE123" s="576">
        <v>567.3731520853072</v>
      </c>
      <c r="BF123" s="511">
        <v>26.29294152022349</v>
      </c>
      <c r="BG123" s="512">
        <v>20.488444336733512</v>
      </c>
      <c r="BH123" s="513">
        <v>0.98003431811664887</v>
      </c>
      <c r="BI123" s="514">
        <v>0.92254672732283638</v>
      </c>
      <c r="BJ123" s="514">
        <v>0.98003431811664887</v>
      </c>
      <c r="BK123" s="514">
        <v>0.92254672732283638</v>
      </c>
      <c r="BL123" s="511">
        <v>58.863999999999997</v>
      </c>
      <c r="BM123" s="511">
        <v>214.82600000000002</v>
      </c>
      <c r="BN123" s="511">
        <v>2.2679396575156292</v>
      </c>
      <c r="BO123" s="511">
        <v>2.3460847383463825</v>
      </c>
      <c r="BP123" s="515">
        <v>0</v>
      </c>
      <c r="BQ123" s="515">
        <v>0</v>
      </c>
      <c r="BR123" s="515">
        <v>743.04920639341083</v>
      </c>
      <c r="BS123" s="515">
        <v>798.25038231261965</v>
      </c>
      <c r="BT123" s="515">
        <v>0</v>
      </c>
      <c r="BU123" s="516">
        <v>0</v>
      </c>
      <c r="BV123" s="513">
        <v>0.79138435800801521</v>
      </c>
      <c r="BW123" s="514">
        <v>0.7614205419073693</v>
      </c>
      <c r="BX123" s="514">
        <v>0.79138435800801521</v>
      </c>
      <c r="BY123" s="514">
        <v>0.785099779742504</v>
      </c>
      <c r="BZ123" s="511">
        <v>38.104999999999997</v>
      </c>
      <c r="CA123" s="511">
        <v>142.51499999999999</v>
      </c>
      <c r="CB123" s="515">
        <v>118.229305602381</v>
      </c>
      <c r="CC123" s="515">
        <v>113.6036846287622</v>
      </c>
      <c r="CD123" s="511">
        <v>2.5718409657525263</v>
      </c>
      <c r="CE123" s="511">
        <v>2.4965793074413223</v>
      </c>
      <c r="CF123" s="515">
        <v>0</v>
      </c>
      <c r="CG123" s="515">
        <v>0</v>
      </c>
      <c r="CH123" s="515">
        <v>1157.3848973850736</v>
      </c>
      <c r="CI123" s="515">
        <v>1171.6800573224516</v>
      </c>
      <c r="CJ123" s="515">
        <v>0</v>
      </c>
      <c r="CK123" s="515">
        <v>0</v>
      </c>
      <c r="CL123" s="515"/>
      <c r="CM123" s="516"/>
    </row>
    <row r="124" spans="1:91">
      <c r="A124" s="558">
        <v>46027</v>
      </c>
      <c r="B124" s="513">
        <v>0.83046203123333773</v>
      </c>
      <c r="C124" s="514">
        <v>0.71332495035409915</v>
      </c>
      <c r="D124" s="514">
        <v>0.83046203123333773</v>
      </c>
      <c r="E124" s="514">
        <v>0.71332495035409915</v>
      </c>
      <c r="F124" s="511">
        <v>49.424999999999997</v>
      </c>
      <c r="G124" s="511">
        <v>228.95</v>
      </c>
      <c r="H124" s="511">
        <v>2.4468791097622664</v>
      </c>
      <c r="I124" s="511">
        <v>2.5578728980126666</v>
      </c>
      <c r="J124" s="511">
        <v>1041.7355589276349</v>
      </c>
      <c r="K124" s="512">
        <v>1033.4720244594796</v>
      </c>
      <c r="L124" s="513">
        <v>0.66619491268281161</v>
      </c>
      <c r="M124" s="514">
        <v>0.86876503270065619</v>
      </c>
      <c r="N124" s="514">
        <v>0.66619491268281161</v>
      </c>
      <c r="O124" s="514">
        <v>0.88240578574607942</v>
      </c>
      <c r="P124" s="511">
        <v>43.128</v>
      </c>
      <c r="Q124" s="511">
        <v>281.52199999999999</v>
      </c>
      <c r="R124" s="511">
        <v>2.0358467816731589</v>
      </c>
      <c r="S124" s="511">
        <v>1.6514837206328461</v>
      </c>
      <c r="T124" s="511">
        <v>0.39649415692821371</v>
      </c>
      <c r="U124" s="511">
        <v>0.28523525692485846</v>
      </c>
      <c r="V124" s="511">
        <v>703.6094880355945</v>
      </c>
      <c r="W124" s="511">
        <v>533.30336527873271</v>
      </c>
      <c r="X124" s="511">
        <v>661.93656093489153</v>
      </c>
      <c r="Y124" s="576">
        <v>496.95228081641932</v>
      </c>
      <c r="Z124" s="511">
        <v>0</v>
      </c>
      <c r="AA124" s="576">
        <v>0</v>
      </c>
      <c r="AB124" s="513">
        <v>0.88921545164713922</v>
      </c>
      <c r="AC124" s="514">
        <v>0.89495129855725253</v>
      </c>
      <c r="AD124" s="514">
        <v>0.88921545164713922</v>
      </c>
      <c r="AE124" s="514">
        <v>0.89495129855725253</v>
      </c>
      <c r="AF124" s="511">
        <v>40.939</v>
      </c>
      <c r="AG124" s="511">
        <v>192.48</v>
      </c>
      <c r="AH124" s="511">
        <v>130.81833457312266</v>
      </c>
      <c r="AI124" s="511">
        <v>137.95006506939819</v>
      </c>
      <c r="AJ124" s="511">
        <v>1.2946090524927332</v>
      </c>
      <c r="AK124" s="511">
        <v>1.279093931837074</v>
      </c>
      <c r="AL124" s="511">
        <v>910.81316104445409</v>
      </c>
      <c r="AM124" s="576">
        <v>1006.8756234413909</v>
      </c>
      <c r="AN124" s="587"/>
      <c r="AO124" s="587"/>
      <c r="AP124" s="513">
        <v>0.9169862600616735</v>
      </c>
      <c r="AQ124" s="514">
        <v>0.84387501858670522</v>
      </c>
      <c r="AR124" s="514">
        <v>0.9169862600616735</v>
      </c>
      <c r="AS124" s="514">
        <v>0.84387501858670522</v>
      </c>
      <c r="AT124" s="511">
        <v>48.494999999999997</v>
      </c>
      <c r="AU124" s="511">
        <v>230.05099999999999</v>
      </c>
      <c r="AV124" s="515">
        <v>108.2319504848991</v>
      </c>
      <c r="AW124" s="515">
        <v>107.96920073561274</v>
      </c>
      <c r="AX124" s="511">
        <v>1.40633054954119</v>
      </c>
      <c r="AY124" s="511">
        <v>1.4118608482466932</v>
      </c>
      <c r="AZ124" s="511">
        <v>0</v>
      </c>
      <c r="BA124" s="511">
        <v>3.912175995757463E-2</v>
      </c>
      <c r="BB124" s="511">
        <v>861.48633879781528</v>
      </c>
      <c r="BC124" s="511">
        <v>892.72995987846218</v>
      </c>
      <c r="BD124" s="511">
        <v>580.05979997937845</v>
      </c>
      <c r="BE124" s="576">
        <v>570.04751120403705</v>
      </c>
      <c r="BF124" s="511">
        <v>24.953087947211174</v>
      </c>
      <c r="BG124" s="512">
        <v>21.429596046094105</v>
      </c>
      <c r="BH124" s="513">
        <v>0.87381291796328597</v>
      </c>
      <c r="BI124" s="514">
        <v>0.91316985479215196</v>
      </c>
      <c r="BJ124" s="514">
        <v>0.87381291796328597</v>
      </c>
      <c r="BK124" s="514">
        <v>0.91316985479215196</v>
      </c>
      <c r="BL124" s="511">
        <v>48.478999999999999</v>
      </c>
      <c r="BM124" s="511">
        <v>263.30500000000001</v>
      </c>
      <c r="BN124" s="511">
        <v>2.6588832277893522</v>
      </c>
      <c r="BO124" s="511">
        <v>2.4036763449231877</v>
      </c>
      <c r="BP124" s="515">
        <v>0</v>
      </c>
      <c r="BQ124" s="515">
        <v>0</v>
      </c>
      <c r="BR124" s="515">
        <v>885.18874113824927</v>
      </c>
      <c r="BS124" s="515">
        <v>814.25723633175232</v>
      </c>
      <c r="BT124" s="515">
        <v>0</v>
      </c>
      <c r="BU124" s="516">
        <v>0</v>
      </c>
      <c r="BV124" s="513">
        <v>0.86086790925526724</v>
      </c>
      <c r="BW124" s="514">
        <v>0.78190820405637229</v>
      </c>
      <c r="BX124" s="514">
        <v>0.86086790925526724</v>
      </c>
      <c r="BY124" s="514">
        <v>0.80109213306186378</v>
      </c>
      <c r="BZ124" s="511">
        <v>41.808</v>
      </c>
      <c r="CA124" s="511">
        <v>184.32299999999998</v>
      </c>
      <c r="CB124" s="515">
        <v>107.12590322774945</v>
      </c>
      <c r="CC124" s="515">
        <v>112.13439927200508</v>
      </c>
      <c r="CD124" s="511">
        <v>2.3799272866437047</v>
      </c>
      <c r="CE124" s="511">
        <v>2.470120386495446</v>
      </c>
      <c r="CF124" s="515">
        <v>0</v>
      </c>
      <c r="CG124" s="515">
        <v>0</v>
      </c>
      <c r="CH124" s="515">
        <v>993.35713304532283</v>
      </c>
      <c r="CI124" s="515">
        <v>1131.2329898475398</v>
      </c>
      <c r="CJ124" s="515">
        <v>0</v>
      </c>
      <c r="CK124" s="515">
        <v>0</v>
      </c>
      <c r="CL124" s="515"/>
      <c r="CM124" s="516"/>
    </row>
    <row r="125" spans="1:91">
      <c r="A125" s="558">
        <v>46028</v>
      </c>
      <c r="B125" s="513">
        <v>0.78226825163545144</v>
      </c>
      <c r="C125" s="514">
        <v>0.72377379395050845</v>
      </c>
      <c r="D125" s="514">
        <v>0.78226825163545144</v>
      </c>
      <c r="E125" s="514">
        <v>0.72377379395050845</v>
      </c>
      <c r="F125" s="511">
        <v>44.85</v>
      </c>
      <c r="G125" s="511">
        <v>273.8</v>
      </c>
      <c r="H125" s="511">
        <v>2.4364771460423631</v>
      </c>
      <c r="I125" s="511">
        <v>2.537987582176771</v>
      </c>
      <c r="J125" s="511">
        <v>1096.2849498327469</v>
      </c>
      <c r="K125" s="512">
        <v>1043.7611395178835</v>
      </c>
      <c r="L125" s="513">
        <v>0.77430996800197749</v>
      </c>
      <c r="M125" s="514">
        <v>0.85231751775744724</v>
      </c>
      <c r="N125" s="514">
        <v>0.77430996800197749</v>
      </c>
      <c r="O125" s="514">
        <v>0.86333958459841331</v>
      </c>
      <c r="P125" s="511">
        <v>52.904000000000003</v>
      </c>
      <c r="Q125" s="511">
        <v>334.42599999999999</v>
      </c>
      <c r="R125" s="511">
        <v>1.6551678512021775</v>
      </c>
      <c r="S125" s="511">
        <v>1.6520665259280085</v>
      </c>
      <c r="T125" s="511">
        <v>0.32700740964766367</v>
      </c>
      <c r="U125" s="511">
        <v>0.29184333753954539</v>
      </c>
      <c r="V125" s="511">
        <v>594.71060789356363</v>
      </c>
      <c r="W125" s="511">
        <v>543.0175883454051</v>
      </c>
      <c r="X125" s="511">
        <v>551.31937093603506</v>
      </c>
      <c r="Y125" s="576">
        <v>505.5527979283907</v>
      </c>
      <c r="Z125" s="511">
        <v>0</v>
      </c>
      <c r="AA125" s="576">
        <v>0</v>
      </c>
      <c r="AB125" s="513">
        <v>0.84412500715075323</v>
      </c>
      <c r="AC125" s="514">
        <v>0.88642059498128301</v>
      </c>
      <c r="AD125" s="514">
        <v>0.84412500715075323</v>
      </c>
      <c r="AE125" s="514">
        <v>0.88642059498128301</v>
      </c>
      <c r="AF125" s="511">
        <v>36.616999999999997</v>
      </c>
      <c r="AG125" s="511">
        <v>229.09699999999998</v>
      </c>
      <c r="AH125" s="511">
        <v>152.08873355212162</v>
      </c>
      <c r="AI125" s="511">
        <v>140.20987477372381</v>
      </c>
      <c r="AJ125" s="511">
        <v>1.3900647240352841</v>
      </c>
      <c r="AK125" s="511">
        <v>1.2968306001388057</v>
      </c>
      <c r="AL125" s="511">
        <v>1115.8308982166654</v>
      </c>
      <c r="AM125" s="576">
        <v>1024.2901478413014</v>
      </c>
      <c r="AN125" s="587"/>
      <c r="AO125" s="587"/>
      <c r="AP125" s="513">
        <v>0.27067354026434548</v>
      </c>
      <c r="AQ125" s="514">
        <v>0.75293166490613217</v>
      </c>
      <c r="AR125" s="514">
        <v>0.4061402593999982</v>
      </c>
      <c r="AS125" s="514">
        <v>0.79500327698157913</v>
      </c>
      <c r="AT125" s="511">
        <v>13.914999999999999</v>
      </c>
      <c r="AU125" s="511">
        <v>243.96599999999998</v>
      </c>
      <c r="AV125" s="515">
        <v>162.59660091272809</v>
      </c>
      <c r="AW125" s="515">
        <v>111.0849638889397</v>
      </c>
      <c r="AX125" s="511">
        <v>2.2278117139777218</v>
      </c>
      <c r="AY125" s="511">
        <v>1.4583999409753821</v>
      </c>
      <c r="AZ125" s="511">
        <v>0</v>
      </c>
      <c r="BA125" s="511">
        <v>3.6890386365313201E-2</v>
      </c>
      <c r="BB125" s="511">
        <v>1629.0607258354239</v>
      </c>
      <c r="BC125" s="511">
        <v>934.72778993794236</v>
      </c>
      <c r="BD125" s="511">
        <v>1215.9540064678436</v>
      </c>
      <c r="BE125" s="576">
        <v>606.88784502758585</v>
      </c>
      <c r="BF125" s="511">
        <v>81.214516708588278</v>
      </c>
      <c r="BG125" s="512">
        <v>24.83952681931089</v>
      </c>
      <c r="BH125" s="513">
        <v>0.75984403128521205</v>
      </c>
      <c r="BI125" s="514">
        <v>0.88954190160933766</v>
      </c>
      <c r="BJ125" s="514">
        <v>0.75984403128521205</v>
      </c>
      <c r="BK125" s="514">
        <v>0.88954190160933766</v>
      </c>
      <c r="BL125" s="511">
        <v>39.914000000000001</v>
      </c>
      <c r="BM125" s="511">
        <v>303.21899999999999</v>
      </c>
      <c r="BN125" s="511">
        <v>3.1342386130179882</v>
      </c>
      <c r="BO125" s="511">
        <v>2.4998433475474822</v>
      </c>
      <c r="BP125" s="515">
        <v>0</v>
      </c>
      <c r="BQ125" s="515">
        <v>0</v>
      </c>
      <c r="BR125" s="515">
        <v>1301.560595433142</v>
      </c>
      <c r="BS125" s="515">
        <v>878.40303944822222</v>
      </c>
      <c r="BT125" s="515">
        <v>0</v>
      </c>
      <c r="BU125" s="516">
        <v>0</v>
      </c>
      <c r="BV125" s="513">
        <v>0.97237443624255759</v>
      </c>
      <c r="BW125" s="514">
        <v>0.81651209191318452</v>
      </c>
      <c r="BX125" s="514">
        <v>0.97237443624255759</v>
      </c>
      <c r="BY125" s="514">
        <v>0.83283268995732018</v>
      </c>
      <c r="BZ125" s="511">
        <v>50.890999999999998</v>
      </c>
      <c r="CA125" s="511">
        <v>235.21399999999997</v>
      </c>
      <c r="CB125" s="515">
        <v>97.530705661538377</v>
      </c>
      <c r="CC125" s="515">
        <v>108.97473797833098</v>
      </c>
      <c r="CD125" s="511">
        <v>1.9807038572635633</v>
      </c>
      <c r="CE125" s="511">
        <v>2.3642300203219202</v>
      </c>
      <c r="CF125" s="515">
        <v>0</v>
      </c>
      <c r="CG125" s="515">
        <v>0</v>
      </c>
      <c r="CH125" s="515">
        <v>900.64353999491402</v>
      </c>
      <c r="CI125" s="515">
        <v>1081.3425594630814</v>
      </c>
      <c r="CJ125" s="515">
        <v>0</v>
      </c>
      <c r="CK125" s="515">
        <v>0</v>
      </c>
      <c r="CL125" s="515"/>
      <c r="CM125" s="516"/>
    </row>
    <row r="126" spans="1:91">
      <c r="A126" s="558">
        <v>46029</v>
      </c>
      <c r="B126" s="513">
        <v>0.80782044771638595</v>
      </c>
      <c r="C126" s="514">
        <v>0.73512669143228115</v>
      </c>
      <c r="D126" s="514">
        <v>0.80782044771638595</v>
      </c>
      <c r="E126" s="514">
        <v>0.73512669143228115</v>
      </c>
      <c r="F126" s="511">
        <v>47.725999999999999</v>
      </c>
      <c r="G126" s="511">
        <v>321.52600000000001</v>
      </c>
      <c r="H126" s="511">
        <v>2.3903113606839042</v>
      </c>
      <c r="I126" s="511">
        <v>2.5160671298744113</v>
      </c>
      <c r="J126" s="511">
        <v>1154.8723965972799</v>
      </c>
      <c r="K126" s="512">
        <v>1060.254038553642</v>
      </c>
      <c r="L126" s="513">
        <v>0.69372305387322752</v>
      </c>
      <c r="M126" s="514">
        <v>0.82641548164464218</v>
      </c>
      <c r="N126" s="514">
        <v>0.69372305387322752</v>
      </c>
      <c r="O126" s="514">
        <v>0.83533829679025695</v>
      </c>
      <c r="P126" s="511">
        <v>53.134</v>
      </c>
      <c r="Q126" s="511">
        <v>387.56</v>
      </c>
      <c r="R126" s="511">
        <v>2.1467421989686453</v>
      </c>
      <c r="S126" s="511">
        <v>1.7198859531427397</v>
      </c>
      <c r="T126" s="511">
        <v>0.31618172921293336</v>
      </c>
      <c r="U126" s="511">
        <v>0.29518010114562904</v>
      </c>
      <c r="V126" s="511">
        <v>746.08085218504721</v>
      </c>
      <c r="W126" s="511">
        <v>570.85731241614405</v>
      </c>
      <c r="X126" s="511">
        <v>590.07415214363675</v>
      </c>
      <c r="Y126" s="576">
        <v>517.14057178243365</v>
      </c>
      <c r="Z126" s="511">
        <v>0</v>
      </c>
      <c r="AA126" s="576">
        <v>0</v>
      </c>
      <c r="AB126" s="513">
        <v>0.90734766925821775</v>
      </c>
      <c r="AC126" s="514">
        <v>0.88932167287934683</v>
      </c>
      <c r="AD126" s="514">
        <v>0.90734766925821775</v>
      </c>
      <c r="AE126" s="514">
        <v>0.88932167287934683</v>
      </c>
      <c r="AF126" s="511">
        <v>37.741</v>
      </c>
      <c r="AG126" s="511">
        <v>266.83799999999997</v>
      </c>
      <c r="AH126" s="511">
        <v>150.56219469318376</v>
      </c>
      <c r="AI126" s="511">
        <v>141.67408491650835</v>
      </c>
      <c r="AJ126" s="511">
        <v>1.2903738639675686</v>
      </c>
      <c r="AK126" s="511">
        <v>1.2959173730877911</v>
      </c>
      <c r="AL126" s="511">
        <v>1090.5233035690628</v>
      </c>
      <c r="AM126" s="576">
        <v>1033.658024719113</v>
      </c>
      <c r="AN126" s="587"/>
      <c r="AO126" s="587"/>
      <c r="AP126" s="513">
        <v>0.74549342410421804</v>
      </c>
      <c r="AQ126" s="514">
        <v>0.75190968352688348</v>
      </c>
      <c r="AR126" s="514">
        <v>0.74549342410421804</v>
      </c>
      <c r="AS126" s="514">
        <v>0.78787546421891352</v>
      </c>
      <c r="AT126" s="511">
        <v>38.475000000000001</v>
      </c>
      <c r="AU126" s="511">
        <v>282.44099999999997</v>
      </c>
      <c r="AV126" s="515">
        <v>125.63192282195155</v>
      </c>
      <c r="AW126" s="515">
        <v>113.06659631818202</v>
      </c>
      <c r="AX126" s="511">
        <v>1.5464587394411955</v>
      </c>
      <c r="AY126" s="511">
        <v>1.4703955870429579</v>
      </c>
      <c r="AZ126" s="511">
        <v>0</v>
      </c>
      <c r="BA126" s="511">
        <v>3.1865062083762628E-2</v>
      </c>
      <c r="BB126" s="511">
        <v>987.0679662118273</v>
      </c>
      <c r="BC126" s="511">
        <v>941.85773311948356</v>
      </c>
      <c r="BD126" s="511">
        <v>648.21312540610893</v>
      </c>
      <c r="BE126" s="576">
        <v>612.51730449899287</v>
      </c>
      <c r="BF126" s="511">
        <v>31.97141000649712</v>
      </c>
      <c r="BG126" s="512">
        <v>25.811054344093023</v>
      </c>
      <c r="BH126" s="513">
        <v>0.92317943774741795</v>
      </c>
      <c r="BI126" s="514">
        <v>0.89389381902196752</v>
      </c>
      <c r="BJ126" s="514">
        <v>0.92317943774741795</v>
      </c>
      <c r="BK126" s="514">
        <v>0.89389381902196752</v>
      </c>
      <c r="BL126" s="511">
        <v>46.762999999999998</v>
      </c>
      <c r="BM126" s="511">
        <v>349.98199999999997</v>
      </c>
      <c r="BN126" s="511">
        <v>2.4613476466437141</v>
      </c>
      <c r="BO126" s="511">
        <v>2.4946997274145528</v>
      </c>
      <c r="BP126" s="515">
        <v>0</v>
      </c>
      <c r="BQ126" s="515">
        <v>0</v>
      </c>
      <c r="BR126" s="515">
        <v>1053.0289244736391</v>
      </c>
      <c r="BS126" s="515">
        <v>901.73575444911808</v>
      </c>
      <c r="BT126" s="515">
        <v>0</v>
      </c>
      <c r="BU126" s="516">
        <v>0</v>
      </c>
      <c r="BV126" s="513">
        <v>0.96935953838520317</v>
      </c>
      <c r="BW126" s="514">
        <v>0.84017199276436993</v>
      </c>
      <c r="BX126" s="514">
        <v>0.96935953838520317</v>
      </c>
      <c r="BY126" s="514">
        <v>0.85432218861879183</v>
      </c>
      <c r="BZ126" s="511">
        <v>51.142000000000003</v>
      </c>
      <c r="CA126" s="511">
        <v>286.35599999999999</v>
      </c>
      <c r="CB126" s="515">
        <v>96.455828467990429</v>
      </c>
      <c r="CC126" s="515">
        <v>106.7389123969643</v>
      </c>
      <c r="CD126" s="511">
        <v>1.9631613937663759</v>
      </c>
      <c r="CE126" s="511">
        <v>2.2926008185615108</v>
      </c>
      <c r="CF126" s="515">
        <v>0</v>
      </c>
      <c r="CG126" s="515">
        <v>0</v>
      </c>
      <c r="CH126" s="515">
        <v>921.54253656171386</v>
      </c>
      <c r="CI126" s="515">
        <v>1052.8029347608863</v>
      </c>
      <c r="CJ126" s="515">
        <v>0</v>
      </c>
      <c r="CK126" s="515">
        <v>0</v>
      </c>
      <c r="CL126" s="515"/>
      <c r="CM126" s="516"/>
    </row>
    <row r="127" spans="1:91">
      <c r="A127" s="558">
        <v>46030</v>
      </c>
      <c r="B127" s="513">
        <v>0.74016065464357128</v>
      </c>
      <c r="C127" s="514">
        <v>0.73569826164096042</v>
      </c>
      <c r="D127" s="514">
        <v>0.74016065464357128</v>
      </c>
      <c r="E127" s="514">
        <v>0.73569826164096042</v>
      </c>
      <c r="F127" s="511">
        <v>41.465000000000003</v>
      </c>
      <c r="G127" s="511">
        <v>362.99099999999999</v>
      </c>
      <c r="H127" s="511">
        <v>2.6473652477993483</v>
      </c>
      <c r="I127" s="511">
        <v>2.5310655085112304</v>
      </c>
      <c r="J127" s="511">
        <v>1150.1058724225052</v>
      </c>
      <c r="K127" s="512">
        <v>1070.5179467259452</v>
      </c>
      <c r="L127" s="513">
        <v>0.84012668388031753</v>
      </c>
      <c r="M127" s="514">
        <v>0.82815609207480201</v>
      </c>
      <c r="N127" s="514">
        <v>0.84012668388031753</v>
      </c>
      <c r="O127" s="514">
        <v>0.83595189542141979</v>
      </c>
      <c r="P127" s="511">
        <v>57.289000000000001</v>
      </c>
      <c r="Q127" s="511">
        <v>444.84899999999999</v>
      </c>
      <c r="R127" s="511">
        <v>1.9563092391209482</v>
      </c>
      <c r="S127" s="511">
        <v>1.7503332591508585</v>
      </c>
      <c r="T127" s="511">
        <v>0.30197769205257552</v>
      </c>
      <c r="U127" s="511">
        <v>0.29605551546704612</v>
      </c>
      <c r="V127" s="511">
        <v>524.07984080712049</v>
      </c>
      <c r="W127" s="511">
        <v>564.83316810872884</v>
      </c>
      <c r="X127" s="511">
        <v>478.81792316151444</v>
      </c>
      <c r="Y127" s="576">
        <v>512.2052651573905</v>
      </c>
      <c r="Z127" s="511">
        <v>0</v>
      </c>
      <c r="AA127" s="576">
        <v>0</v>
      </c>
      <c r="AB127" s="513">
        <v>0.87418278219443146</v>
      </c>
      <c r="AC127" s="514">
        <v>0.88747168313812119</v>
      </c>
      <c r="AD127" s="514">
        <v>0.87418278219443146</v>
      </c>
      <c r="AE127" s="514">
        <v>0.88747168313812119</v>
      </c>
      <c r="AF127" s="511">
        <v>36.515000000000001</v>
      </c>
      <c r="AG127" s="511">
        <v>303.35299999999995</v>
      </c>
      <c r="AH127" s="511">
        <v>156.37363081442734</v>
      </c>
      <c r="AI127" s="511">
        <v>143.44348860944203</v>
      </c>
      <c r="AJ127" s="511">
        <v>1.2980966726003011</v>
      </c>
      <c r="AK127" s="511">
        <v>1.296179698239345</v>
      </c>
      <c r="AL127" s="511">
        <v>1020.6528823771052</v>
      </c>
      <c r="AM127" s="576">
        <v>1032.0925786130306</v>
      </c>
      <c r="AN127" s="587"/>
      <c r="AO127" s="587"/>
      <c r="AP127" s="513">
        <v>0.80092416256322629</v>
      </c>
      <c r="AQ127" s="514">
        <v>0.75810475014105561</v>
      </c>
      <c r="AR127" s="514">
        <v>0.80092416256322629</v>
      </c>
      <c r="AS127" s="514">
        <v>0.78959322616319194</v>
      </c>
      <c r="AT127" s="511">
        <v>43.527000000000001</v>
      </c>
      <c r="AU127" s="511">
        <v>325.96799999999996</v>
      </c>
      <c r="AV127" s="515">
        <v>115.59677069631717</v>
      </c>
      <c r="AW127" s="515">
        <v>113.40445432926622</v>
      </c>
      <c r="AX127" s="511">
        <v>1.4427826406598203</v>
      </c>
      <c r="AY127" s="511">
        <v>1.466708388553478</v>
      </c>
      <c r="AZ127" s="511">
        <v>0</v>
      </c>
      <c r="BA127" s="511">
        <v>2.7610072154321898E-2</v>
      </c>
      <c r="BB127" s="511">
        <v>837.16176166517232</v>
      </c>
      <c r="BC127" s="511">
        <v>927.87752171992361</v>
      </c>
      <c r="BD127" s="511">
        <v>585.15404231856098</v>
      </c>
      <c r="BE127" s="576">
        <v>608.86344671869665</v>
      </c>
      <c r="BF127" s="511">
        <v>27.80113492774613</v>
      </c>
      <c r="BG127" s="512">
        <v>26.076792814018503</v>
      </c>
      <c r="BH127" s="513">
        <v>0.97143435224967178</v>
      </c>
      <c r="BI127" s="514">
        <v>0.90290460644138015</v>
      </c>
      <c r="BJ127" s="514">
        <v>0.97143435224967178</v>
      </c>
      <c r="BK127" s="514">
        <v>0.90290460644138015</v>
      </c>
      <c r="BL127" s="511">
        <v>50.01</v>
      </c>
      <c r="BM127" s="511">
        <v>399.99199999999996</v>
      </c>
      <c r="BN127" s="511">
        <v>2.3355328934213158</v>
      </c>
      <c r="BO127" s="511">
        <v>2.4747994959899198</v>
      </c>
      <c r="BP127" s="515">
        <v>0</v>
      </c>
      <c r="BQ127" s="515">
        <v>0</v>
      </c>
      <c r="BR127" s="515">
        <v>852.05947134192832</v>
      </c>
      <c r="BS127" s="515">
        <v>895.52485293561165</v>
      </c>
      <c r="BT127" s="515">
        <v>0</v>
      </c>
      <c r="BU127" s="516">
        <v>0</v>
      </c>
      <c r="BV127" s="513">
        <v>0.91462557118673649</v>
      </c>
      <c r="BW127" s="514">
        <v>0.85004136054098678</v>
      </c>
      <c r="BX127" s="514">
        <v>0.91462557118673649</v>
      </c>
      <c r="BY127" s="514">
        <v>0.86243236725626882</v>
      </c>
      <c r="BZ127" s="511">
        <v>47.637</v>
      </c>
      <c r="CA127" s="511">
        <v>333.99299999999999</v>
      </c>
      <c r="CB127" s="515">
        <v>104.12990391318908</v>
      </c>
      <c r="CC127" s="515">
        <v>106.36679281020169</v>
      </c>
      <c r="CD127" s="511">
        <v>2.1264983101370785</v>
      </c>
      <c r="CE127" s="511">
        <v>2.2689098274514734</v>
      </c>
      <c r="CF127" s="515">
        <v>0</v>
      </c>
      <c r="CG127" s="515">
        <v>0</v>
      </c>
      <c r="CH127" s="515">
        <v>793.83516674413477</v>
      </c>
      <c r="CI127" s="515">
        <v>1015.8666888964101</v>
      </c>
      <c r="CJ127" s="515">
        <v>0</v>
      </c>
      <c r="CK127" s="515">
        <v>0</v>
      </c>
      <c r="CL127" s="515"/>
      <c r="CM127" s="516"/>
    </row>
    <row r="128" spans="1:91">
      <c r="A128" s="558">
        <v>46031</v>
      </c>
      <c r="B128" s="513">
        <v>0.63458388729286574</v>
      </c>
      <c r="C128" s="514">
        <v>0.7250912335345252</v>
      </c>
      <c r="D128" s="514">
        <v>0.63458388729286574</v>
      </c>
      <c r="E128" s="514">
        <v>0.7250912335345252</v>
      </c>
      <c r="F128" s="511">
        <v>36.694000000000003</v>
      </c>
      <c r="G128" s="511">
        <v>399.685</v>
      </c>
      <c r="H128" s="511">
        <v>3.3932795552406385</v>
      </c>
      <c r="I128" s="511">
        <v>2.6102230506523889</v>
      </c>
      <c r="J128" s="511">
        <v>1385.5769335586394</v>
      </c>
      <c r="K128" s="512">
        <v>1099.4426610956084</v>
      </c>
      <c r="L128" s="513">
        <v>0.90770553409806787</v>
      </c>
      <c r="M128" s="514">
        <v>0.83706633609290004</v>
      </c>
      <c r="N128" s="514">
        <v>0.90770553409806787</v>
      </c>
      <c r="O128" s="514">
        <v>0.84405605158257424</v>
      </c>
      <c r="P128" s="511">
        <v>61.502000000000002</v>
      </c>
      <c r="Q128" s="511">
        <v>506.351</v>
      </c>
      <c r="R128" s="511">
        <v>1.858557445286332</v>
      </c>
      <c r="S128" s="511">
        <v>1.7634782986505413</v>
      </c>
      <c r="T128" s="511">
        <v>0.26178010471204188</v>
      </c>
      <c r="U128" s="511">
        <v>0.29189238295174685</v>
      </c>
      <c r="V128" s="511">
        <v>557.43292901044833</v>
      </c>
      <c r="W128" s="511">
        <v>563.93432618875147</v>
      </c>
      <c r="X128" s="511">
        <v>453.52996650515433</v>
      </c>
      <c r="Y128" s="576">
        <v>505.0784929821408</v>
      </c>
      <c r="Z128" s="511">
        <v>0</v>
      </c>
      <c r="AA128" s="576">
        <v>0</v>
      </c>
      <c r="AB128" s="513">
        <v>0.53621733200421717</v>
      </c>
      <c r="AC128" s="514">
        <v>0.84485121033590493</v>
      </c>
      <c r="AD128" s="514">
        <v>0.99321347790138592</v>
      </c>
      <c r="AE128" s="514">
        <v>0.89480822172891394</v>
      </c>
      <c r="AF128" s="511">
        <v>25.311</v>
      </c>
      <c r="AG128" s="511">
        <v>328.66399999999993</v>
      </c>
      <c r="AH128" s="511">
        <v>99.663609680629733</v>
      </c>
      <c r="AI128" s="511">
        <v>140.07192215991557</v>
      </c>
      <c r="AJ128" s="511">
        <v>1.5763897119829322</v>
      </c>
      <c r="AK128" s="511">
        <v>1.3177591704598008</v>
      </c>
      <c r="AL128" s="511">
        <v>973.97811228321143</v>
      </c>
      <c r="AM128" s="576">
        <v>1027.6170800574416</v>
      </c>
      <c r="AN128" s="587"/>
      <c r="AO128" s="587"/>
      <c r="AP128" s="513">
        <v>0.93790256419215656</v>
      </c>
      <c r="AQ128" s="514">
        <v>0.77806339151657067</v>
      </c>
      <c r="AR128" s="514">
        <v>1.0922936959027076</v>
      </c>
      <c r="AS128" s="514">
        <v>0.82000047152073641</v>
      </c>
      <c r="AT128" s="511">
        <v>50.356000000000002</v>
      </c>
      <c r="AU128" s="511">
        <v>376.32399999999996</v>
      </c>
      <c r="AV128" s="515">
        <v>76.969179086268568</v>
      </c>
      <c r="AW128" s="515">
        <v>108.52904186517573</v>
      </c>
      <c r="AX128" s="511">
        <v>1.3503852569703709</v>
      </c>
      <c r="AY128" s="511">
        <v>1.4511431638694319</v>
      </c>
      <c r="AZ128" s="511">
        <v>0</v>
      </c>
      <c r="BA128" s="511">
        <v>2.3915562122001258E-2</v>
      </c>
      <c r="BB128" s="511">
        <v>780.49011041385336</v>
      </c>
      <c r="BC128" s="511">
        <v>908.15557870345776</v>
      </c>
      <c r="BD128" s="511">
        <v>491.3019302565732</v>
      </c>
      <c r="BE128" s="576">
        <v>593.13251347243352</v>
      </c>
      <c r="BF128" s="511">
        <v>25.808245293510325</v>
      </c>
      <c r="BG128" s="512">
        <v>26.040858409243075</v>
      </c>
      <c r="BH128" s="513">
        <v>0.89744461031038558</v>
      </c>
      <c r="BI128" s="514">
        <v>0.90231193100875773</v>
      </c>
      <c r="BJ128" s="514">
        <v>0.89744461031038558</v>
      </c>
      <c r="BK128" s="514">
        <v>0.90231193100875773</v>
      </c>
      <c r="BL128" s="511">
        <v>48.411000000000001</v>
      </c>
      <c r="BM128" s="511">
        <v>448.40299999999996</v>
      </c>
      <c r="BN128" s="511">
        <v>2.5469418107454915</v>
      </c>
      <c r="BO128" s="511">
        <v>2.4825882074830012</v>
      </c>
      <c r="BP128" s="515">
        <v>0</v>
      </c>
      <c r="BQ128" s="515">
        <v>0</v>
      </c>
      <c r="BR128" s="515">
        <v>987.34909465352303</v>
      </c>
      <c r="BS128" s="515">
        <v>905.43848724627833</v>
      </c>
      <c r="BT128" s="515">
        <v>0</v>
      </c>
      <c r="BU128" s="516">
        <v>0</v>
      </c>
      <c r="BV128" s="513">
        <v>0.9563968361199261</v>
      </c>
      <c r="BW128" s="514">
        <v>0.86155787019757279</v>
      </c>
      <c r="BX128" s="514">
        <v>1.0310113864263075</v>
      </c>
      <c r="BY128" s="514">
        <v>0.87972258658715441</v>
      </c>
      <c r="BZ128" s="511">
        <v>45.631999999999998</v>
      </c>
      <c r="CA128" s="511">
        <v>379.625</v>
      </c>
      <c r="CB128" s="515">
        <v>94.85787152229662</v>
      </c>
      <c r="CC128" s="515">
        <v>104.98338788110145</v>
      </c>
      <c r="CD128" s="511">
        <v>2.1498071528751752</v>
      </c>
      <c r="CE128" s="511">
        <v>2.2545933486993741</v>
      </c>
      <c r="CF128" s="515">
        <v>0</v>
      </c>
      <c r="CG128" s="515">
        <v>0</v>
      </c>
      <c r="CH128" s="515">
        <v>931.33158701630305</v>
      </c>
      <c r="CI128" s="515">
        <v>1005.7053302688355</v>
      </c>
      <c r="CJ128" s="515">
        <v>0</v>
      </c>
      <c r="CK128" s="515">
        <v>0</v>
      </c>
      <c r="CL128" s="515"/>
      <c r="CM128" s="516"/>
    </row>
    <row r="129" spans="1:91">
      <c r="A129" s="558">
        <v>46032</v>
      </c>
      <c r="B129" s="513">
        <v>0.89029210546238413</v>
      </c>
      <c r="C129" s="514">
        <v>0.74077569732792947</v>
      </c>
      <c r="D129" s="514">
        <v>0.89029210546238413</v>
      </c>
      <c r="E129" s="514">
        <v>0.74077569732792947</v>
      </c>
      <c r="F129" s="511">
        <v>51.48</v>
      </c>
      <c r="G129" s="511">
        <v>451.16500000000002</v>
      </c>
      <c r="H129" s="511">
        <v>2.3897824397824396</v>
      </c>
      <c r="I129" s="511">
        <v>2.5850697638336309</v>
      </c>
      <c r="J129" s="511">
        <v>996.47358197358096</v>
      </c>
      <c r="K129" s="512">
        <v>1087.6934159342995</v>
      </c>
      <c r="L129" s="513">
        <v>0.57352973085671322</v>
      </c>
      <c r="M129" s="514">
        <v>0.81049156246274989</v>
      </c>
      <c r="N129" s="514">
        <v>0.57352973085671322</v>
      </c>
      <c r="O129" s="514">
        <v>0.81657179284617898</v>
      </c>
      <c r="P129" s="511">
        <v>38.908000000000001</v>
      </c>
      <c r="Q129" s="511">
        <v>545.25900000000001</v>
      </c>
      <c r="R129" s="511">
        <v>1.9072170247763953</v>
      </c>
      <c r="S129" s="511">
        <v>1.7737350506823366</v>
      </c>
      <c r="T129" s="511">
        <v>0.32384085535108459</v>
      </c>
      <c r="U129" s="511">
        <v>0.29417212737433029</v>
      </c>
      <c r="V129" s="511">
        <v>622.59920838896835</v>
      </c>
      <c r="W129" s="511">
        <v>568.12047118891837</v>
      </c>
      <c r="X129" s="511">
        <v>616.19718309859149</v>
      </c>
      <c r="Y129" s="576">
        <v>513.00757988405508</v>
      </c>
      <c r="Z129" s="511">
        <v>0</v>
      </c>
      <c r="AA129" s="576">
        <v>0</v>
      </c>
      <c r="AB129" s="513">
        <v>0.66680429671550479</v>
      </c>
      <c r="AC129" s="514">
        <v>0.82574194413839941</v>
      </c>
      <c r="AD129" s="514">
        <v>0.80525095154202908</v>
      </c>
      <c r="AE129" s="514">
        <v>0.88626548462419985</v>
      </c>
      <c r="AF129" s="511">
        <v>31.187999999999999</v>
      </c>
      <c r="AG129" s="511">
        <v>359.85199999999992</v>
      </c>
      <c r="AH129" s="511">
        <v>142.79686991190187</v>
      </c>
      <c r="AI129" s="511">
        <v>140.30809055828198</v>
      </c>
      <c r="AJ129" s="511">
        <v>1.8148005643196101</v>
      </c>
      <c r="AK129" s="511">
        <v>1.3608372330847127</v>
      </c>
      <c r="AL129" s="511">
        <v>1050.0339874310748</v>
      </c>
      <c r="AM129" s="576">
        <v>1029.5599301935224</v>
      </c>
      <c r="AN129" s="587"/>
      <c r="AO129" s="587"/>
      <c r="AP129" s="513">
        <v>0.69074210799255309</v>
      </c>
      <c r="AQ129" s="514">
        <v>0.76964244702864082</v>
      </c>
      <c r="AR129" s="514">
        <v>0.81153135714442148</v>
      </c>
      <c r="AS129" s="514">
        <v>0.8192604875438696</v>
      </c>
      <c r="AT129" s="511">
        <v>35.656999999999996</v>
      </c>
      <c r="AU129" s="511">
        <v>411.98099999999994</v>
      </c>
      <c r="AV129" s="515">
        <v>129.82912183876871</v>
      </c>
      <c r="AW129" s="515">
        <v>110.37256608502665</v>
      </c>
      <c r="AX129" s="511">
        <v>1.7163530302605381</v>
      </c>
      <c r="AY129" s="511">
        <v>1.4740971064199566</v>
      </c>
      <c r="AZ129" s="511">
        <v>0</v>
      </c>
      <c r="BA129" s="511">
        <v>2.1845667640012528E-2</v>
      </c>
      <c r="BB129" s="511">
        <v>1068.4707070140519</v>
      </c>
      <c r="BC129" s="511">
        <v>922.03087035567194</v>
      </c>
      <c r="BD129" s="511">
        <v>633.25574221050169</v>
      </c>
      <c r="BE129" s="576">
        <v>596.60518324874192</v>
      </c>
      <c r="BF129" s="511">
        <v>35.059034691645564</v>
      </c>
      <c r="BG129" s="512">
        <v>26.821382539486034</v>
      </c>
      <c r="BH129" s="513">
        <v>0.86019914086825355</v>
      </c>
      <c r="BI129" s="514">
        <v>0.89805651429288724</v>
      </c>
      <c r="BJ129" s="514">
        <v>0.86019914086825355</v>
      </c>
      <c r="BK129" s="514">
        <v>0.89805651429288724</v>
      </c>
      <c r="BL129" s="511">
        <v>48.051000000000002</v>
      </c>
      <c r="BM129" s="511">
        <v>496.45399999999995</v>
      </c>
      <c r="BN129" s="511">
        <v>2.6804853176832948</v>
      </c>
      <c r="BO129" s="511">
        <v>2.5017423567943862</v>
      </c>
      <c r="BP129" s="515">
        <v>0</v>
      </c>
      <c r="BQ129" s="515">
        <v>0</v>
      </c>
      <c r="BR129" s="515">
        <v>916.60712192767801</v>
      </c>
      <c r="BS129" s="515">
        <v>906.51948178973225</v>
      </c>
      <c r="BT129" s="515">
        <v>0</v>
      </c>
      <c r="BU129" s="516">
        <v>0</v>
      </c>
      <c r="BV129" s="513">
        <v>0.86050169699541634</v>
      </c>
      <c r="BW129" s="514">
        <v>0.86144986460650774</v>
      </c>
      <c r="BX129" s="514">
        <v>0.90001202898688892</v>
      </c>
      <c r="BY129" s="514">
        <v>0.88175308007554787</v>
      </c>
      <c r="BZ129" s="511">
        <v>43.19</v>
      </c>
      <c r="CA129" s="511">
        <v>422.815</v>
      </c>
      <c r="CB129" s="515">
        <v>116.41894475069759</v>
      </c>
      <c r="CC129" s="515">
        <v>106.15151507904348</v>
      </c>
      <c r="CD129" s="511">
        <v>2.2551516554758049</v>
      </c>
      <c r="CE129" s="511">
        <v>2.2546503790073671</v>
      </c>
      <c r="CF129" s="515">
        <v>0</v>
      </c>
      <c r="CG129" s="515">
        <v>0</v>
      </c>
      <c r="CH129" s="515">
        <v>913.90347729228176</v>
      </c>
      <c r="CI129" s="515">
        <v>996.32789089214032</v>
      </c>
      <c r="CJ129" s="515">
        <v>0</v>
      </c>
      <c r="CK129" s="515">
        <v>0</v>
      </c>
      <c r="CL129" s="515"/>
      <c r="CM129" s="516"/>
    </row>
    <row r="130" spans="1:91">
      <c r="A130" s="558">
        <v>46033</v>
      </c>
      <c r="B130" s="513">
        <v>0.87536958526320163</v>
      </c>
      <c r="C130" s="514">
        <v>0.75278285467704553</v>
      </c>
      <c r="D130" s="514">
        <v>0.87536958526320163</v>
      </c>
      <c r="E130" s="514">
        <v>0.75278285467704553</v>
      </c>
      <c r="F130" s="511">
        <v>52.22</v>
      </c>
      <c r="G130" s="511">
        <v>503.38499999999999</v>
      </c>
      <c r="H130" s="511">
        <v>2.3622749904251248</v>
      </c>
      <c r="I130" s="511">
        <v>2.5619575474040746</v>
      </c>
      <c r="J130" s="511">
        <v>1105.5982382228731</v>
      </c>
      <c r="K130" s="512">
        <v>1089.5508209422144</v>
      </c>
      <c r="L130" s="513">
        <v>0.50096144502841056</v>
      </c>
      <c r="M130" s="514">
        <v>0.78213799413780261</v>
      </c>
      <c r="N130" s="514">
        <v>0.50096144502841056</v>
      </c>
      <c r="O130" s="514">
        <v>0.78746438171010602</v>
      </c>
      <c r="P130" s="511">
        <v>33.984999999999999</v>
      </c>
      <c r="Q130" s="511">
        <v>579.24400000000003</v>
      </c>
      <c r="R130" s="511">
        <v>3.1713108724437249</v>
      </c>
      <c r="S130" s="511">
        <v>1.855732644619539</v>
      </c>
      <c r="T130" s="511">
        <v>0.43254376930998967</v>
      </c>
      <c r="U130" s="511">
        <v>0.30229057184882357</v>
      </c>
      <c r="V130" s="511">
        <v>1024.0667941739337</v>
      </c>
      <c r="W130" s="511">
        <v>594.87143587158369</v>
      </c>
      <c r="X130" s="511">
        <v>776.25422980726785</v>
      </c>
      <c r="Y130" s="576">
        <v>528.45260373866631</v>
      </c>
      <c r="Z130" s="511">
        <v>0</v>
      </c>
      <c r="AA130" s="576">
        <v>0</v>
      </c>
      <c r="AB130" s="513">
        <v>0.93638905581041632</v>
      </c>
      <c r="AC130" s="514">
        <v>0.83678968824580424</v>
      </c>
      <c r="AD130" s="514">
        <v>0.93638905581041632</v>
      </c>
      <c r="AE130" s="514">
        <v>0.89159795281566934</v>
      </c>
      <c r="AF130" s="511">
        <v>45.264000000000003</v>
      </c>
      <c r="AG130" s="511">
        <v>405.11599999999993</v>
      </c>
      <c r="AH130" s="511">
        <v>119.40254012986155</v>
      </c>
      <c r="AI130" s="511">
        <v>137.97229331849874</v>
      </c>
      <c r="AJ130" s="511">
        <v>1.210675150229763</v>
      </c>
      <c r="AK130" s="511">
        <v>1.3440594792602611</v>
      </c>
      <c r="AL130" s="511">
        <v>873.19591728525165</v>
      </c>
      <c r="AM130" s="576">
        <v>1012.0892287641045</v>
      </c>
      <c r="AN130" s="587"/>
      <c r="AO130" s="587"/>
      <c r="AP130" s="513">
        <v>0.96115831710627253</v>
      </c>
      <c r="AQ130" s="514">
        <v>0.78726016300178048</v>
      </c>
      <c r="AR130" s="514">
        <v>0.96115831710627253</v>
      </c>
      <c r="AS130" s="514">
        <v>0.83307341039716631</v>
      </c>
      <c r="AT130" s="511">
        <v>52.124000000000002</v>
      </c>
      <c r="AU130" s="511">
        <v>464.10499999999996</v>
      </c>
      <c r="AV130" s="515">
        <v>100.63663163871321</v>
      </c>
      <c r="AW130" s="515">
        <v>109.27911557904278</v>
      </c>
      <c r="AX130" s="511">
        <v>1.3007443787890414</v>
      </c>
      <c r="AY130" s="511">
        <v>1.454627724329624</v>
      </c>
      <c r="AZ130" s="511">
        <v>0</v>
      </c>
      <c r="BA130" s="511">
        <v>1.9392163411297014E-2</v>
      </c>
      <c r="BB130" s="511">
        <v>838.27680147340823</v>
      </c>
      <c r="BC130" s="511">
        <v>912.62438456814721</v>
      </c>
      <c r="BD130" s="511">
        <v>540.44202286854602</v>
      </c>
      <c r="BE130" s="576">
        <v>590.29745423988106</v>
      </c>
      <c r="BF130" s="511">
        <v>24.175044125546886</v>
      </c>
      <c r="BG130" s="512">
        <v>26.52417017700736</v>
      </c>
      <c r="BH130" s="513">
        <v>0.80727868439172767</v>
      </c>
      <c r="BI130" s="514">
        <v>0.88916148266586736</v>
      </c>
      <c r="BJ130" s="514">
        <v>0.80727868439172767</v>
      </c>
      <c r="BK130" s="514">
        <v>0.88916148266586736</v>
      </c>
      <c r="BL130" s="511">
        <v>48.478999999999999</v>
      </c>
      <c r="BM130" s="511">
        <v>544.93299999999999</v>
      </c>
      <c r="BN130" s="511">
        <v>2.7331421852760989</v>
      </c>
      <c r="BO130" s="511">
        <v>2.5223284330367219</v>
      </c>
      <c r="BP130" s="515">
        <v>0</v>
      </c>
      <c r="BQ130" s="515">
        <v>0</v>
      </c>
      <c r="BR130" s="515">
        <v>954.86025359284383</v>
      </c>
      <c r="BS130" s="515">
        <v>910.82003300656629</v>
      </c>
      <c r="BT130" s="515">
        <v>0</v>
      </c>
      <c r="BU130" s="516">
        <v>0</v>
      </c>
      <c r="BV130" s="513">
        <v>0.8696688669253827</v>
      </c>
      <c r="BW130" s="514">
        <v>0.86222591427467421</v>
      </c>
      <c r="BX130" s="514">
        <v>0.8696688669253827</v>
      </c>
      <c r="BY130" s="514">
        <v>0.88058777303292901</v>
      </c>
      <c r="BZ130" s="511">
        <v>44.506</v>
      </c>
      <c r="CA130" s="511">
        <v>467.32100000000003</v>
      </c>
      <c r="CB130" s="515">
        <v>104.27312353448201</v>
      </c>
      <c r="CC130" s="515">
        <v>105.97262370869578</v>
      </c>
      <c r="CD130" s="511">
        <v>2.1929627465959642</v>
      </c>
      <c r="CE130" s="511">
        <v>2.2487754669702404</v>
      </c>
      <c r="CF130" s="515">
        <v>0</v>
      </c>
      <c r="CG130" s="515">
        <v>0</v>
      </c>
      <c r="CH130" s="515">
        <v>1024.6337519901192</v>
      </c>
      <c r="CI130" s="515">
        <v>999.02364103824254</v>
      </c>
      <c r="CJ130" s="515">
        <v>0</v>
      </c>
      <c r="CK130" s="515">
        <v>0</v>
      </c>
      <c r="CL130" s="515"/>
      <c r="CM130" s="516"/>
    </row>
    <row r="131" spans="1:91">
      <c r="A131" s="558">
        <v>46034</v>
      </c>
      <c r="B131" s="513">
        <v>0.87007350862428656</v>
      </c>
      <c r="C131" s="514">
        <v>0.76329336060368858</v>
      </c>
      <c r="D131" s="514">
        <v>0.87007350862428656</v>
      </c>
      <c r="E131" s="514">
        <v>0.76329336060368858</v>
      </c>
      <c r="F131" s="511">
        <v>57.268999999999998</v>
      </c>
      <c r="G131" s="511">
        <v>560.654</v>
      </c>
      <c r="H131" s="511">
        <v>2.2825787075031867</v>
      </c>
      <c r="I131" s="511">
        <v>2.5334198989037802</v>
      </c>
      <c r="J131" s="511">
        <v>961.30332291473223</v>
      </c>
      <c r="K131" s="512">
        <v>1076.450752157303</v>
      </c>
      <c r="L131" s="513">
        <v>0.93554568284884898</v>
      </c>
      <c r="M131" s="514">
        <v>0.79501122704831262</v>
      </c>
      <c r="N131" s="514">
        <v>0.93554568284884898</v>
      </c>
      <c r="O131" s="514">
        <v>0.79996812775118875</v>
      </c>
      <c r="P131" s="511">
        <v>63.466999999999999</v>
      </c>
      <c r="Q131" s="511">
        <v>642.71100000000001</v>
      </c>
      <c r="R131" s="511">
        <v>1.7226590196480061</v>
      </c>
      <c r="S131" s="511">
        <v>1.8425917714182585</v>
      </c>
      <c r="T131" s="511">
        <v>0.26470449209825581</v>
      </c>
      <c r="U131" s="511">
        <v>0.29857898806773181</v>
      </c>
      <c r="V131" s="511">
        <v>535.01693793624179</v>
      </c>
      <c r="W131" s="511">
        <v>588.96087043787816</v>
      </c>
      <c r="X131" s="511">
        <v>457.98603998928576</v>
      </c>
      <c r="Y131" s="576">
        <v>521.49410854956579</v>
      </c>
      <c r="Z131" s="511">
        <v>0</v>
      </c>
      <c r="AA131" s="576">
        <v>0</v>
      </c>
      <c r="AB131" s="513">
        <v>0.88552141149303742</v>
      </c>
      <c r="AC131" s="514">
        <v>0.84084364329616679</v>
      </c>
      <c r="AD131" s="514">
        <v>0.88552141149303742</v>
      </c>
      <c r="AE131" s="514">
        <v>0.89106225926261673</v>
      </c>
      <c r="AF131" s="511">
        <v>38.9</v>
      </c>
      <c r="AG131" s="511">
        <v>444.01599999999991</v>
      </c>
      <c r="AH131" s="511">
        <v>145.66423365794591</v>
      </c>
      <c r="AI131" s="511">
        <v>138.64618002349249</v>
      </c>
      <c r="AJ131" s="511">
        <v>1.3213367609254498</v>
      </c>
      <c r="AK131" s="511">
        <v>1.342068754279125</v>
      </c>
      <c r="AL131" s="511">
        <v>994.67557840617894</v>
      </c>
      <c r="AM131" s="576">
        <v>1010.5636283377162</v>
      </c>
      <c r="AN131" s="587"/>
      <c r="AO131" s="587"/>
      <c r="AP131" s="513">
        <v>0.97246329252895347</v>
      </c>
      <c r="AQ131" s="514">
        <v>0.80289198947296092</v>
      </c>
      <c r="AR131" s="514">
        <v>0.97246329252895347</v>
      </c>
      <c r="AS131" s="514">
        <v>0.8454622245532647</v>
      </c>
      <c r="AT131" s="511">
        <v>52.847999999999999</v>
      </c>
      <c r="AU131" s="511">
        <v>516.95299999999997</v>
      </c>
      <c r="AV131" s="515">
        <v>110.49223006084013</v>
      </c>
      <c r="AW131" s="515">
        <v>109.40313202567144</v>
      </c>
      <c r="AX131" s="511">
        <v>1.2261580381471389</v>
      </c>
      <c r="AY131" s="511">
        <v>1.4312713148003784</v>
      </c>
      <c r="AZ131" s="511">
        <v>0</v>
      </c>
      <c r="BA131" s="511">
        <v>1.740970649169267E-2</v>
      </c>
      <c r="BB131" s="511">
        <v>807.46442627914098</v>
      </c>
      <c r="BC131" s="511">
        <v>901.87390343029256</v>
      </c>
      <c r="BD131" s="511">
        <v>491.09143203148699</v>
      </c>
      <c r="BE131" s="576">
        <v>580.15564277603573</v>
      </c>
      <c r="BF131" s="511">
        <v>26.865728125945893</v>
      </c>
      <c r="BG131" s="512">
        <v>26.559087576626865</v>
      </c>
      <c r="BH131" s="513">
        <v>0.7549890995836942</v>
      </c>
      <c r="BI131" s="514">
        <v>0.87849377888789071</v>
      </c>
      <c r="BJ131" s="514">
        <v>0.7549890995836942</v>
      </c>
      <c r="BK131" s="514">
        <v>0.87849377888789071</v>
      </c>
      <c r="BL131" s="511">
        <v>39.966000000000001</v>
      </c>
      <c r="BM131" s="511">
        <v>584.899</v>
      </c>
      <c r="BN131" s="511">
        <v>3.0751138467697543</v>
      </c>
      <c r="BO131" s="511">
        <v>2.5601001198497522</v>
      </c>
      <c r="BP131" s="515">
        <v>0</v>
      </c>
      <c r="BQ131" s="515">
        <v>0</v>
      </c>
      <c r="BR131" s="515">
        <v>909.67028694133739</v>
      </c>
      <c r="BS131" s="515">
        <v>910.74147115017252</v>
      </c>
      <c r="BT131" s="515">
        <v>0</v>
      </c>
      <c r="BU131" s="516">
        <v>0</v>
      </c>
      <c r="BV131" s="513">
        <v>0.89353521912175582</v>
      </c>
      <c r="BW131" s="514">
        <v>0.86501117192427168</v>
      </c>
      <c r="BX131" s="514">
        <v>0.89353521912175582</v>
      </c>
      <c r="BY131" s="514">
        <v>0.88176187458525657</v>
      </c>
      <c r="BZ131" s="511">
        <v>47.289000000000001</v>
      </c>
      <c r="CA131" s="511">
        <v>514.61</v>
      </c>
      <c r="CB131" s="515">
        <v>106.75565007614081</v>
      </c>
      <c r="CC131" s="515">
        <v>106.0445782643595</v>
      </c>
      <c r="CD131" s="511">
        <v>2.0892808052612657</v>
      </c>
      <c r="CE131" s="511">
        <v>2.2341190416043215</v>
      </c>
      <c r="CF131" s="515">
        <v>0</v>
      </c>
      <c r="CG131" s="515">
        <v>0</v>
      </c>
      <c r="CH131" s="515">
        <v>884.19626788687947</v>
      </c>
      <c r="CI131" s="515">
        <v>988.47182189567866</v>
      </c>
      <c r="CJ131" s="515">
        <v>506.60407282877674</v>
      </c>
      <c r="CK131" s="515">
        <v>46.553312217018757</v>
      </c>
      <c r="CL131" s="515"/>
      <c r="CM131" s="516"/>
    </row>
    <row r="132" spans="1:91">
      <c r="A132" s="558">
        <v>46035</v>
      </c>
      <c r="B132" s="513">
        <v>0.93519112584704167</v>
      </c>
      <c r="C132" s="514">
        <v>0.77610730584678445</v>
      </c>
      <c r="D132" s="514">
        <v>0.93519112584704167</v>
      </c>
      <c r="E132" s="514">
        <v>0.77610730584678445</v>
      </c>
      <c r="F132" s="511">
        <v>55.33</v>
      </c>
      <c r="G132" s="511">
        <v>615.98400000000004</v>
      </c>
      <c r="H132" s="511">
        <v>2.2577444424362914</v>
      </c>
      <c r="I132" s="511">
        <v>2.5086576924075952</v>
      </c>
      <c r="J132" s="511">
        <v>1072.0921742273167</v>
      </c>
      <c r="K132" s="512">
        <v>1076.05924829216</v>
      </c>
      <c r="L132" s="513">
        <v>0.91821095097007333</v>
      </c>
      <c r="M132" s="514">
        <v>0.80389633156032825</v>
      </c>
      <c r="N132" s="514">
        <v>0.91821095097007333</v>
      </c>
      <c r="O132" s="514">
        <v>0.80854505597325776</v>
      </c>
      <c r="P132" s="511">
        <v>57.695999999999998</v>
      </c>
      <c r="Q132" s="511">
        <v>700.40700000000004</v>
      </c>
      <c r="R132" s="511">
        <v>1.9417810593455354</v>
      </c>
      <c r="S132" s="511">
        <v>1.8507624852407245</v>
      </c>
      <c r="T132" s="511">
        <v>0.29118136439267889</v>
      </c>
      <c r="U132" s="511">
        <v>0.29796960909870973</v>
      </c>
      <c r="V132" s="511">
        <v>698.41392817527685</v>
      </c>
      <c r="W132" s="511">
        <v>597.97706190829024</v>
      </c>
      <c r="X132" s="511">
        <v>526.22365501941204</v>
      </c>
      <c r="Y132" s="576">
        <v>521.88370476023226</v>
      </c>
      <c r="Z132" s="511">
        <v>0</v>
      </c>
      <c r="AA132" s="576">
        <v>0</v>
      </c>
      <c r="AB132" s="513">
        <v>0.89266474565140097</v>
      </c>
      <c r="AC132" s="514">
        <v>0.84479972658446156</v>
      </c>
      <c r="AD132" s="514">
        <v>0.89266474565140097</v>
      </c>
      <c r="AE132" s="514">
        <v>0.89119131291743792</v>
      </c>
      <c r="AF132" s="511">
        <v>38.96</v>
      </c>
      <c r="AG132" s="511">
        <v>482.97599999999989</v>
      </c>
      <c r="AH132" s="511">
        <v>144.10483005173404</v>
      </c>
      <c r="AI132" s="511">
        <v>139.08651040243532</v>
      </c>
      <c r="AJ132" s="511">
        <v>1.2833675564681724</v>
      </c>
      <c r="AK132" s="511">
        <v>1.3373335321009741</v>
      </c>
      <c r="AL132" s="511">
        <v>976.10010266942311</v>
      </c>
      <c r="AM132" s="576">
        <v>1007.7835751672964</v>
      </c>
      <c r="AN132" s="587"/>
      <c r="AO132" s="587"/>
      <c r="AP132" s="513">
        <v>0.78774374949149717</v>
      </c>
      <c r="AQ132" s="514">
        <v>0.80172215171813133</v>
      </c>
      <c r="AR132" s="514">
        <v>0.78774374949149717</v>
      </c>
      <c r="AS132" s="514">
        <v>0.8407876643960176</v>
      </c>
      <c r="AT132" s="511">
        <v>42.447000000000003</v>
      </c>
      <c r="AU132" s="511">
        <v>559.4</v>
      </c>
      <c r="AV132" s="515">
        <v>125.71597073269922</v>
      </c>
      <c r="AW132" s="515">
        <v>110.64094229488346</v>
      </c>
      <c r="AX132" s="511">
        <v>1.4606450396965627</v>
      </c>
      <c r="AY132" s="511">
        <v>1.4335001787629604</v>
      </c>
      <c r="AZ132" s="511">
        <v>0</v>
      </c>
      <c r="BA132" s="511">
        <v>1.6088666428316054E-2</v>
      </c>
      <c r="BB132" s="511">
        <v>972.7156218342883</v>
      </c>
      <c r="BC132" s="511">
        <v>907.24933857704696</v>
      </c>
      <c r="BD132" s="511">
        <v>518.51720969679843</v>
      </c>
      <c r="BE132" s="576">
        <v>575.47854844476228</v>
      </c>
      <c r="BF132" s="511">
        <v>33.691426955968758</v>
      </c>
      <c r="BG132" s="512">
        <v>27.100286020736494</v>
      </c>
      <c r="BH132" s="513">
        <v>1.0347184107897567</v>
      </c>
      <c r="BI132" s="514">
        <v>0.89002882296123897</v>
      </c>
      <c r="BJ132" s="514">
        <v>1.0347184107897567</v>
      </c>
      <c r="BK132" s="514">
        <v>0.89002882296123897</v>
      </c>
      <c r="BL132" s="511">
        <v>54.921999999999997</v>
      </c>
      <c r="BM132" s="511">
        <v>639.82100000000003</v>
      </c>
      <c r="BN132" s="511">
        <v>2.2978041586249591</v>
      </c>
      <c r="BO132" s="511">
        <v>2.537584730729376</v>
      </c>
      <c r="BP132" s="515">
        <v>0</v>
      </c>
      <c r="BQ132" s="515">
        <v>0</v>
      </c>
      <c r="BR132" s="515">
        <v>713.70851872916126</v>
      </c>
      <c r="BS132" s="515">
        <v>893.82823477176851</v>
      </c>
      <c r="BT132" s="515">
        <v>0</v>
      </c>
      <c r="BU132" s="516">
        <v>0</v>
      </c>
      <c r="BV132" s="513">
        <v>0.82962040221198974</v>
      </c>
      <c r="BW132" s="514">
        <v>0.8621103162659014</v>
      </c>
      <c r="BX132" s="514">
        <v>0.84968234650445607</v>
      </c>
      <c r="BY132" s="514">
        <v>0.87914378814983696</v>
      </c>
      <c r="BZ132" s="511">
        <v>44.067</v>
      </c>
      <c r="CA132" s="511">
        <v>558.67700000000002</v>
      </c>
      <c r="CB132" s="515">
        <v>114.06290447485777</v>
      </c>
      <c r="CC132" s="515">
        <v>106.67704314320368</v>
      </c>
      <c r="CD132" s="511">
        <v>2.2896952367985115</v>
      </c>
      <c r="CE132" s="511">
        <v>2.2385027484575164</v>
      </c>
      <c r="CF132" s="515">
        <v>0</v>
      </c>
      <c r="CG132" s="515">
        <v>0</v>
      </c>
      <c r="CH132" s="515">
        <v>906.08121120921874</v>
      </c>
      <c r="CI132" s="515">
        <v>981.97306314756452</v>
      </c>
      <c r="CJ132" s="515">
        <v>610.44545805251096</v>
      </c>
      <c r="CK132" s="515">
        <v>91.031669461961059</v>
      </c>
      <c r="CL132" s="515"/>
      <c r="CM132" s="516"/>
    </row>
    <row r="133" spans="1:91">
      <c r="A133" s="558">
        <v>46036</v>
      </c>
      <c r="B133" s="513">
        <v>0.91696833553926627</v>
      </c>
      <c r="C133" s="514">
        <v>0.78684595812913283</v>
      </c>
      <c r="D133" s="514">
        <v>0.91696833553926627</v>
      </c>
      <c r="E133" s="514">
        <v>0.78684595812913283</v>
      </c>
      <c r="F133" s="511">
        <v>60.061999999999998</v>
      </c>
      <c r="G133" s="511">
        <v>676.04600000000005</v>
      </c>
      <c r="H133" s="511">
        <v>2.232592987246512</v>
      </c>
      <c r="I133" s="511">
        <v>2.484131257340477</v>
      </c>
      <c r="J133" s="511">
        <v>902.54004195665323</v>
      </c>
      <c r="K133" s="512">
        <v>1060.6432698366657</v>
      </c>
      <c r="L133" s="513">
        <v>0.84057947357085361</v>
      </c>
      <c r="M133" s="514">
        <v>0.8063066274022872</v>
      </c>
      <c r="N133" s="514">
        <v>0.84057947357085361</v>
      </c>
      <c r="O133" s="514">
        <v>0.81066127128863463</v>
      </c>
      <c r="P133" s="511">
        <v>51.505000000000003</v>
      </c>
      <c r="Q133" s="511">
        <v>751.91200000000003</v>
      </c>
      <c r="R133" s="511">
        <v>2.2035918842830795</v>
      </c>
      <c r="S133" s="511">
        <v>1.8749308429709863</v>
      </c>
      <c r="T133" s="511">
        <v>0.31259101058149696</v>
      </c>
      <c r="U133" s="511">
        <v>0.29897115619912967</v>
      </c>
      <c r="V133" s="511">
        <v>641.25948936997213</v>
      </c>
      <c r="W133" s="511">
        <v>600.94185223802822</v>
      </c>
      <c r="X133" s="511">
        <v>480.55528589457333</v>
      </c>
      <c r="Y133" s="576">
        <v>519.05276149336623</v>
      </c>
      <c r="Z133" s="511">
        <v>0</v>
      </c>
      <c r="AA133" s="576">
        <v>0</v>
      </c>
      <c r="AB133" s="513">
        <v>0.87886983646450489</v>
      </c>
      <c r="AC133" s="514">
        <v>0.84719951640125923</v>
      </c>
      <c r="AD133" s="514">
        <v>0.87886983646450489</v>
      </c>
      <c r="AE133" s="514">
        <v>0.89027929578289611</v>
      </c>
      <c r="AF133" s="511">
        <v>38.073</v>
      </c>
      <c r="AG133" s="511">
        <v>521.04899999999986</v>
      </c>
      <c r="AH133" s="511">
        <v>141.16604831551533</v>
      </c>
      <c r="AI133" s="511">
        <v>139.23846203647494</v>
      </c>
      <c r="AJ133" s="511">
        <v>1.3920626165524124</v>
      </c>
      <c r="AK133" s="511">
        <v>1.3413325810048575</v>
      </c>
      <c r="AL133" s="511">
        <v>1034.6014235810057</v>
      </c>
      <c r="AM133" s="576">
        <v>1009.7431527553067</v>
      </c>
      <c r="AN133" s="587"/>
      <c r="AO133" s="587"/>
      <c r="AP133" s="513">
        <v>0.94585187708396878</v>
      </c>
      <c r="AQ133" s="514">
        <v>0.81205748645936238</v>
      </c>
      <c r="AR133" s="514">
        <v>0.94585187708396878</v>
      </c>
      <c r="AS133" s="514">
        <v>0.84866126542620046</v>
      </c>
      <c r="AT133" s="511">
        <v>50.981000000000002</v>
      </c>
      <c r="AU133" s="511">
        <v>610.38099999999997</v>
      </c>
      <c r="AV133" s="515">
        <v>113.08795611972465</v>
      </c>
      <c r="AW133" s="515">
        <v>110.84532482285243</v>
      </c>
      <c r="AX133" s="511">
        <v>1.327945705262745</v>
      </c>
      <c r="AY133" s="511">
        <v>1.424683926924331</v>
      </c>
      <c r="AZ133" s="511">
        <v>0</v>
      </c>
      <c r="BA133" s="511">
        <v>1.47448888481129E-2</v>
      </c>
      <c r="BB133" s="511">
        <v>835.41672387752112</v>
      </c>
      <c r="BC133" s="511">
        <v>901.24964571308726</v>
      </c>
      <c r="BD133" s="511">
        <v>495.71997410800867</v>
      </c>
      <c r="BE133" s="576">
        <v>568.81685373561834</v>
      </c>
      <c r="BF133" s="511">
        <v>27.786822541730778</v>
      </c>
      <c r="BG133" s="512">
        <v>27.157627776749226</v>
      </c>
      <c r="BH133" s="513">
        <v>0.88802352469650103</v>
      </c>
      <c r="BI133" s="514">
        <v>0.88989129297440417</v>
      </c>
      <c r="BJ133" s="514">
        <v>0.88802352469650103</v>
      </c>
      <c r="BK133" s="514">
        <v>0.88989129297440417</v>
      </c>
      <c r="BL133" s="511">
        <v>47.006</v>
      </c>
      <c r="BM133" s="511">
        <v>686.827</v>
      </c>
      <c r="BN133" s="511">
        <v>2.7230566310683741</v>
      </c>
      <c r="BO133" s="511">
        <v>2.5502783088026537</v>
      </c>
      <c r="BP133" s="515">
        <v>0</v>
      </c>
      <c r="BQ133" s="515">
        <v>0</v>
      </c>
      <c r="BR133" s="515">
        <v>833.77690920601913</v>
      </c>
      <c r="BS133" s="515">
        <v>889.71836051006426</v>
      </c>
      <c r="BT133" s="515">
        <v>0</v>
      </c>
      <c r="BU133" s="516">
        <v>0</v>
      </c>
      <c r="BV133" s="513">
        <v>0.87023561193166277</v>
      </c>
      <c r="BW133" s="514">
        <v>0.86274019489342435</v>
      </c>
      <c r="BX133" s="514">
        <v>0.87023561193166277</v>
      </c>
      <c r="BY133" s="514">
        <v>0.87844065286442574</v>
      </c>
      <c r="BZ133" s="511">
        <v>47.390999999999998</v>
      </c>
      <c r="CA133" s="511">
        <v>606.06799999999998</v>
      </c>
      <c r="CB133" s="515">
        <v>102.29891649350517</v>
      </c>
      <c r="CC133" s="515">
        <v>106.33469904970946</v>
      </c>
      <c r="CD133" s="511">
        <v>2.0868941360173876</v>
      </c>
      <c r="CE133" s="511">
        <v>2.2266478348964145</v>
      </c>
      <c r="CF133" s="515">
        <v>0</v>
      </c>
      <c r="CG133" s="515">
        <v>0</v>
      </c>
      <c r="CH133" s="515">
        <v>835.14006047272312</v>
      </c>
      <c r="CI133" s="515">
        <v>970.4915745526157</v>
      </c>
      <c r="CJ133" s="515">
        <v>533.27214027980813</v>
      </c>
      <c r="CK133" s="515">
        <v>125.61230752984881</v>
      </c>
      <c r="CL133" s="515"/>
      <c r="CM133" s="516"/>
    </row>
    <row r="134" spans="1:91">
      <c r="A134" s="558">
        <v>46037</v>
      </c>
      <c r="B134" s="513">
        <v>0.84196808378876165</v>
      </c>
      <c r="C134" s="514">
        <v>0.79038220657791491</v>
      </c>
      <c r="D134" s="514">
        <v>0.84196808378876165</v>
      </c>
      <c r="E134" s="514">
        <v>0.79038220657791491</v>
      </c>
      <c r="F134" s="511">
        <v>49.59</v>
      </c>
      <c r="G134" s="511">
        <v>725.63600000000008</v>
      </c>
      <c r="H134" s="511">
        <v>2.5619479733817299</v>
      </c>
      <c r="I134" s="511">
        <v>2.4894492555496144</v>
      </c>
      <c r="J134" s="511">
        <v>1145.3022786852098</v>
      </c>
      <c r="K134" s="512">
        <v>1066.4288706734478</v>
      </c>
      <c r="L134" s="513">
        <v>0.80494487277816562</v>
      </c>
      <c r="M134" s="514">
        <v>0.80622096758622186</v>
      </c>
      <c r="N134" s="514">
        <v>0.80494487277816562</v>
      </c>
      <c r="O134" s="514">
        <v>0.81029986770434026</v>
      </c>
      <c r="P134" s="511">
        <v>50.387999999999998</v>
      </c>
      <c r="Q134" s="511">
        <v>802.30000000000007</v>
      </c>
      <c r="R134" s="511">
        <v>2.1367984440739858</v>
      </c>
      <c r="S134" s="511">
        <v>1.8913772902904156</v>
      </c>
      <c r="T134" s="511">
        <v>0.26792093355560848</v>
      </c>
      <c r="U134" s="511">
        <v>0.29702106443973569</v>
      </c>
      <c r="V134" s="511">
        <v>725.1881400333491</v>
      </c>
      <c r="W134" s="511">
        <v>608.74507042253595</v>
      </c>
      <c r="X134" s="511">
        <v>492.22036992934824</v>
      </c>
      <c r="Y134" s="576">
        <v>517.36756824130612</v>
      </c>
      <c r="Z134" s="511">
        <v>0</v>
      </c>
      <c r="AA134" s="576">
        <v>0</v>
      </c>
      <c r="AB134" s="513">
        <v>0.8314135807942663</v>
      </c>
      <c r="AC134" s="514">
        <v>0.84595074886523214</v>
      </c>
      <c r="AD134" s="514">
        <v>0.8314135807942663</v>
      </c>
      <c r="AE134" s="514">
        <v>0.88540546088378846</v>
      </c>
      <c r="AF134" s="511">
        <v>43.924999999999997</v>
      </c>
      <c r="AG134" s="511">
        <v>564.97399999999982</v>
      </c>
      <c r="AH134" s="511">
        <v>113.53278745201378</v>
      </c>
      <c r="AI134" s="511">
        <v>137.23992448231766</v>
      </c>
      <c r="AJ134" s="511">
        <v>1.190665907797382</v>
      </c>
      <c r="AK134" s="511">
        <v>1.3296187081175419</v>
      </c>
      <c r="AL134" s="511">
        <v>808.50358565737872</v>
      </c>
      <c r="AM134" s="576">
        <v>994.09739209238001</v>
      </c>
      <c r="AN134" s="587"/>
      <c r="AO134" s="587"/>
      <c r="AP134" s="513">
        <v>0.96809702322020086</v>
      </c>
      <c r="AQ134" s="514">
        <v>0.82277433657093313</v>
      </c>
      <c r="AR134" s="514">
        <v>0.96809702322020086</v>
      </c>
      <c r="AS134" s="514">
        <v>0.85720744613152222</v>
      </c>
      <c r="AT134" s="511">
        <v>53.661999999999999</v>
      </c>
      <c r="AU134" s="511">
        <v>664.04300000000001</v>
      </c>
      <c r="AV134" s="515">
        <v>104.47599342244094</v>
      </c>
      <c r="AW134" s="515">
        <v>110.33061258040898</v>
      </c>
      <c r="AX134" s="511">
        <v>1.2616003876113451</v>
      </c>
      <c r="AY134" s="511">
        <v>1.4115049778402906</v>
      </c>
      <c r="AZ134" s="511">
        <v>0</v>
      </c>
      <c r="BA134" s="511">
        <v>1.355333916628893E-2</v>
      </c>
      <c r="BB134" s="511">
        <v>820.94442995043221</v>
      </c>
      <c r="BC134" s="511">
        <v>894.76009836712387</v>
      </c>
      <c r="BD134" s="511">
        <v>456.82140061867466</v>
      </c>
      <c r="BE134" s="576">
        <v>559.76638561057007</v>
      </c>
      <c r="BF134" s="511">
        <v>26.774999068242284</v>
      </c>
      <c r="BG134" s="512">
        <v>27.126707156012472</v>
      </c>
      <c r="BH134" s="513">
        <v>0.9608699608699609</v>
      </c>
      <c r="BI134" s="514">
        <v>0.89460843759563091</v>
      </c>
      <c r="BJ134" s="514">
        <v>0.9608699608699609</v>
      </c>
      <c r="BK134" s="514">
        <v>0.89460843759563091</v>
      </c>
      <c r="BL134" s="511">
        <v>52.795000000000002</v>
      </c>
      <c r="BM134" s="511">
        <v>739.62199999999996</v>
      </c>
      <c r="BN134" s="511">
        <v>2.4396249644852732</v>
      </c>
      <c r="BO134" s="511">
        <v>2.5423797561457073</v>
      </c>
      <c r="BP134" s="515">
        <v>0</v>
      </c>
      <c r="BQ134" s="515">
        <v>0</v>
      </c>
      <c r="BR134" s="515">
        <v>777.83603554666115</v>
      </c>
      <c r="BS134" s="515">
        <v>881.73208191580545</v>
      </c>
      <c r="BT134" s="515">
        <v>0</v>
      </c>
      <c r="BU134" s="516">
        <v>0</v>
      </c>
      <c r="BV134" s="513">
        <v>0.95602818203616724</v>
      </c>
      <c r="BW134" s="514">
        <v>0.86941108392120936</v>
      </c>
      <c r="BX134" s="514">
        <v>0.95602818203616724</v>
      </c>
      <c r="BY134" s="514">
        <v>0.88408245060300461</v>
      </c>
      <c r="BZ134" s="511">
        <v>51.723999999999997</v>
      </c>
      <c r="CA134" s="511">
        <v>657.79200000000003</v>
      </c>
      <c r="CB134" s="515">
        <v>89.642749055279367</v>
      </c>
      <c r="CC134" s="515">
        <v>105.0221649636885</v>
      </c>
      <c r="CD134" s="511">
        <v>1.9140051040136108</v>
      </c>
      <c r="CE134" s="511">
        <v>2.2020638742946099</v>
      </c>
      <c r="CF134" s="515">
        <v>0</v>
      </c>
      <c r="CG134" s="515">
        <v>0</v>
      </c>
      <c r="CH134" s="515">
        <v>799.32152392147805</v>
      </c>
      <c r="CI134" s="515">
        <v>957.03200116339099</v>
      </c>
      <c r="CJ134" s="515">
        <v>473.93763050033488</v>
      </c>
      <c r="CK134" s="515">
        <v>153.00208880618757</v>
      </c>
      <c r="CL134" s="515"/>
      <c r="CM134" s="516"/>
    </row>
    <row r="135" spans="1:91">
      <c r="A135" s="558">
        <v>46038</v>
      </c>
      <c r="B135" s="513">
        <v>0.75704729529509784</v>
      </c>
      <c r="C135" s="514">
        <v>0.78842283721799988</v>
      </c>
      <c r="D135" s="514">
        <v>0.75704729529509784</v>
      </c>
      <c r="E135" s="514">
        <v>0.78842283721799988</v>
      </c>
      <c r="F135" s="511">
        <v>43.404000000000003</v>
      </c>
      <c r="G135" s="511">
        <v>769.04000000000008</v>
      </c>
      <c r="H135" s="511">
        <v>2.8862316837157862</v>
      </c>
      <c r="I135" s="511">
        <v>2.5118433371476123</v>
      </c>
      <c r="J135" s="511">
        <v>1246.4699106073597</v>
      </c>
      <c r="K135" s="512">
        <v>1076.5902423801101</v>
      </c>
      <c r="L135" s="513">
        <v>0.79198282787844265</v>
      </c>
      <c r="M135" s="514">
        <v>0.80539312178191669</v>
      </c>
      <c r="N135" s="514">
        <v>0.79198282787844265</v>
      </c>
      <c r="O135" s="514">
        <v>0.80922978969987314</v>
      </c>
      <c r="P135" s="511">
        <v>48.652999999999999</v>
      </c>
      <c r="Q135" s="511">
        <v>850.95300000000009</v>
      </c>
      <c r="R135" s="511">
        <v>2.4169527058968616</v>
      </c>
      <c r="S135" s="511">
        <v>1.9214269178203736</v>
      </c>
      <c r="T135" s="511">
        <v>0.35557930651758374</v>
      </c>
      <c r="U135" s="511">
        <v>0.30036911556807483</v>
      </c>
      <c r="V135" s="511">
        <v>705.58588370708503</v>
      </c>
      <c r="W135" s="511">
        <v>614.28191686262505</v>
      </c>
      <c r="X135" s="511">
        <v>567.40591535979274</v>
      </c>
      <c r="Y135" s="576">
        <v>520.22849675599002</v>
      </c>
      <c r="Z135" s="511">
        <v>0</v>
      </c>
      <c r="AA135" s="576">
        <v>0</v>
      </c>
      <c r="AB135" s="513">
        <v>0.81060253938061111</v>
      </c>
      <c r="AC135" s="514">
        <v>0.84357004767071053</v>
      </c>
      <c r="AD135" s="514">
        <v>0.81060253938061111</v>
      </c>
      <c r="AE135" s="514">
        <v>0.88014902837409636</v>
      </c>
      <c r="AF135" s="511">
        <v>39.094000000000001</v>
      </c>
      <c r="AG135" s="511">
        <v>604.06799999999987</v>
      </c>
      <c r="AH135" s="511">
        <v>136.39560568400154</v>
      </c>
      <c r="AI135" s="511">
        <v>137.1852819601159</v>
      </c>
      <c r="AJ135" s="511">
        <v>1.4017496290990943</v>
      </c>
      <c r="AK135" s="511">
        <v>1.3342868683658131</v>
      </c>
      <c r="AL135" s="511">
        <v>948.01708702100757</v>
      </c>
      <c r="AM135" s="576">
        <v>991.11517246402627</v>
      </c>
      <c r="AN135" s="587"/>
      <c r="AO135" s="587"/>
      <c r="AP135" s="513">
        <v>0.89796734160075609</v>
      </c>
      <c r="AQ135" s="514">
        <v>0.8276039405421971</v>
      </c>
      <c r="AR135" s="514">
        <v>0.89796734160075609</v>
      </c>
      <c r="AS135" s="514">
        <v>0.85992768172989587</v>
      </c>
      <c r="AT135" s="511">
        <v>49.744</v>
      </c>
      <c r="AU135" s="511">
        <v>713.78700000000003</v>
      </c>
      <c r="AV135" s="515">
        <v>117.16456242542759</v>
      </c>
      <c r="AW135" s="515">
        <v>110.80687230647656</v>
      </c>
      <c r="AX135" s="511">
        <v>1.3871019620456739</v>
      </c>
      <c r="AY135" s="511">
        <v>1.4098043253799803</v>
      </c>
      <c r="AZ135" s="511">
        <v>0</v>
      </c>
      <c r="BA135" s="511">
        <v>1.2608803466580366E-2</v>
      </c>
      <c r="BB135" s="511">
        <v>870.29149244129894</v>
      </c>
      <c r="BC135" s="511">
        <v>893.05487491366466</v>
      </c>
      <c r="BD135" s="511">
        <v>500.78916050177912</v>
      </c>
      <c r="BE135" s="576">
        <v>555.65624759206912</v>
      </c>
      <c r="BF135" s="511">
        <v>28.626568028305506</v>
      </c>
      <c r="BG135" s="512">
        <v>27.231232846773644</v>
      </c>
      <c r="BH135" s="513">
        <v>0.89279070028388363</v>
      </c>
      <c r="BI135" s="514">
        <v>0.89449370196323086</v>
      </c>
      <c r="BJ135" s="514">
        <v>0.89279070028388363</v>
      </c>
      <c r="BK135" s="514">
        <v>0.89449370196323086</v>
      </c>
      <c r="BL135" s="511">
        <v>49.728999999999999</v>
      </c>
      <c r="BM135" s="511">
        <v>789.351</v>
      </c>
      <c r="BN135" s="511">
        <v>2.6664521707655493</v>
      </c>
      <c r="BO135" s="511">
        <v>2.5501963005050987</v>
      </c>
      <c r="BP135" s="515">
        <v>0</v>
      </c>
      <c r="BQ135" s="515">
        <v>0</v>
      </c>
      <c r="BR135" s="515">
        <v>821.43418659223062</v>
      </c>
      <c r="BS135" s="515">
        <v>877.93332314240047</v>
      </c>
      <c r="BT135" s="515">
        <v>0</v>
      </c>
      <c r="BU135" s="516">
        <v>0</v>
      </c>
      <c r="BV135" s="513">
        <v>0.97903889512042042</v>
      </c>
      <c r="BW135" s="514">
        <v>0.87670919910705991</v>
      </c>
      <c r="BX135" s="514">
        <v>0.97903889512042042</v>
      </c>
      <c r="BY135" s="514">
        <v>0.89050332831449186</v>
      </c>
      <c r="BZ135" s="511">
        <v>52.829000000000001</v>
      </c>
      <c r="CA135" s="511">
        <v>710.62099999999998</v>
      </c>
      <c r="CB135" s="515">
        <v>89.165348541505125</v>
      </c>
      <c r="CC135" s="515">
        <v>103.84333721335811</v>
      </c>
      <c r="CD135" s="511">
        <v>1.8550417384391149</v>
      </c>
      <c r="CE135" s="511">
        <v>2.176265548020675</v>
      </c>
      <c r="CF135" s="515">
        <v>0</v>
      </c>
      <c r="CG135" s="515">
        <v>0</v>
      </c>
      <c r="CH135" s="515">
        <v>771.37631480725713</v>
      </c>
      <c r="CI135" s="515">
        <v>943.22998257048675</v>
      </c>
      <c r="CJ135" s="515">
        <v>453.05313369551726</v>
      </c>
      <c r="CK135" s="515">
        <v>175.30848933538439</v>
      </c>
      <c r="CL135" s="515"/>
      <c r="CM135" s="516"/>
    </row>
    <row r="136" spans="1:91">
      <c r="A136" s="558">
        <v>46039</v>
      </c>
      <c r="B136" s="513">
        <v>0.87599907740890015</v>
      </c>
      <c r="C136" s="514">
        <v>0.79336494792633139</v>
      </c>
      <c r="D136" s="514">
        <v>0.87599907740890015</v>
      </c>
      <c r="E136" s="514">
        <v>0.79336494792633139</v>
      </c>
      <c r="F136" s="511">
        <v>51.103000000000002</v>
      </c>
      <c r="G136" s="511">
        <v>820.14300000000003</v>
      </c>
      <c r="H136" s="511">
        <v>2.4742970080034441</v>
      </c>
      <c r="I136" s="511">
        <v>2.5095038304295714</v>
      </c>
      <c r="J136" s="511">
        <v>1097.9832886523054</v>
      </c>
      <c r="K136" s="512">
        <v>1077.9232402154241</v>
      </c>
      <c r="L136" s="513">
        <v>1.2089008685041371</v>
      </c>
      <c r="M136" s="514">
        <v>0.82655681925515889</v>
      </c>
      <c r="N136" s="514">
        <v>1.2089008685041371</v>
      </c>
      <c r="O136" s="514">
        <v>0.8302868547904243</v>
      </c>
      <c r="P136" s="511">
        <v>70.700999999999993</v>
      </c>
      <c r="Q136" s="511">
        <v>921.65400000000011</v>
      </c>
      <c r="R136" s="511">
        <v>1.6228624771926847</v>
      </c>
      <c r="S136" s="511">
        <v>1.8985237410134392</v>
      </c>
      <c r="T136" s="511">
        <v>0.2545932872236602</v>
      </c>
      <c r="U136" s="511">
        <v>0.29685760599964844</v>
      </c>
      <c r="V136" s="511">
        <v>456.52338722220975</v>
      </c>
      <c r="W136" s="511">
        <v>602.1801022943522</v>
      </c>
      <c r="X136" s="511">
        <v>436.79721644672634</v>
      </c>
      <c r="Y136" s="576">
        <v>513.82839981164295</v>
      </c>
      <c r="Z136" s="511">
        <v>0</v>
      </c>
      <c r="AA136" s="576">
        <v>0</v>
      </c>
      <c r="AB136" s="513">
        <v>0.96574430656587262</v>
      </c>
      <c r="AC136" s="514">
        <v>0.85086899009717054</v>
      </c>
      <c r="AD136" s="514">
        <v>0.96574430656587262</v>
      </c>
      <c r="AE136" s="514">
        <v>0.88547061935971494</v>
      </c>
      <c r="AF136" s="511">
        <v>43.94</v>
      </c>
      <c r="AG136" s="511">
        <v>648.00799999999981</v>
      </c>
      <c r="AH136" s="511">
        <v>127.16735622648845</v>
      </c>
      <c r="AI136" s="511">
        <v>136.5059884070493</v>
      </c>
      <c r="AJ136" s="511">
        <v>1.2744651797906237</v>
      </c>
      <c r="AK136" s="511">
        <v>1.330230490981593</v>
      </c>
      <c r="AL136" s="511">
        <v>832.95949021392801</v>
      </c>
      <c r="AM136" s="576">
        <v>980.39098282737166</v>
      </c>
      <c r="AN136" s="587"/>
      <c r="AO136" s="587"/>
      <c r="AP136" s="513">
        <v>0.9300051344179695</v>
      </c>
      <c r="AQ136" s="514">
        <v>0.83376964156905997</v>
      </c>
      <c r="AR136" s="514">
        <v>0.9300051344179695</v>
      </c>
      <c r="AS136" s="514">
        <v>0.86430164377281471</v>
      </c>
      <c r="AT136" s="511">
        <v>51.39</v>
      </c>
      <c r="AU136" s="511">
        <v>765.17700000000002</v>
      </c>
      <c r="AV136" s="515">
        <v>101.38561042793269</v>
      </c>
      <c r="AW136" s="515">
        <v>110.17413158382237</v>
      </c>
      <c r="AX136" s="511">
        <v>1.2414866705584744</v>
      </c>
      <c r="AY136" s="511">
        <v>1.3984999549123929</v>
      </c>
      <c r="AZ136" s="511">
        <v>0</v>
      </c>
      <c r="BA136" s="511">
        <v>1.1761984482021806E-2</v>
      </c>
      <c r="BB136" s="511">
        <v>737.11305701498281</v>
      </c>
      <c r="BC136" s="511">
        <v>882.58167718057393</v>
      </c>
      <c r="BD136" s="511">
        <v>493.61066355322328</v>
      </c>
      <c r="BE136" s="576">
        <v>551.48920837923822</v>
      </c>
      <c r="BF136" s="511">
        <v>28.262307841992495</v>
      </c>
      <c r="BG136" s="512">
        <v>27.300480803787895</v>
      </c>
      <c r="BH136" s="513">
        <v>1.0239612100337483</v>
      </c>
      <c r="BI136" s="514">
        <v>0.90212098363898685</v>
      </c>
      <c r="BJ136" s="514">
        <v>1.0239612100337483</v>
      </c>
      <c r="BK136" s="514">
        <v>0.90212098363898685</v>
      </c>
      <c r="BL136" s="511">
        <v>56.566000000000003</v>
      </c>
      <c r="BM136" s="511">
        <v>845.91700000000003</v>
      </c>
      <c r="BN136" s="511">
        <v>2.4785206661245267</v>
      </c>
      <c r="BO136" s="511">
        <v>2.5454033906399798</v>
      </c>
      <c r="BP136" s="515">
        <v>0</v>
      </c>
      <c r="BQ136" s="515">
        <v>0</v>
      </c>
      <c r="BR136" s="515">
        <v>787.70938468300096</v>
      </c>
      <c r="BS136" s="515">
        <v>871.90009848455065</v>
      </c>
      <c r="BT136" s="515">
        <v>0</v>
      </c>
      <c r="BU136" s="516">
        <v>0</v>
      </c>
      <c r="BV136" s="513">
        <v>1.0106038276666576</v>
      </c>
      <c r="BW136" s="514">
        <v>0.88523830940520409</v>
      </c>
      <c r="BX136" s="514">
        <v>1.0106038276666576</v>
      </c>
      <c r="BY136" s="514">
        <v>0.89826634135323313</v>
      </c>
      <c r="BZ136" s="511">
        <v>55.73</v>
      </c>
      <c r="CA136" s="511">
        <v>766.351</v>
      </c>
      <c r="CB136" s="515">
        <v>84.856627445121759</v>
      </c>
      <c r="CC136" s="515">
        <v>102.46260001149655</v>
      </c>
      <c r="CD136" s="511">
        <v>1.799748788803158</v>
      </c>
      <c r="CE136" s="511">
        <v>2.1488847799507016</v>
      </c>
      <c r="CF136" s="515">
        <v>0</v>
      </c>
      <c r="CG136" s="515">
        <v>0</v>
      </c>
      <c r="CH136" s="515">
        <v>708.21910902601405</v>
      </c>
      <c r="CI136" s="515">
        <v>926.1396988980789</v>
      </c>
      <c r="CJ136" s="515">
        <v>513.27737304863035</v>
      </c>
      <c r="CK136" s="515">
        <v>199.88600784757949</v>
      </c>
      <c r="CL136" s="515"/>
      <c r="CM136" s="516"/>
    </row>
    <row r="137" spans="1:91">
      <c r="A137" s="558">
        <v>46040</v>
      </c>
      <c r="B137" s="513">
        <v>0.83214572378659069</v>
      </c>
      <c r="C137" s="514">
        <v>0.79544554129337108</v>
      </c>
      <c r="D137" s="514">
        <v>0.83214572378659069</v>
      </c>
      <c r="E137" s="514">
        <v>0.79544554129337108</v>
      </c>
      <c r="F137" s="511">
        <v>48.768000000000001</v>
      </c>
      <c r="G137" s="511">
        <v>868.91100000000006</v>
      </c>
      <c r="H137" s="511">
        <v>2.5719529199475066</v>
      </c>
      <c r="I137" s="511">
        <v>2.5130088121798435</v>
      </c>
      <c r="J137" s="511">
        <v>1149.9758038057914</v>
      </c>
      <c r="K137" s="512">
        <v>1081.9672210387478</v>
      </c>
      <c r="L137" s="513">
        <v>0.94411324008997122</v>
      </c>
      <c r="M137" s="514">
        <v>0.83177701728313114</v>
      </c>
      <c r="N137" s="514">
        <v>0.94411324008997122</v>
      </c>
      <c r="O137" s="514">
        <v>0.83536320991484436</v>
      </c>
      <c r="P137" s="511">
        <v>48.92</v>
      </c>
      <c r="Q137" s="511">
        <v>970.57400000000007</v>
      </c>
      <c r="R137" s="511">
        <v>2.3911896974652489</v>
      </c>
      <c r="S137" s="511">
        <v>1.923355663761857</v>
      </c>
      <c r="T137" s="511">
        <v>0.26165167620605068</v>
      </c>
      <c r="U137" s="511">
        <v>0.29508311576448576</v>
      </c>
      <c r="V137" s="511">
        <v>767.49243663127754</v>
      </c>
      <c r="W137" s="511">
        <v>610.51236690865494</v>
      </c>
      <c r="X137" s="511">
        <v>421.64758789860997</v>
      </c>
      <c r="Y137" s="576">
        <v>509.18219527825789</v>
      </c>
      <c r="Z137" s="511">
        <v>0</v>
      </c>
      <c r="AA137" s="576">
        <v>0</v>
      </c>
      <c r="AB137" s="513">
        <v>0.87883815059360693</v>
      </c>
      <c r="AC137" s="514">
        <v>0.85250750338263592</v>
      </c>
      <c r="AD137" s="514">
        <v>0.87883815059360693</v>
      </c>
      <c r="AE137" s="514">
        <v>0.88506723059242776</v>
      </c>
      <c r="AF137" s="511">
        <v>41.65</v>
      </c>
      <c r="AG137" s="511">
        <v>689.65799999999979</v>
      </c>
      <c r="AH137" s="511">
        <v>127.59142036608267</v>
      </c>
      <c r="AI137" s="511">
        <v>135.96761756395568</v>
      </c>
      <c r="AJ137" s="511">
        <v>1.2893157262905164</v>
      </c>
      <c r="AK137" s="511">
        <v>1.3277595561858198</v>
      </c>
      <c r="AL137" s="511">
        <v>943.38583433372469</v>
      </c>
      <c r="AM137" s="576">
        <v>978.15615855974875</v>
      </c>
      <c r="AN137" s="587"/>
      <c r="AO137" s="587"/>
      <c r="AP137" s="513">
        <v>0.93143981179529378</v>
      </c>
      <c r="AQ137" s="514">
        <v>0.83920411234531656</v>
      </c>
      <c r="AR137" s="514">
        <v>0.93143981179529378</v>
      </c>
      <c r="AS137" s="514">
        <v>0.86816620392822741</v>
      </c>
      <c r="AT137" s="511">
        <v>50.365000000000002</v>
      </c>
      <c r="AU137" s="511">
        <v>815.54200000000003</v>
      </c>
      <c r="AV137" s="515">
        <v>106.85917398707899</v>
      </c>
      <c r="AW137" s="515">
        <v>109.96941148435481</v>
      </c>
      <c r="AX137" s="511">
        <v>1.3044773155961482</v>
      </c>
      <c r="AY137" s="511">
        <v>1.3926934480382374</v>
      </c>
      <c r="AZ137" s="511">
        <v>0</v>
      </c>
      <c r="BA137" s="511">
        <v>1.1035605768924225E-2</v>
      </c>
      <c r="BB137" s="511">
        <v>824.22356795393637</v>
      </c>
      <c r="BC137" s="511">
        <v>878.97768600513518</v>
      </c>
      <c r="BD137" s="511">
        <v>495.96120321652069</v>
      </c>
      <c r="BE137" s="576">
        <v>548.05999445767407</v>
      </c>
      <c r="BF137" s="511">
        <v>26.998907971805586</v>
      </c>
      <c r="BG137" s="512">
        <v>27.281856728408837</v>
      </c>
      <c r="BH137" s="513">
        <v>0.90373934330470351</v>
      </c>
      <c r="BI137" s="514">
        <v>0.90220503235336824</v>
      </c>
      <c r="BJ137" s="514">
        <v>0.90373934330470351</v>
      </c>
      <c r="BK137" s="514">
        <v>0.90220503235336824</v>
      </c>
      <c r="BL137" s="511">
        <v>46.421999999999997</v>
      </c>
      <c r="BM137" s="511">
        <v>892.33900000000006</v>
      </c>
      <c r="BN137" s="511">
        <v>2.8779458015596053</v>
      </c>
      <c r="BO137" s="511">
        <v>2.5627031879140096</v>
      </c>
      <c r="BP137" s="515">
        <v>0</v>
      </c>
      <c r="BQ137" s="515">
        <v>0</v>
      </c>
      <c r="BR137" s="515">
        <v>1035.6498548991126</v>
      </c>
      <c r="BS137" s="515">
        <v>880.41882420681168</v>
      </c>
      <c r="BT137" s="515">
        <v>0</v>
      </c>
      <c r="BU137" s="516">
        <v>0</v>
      </c>
      <c r="BV137" s="513">
        <v>0.86654305169100854</v>
      </c>
      <c r="BW137" s="514">
        <v>0.88414670289591502</v>
      </c>
      <c r="BX137" s="514">
        <v>0.86654305169100854</v>
      </c>
      <c r="BY137" s="514">
        <v>0.89638838814306487</v>
      </c>
      <c r="BZ137" s="511">
        <v>46.518000000000001</v>
      </c>
      <c r="CA137" s="511">
        <v>812.86900000000003</v>
      </c>
      <c r="CB137" s="515">
        <v>92.735178724223388</v>
      </c>
      <c r="CC137" s="515">
        <v>101.90592952284292</v>
      </c>
      <c r="CD137" s="511">
        <v>2.0809149146566921</v>
      </c>
      <c r="CE137" s="511">
        <v>2.1449950730068434</v>
      </c>
      <c r="CF137" s="515">
        <v>0</v>
      </c>
      <c r="CG137" s="515">
        <v>0</v>
      </c>
      <c r="CH137" s="515">
        <v>876.56224334403873</v>
      </c>
      <c r="CI137" s="515">
        <v>923.30253315862649</v>
      </c>
      <c r="CJ137" s="515">
        <v>515.9188701147956</v>
      </c>
      <c r="CK137" s="515">
        <v>217.97159935979897</v>
      </c>
      <c r="CL137" s="515"/>
      <c r="CM137" s="516"/>
    </row>
    <row r="138" spans="1:91">
      <c r="A138" s="558">
        <v>46041</v>
      </c>
      <c r="B138" s="513">
        <v>0.82726334845168603</v>
      </c>
      <c r="C138" s="514">
        <v>0.79705505900043871</v>
      </c>
      <c r="D138" s="514">
        <v>0.82726334845168603</v>
      </c>
      <c r="E138" s="514">
        <v>0.79705505900043871</v>
      </c>
      <c r="F138" s="511">
        <v>48.148000000000003</v>
      </c>
      <c r="G138" s="511">
        <v>917.05900000000008</v>
      </c>
      <c r="H138" s="511">
        <v>2.5676248234609949</v>
      </c>
      <c r="I138" s="511">
        <v>2.5158762958544654</v>
      </c>
      <c r="J138" s="511">
        <v>1153.3808257870824</v>
      </c>
      <c r="K138" s="512">
        <v>1085.7166223765273</v>
      </c>
      <c r="L138" s="513">
        <v>0.93856657796010701</v>
      </c>
      <c r="M138" s="514">
        <v>0.83632448830842598</v>
      </c>
      <c r="N138" s="514">
        <v>0.93856657796010701</v>
      </c>
      <c r="O138" s="514">
        <v>0.83977610610971154</v>
      </c>
      <c r="P138" s="511">
        <v>48.710999999999999</v>
      </c>
      <c r="Q138" s="511">
        <v>1019.2850000000001</v>
      </c>
      <c r="R138" s="511">
        <v>2.3129149473424895</v>
      </c>
      <c r="S138" s="511">
        <v>1.9419724610879199</v>
      </c>
      <c r="T138" s="511">
        <v>0.28740941471125619</v>
      </c>
      <c r="U138" s="511">
        <v>0.29471639433524482</v>
      </c>
      <c r="V138" s="511">
        <v>730.47504670398177</v>
      </c>
      <c r="W138" s="511">
        <v>616.24530921184817</v>
      </c>
      <c r="X138" s="511">
        <v>454.76381104883905</v>
      </c>
      <c r="Y138" s="576">
        <v>506.58157433887476</v>
      </c>
      <c r="Z138" s="511">
        <v>0</v>
      </c>
      <c r="AA138" s="576">
        <v>0</v>
      </c>
      <c r="AB138" s="513">
        <v>0.89995875519000834</v>
      </c>
      <c r="AC138" s="514">
        <v>0.8551829973602223</v>
      </c>
      <c r="AD138" s="514">
        <v>0.89995875519000834</v>
      </c>
      <c r="AE138" s="514">
        <v>0.88593707040921532</v>
      </c>
      <c r="AF138" s="511">
        <v>43.503</v>
      </c>
      <c r="AG138" s="511">
        <v>733.16099999999983</v>
      </c>
      <c r="AH138" s="511">
        <v>125.70157150907191</v>
      </c>
      <c r="AI138" s="511">
        <v>135.35846923019866</v>
      </c>
      <c r="AJ138" s="511">
        <v>1.2504884720593981</v>
      </c>
      <c r="AK138" s="511">
        <v>1.3231745823904981</v>
      </c>
      <c r="AL138" s="511">
        <v>877.93899271314626</v>
      </c>
      <c r="AM138" s="576">
        <v>972.20965108618577</v>
      </c>
      <c r="AN138" s="587"/>
      <c r="AO138" s="587"/>
      <c r="AP138" s="513">
        <v>0.95476788324925643</v>
      </c>
      <c r="AQ138" s="514">
        <v>0.84517103605544597</v>
      </c>
      <c r="AR138" s="514">
        <v>0.95476788324925643</v>
      </c>
      <c r="AS138" s="514">
        <v>0.87278381309879705</v>
      </c>
      <c r="AT138" s="511">
        <v>50.515999999999998</v>
      </c>
      <c r="AU138" s="511">
        <v>866.05799999999999</v>
      </c>
      <c r="AV138" s="515">
        <v>115.08021760047558</v>
      </c>
      <c r="AW138" s="515">
        <v>110.26751794115327</v>
      </c>
      <c r="AX138" s="511">
        <v>1.2887006097078153</v>
      </c>
      <c r="AY138" s="511">
        <v>1.3866276854437003</v>
      </c>
      <c r="AZ138" s="511">
        <v>0</v>
      </c>
      <c r="BA138" s="511">
        <v>1.0391913705548589E-2</v>
      </c>
      <c r="BB138" s="511">
        <v>835.43788106738452</v>
      </c>
      <c r="BC138" s="511">
        <v>876.43806765828617</v>
      </c>
      <c r="BD138" s="511">
        <v>481.80954549053411</v>
      </c>
      <c r="BE138" s="576">
        <v>544.19569474561774</v>
      </c>
      <c r="BF138" s="511">
        <v>28.434555388391679</v>
      </c>
      <c r="BG138" s="512">
        <v>27.349092093139252</v>
      </c>
      <c r="BH138" s="513">
        <v>0.78540302268568252</v>
      </c>
      <c r="BI138" s="514">
        <v>0.89642629707586508</v>
      </c>
      <c r="BJ138" s="514">
        <v>0.78540302268568252</v>
      </c>
      <c r="BK138" s="514">
        <v>0.89642629707586508</v>
      </c>
      <c r="BL138" s="511">
        <v>40.433</v>
      </c>
      <c r="BM138" s="511">
        <v>932.77200000000005</v>
      </c>
      <c r="BN138" s="511">
        <v>3.2696065095342912</v>
      </c>
      <c r="BO138" s="511">
        <v>2.5933454263206865</v>
      </c>
      <c r="BP138" s="515">
        <v>0</v>
      </c>
      <c r="BQ138" s="515">
        <v>0</v>
      </c>
      <c r="BR138" s="515">
        <v>1212.7046095883788</v>
      </c>
      <c r="BS138" s="515">
        <v>894.82246321005471</v>
      </c>
      <c r="BT138" s="515">
        <v>0</v>
      </c>
      <c r="BU138" s="516">
        <v>0</v>
      </c>
      <c r="BV138" s="513">
        <v>0.98457734519458839</v>
      </c>
      <c r="BW138" s="514">
        <v>0.89014028454512717</v>
      </c>
      <c r="BX138" s="514">
        <v>0.98457734519458839</v>
      </c>
      <c r="BY138" s="514">
        <v>0.90171986555868855</v>
      </c>
      <c r="BZ138" s="511">
        <v>57.45</v>
      </c>
      <c r="CA138" s="511">
        <v>870.31900000000007</v>
      </c>
      <c r="CB138" s="515">
        <v>67.453651215582596</v>
      </c>
      <c r="CC138" s="515">
        <v>99.631725019951318</v>
      </c>
      <c r="CD138" s="511">
        <v>1.7667536988685812</v>
      </c>
      <c r="CE138" s="511">
        <v>2.1200272543745453</v>
      </c>
      <c r="CF138" s="515">
        <v>0</v>
      </c>
      <c r="CG138" s="515">
        <v>0</v>
      </c>
      <c r="CH138" s="515">
        <v>658.51792028737498</v>
      </c>
      <c r="CI138" s="515">
        <v>905.82402699082661</v>
      </c>
      <c r="CJ138" s="515">
        <v>477.74080069625421</v>
      </c>
      <c r="CK138" s="515">
        <v>235.11903681293893</v>
      </c>
      <c r="CL138" s="515"/>
      <c r="CM138" s="516"/>
    </row>
    <row r="139" spans="1:91">
      <c r="A139" s="558">
        <v>46042</v>
      </c>
      <c r="B139" s="513">
        <v>0.79821916122225722</v>
      </c>
      <c r="C139" s="514">
        <v>0.79711076379418211</v>
      </c>
      <c r="D139" s="514">
        <v>0.79821916122225722</v>
      </c>
      <c r="E139" s="514">
        <v>0.79711076379418211</v>
      </c>
      <c r="F139" s="511">
        <v>46.155999999999999</v>
      </c>
      <c r="G139" s="511">
        <v>963.21500000000003</v>
      </c>
      <c r="H139" s="511">
        <v>2.6746901811248809</v>
      </c>
      <c r="I139" s="511">
        <v>2.5234864490274758</v>
      </c>
      <c r="J139" s="511">
        <v>1293.9882138834096</v>
      </c>
      <c r="K139" s="512">
        <v>1095.6967239920461</v>
      </c>
      <c r="L139" s="513">
        <v>0.98630353377636537</v>
      </c>
      <c r="M139" s="514">
        <v>0.84245467817054731</v>
      </c>
      <c r="N139" s="514">
        <v>0.98630353377636537</v>
      </c>
      <c r="O139" s="514">
        <v>0.84578891929375066</v>
      </c>
      <c r="P139" s="511">
        <v>51.226999999999997</v>
      </c>
      <c r="Q139" s="511">
        <v>1070.5120000000002</v>
      </c>
      <c r="R139" s="511">
        <v>2.1775060026938919</v>
      </c>
      <c r="S139" s="511">
        <v>1.9532434012883555</v>
      </c>
      <c r="T139" s="511">
        <v>0.32209576980888988</v>
      </c>
      <c r="U139" s="511">
        <v>0.29602657420000894</v>
      </c>
      <c r="V139" s="511">
        <v>797.49507095868262</v>
      </c>
      <c r="W139" s="511">
        <v>624.91861838073658</v>
      </c>
      <c r="X139" s="511">
        <v>485.42760653561601</v>
      </c>
      <c r="Y139" s="576">
        <v>505.56929768185677</v>
      </c>
      <c r="Z139" s="511">
        <v>0</v>
      </c>
      <c r="AA139" s="576">
        <v>0</v>
      </c>
      <c r="AB139" s="513">
        <v>0.98248915222388733</v>
      </c>
      <c r="AC139" s="514">
        <v>0.86182067550883301</v>
      </c>
      <c r="AD139" s="514">
        <v>0.98248915222388733</v>
      </c>
      <c r="AE139" s="514">
        <v>0.89114252534962479</v>
      </c>
      <c r="AF139" s="511">
        <v>46.332999999999998</v>
      </c>
      <c r="AG139" s="511">
        <v>779.4939999999998</v>
      </c>
      <c r="AH139" s="511">
        <v>118.67654022615731</v>
      </c>
      <c r="AI139" s="511">
        <v>134.36689801022231</v>
      </c>
      <c r="AJ139" s="511">
        <v>1.1719508773444414</v>
      </c>
      <c r="AK139" s="511">
        <v>1.3141858692946964</v>
      </c>
      <c r="AL139" s="511">
        <v>846.16407312283604</v>
      </c>
      <c r="AM139" s="576">
        <v>964.7175218795777</v>
      </c>
      <c r="AN139" s="587"/>
      <c r="AO139" s="587"/>
      <c r="AP139" s="513">
        <v>0.98795933484839349</v>
      </c>
      <c r="AQ139" s="514">
        <v>0.85248564465198007</v>
      </c>
      <c r="AR139" s="514">
        <v>0.98795933484839349</v>
      </c>
      <c r="AS139" s="514">
        <v>0.8788664863891319</v>
      </c>
      <c r="AT139" s="511">
        <v>54.661000000000001</v>
      </c>
      <c r="AU139" s="511">
        <v>920.71900000000005</v>
      </c>
      <c r="AV139" s="515">
        <v>105.97520040772713</v>
      </c>
      <c r="AW139" s="515">
        <v>110.01269277875888</v>
      </c>
      <c r="AX139" s="511">
        <v>1.2275662721135727</v>
      </c>
      <c r="AY139" s="511">
        <v>1.3771845698850571</v>
      </c>
      <c r="AZ139" s="511">
        <v>0</v>
      </c>
      <c r="BA139" s="511">
        <v>9.7749693446100277E-3</v>
      </c>
      <c r="BB139" s="511">
        <v>806.15649183147093</v>
      </c>
      <c r="BC139" s="511">
        <v>872.26560981146258</v>
      </c>
      <c r="BD139" s="511">
        <v>414.97334479793278</v>
      </c>
      <c r="BE139" s="576">
        <v>536.52405674261092</v>
      </c>
      <c r="BF139" s="511">
        <v>25.138581438319932</v>
      </c>
      <c r="BG139" s="512">
        <v>27.217859086214144</v>
      </c>
      <c r="BH139" s="513">
        <v>1.0010377506265664</v>
      </c>
      <c r="BI139" s="514">
        <v>0.90135791906376084</v>
      </c>
      <c r="BJ139" s="514">
        <v>1.0010377506265664</v>
      </c>
      <c r="BK139" s="514">
        <v>0.90135791906376084</v>
      </c>
      <c r="BL139" s="511">
        <v>51.533999999999999</v>
      </c>
      <c r="BM139" s="511">
        <v>984.30600000000004</v>
      </c>
      <c r="BN139" s="511">
        <v>2.4857375713121432</v>
      </c>
      <c r="BO139" s="511">
        <v>2.5877115449870258</v>
      </c>
      <c r="BP139" s="515">
        <v>0</v>
      </c>
      <c r="BQ139" s="515">
        <v>0</v>
      </c>
      <c r="BR139" s="515">
        <v>955.71133902794884</v>
      </c>
      <c r="BS139" s="515">
        <v>898.01034109193222</v>
      </c>
      <c r="BT139" s="515">
        <v>0</v>
      </c>
      <c r="BU139" s="516">
        <v>0</v>
      </c>
      <c r="BV139" s="513">
        <v>0.98045276835701978</v>
      </c>
      <c r="BW139" s="514">
        <v>0.89524600391955478</v>
      </c>
      <c r="BX139" s="514">
        <v>0.98045276835701978</v>
      </c>
      <c r="BY139" s="514">
        <v>0.90622553495549651</v>
      </c>
      <c r="BZ139" s="511">
        <v>57.442</v>
      </c>
      <c r="CA139" s="511">
        <v>927.76100000000008</v>
      </c>
      <c r="CB139" s="515">
        <v>63.745159155577447</v>
      </c>
      <c r="CC139" s="515">
        <v>97.409820761870449</v>
      </c>
      <c r="CD139" s="511">
        <v>1.7652588698165106</v>
      </c>
      <c r="CE139" s="511">
        <v>2.0980618930953119</v>
      </c>
      <c r="CF139" s="515">
        <v>0</v>
      </c>
      <c r="CG139" s="515">
        <v>0</v>
      </c>
      <c r="CH139" s="515">
        <v>691.24911831995598</v>
      </c>
      <c r="CI139" s="515">
        <v>892.53869606629746</v>
      </c>
      <c r="CJ139" s="515">
        <v>445.29337418613181</v>
      </c>
      <c r="CK139" s="515">
        <v>248.13190789438227</v>
      </c>
      <c r="CL139" s="515"/>
      <c r="CM139" s="516"/>
    </row>
    <row r="140" spans="1:91">
      <c r="A140" s="558">
        <v>46043</v>
      </c>
      <c r="B140" s="513">
        <v>0.91279396888829878</v>
      </c>
      <c r="C140" s="514">
        <v>0.80215461341029204</v>
      </c>
      <c r="D140" s="514">
        <v>0.94203720254862477</v>
      </c>
      <c r="E140" s="514">
        <v>0.80324177836976662</v>
      </c>
      <c r="F140" s="511">
        <v>50.283999999999999</v>
      </c>
      <c r="G140" s="511">
        <v>1013.499</v>
      </c>
      <c r="H140" s="511">
        <v>2.8578076525336091</v>
      </c>
      <c r="I140" s="511">
        <v>2.540073547186529</v>
      </c>
      <c r="J140" s="511">
        <v>1233.7001829607914</v>
      </c>
      <c r="K140" s="512">
        <v>1102.5436630919212</v>
      </c>
      <c r="L140" s="513">
        <v>0.97346139082384364</v>
      </c>
      <c r="M140" s="514">
        <v>0.84759912731270792</v>
      </c>
      <c r="N140" s="514">
        <v>0.97346139082384364</v>
      </c>
      <c r="O140" s="514">
        <v>0.85082149768600834</v>
      </c>
      <c r="P140" s="511">
        <v>50.56</v>
      </c>
      <c r="Q140" s="511">
        <v>1121.0720000000001</v>
      </c>
      <c r="R140" s="511">
        <v>2.209276107594937</v>
      </c>
      <c r="S140" s="511">
        <v>1.9647903970485394</v>
      </c>
      <c r="T140" s="511">
        <v>0.29272151898734178</v>
      </c>
      <c r="U140" s="511">
        <v>0.29587751723350508</v>
      </c>
      <c r="V140" s="511">
        <v>705.37915348106708</v>
      </c>
      <c r="W140" s="511">
        <v>628.54736359484662</v>
      </c>
      <c r="X140" s="511">
        <v>450.23734177215192</v>
      </c>
      <c r="Y140" s="576">
        <v>503.07384360683352</v>
      </c>
      <c r="Z140" s="511">
        <v>0</v>
      </c>
      <c r="AA140" s="576">
        <v>0</v>
      </c>
      <c r="AB140" s="513">
        <v>0.91274433956464951</v>
      </c>
      <c r="AC140" s="514">
        <v>0.86412965105575834</v>
      </c>
      <c r="AD140" s="514">
        <v>0.91274433956464951</v>
      </c>
      <c r="AE140" s="514">
        <v>0.89215375714684131</v>
      </c>
      <c r="AF140" s="511">
        <v>39.21</v>
      </c>
      <c r="AG140" s="511">
        <v>818.70399999999984</v>
      </c>
      <c r="AH140" s="511">
        <v>133.41890935737183</v>
      </c>
      <c r="AI140" s="511">
        <v>134.32149621045309</v>
      </c>
      <c r="AJ140" s="511">
        <v>1.3874011731701097</v>
      </c>
      <c r="AK140" s="511">
        <v>1.3176923527917295</v>
      </c>
      <c r="AL140" s="511">
        <v>988.6605457791286</v>
      </c>
      <c r="AM140" s="576">
        <v>965.86421954699017</v>
      </c>
      <c r="AN140" s="587"/>
      <c r="AO140" s="587"/>
      <c r="AP140" s="513">
        <v>0.93541317286663883</v>
      </c>
      <c r="AQ140" s="514">
        <v>0.8564696851009812</v>
      </c>
      <c r="AR140" s="514">
        <v>0.93541317286663883</v>
      </c>
      <c r="AS140" s="514">
        <v>0.88166303786692224</v>
      </c>
      <c r="AT140" s="511">
        <v>50.985999999999997</v>
      </c>
      <c r="AU140" s="511">
        <v>971.70500000000004</v>
      </c>
      <c r="AV140" s="515">
        <v>106.69555901609363</v>
      </c>
      <c r="AW140" s="515">
        <v>109.83864059005629</v>
      </c>
      <c r="AX140" s="511">
        <v>1.3297768014749147</v>
      </c>
      <c r="AY140" s="511">
        <v>1.374697053117973</v>
      </c>
      <c r="AZ140" s="511">
        <v>0</v>
      </c>
      <c r="BA140" s="511">
        <v>9.2620702785310358E-3</v>
      </c>
      <c r="BB140" s="511">
        <v>833.47154120739003</v>
      </c>
      <c r="BC140" s="511">
        <v>870.23005953452957</v>
      </c>
      <c r="BD140" s="511">
        <v>513.17812732907203</v>
      </c>
      <c r="BE140" s="576">
        <v>535.29908048224524</v>
      </c>
      <c r="BF140" s="511">
        <v>27.846859922331394</v>
      </c>
      <c r="BG140" s="512">
        <v>27.250863173494</v>
      </c>
      <c r="BH140" s="513">
        <v>0.8634907270656802</v>
      </c>
      <c r="BI140" s="514">
        <v>0.89965314059410939</v>
      </c>
      <c r="BJ140" s="514">
        <v>0.8634907270656802</v>
      </c>
      <c r="BK140" s="514">
        <v>0.89965314059410939</v>
      </c>
      <c r="BL140" s="511">
        <v>44.453000000000003</v>
      </c>
      <c r="BM140" s="511">
        <v>1028.759</v>
      </c>
      <c r="BN140" s="511">
        <v>2.8479517692844123</v>
      </c>
      <c r="BO140" s="511">
        <v>2.5989566069409835</v>
      </c>
      <c r="BP140" s="515">
        <v>0</v>
      </c>
      <c r="BQ140" s="515">
        <v>0</v>
      </c>
      <c r="BR140" s="515">
        <v>1113.0360379170118</v>
      </c>
      <c r="BS140" s="515">
        <v>907.30166909097306</v>
      </c>
      <c r="BT140" s="515">
        <v>0</v>
      </c>
      <c r="BU140" s="516">
        <v>0</v>
      </c>
      <c r="BV140" s="513">
        <v>1.0119442790568336</v>
      </c>
      <c r="BW140" s="514">
        <v>0.90149039570680345</v>
      </c>
      <c r="BX140" s="514">
        <v>1.0119442790568336</v>
      </c>
      <c r="BY140" s="514">
        <v>0.91194804673584851</v>
      </c>
      <c r="BZ140" s="511">
        <v>59.286999999999999</v>
      </c>
      <c r="CA140" s="511">
        <v>987.04800000000012</v>
      </c>
      <c r="CB140" s="515">
        <v>62.166491677819785</v>
      </c>
      <c r="CC140" s="515">
        <v>95.292931561541678</v>
      </c>
      <c r="CD140" s="511">
        <v>1.7120110648202811</v>
      </c>
      <c r="CE140" s="511">
        <v>2.0748737650043361</v>
      </c>
      <c r="CF140" s="515">
        <v>0</v>
      </c>
      <c r="CG140" s="515">
        <v>0</v>
      </c>
      <c r="CH140" s="515">
        <v>670.94555309722102</v>
      </c>
      <c r="CI140" s="515">
        <v>879.22871249183333</v>
      </c>
      <c r="CJ140" s="515">
        <v>497.66559279437439</v>
      </c>
      <c r="CK140" s="515">
        <v>263.12013904085723</v>
      </c>
      <c r="CL140" s="515"/>
      <c r="CM140" s="516"/>
    </row>
    <row r="141" spans="1:91">
      <c r="A141" s="558">
        <v>46044</v>
      </c>
      <c r="B141" s="513">
        <v>0.77975030845694937</v>
      </c>
      <c r="C141" s="514">
        <v>0.80120383036362608</v>
      </c>
      <c r="D141" s="514">
        <v>0.77975030845694937</v>
      </c>
      <c r="E141" s="514">
        <v>0.80224356502480487</v>
      </c>
      <c r="F141" s="511">
        <v>43.661999999999999</v>
      </c>
      <c r="G141" s="511">
        <v>1057.1610000000001</v>
      </c>
      <c r="H141" s="511">
        <v>3.1796527873207827</v>
      </c>
      <c r="I141" s="511">
        <v>2.5664889264738293</v>
      </c>
      <c r="J141" s="511">
        <v>1438.6042783198159</v>
      </c>
      <c r="K141" s="512">
        <v>1116.4233640855073</v>
      </c>
      <c r="L141" s="513">
        <v>0.93230428908040952</v>
      </c>
      <c r="M141" s="514">
        <v>0.85080565241490991</v>
      </c>
      <c r="N141" s="514">
        <v>0.93230428908040952</v>
      </c>
      <c r="O141" s="514">
        <v>0.85391732068717652</v>
      </c>
      <c r="P141" s="511">
        <v>48.515999999999998</v>
      </c>
      <c r="Q141" s="511">
        <v>1169.5880000000002</v>
      </c>
      <c r="R141" s="511">
        <v>2.3363632616044194</v>
      </c>
      <c r="S141" s="511">
        <v>1.9802037127603909</v>
      </c>
      <c r="T141" s="511">
        <v>0.28856459724626926</v>
      </c>
      <c r="U141" s="511">
        <v>0.29557416799761965</v>
      </c>
      <c r="V141" s="511">
        <v>767.47485365646355</v>
      </c>
      <c r="W141" s="511">
        <v>634.31025284117038</v>
      </c>
      <c r="X141" s="511">
        <v>453.47926457251214</v>
      </c>
      <c r="Y141" s="576">
        <v>501.0165972975098</v>
      </c>
      <c r="Z141" s="511">
        <v>0</v>
      </c>
      <c r="AA141" s="576">
        <v>0</v>
      </c>
      <c r="AB141" s="513">
        <v>0.93140347880387475</v>
      </c>
      <c r="AC141" s="514">
        <v>0.86722545550095786</v>
      </c>
      <c r="AD141" s="514">
        <v>0.93140347880387475</v>
      </c>
      <c r="AE141" s="514">
        <v>0.89401574615437995</v>
      </c>
      <c r="AF141" s="511">
        <v>42.567</v>
      </c>
      <c r="AG141" s="511">
        <v>861.27099999999984</v>
      </c>
      <c r="AH141" s="511">
        <v>131.81912378479942</v>
      </c>
      <c r="AI141" s="511">
        <v>134.19782028610081</v>
      </c>
      <c r="AJ141" s="511">
        <v>1.3226208095473018</v>
      </c>
      <c r="AK141" s="511">
        <v>1.3179359342181498</v>
      </c>
      <c r="AL141" s="511">
        <v>970.52505461980138</v>
      </c>
      <c r="AM141" s="576">
        <v>966.09457418164584</v>
      </c>
      <c r="AN141" s="587"/>
      <c r="AO141" s="587"/>
      <c r="AP141" s="513">
        <v>0.94571857422918626</v>
      </c>
      <c r="AQ141" s="514">
        <v>0.86033454335582715</v>
      </c>
      <c r="AR141" s="514">
        <v>0.94571857422918626</v>
      </c>
      <c r="AS141" s="514">
        <v>0.88451487818974961</v>
      </c>
      <c r="AT141" s="511">
        <v>48.567</v>
      </c>
      <c r="AU141" s="511">
        <v>1020.272</v>
      </c>
      <c r="AV141" s="515">
        <v>117.53238381123036</v>
      </c>
      <c r="AW141" s="515">
        <v>110.20487824729157</v>
      </c>
      <c r="AX141" s="511">
        <v>1.3754195235447937</v>
      </c>
      <c r="AY141" s="511">
        <v>1.3747314441639091</v>
      </c>
      <c r="AZ141" s="511">
        <v>0</v>
      </c>
      <c r="BA141" s="511">
        <v>8.8211770978719392E-3</v>
      </c>
      <c r="BB141" s="511">
        <v>974.57821154281578</v>
      </c>
      <c r="BC141" s="511">
        <v>875.1972415199084</v>
      </c>
      <c r="BD141" s="511">
        <v>418.06164679720706</v>
      </c>
      <c r="BE141" s="576">
        <v>529.71834275565732</v>
      </c>
      <c r="BF141" s="511">
        <v>29.034117816624576</v>
      </c>
      <c r="BG141" s="512">
        <v>27.335749682437619</v>
      </c>
      <c r="BH141" s="513">
        <v>0.98613892742769627</v>
      </c>
      <c r="BI141" s="514">
        <v>0.90337898759091217</v>
      </c>
      <c r="BJ141" s="514">
        <v>0.98613892742769627</v>
      </c>
      <c r="BK141" s="514">
        <v>0.90337898759091217</v>
      </c>
      <c r="BL141" s="511">
        <v>50.767000000000003</v>
      </c>
      <c r="BM141" s="511">
        <v>1079.5260000000001</v>
      </c>
      <c r="BN141" s="511">
        <v>2.5942048968818323</v>
      </c>
      <c r="BO141" s="511">
        <v>2.5987331476963029</v>
      </c>
      <c r="BP141" s="515">
        <v>0</v>
      </c>
      <c r="BQ141" s="515">
        <v>0</v>
      </c>
      <c r="BR141" s="515">
        <v>924.42247421482432</v>
      </c>
      <c r="BS141" s="515">
        <v>908.10681126793077</v>
      </c>
      <c r="BT141" s="515">
        <v>0</v>
      </c>
      <c r="BU141" s="516">
        <v>0</v>
      </c>
      <c r="BV141" s="513">
        <v>0.95932187933459734</v>
      </c>
      <c r="BW141" s="514">
        <v>0.90442771966799174</v>
      </c>
      <c r="BX141" s="514">
        <v>0.95932187933459734</v>
      </c>
      <c r="BY141" s="514">
        <v>0.91438069443872949</v>
      </c>
      <c r="BZ141" s="511">
        <v>56.204000000000001</v>
      </c>
      <c r="CA141" s="511">
        <v>1043.2520000000002</v>
      </c>
      <c r="CB141" s="515">
        <v>66.999858965419165</v>
      </c>
      <c r="CC141" s="515">
        <v>93.768674860195816</v>
      </c>
      <c r="CD141" s="511">
        <v>1.7845704932033306</v>
      </c>
      <c r="CE141" s="511">
        <v>2.0592340105746261</v>
      </c>
      <c r="CF141" s="515">
        <v>0</v>
      </c>
      <c r="CG141" s="515">
        <v>0</v>
      </c>
      <c r="CH141" s="515">
        <v>662.70842380499789</v>
      </c>
      <c r="CI141" s="515">
        <v>867.56393130248023</v>
      </c>
      <c r="CJ141" s="515">
        <v>407.37314070172863</v>
      </c>
      <c r="CK141" s="515">
        <v>270.89160337099759</v>
      </c>
      <c r="CL141" s="515"/>
      <c r="CM141" s="516"/>
    </row>
    <row r="142" spans="1:91">
      <c r="A142" s="558">
        <v>46045</v>
      </c>
      <c r="B142" s="513">
        <v>0.79265487952414559</v>
      </c>
      <c r="C142" s="514">
        <v>0.80081140683141683</v>
      </c>
      <c r="D142" s="514">
        <v>0.79265487952414559</v>
      </c>
      <c r="E142" s="514">
        <v>0.80180286948734147</v>
      </c>
      <c r="F142" s="511">
        <v>50.319000000000003</v>
      </c>
      <c r="G142" s="511">
        <v>1107.48</v>
      </c>
      <c r="H142" s="511">
        <v>2.6793656471710485</v>
      </c>
      <c r="I142" s="511">
        <v>2.571617546140788</v>
      </c>
      <c r="J142" s="511">
        <v>1126.4071225580321</v>
      </c>
      <c r="K142" s="512">
        <v>1116.8769819770978</v>
      </c>
      <c r="L142" s="513">
        <v>0.88929252978664308</v>
      </c>
      <c r="M142" s="514">
        <v>0.85226713885817063</v>
      </c>
      <c r="N142" s="514">
        <v>0.88929252978664308</v>
      </c>
      <c r="O142" s="514">
        <v>0.85526537154037563</v>
      </c>
      <c r="P142" s="511">
        <v>48.255000000000003</v>
      </c>
      <c r="Q142" s="511">
        <v>1217.8430000000003</v>
      </c>
      <c r="R142" s="511">
        <v>2.4402652574862707</v>
      </c>
      <c r="S142" s="511">
        <v>1.9984328850270519</v>
      </c>
      <c r="T142" s="511">
        <v>0.30048699616620039</v>
      </c>
      <c r="U142" s="511">
        <v>0.29576883062923542</v>
      </c>
      <c r="V142" s="511">
        <v>765.86509170034435</v>
      </c>
      <c r="W142" s="511">
        <v>639.52289416616009</v>
      </c>
      <c r="X142" s="511">
        <v>443.58097606465651</v>
      </c>
      <c r="Y142" s="576">
        <v>498.74080649147709</v>
      </c>
      <c r="Z142" s="511">
        <v>0</v>
      </c>
      <c r="AA142" s="576">
        <v>0</v>
      </c>
      <c r="AB142" s="513">
        <v>0.79998057117898702</v>
      </c>
      <c r="AC142" s="514">
        <v>0.86430138411013058</v>
      </c>
      <c r="AD142" s="514">
        <v>0.94423936270306663</v>
      </c>
      <c r="AE142" s="514">
        <v>0.89593372900729118</v>
      </c>
      <c r="AF142" s="511">
        <v>36.118000000000002</v>
      </c>
      <c r="AG142" s="511">
        <v>897.3889999999999</v>
      </c>
      <c r="AH142" s="511">
        <v>89.75653265664144</v>
      </c>
      <c r="AI142" s="511">
        <v>132.40915291152768</v>
      </c>
      <c r="AJ142" s="511">
        <v>1.6030787972755964</v>
      </c>
      <c r="AK142" s="511">
        <v>1.3294123284328203</v>
      </c>
      <c r="AL142" s="511">
        <v>1024.6879672185212</v>
      </c>
      <c r="AM142" s="576">
        <v>968.45283372093797</v>
      </c>
      <c r="AN142" s="587"/>
      <c r="AO142" s="587"/>
      <c r="AP142" s="513">
        <v>0.90487851529879448</v>
      </c>
      <c r="AQ142" s="514">
        <v>0.86215439491810431</v>
      </c>
      <c r="AR142" s="514">
        <v>0.98845115216834045</v>
      </c>
      <c r="AS142" s="514">
        <v>0.88852107166841199</v>
      </c>
      <c r="AT142" s="511">
        <v>45.709000000000003</v>
      </c>
      <c r="AU142" s="511">
        <v>1065.981</v>
      </c>
      <c r="AV142" s="515">
        <v>89.068490001743072</v>
      </c>
      <c r="AW142" s="515">
        <v>109.29855517932342</v>
      </c>
      <c r="AX142" s="511">
        <v>1.5423658360497932</v>
      </c>
      <c r="AY142" s="511">
        <v>1.3819195651704861</v>
      </c>
      <c r="AZ142" s="511">
        <v>0</v>
      </c>
      <c r="BA142" s="511">
        <v>8.4429272191530614E-3</v>
      </c>
      <c r="BB142" s="511">
        <v>946.63370452208574</v>
      </c>
      <c r="BC142" s="511">
        <v>878.26041927576568</v>
      </c>
      <c r="BD142" s="511">
        <v>451.88037366820447</v>
      </c>
      <c r="BE142" s="576">
        <v>526.38067001194213</v>
      </c>
      <c r="BF142" s="511">
        <v>30.630729178061344</v>
      </c>
      <c r="BG142" s="512">
        <v>27.477037583221463</v>
      </c>
      <c r="BH142" s="513">
        <v>0.87007047691268125</v>
      </c>
      <c r="BI142" s="514">
        <v>0.90198173067581888</v>
      </c>
      <c r="BJ142" s="514">
        <v>0.87007047691268125</v>
      </c>
      <c r="BK142" s="514">
        <v>0.90198173067581888</v>
      </c>
      <c r="BL142" s="511">
        <v>45.524999999999999</v>
      </c>
      <c r="BM142" s="511">
        <v>1125.0510000000002</v>
      </c>
      <c r="BN142" s="511">
        <v>2.8072487644151565</v>
      </c>
      <c r="BO142" s="511">
        <v>2.6071706971506172</v>
      </c>
      <c r="BP142" s="515">
        <v>0</v>
      </c>
      <c r="BQ142" s="515">
        <v>0</v>
      </c>
      <c r="BR142" s="515">
        <v>1045.767416259956</v>
      </c>
      <c r="BS142" s="515">
        <v>913.67722455787214</v>
      </c>
      <c r="BT142" s="515">
        <v>0</v>
      </c>
      <c r="BU142" s="516">
        <v>0</v>
      </c>
      <c r="BV142" s="513">
        <v>0.96189923332683136</v>
      </c>
      <c r="BW142" s="514">
        <v>0.9072056654736369</v>
      </c>
      <c r="BX142" s="514">
        <v>0.96189923332683136</v>
      </c>
      <c r="BY142" s="514">
        <v>0.91670159452583366</v>
      </c>
      <c r="BZ142" s="511">
        <v>56.354999999999997</v>
      </c>
      <c r="CA142" s="511">
        <v>1099.6070000000002</v>
      </c>
      <c r="CB142" s="515">
        <v>66.009084269678837</v>
      </c>
      <c r="CC142" s="515">
        <v>92.345992276574037</v>
      </c>
      <c r="CD142" s="511">
        <v>1.765593115074084</v>
      </c>
      <c r="CE142" s="511">
        <v>2.0441848769605868</v>
      </c>
      <c r="CF142" s="515">
        <v>0</v>
      </c>
      <c r="CG142" s="515">
        <v>0</v>
      </c>
      <c r="CH142" s="515">
        <v>690.80788527664959</v>
      </c>
      <c r="CI142" s="515">
        <v>858.50516123846137</v>
      </c>
      <c r="CJ142" s="515">
        <v>447.96380090497655</v>
      </c>
      <c r="CK142" s="515">
        <v>279.96657624042035</v>
      </c>
      <c r="CL142" s="515"/>
      <c r="CM142" s="516"/>
    </row>
    <row r="143" spans="1:91">
      <c r="A143" s="558">
        <v>46046</v>
      </c>
      <c r="B143" s="513">
        <v>0.85219171512171332</v>
      </c>
      <c r="C143" s="514">
        <v>0.80304258762624903</v>
      </c>
      <c r="D143" s="514">
        <v>0.85219171512171332</v>
      </c>
      <c r="E143" s="514">
        <v>0.8039935874717492</v>
      </c>
      <c r="F143" s="511">
        <v>53.500999999999998</v>
      </c>
      <c r="G143" s="511">
        <v>1160.981</v>
      </c>
      <c r="H143" s="511">
        <v>2.490813255826994</v>
      </c>
      <c r="I143" s="511">
        <v>2.5678938759549035</v>
      </c>
      <c r="J143" s="511">
        <v>1092.7066783798571</v>
      </c>
      <c r="K143" s="512">
        <v>1115.7631520240188</v>
      </c>
      <c r="L143" s="513">
        <v>0.93057718039588599</v>
      </c>
      <c r="M143" s="514">
        <v>0.85534718448599334</v>
      </c>
      <c r="N143" s="514">
        <v>0.93057718039588599</v>
      </c>
      <c r="O143" s="514">
        <v>0.85823750175007907</v>
      </c>
      <c r="P143" s="511">
        <v>54.442</v>
      </c>
      <c r="Q143" s="511">
        <v>1272.2850000000003</v>
      </c>
      <c r="R143" s="511">
        <v>2.3461298262370964</v>
      </c>
      <c r="S143" s="511">
        <v>2.0133110898894508</v>
      </c>
      <c r="T143" s="511">
        <v>0.27552257448293599</v>
      </c>
      <c r="U143" s="511">
        <v>0.29490247861131741</v>
      </c>
      <c r="V143" s="511">
        <v>721.71209727783196</v>
      </c>
      <c r="W143" s="511">
        <v>643.03982991232203</v>
      </c>
      <c r="X143" s="511">
        <v>465.68825539105836</v>
      </c>
      <c r="Y143" s="576">
        <v>497.32646380331443</v>
      </c>
      <c r="Z143" s="511">
        <v>0</v>
      </c>
      <c r="AA143" s="576">
        <v>0</v>
      </c>
      <c r="AB143" s="513">
        <v>0.73269165774962308</v>
      </c>
      <c r="AC143" s="514">
        <v>0.85881696109576355</v>
      </c>
      <c r="AD143" s="514">
        <v>0.78386031735472317</v>
      </c>
      <c r="AE143" s="514">
        <v>0.89140265216056735</v>
      </c>
      <c r="AF143" s="511">
        <v>33.08</v>
      </c>
      <c r="AG143" s="511">
        <v>930.46899999999994</v>
      </c>
      <c r="AH143" s="511">
        <v>87.248771719584596</v>
      </c>
      <c r="AI143" s="511">
        <v>130.80361268414828</v>
      </c>
      <c r="AJ143" s="511">
        <v>1.5991535671100363</v>
      </c>
      <c r="AK143" s="511">
        <v>1.3390021591262042</v>
      </c>
      <c r="AL143" s="511">
        <v>1103.7152357920304</v>
      </c>
      <c r="AM143" s="576">
        <v>973.26167771306632</v>
      </c>
      <c r="AN143" s="587"/>
      <c r="AO143" s="587"/>
      <c r="AP143" s="513">
        <v>0.78806224402120106</v>
      </c>
      <c r="AQ143" s="514">
        <v>0.8590980340577451</v>
      </c>
      <c r="AR143" s="514">
        <v>0.91296028269551865</v>
      </c>
      <c r="AS143" s="514">
        <v>0.88942200652641212</v>
      </c>
      <c r="AT143" s="511">
        <v>41.923000000000002</v>
      </c>
      <c r="AU143" s="511">
        <v>1107.904</v>
      </c>
      <c r="AV143" s="515">
        <v>79.493547206191948</v>
      </c>
      <c r="AW143" s="515">
        <v>108.1707360277926</v>
      </c>
      <c r="AX143" s="511">
        <v>1.5671588388235576</v>
      </c>
      <c r="AY143" s="511">
        <v>1.3889290046791056</v>
      </c>
      <c r="AZ143" s="511">
        <v>0</v>
      </c>
      <c r="BA143" s="511">
        <v>8.1234475189186067E-3</v>
      </c>
      <c r="BB143" s="511">
        <v>989.45447606326013</v>
      </c>
      <c r="BC143" s="511">
        <v>882.46799361677552</v>
      </c>
      <c r="BD143" s="511">
        <v>420.2251747250927</v>
      </c>
      <c r="BE143" s="576">
        <v>522.36375444081818</v>
      </c>
      <c r="BF143" s="511">
        <v>32.681344369438655</v>
      </c>
      <c r="BG143" s="512">
        <v>27.673968141644021</v>
      </c>
      <c r="BH143" s="513">
        <v>0.91492586107136775</v>
      </c>
      <c r="BI143" s="514">
        <v>0.90250866873745839</v>
      </c>
      <c r="BJ143" s="514">
        <v>0.91492586107136775</v>
      </c>
      <c r="BK143" s="514">
        <v>0.90250866873745839</v>
      </c>
      <c r="BL143" s="511">
        <v>48.427999999999997</v>
      </c>
      <c r="BM143" s="511">
        <v>1173.4790000000003</v>
      </c>
      <c r="BN143" s="511">
        <v>2.7876435120178411</v>
      </c>
      <c r="BO143" s="511">
        <v>2.6146185828634332</v>
      </c>
      <c r="BP143" s="515">
        <v>0</v>
      </c>
      <c r="BQ143" s="515">
        <v>0</v>
      </c>
      <c r="BR143" s="515">
        <v>964.5050842443062</v>
      </c>
      <c r="BS143" s="515">
        <v>915.7748262950098</v>
      </c>
      <c r="BT143" s="515">
        <v>0</v>
      </c>
      <c r="BU143" s="516">
        <v>0</v>
      </c>
      <c r="BV143" s="513">
        <v>0.97446170046778691</v>
      </c>
      <c r="BW143" s="514">
        <v>0.91030666624570933</v>
      </c>
      <c r="BX143" s="514">
        <v>0.97446170046778691</v>
      </c>
      <c r="BY143" s="514">
        <v>0.91939134059176564</v>
      </c>
      <c r="BZ143" s="511">
        <v>57.091000000000001</v>
      </c>
      <c r="CA143" s="511">
        <v>1156.6980000000001</v>
      </c>
      <c r="CB143" s="515">
        <v>48.942962147991025</v>
      </c>
      <c r="CC143" s="515">
        <v>90.203754291316926</v>
      </c>
      <c r="CD143" s="511">
        <v>1.7445832092624054</v>
      </c>
      <c r="CE143" s="511">
        <v>2.0293974745352719</v>
      </c>
      <c r="CF143" s="515">
        <v>0</v>
      </c>
      <c r="CG143" s="515">
        <v>0</v>
      </c>
      <c r="CH143" s="515">
        <v>666.89404249736651</v>
      </c>
      <c r="CI143" s="515">
        <v>849.04783497002495</v>
      </c>
      <c r="CJ143" s="515">
        <v>409.04696011630693</v>
      </c>
      <c r="CK143" s="515">
        <v>286.33758076870549</v>
      </c>
      <c r="CL143" s="515"/>
      <c r="CM143" s="516"/>
    </row>
    <row r="144" spans="1:91">
      <c r="A144" s="558">
        <v>46047</v>
      </c>
      <c r="B144" s="513">
        <v>0.93078287833954465</v>
      </c>
      <c r="C144" s="514">
        <v>0.80773539705239761</v>
      </c>
      <c r="D144" s="514">
        <v>1.0015310715252546</v>
      </c>
      <c r="E144" s="514">
        <v>0.8107631936420886</v>
      </c>
      <c r="F144" s="511">
        <v>51.320999999999998</v>
      </c>
      <c r="G144" s="511">
        <v>1212.3019999999999</v>
      </c>
      <c r="H144" s="511">
        <v>2.2015744042399796</v>
      </c>
      <c r="I144" s="511">
        <v>2.5523862865853557</v>
      </c>
      <c r="J144" s="511">
        <v>1014.8204438728787</v>
      </c>
      <c r="K144" s="512">
        <v>1111.4898927824893</v>
      </c>
      <c r="L144" s="513">
        <v>0.81252442552880089</v>
      </c>
      <c r="M144" s="514">
        <v>0.8535445358765924</v>
      </c>
      <c r="N144" s="514">
        <v>0.81252442552880089</v>
      </c>
      <c r="O144" s="514">
        <v>0.8563069556950148</v>
      </c>
      <c r="P144" s="511">
        <v>53.112000000000002</v>
      </c>
      <c r="Q144" s="511">
        <v>1325.3970000000004</v>
      </c>
      <c r="R144" s="511">
        <v>2.4840525681578547</v>
      </c>
      <c r="S144" s="511">
        <v>2.0321748879769608</v>
      </c>
      <c r="T144" s="511">
        <v>0.25417984636240398</v>
      </c>
      <c r="U144" s="511">
        <v>0.29327062004818172</v>
      </c>
      <c r="V144" s="511">
        <v>688.66169603856133</v>
      </c>
      <c r="W144" s="511">
        <v>644.86801313115882</v>
      </c>
      <c r="X144" s="511">
        <v>445.60551287844555</v>
      </c>
      <c r="Y144" s="576">
        <v>495.25387487673487</v>
      </c>
      <c r="Z144" s="511">
        <v>0</v>
      </c>
      <c r="AA144" s="576">
        <v>0</v>
      </c>
      <c r="AB144" s="513">
        <v>0.76376682086397374</v>
      </c>
      <c r="AC144" s="514">
        <v>0.85501449994783663</v>
      </c>
      <c r="AD144" s="514">
        <v>0.83131082543017576</v>
      </c>
      <c r="AE144" s="514">
        <v>0.88910594926386033</v>
      </c>
      <c r="AF144" s="511">
        <v>34.482999999999997</v>
      </c>
      <c r="AG144" s="511">
        <v>964.95199999999988</v>
      </c>
      <c r="AH144" s="511">
        <v>0</v>
      </c>
      <c r="AI144" s="511">
        <v>126.12928590293275</v>
      </c>
      <c r="AJ144" s="511">
        <v>1.4383899312704813</v>
      </c>
      <c r="AK144" s="511">
        <v>1.342553826511578</v>
      </c>
      <c r="AL144" s="511">
        <v>1033.889162775871</v>
      </c>
      <c r="AM144" s="576">
        <v>975.42822855437316</v>
      </c>
      <c r="AN144" s="587"/>
      <c r="AO144" s="587"/>
      <c r="AP144" s="513">
        <v>0.63429219451223562</v>
      </c>
      <c r="AQ144" s="514">
        <v>0.8500723670206729</v>
      </c>
      <c r="AR144" s="514">
        <v>0.65885944966028798</v>
      </c>
      <c r="AS144" s="514">
        <v>0.88019459508416864</v>
      </c>
      <c r="AT144" s="511">
        <v>34.215000000000003</v>
      </c>
      <c r="AU144" s="511">
        <v>1142.1189999999999</v>
      </c>
      <c r="AV144" s="515">
        <v>0</v>
      </c>
      <c r="AW144" s="515">
        <v>104.93021403911111</v>
      </c>
      <c r="AX144" s="511">
        <v>1.6922402455063565</v>
      </c>
      <c r="AY144" s="511">
        <v>1.3980154432243928</v>
      </c>
      <c r="AZ144" s="511">
        <v>0</v>
      </c>
      <c r="BA144" s="511">
        <v>7.8800895528399403E-3</v>
      </c>
      <c r="BB144" s="511">
        <v>1082.9051585561888</v>
      </c>
      <c r="BC144" s="511">
        <v>888.4725847306629</v>
      </c>
      <c r="BD144" s="511">
        <v>499.83866725119634</v>
      </c>
      <c r="BE144" s="576">
        <v>521.6889597318667</v>
      </c>
      <c r="BF144" s="511">
        <v>38.643869647815627</v>
      </c>
      <c r="BG144" s="512">
        <v>28.002598678421418</v>
      </c>
      <c r="BH144" s="513">
        <v>0.93638522545362957</v>
      </c>
      <c r="BI144" s="514">
        <v>0.9038336942116707</v>
      </c>
      <c r="BJ144" s="514">
        <v>0.93638522545362957</v>
      </c>
      <c r="BK144" s="514">
        <v>0.9038336942116707</v>
      </c>
      <c r="BL144" s="511">
        <v>49.56</v>
      </c>
      <c r="BM144" s="511">
        <v>1223.0390000000002</v>
      </c>
      <c r="BN144" s="511">
        <v>2.6715092816787731</v>
      </c>
      <c r="BO144" s="511">
        <v>2.6169239083953979</v>
      </c>
      <c r="BP144" s="515">
        <v>0</v>
      </c>
      <c r="BQ144" s="515">
        <v>0</v>
      </c>
      <c r="BR144" s="515">
        <v>893.62003558396611</v>
      </c>
      <c r="BS144" s="515">
        <v>914.87706961869844</v>
      </c>
      <c r="BT144" s="515">
        <v>0</v>
      </c>
      <c r="BU144" s="516">
        <v>0</v>
      </c>
      <c r="BV144" s="513">
        <v>0.95961204501584219</v>
      </c>
      <c r="BW144" s="514">
        <v>0.91247981092084229</v>
      </c>
      <c r="BX144" s="514">
        <v>0.95961204501584219</v>
      </c>
      <c r="BY144" s="514">
        <v>0.92118098072983512</v>
      </c>
      <c r="BZ144" s="511">
        <v>56.220999999999997</v>
      </c>
      <c r="CA144" s="511">
        <v>1212.9190000000001</v>
      </c>
      <c r="CB144" s="515">
        <v>0</v>
      </c>
      <c r="CC144" s="515">
        <v>86.022646344279963</v>
      </c>
      <c r="CD144" s="511">
        <v>1.6417352946407926</v>
      </c>
      <c r="CE144" s="511">
        <v>2.0114286279627906</v>
      </c>
      <c r="CF144" s="515">
        <v>0</v>
      </c>
      <c r="CG144" s="515">
        <v>0</v>
      </c>
      <c r="CH144" s="515">
        <v>649.98827904977315</v>
      </c>
      <c r="CI144" s="515">
        <v>839.82106278376</v>
      </c>
      <c r="CJ144" s="515">
        <v>420.07470518133022</v>
      </c>
      <c r="CK144" s="515">
        <v>292.53653953808924</v>
      </c>
      <c r="CL144" s="515"/>
      <c r="CM144" s="516"/>
    </row>
    <row r="145" spans="1:91">
      <c r="A145" s="558">
        <v>46048</v>
      </c>
      <c r="B145" s="513">
        <v>0.81030513807889237</v>
      </c>
      <c r="C145" s="514">
        <v>0.80783668772505346</v>
      </c>
      <c r="D145" s="514">
        <v>0.99475164059071475</v>
      </c>
      <c r="E145" s="514">
        <v>0.8167357820839829</v>
      </c>
      <c r="F145" s="511">
        <v>49.904000000000003</v>
      </c>
      <c r="G145" s="511">
        <v>1262.2059999999999</v>
      </c>
      <c r="H145" s="511">
        <v>2.0662271561397882</v>
      </c>
      <c r="I145" s="511">
        <v>2.5331649508875729</v>
      </c>
      <c r="J145" s="511">
        <v>917.7673132414501</v>
      </c>
      <c r="K145" s="512">
        <v>1103.8306583869819</v>
      </c>
      <c r="L145" s="513">
        <v>1.035369668950495</v>
      </c>
      <c r="M145" s="514">
        <v>0.86127482758459195</v>
      </c>
      <c r="N145" s="514">
        <v>1.035369668950495</v>
      </c>
      <c r="O145" s="514">
        <v>0.86394339073394266</v>
      </c>
      <c r="P145" s="511">
        <v>71.388000000000005</v>
      </c>
      <c r="Q145" s="511">
        <v>1396.7850000000003</v>
      </c>
      <c r="R145" s="511">
        <v>1.9769148876561884</v>
      </c>
      <c r="S145" s="511">
        <v>2.0293506158786072</v>
      </c>
      <c r="T145" s="511">
        <v>0.2353336695242898</v>
      </c>
      <c r="U145" s="511">
        <v>0.2903095322472678</v>
      </c>
      <c r="V145" s="511">
        <v>546.55950579932346</v>
      </c>
      <c r="W145" s="511">
        <v>639.84358365818707</v>
      </c>
      <c r="X145" s="511">
        <v>357.03479576399394</v>
      </c>
      <c r="Y145" s="576">
        <v>488.18966412153611</v>
      </c>
      <c r="Z145" s="511">
        <v>0</v>
      </c>
      <c r="AA145" s="576">
        <v>0</v>
      </c>
      <c r="AB145" s="513">
        <v>0.71251384335391876</v>
      </c>
      <c r="AC145" s="514">
        <v>0.84953307404007461</v>
      </c>
      <c r="AD145" s="514">
        <v>1.1619704806677722</v>
      </c>
      <c r="AE145" s="514">
        <v>0.89589326356872989</v>
      </c>
      <c r="AF145" s="511">
        <v>32.168999999999997</v>
      </c>
      <c r="AG145" s="511">
        <v>997.12099999999987</v>
      </c>
      <c r="AH145" s="511">
        <v>47.890258371510647</v>
      </c>
      <c r="AI145" s="511">
        <v>123.60514763219298</v>
      </c>
      <c r="AJ145" s="511">
        <v>1.6071373061021483</v>
      </c>
      <c r="AK145" s="511">
        <v>1.3510897874982075</v>
      </c>
      <c r="AL145" s="511">
        <v>989.78084491278184</v>
      </c>
      <c r="AM145" s="576">
        <v>975.89127096911886</v>
      </c>
      <c r="AN145" s="587"/>
      <c r="AO145" s="587"/>
      <c r="AP145" s="513">
        <v>0.7032715727713883</v>
      </c>
      <c r="AQ145" s="514">
        <v>0.84433005962682717</v>
      </c>
      <c r="AR145" s="514">
        <v>1.0750648246186825</v>
      </c>
      <c r="AS145" s="514">
        <v>0.88542374209019181</v>
      </c>
      <c r="AT145" s="511">
        <v>38.465000000000003</v>
      </c>
      <c r="AU145" s="511">
        <v>1180.5839999999998</v>
      </c>
      <c r="AV145" s="515">
        <v>19.058105846345374</v>
      </c>
      <c r="AW145" s="515">
        <v>102.13238631856372</v>
      </c>
      <c r="AX145" s="511">
        <v>1.8406343429091379</v>
      </c>
      <c r="AY145" s="511">
        <v>1.4124365568227253</v>
      </c>
      <c r="AZ145" s="511">
        <v>0</v>
      </c>
      <c r="BA145" s="511">
        <v>7.6233457339757284E-3</v>
      </c>
      <c r="BB145" s="511">
        <v>935.14259716625384</v>
      </c>
      <c r="BC145" s="511">
        <v>889.99315592960784</v>
      </c>
      <c r="BD145" s="511">
        <v>511.48732614065307</v>
      </c>
      <c r="BE145" s="576">
        <v>521.35657691447636</v>
      </c>
      <c r="BF145" s="511">
        <v>36.33432991030822</v>
      </c>
      <c r="BG145" s="512">
        <v>28.274057585059598</v>
      </c>
      <c r="BH145" s="513">
        <v>0.86947682789029046</v>
      </c>
      <c r="BI145" s="514">
        <v>0.90248090527673708</v>
      </c>
      <c r="BJ145" s="514">
        <v>0.86947682789029046</v>
      </c>
      <c r="BK145" s="514">
        <v>0.90248090527673708</v>
      </c>
      <c r="BL145" s="511">
        <v>48.225000000000001</v>
      </c>
      <c r="BM145" s="511">
        <v>1271.2640000000001</v>
      </c>
      <c r="BN145" s="511">
        <v>2.9175738724727833</v>
      </c>
      <c r="BO145" s="511">
        <v>2.6283289702217627</v>
      </c>
      <c r="BP145" s="515">
        <v>0</v>
      </c>
      <c r="BQ145" s="515">
        <v>0</v>
      </c>
      <c r="BR145" s="515">
        <v>959.16115712267219</v>
      </c>
      <c r="BS145" s="515">
        <v>916.5569725498591</v>
      </c>
      <c r="BT145" s="515">
        <v>0</v>
      </c>
      <c r="BU145" s="516">
        <v>0</v>
      </c>
      <c r="BV145" s="513">
        <v>1.0354120720864974</v>
      </c>
      <c r="BW145" s="514">
        <v>0.917677054453228</v>
      </c>
      <c r="BX145" s="514">
        <v>1.0354120720864974</v>
      </c>
      <c r="BY145" s="514">
        <v>0.92605444934421477</v>
      </c>
      <c r="BZ145" s="511">
        <v>60.756</v>
      </c>
      <c r="CA145" s="511">
        <v>1273.6750000000002</v>
      </c>
      <c r="CB145" s="515">
        <v>37.318918906234764</v>
      </c>
      <c r="CC145" s="515">
        <v>83.69941344403</v>
      </c>
      <c r="CD145" s="511">
        <v>1.6772006057014945</v>
      </c>
      <c r="CE145" s="511">
        <v>1.9954855045439379</v>
      </c>
      <c r="CF145" s="515">
        <v>0</v>
      </c>
      <c r="CG145" s="515">
        <v>0</v>
      </c>
      <c r="CH145" s="515">
        <v>614.90607014550994</v>
      </c>
      <c r="CI145" s="515">
        <v>829.0923169948187</v>
      </c>
      <c r="CJ145" s="515">
        <v>575.69030219238243</v>
      </c>
      <c r="CK145" s="515">
        <v>306.04335250358213</v>
      </c>
      <c r="CL145" s="515"/>
      <c r="CM145" s="516"/>
    </row>
    <row r="146" spans="1:91">
      <c r="A146" s="558">
        <v>46049</v>
      </c>
      <c r="B146" s="513">
        <v>0.95831253331931177</v>
      </c>
      <c r="C146" s="514">
        <v>0.81360176001253237</v>
      </c>
      <c r="D146" s="514">
        <v>0.95831253331931177</v>
      </c>
      <c r="E146" s="514">
        <v>0.82221734828616355</v>
      </c>
      <c r="F146" s="511">
        <v>59.651000000000003</v>
      </c>
      <c r="G146" s="511">
        <v>1321.857</v>
      </c>
      <c r="H146" s="511">
        <v>2.1080954217029051</v>
      </c>
      <c r="I146" s="511">
        <v>2.5139829800046449</v>
      </c>
      <c r="J146" s="511">
        <v>935.65941895356764</v>
      </c>
      <c r="K146" s="512">
        <v>1096.241650950139</v>
      </c>
      <c r="L146" s="513">
        <v>1.0057634628037457</v>
      </c>
      <c r="M146" s="514">
        <v>0.86735837988612119</v>
      </c>
      <c r="N146" s="514">
        <v>1.0057634628037457</v>
      </c>
      <c r="O146" s="514">
        <v>0.86993230559562762</v>
      </c>
      <c r="P146" s="511">
        <v>71.694999999999993</v>
      </c>
      <c r="Q146" s="511">
        <v>1468.4800000000002</v>
      </c>
      <c r="R146" s="511">
        <v>1.8635609177766932</v>
      </c>
      <c r="S146" s="511">
        <v>2.0212563330791027</v>
      </c>
      <c r="T146" s="511">
        <v>0.23432596415370671</v>
      </c>
      <c r="U146" s="511">
        <v>0.28757626933972541</v>
      </c>
      <c r="V146" s="511">
        <v>604.89476253571377</v>
      </c>
      <c r="W146" s="511">
        <v>638.13729162126742</v>
      </c>
      <c r="X146" s="511">
        <v>385.71727456586927</v>
      </c>
      <c r="Y146" s="576">
        <v>483.18669644802782</v>
      </c>
      <c r="Z146" s="511">
        <v>0</v>
      </c>
      <c r="AA146" s="576">
        <v>0</v>
      </c>
      <c r="AB146" s="513">
        <v>0.62480347561847394</v>
      </c>
      <c r="AC146" s="514">
        <v>0.84120883219805886</v>
      </c>
      <c r="AD146" s="514">
        <v>0.96329443778437118</v>
      </c>
      <c r="AE146" s="514">
        <v>0.89762119113507821</v>
      </c>
      <c r="AF146" s="511">
        <v>28.209</v>
      </c>
      <c r="AG146" s="511">
        <v>1025.33</v>
      </c>
      <c r="AH146" s="511">
        <v>78.935269708803403</v>
      </c>
      <c r="AI146" s="511">
        <v>122.37618467749458</v>
      </c>
      <c r="AJ146" s="511">
        <v>1.8469282852990181</v>
      </c>
      <c r="AK146" s="511">
        <v>1.3647313547833382</v>
      </c>
      <c r="AL146" s="511">
        <v>1251.480733099417</v>
      </c>
      <c r="AM146" s="576">
        <v>983.47332078452814</v>
      </c>
      <c r="AN146" s="587"/>
      <c r="AO146" s="587"/>
      <c r="AP146" s="513">
        <v>0.63262510485925405</v>
      </c>
      <c r="AQ146" s="514">
        <v>0.8363269955139252</v>
      </c>
      <c r="AR146" s="514">
        <v>0.89928938894109156</v>
      </c>
      <c r="AS146" s="514">
        <v>0.88581429414792945</v>
      </c>
      <c r="AT146" s="511">
        <v>34.753</v>
      </c>
      <c r="AU146" s="511">
        <v>1215.3369999999998</v>
      </c>
      <c r="AV146" s="515">
        <v>15.794388580881245</v>
      </c>
      <c r="AW146" s="515">
        <v>99.663520123115319</v>
      </c>
      <c r="AX146" s="511">
        <v>2.1465772739044109</v>
      </c>
      <c r="AY146" s="511">
        <v>1.433429575500458</v>
      </c>
      <c r="AZ146" s="511">
        <v>0</v>
      </c>
      <c r="BA146" s="511">
        <v>7.4053534122634317E-3</v>
      </c>
      <c r="BB146" s="511">
        <v>1076.2529853537824</v>
      </c>
      <c r="BC146" s="511">
        <v>895.31932295322213</v>
      </c>
      <c r="BD146" s="511">
        <v>541.35758064052015</v>
      </c>
      <c r="BE146" s="576">
        <v>521.92851283224343</v>
      </c>
      <c r="BF146" s="511">
        <v>38.267199953960642</v>
      </c>
      <c r="BG146" s="512">
        <v>28.559815096553461</v>
      </c>
      <c r="BH146" s="513">
        <v>1.0314715430994501</v>
      </c>
      <c r="BI146" s="514">
        <v>0.90746353753835984</v>
      </c>
      <c r="BJ146" s="514">
        <v>1.0314715430994501</v>
      </c>
      <c r="BK146" s="514">
        <v>0.90746353753835984</v>
      </c>
      <c r="BL146" s="511">
        <v>58.38</v>
      </c>
      <c r="BM146" s="511">
        <v>1329.6440000000002</v>
      </c>
      <c r="BN146" s="511">
        <v>2.4443302500856454</v>
      </c>
      <c r="BO146" s="511">
        <v>2.6202502323930306</v>
      </c>
      <c r="BP146" s="515">
        <v>0</v>
      </c>
      <c r="BQ146" s="515">
        <v>0</v>
      </c>
      <c r="BR146" s="515">
        <v>756.40719141789793</v>
      </c>
      <c r="BS146" s="515">
        <v>909.52535790527452</v>
      </c>
      <c r="BT146" s="515">
        <v>0</v>
      </c>
      <c r="BU146" s="516">
        <v>0</v>
      </c>
      <c r="BV146" s="513">
        <v>0.97466552708159815</v>
      </c>
      <c r="BW146" s="514">
        <v>0.91999386007391548</v>
      </c>
      <c r="BX146" s="514">
        <v>0.97466552708159815</v>
      </c>
      <c r="BY146" s="514">
        <v>0.92804798189921522</v>
      </c>
      <c r="BZ146" s="511">
        <v>57.326000000000001</v>
      </c>
      <c r="CA146" s="511">
        <v>1331.0010000000002</v>
      </c>
      <c r="CB146" s="515">
        <v>62.09071957633531</v>
      </c>
      <c r="CC146" s="515">
        <v>82.768730458322651</v>
      </c>
      <c r="CD146" s="511">
        <v>1.7845305794927258</v>
      </c>
      <c r="CE146" s="511">
        <v>1.986399709692179</v>
      </c>
      <c r="CF146" s="515">
        <v>0</v>
      </c>
      <c r="CG146" s="515">
        <v>0</v>
      </c>
      <c r="CH146" s="515">
        <v>623.8008611279829</v>
      </c>
      <c r="CI146" s="515">
        <v>820.25044685420869</v>
      </c>
      <c r="CJ146" s="515">
        <v>535.46732721627188</v>
      </c>
      <c r="CK146" s="515">
        <v>315.92460636768868</v>
      </c>
      <c r="CL146" s="515"/>
      <c r="CM146" s="516"/>
    </row>
    <row r="147" spans="1:91">
      <c r="A147" s="558">
        <v>46050</v>
      </c>
      <c r="B147" s="513">
        <v>0.71544218879777921</v>
      </c>
      <c r="C147" s="514">
        <v>0.8099482772957356</v>
      </c>
      <c r="D147" s="514">
        <v>0.84386040977853083</v>
      </c>
      <c r="E147" s="514">
        <v>0.82291124166164298</v>
      </c>
      <c r="F147" s="511">
        <v>44.936</v>
      </c>
      <c r="G147" s="511">
        <v>1366.7929999999999</v>
      </c>
      <c r="H147" s="511">
        <v>2.6964126758055902</v>
      </c>
      <c r="I147" s="511">
        <v>2.5199807139779034</v>
      </c>
      <c r="J147" s="511">
        <v>1082.7216485668582</v>
      </c>
      <c r="K147" s="512">
        <v>1095.7971543606079</v>
      </c>
      <c r="L147" s="513">
        <v>0.97644527235023015</v>
      </c>
      <c r="M147" s="514">
        <v>0.87150820600120649</v>
      </c>
      <c r="N147" s="514">
        <v>0.97644527235023015</v>
      </c>
      <c r="O147" s="514">
        <v>0.87399578128837907</v>
      </c>
      <c r="P147" s="511">
        <v>65.376000000000005</v>
      </c>
      <c r="Q147" s="511">
        <v>1533.8560000000002</v>
      </c>
      <c r="R147" s="511">
        <v>1.8153144884973078</v>
      </c>
      <c r="S147" s="511">
        <v>2.0124786811799806</v>
      </c>
      <c r="T147" s="511">
        <v>0.25850465002447376</v>
      </c>
      <c r="U147" s="511">
        <v>0.28633717897899152</v>
      </c>
      <c r="V147" s="511">
        <v>507.07859153209455</v>
      </c>
      <c r="W147" s="511">
        <v>632.55130859741791</v>
      </c>
      <c r="X147" s="511">
        <v>452.30665687714139</v>
      </c>
      <c r="Y147" s="576">
        <v>481.87052761145759</v>
      </c>
      <c r="Z147" s="511">
        <v>0</v>
      </c>
      <c r="AA147" s="576">
        <v>0</v>
      </c>
      <c r="AB147" s="513">
        <v>0.59040595008990182</v>
      </c>
      <c r="AC147" s="514">
        <v>0.83225062819257511</v>
      </c>
      <c r="AD147" s="514">
        <v>0.97947530890490631</v>
      </c>
      <c r="AE147" s="514">
        <v>0.89952597528165512</v>
      </c>
      <c r="AF147" s="511">
        <v>26.655999999999999</v>
      </c>
      <c r="AG147" s="511">
        <v>1051.9859999999999</v>
      </c>
      <c r="AH147" s="511">
        <v>68.304994787246272</v>
      </c>
      <c r="AI147" s="511">
        <v>121.00608884188986</v>
      </c>
      <c r="AJ147" s="511">
        <v>1.8007202881152462</v>
      </c>
      <c r="AK147" s="511">
        <v>1.3757787651166462</v>
      </c>
      <c r="AL147" s="511">
        <v>1277.8804021608096</v>
      </c>
      <c r="AM147" s="576">
        <v>990.93322534710421</v>
      </c>
      <c r="AN147" s="587"/>
      <c r="AO147" s="587"/>
      <c r="AP147" s="513">
        <v>0.60874215554335787</v>
      </c>
      <c r="AQ147" s="514">
        <v>0.82803701103957694</v>
      </c>
      <c r="AR147" s="514">
        <v>0.93155016363701937</v>
      </c>
      <c r="AS147" s="514">
        <v>0.88698045581256724</v>
      </c>
      <c r="AT147" s="511">
        <v>33.441000000000003</v>
      </c>
      <c r="AU147" s="511">
        <v>1248.7779999999998</v>
      </c>
      <c r="AV147" s="515">
        <v>22.478863045704166</v>
      </c>
      <c r="AW147" s="515">
        <v>97.596593802083305</v>
      </c>
      <c r="AX147" s="511">
        <v>2.1889297568852606</v>
      </c>
      <c r="AY147" s="511">
        <v>1.453661099090471</v>
      </c>
      <c r="AZ147" s="511">
        <v>0</v>
      </c>
      <c r="BA147" s="511">
        <v>7.2070456077861726E-3</v>
      </c>
      <c r="BB147" s="511">
        <v>1134.6305433449963</v>
      </c>
      <c r="BC147" s="511">
        <v>901.7278331296676</v>
      </c>
      <c r="BD147" s="511">
        <v>579.52812415896744</v>
      </c>
      <c r="BE147" s="576">
        <v>523.47097162185764</v>
      </c>
      <c r="BF147" s="511">
        <v>8.9740139349901558</v>
      </c>
      <c r="BG147" s="512">
        <v>28.035327336003679</v>
      </c>
      <c r="BH147" s="513">
        <v>0.73939613031827278</v>
      </c>
      <c r="BI147" s="514">
        <v>0.90170041935189615</v>
      </c>
      <c r="BJ147" s="514">
        <v>0.73939613031827278</v>
      </c>
      <c r="BK147" s="514">
        <v>0.90170041935189615</v>
      </c>
      <c r="BL147" s="511">
        <v>38.469000000000001</v>
      </c>
      <c r="BM147" s="511">
        <v>1368.1130000000003</v>
      </c>
      <c r="BN147" s="511">
        <v>3.4573292781200444</v>
      </c>
      <c r="BO147" s="511">
        <v>2.6437874649243143</v>
      </c>
      <c r="BP147" s="515">
        <v>0</v>
      </c>
      <c r="BQ147" s="515">
        <v>0</v>
      </c>
      <c r="BR147" s="515">
        <v>1129.9143493412114</v>
      </c>
      <c r="BS147" s="515">
        <v>915.72231978747948</v>
      </c>
      <c r="BT147" s="515">
        <v>0</v>
      </c>
      <c r="BU147" s="516">
        <v>0</v>
      </c>
      <c r="BV147" s="513">
        <v>0.96346072842971975</v>
      </c>
      <c r="BW147" s="514">
        <v>0.92165056500484077</v>
      </c>
      <c r="BX147" s="514">
        <v>0.96346072842971975</v>
      </c>
      <c r="BY147" s="514">
        <v>0.92940907250925897</v>
      </c>
      <c r="BZ147" s="511">
        <v>55.231999999999999</v>
      </c>
      <c r="CA147" s="511">
        <v>1386.2330000000002</v>
      </c>
      <c r="CB147" s="515">
        <v>59.106068942637798</v>
      </c>
      <c r="CC147" s="515">
        <v>81.825933597452718</v>
      </c>
      <c r="CD147" s="511">
        <v>1.8358922363847046</v>
      </c>
      <c r="CE147" s="511">
        <v>1.9804030058438951</v>
      </c>
      <c r="CF147" s="515">
        <v>0</v>
      </c>
      <c r="CG147" s="515">
        <v>0</v>
      </c>
      <c r="CH147" s="515">
        <v>643.51942524610809</v>
      </c>
      <c r="CI147" s="515">
        <v>813.20891214434482</v>
      </c>
      <c r="CJ147" s="515">
        <v>572.49420625724315</v>
      </c>
      <c r="CK147" s="515">
        <v>326.14716790034578</v>
      </c>
      <c r="CL147" s="515"/>
      <c r="CM147" s="516"/>
    </row>
    <row r="148" spans="1:91">
      <c r="A148" s="558">
        <v>46051</v>
      </c>
      <c r="B148" s="513">
        <v>0.66081761654122684</v>
      </c>
      <c r="C148" s="514">
        <v>0.80441782279345686</v>
      </c>
      <c r="D148" s="514">
        <v>0.66081761654122684</v>
      </c>
      <c r="E148" s="514">
        <v>0.81680747621024419</v>
      </c>
      <c r="F148" s="511">
        <v>42.947000000000003</v>
      </c>
      <c r="G148" s="511">
        <v>1409.7399999999998</v>
      </c>
      <c r="H148" s="511">
        <v>3.1119752252776678</v>
      </c>
      <c r="I148" s="511">
        <v>2.5380155205924502</v>
      </c>
      <c r="J148" s="511">
        <v>1312.5652548490539</v>
      </c>
      <c r="K148" s="512">
        <v>1102.4008824322223</v>
      </c>
      <c r="L148" s="513">
        <v>0.99171181107658202</v>
      </c>
      <c r="M148" s="514">
        <v>0.87618121863879583</v>
      </c>
      <c r="N148" s="514">
        <v>0.99171181107658202</v>
      </c>
      <c r="O148" s="514">
        <v>0.87858464052354368</v>
      </c>
      <c r="P148" s="511">
        <v>70.599000000000004</v>
      </c>
      <c r="Q148" s="511">
        <v>1604.4550000000002</v>
      </c>
      <c r="R148" s="511">
        <v>1.7124463519313304</v>
      </c>
      <c r="S148" s="511">
        <v>1.9992767014344437</v>
      </c>
      <c r="T148" s="511">
        <v>0.24362951316590883</v>
      </c>
      <c r="U148" s="511">
        <v>0.28445796236105092</v>
      </c>
      <c r="V148" s="511">
        <v>461.54208983128933</v>
      </c>
      <c r="W148" s="511">
        <v>625.02658535141234</v>
      </c>
      <c r="X148" s="511">
        <v>425.09100695477275</v>
      </c>
      <c r="Y148" s="576">
        <v>479.37212324434148</v>
      </c>
      <c r="Z148" s="511">
        <v>0</v>
      </c>
      <c r="AA148" s="576">
        <v>0</v>
      </c>
      <c r="AB148" s="513">
        <v>0.64357584438580295</v>
      </c>
      <c r="AC148" s="514">
        <v>0.82595249569852724</v>
      </c>
      <c r="AD148" s="514">
        <v>1.0368100982161212</v>
      </c>
      <c r="AE148" s="514">
        <v>0.90263465295826162</v>
      </c>
      <c r="AF148" s="511">
        <v>28.093</v>
      </c>
      <c r="AG148" s="511">
        <v>1080.079</v>
      </c>
      <c r="AH148" s="511">
        <v>80.884734177134277</v>
      </c>
      <c r="AI148" s="511">
        <v>119.96252701298941</v>
      </c>
      <c r="AJ148" s="511">
        <v>1.7157298971273984</v>
      </c>
      <c r="AK148" s="511">
        <v>1.3846209397645914</v>
      </c>
      <c r="AL148" s="511">
        <v>1215.6316520129697</v>
      </c>
      <c r="AM148" s="576">
        <v>996.77766163400918</v>
      </c>
      <c r="AN148" s="587"/>
      <c r="AO148" s="587"/>
      <c r="AP148" s="513">
        <v>0.6364731854927933</v>
      </c>
      <c r="AQ148" s="514">
        <v>0.82128066232452379</v>
      </c>
      <c r="AR148" s="514">
        <v>0.94681961478266774</v>
      </c>
      <c r="AS148" s="514">
        <v>0.88851532096238095</v>
      </c>
      <c r="AT148" s="511">
        <v>35.091999999999999</v>
      </c>
      <c r="AU148" s="511">
        <v>1283.8699999999999</v>
      </c>
      <c r="AV148" s="515">
        <v>21.129353796692911</v>
      </c>
      <c r="AW148" s="515">
        <v>95.506515845382737</v>
      </c>
      <c r="AX148" s="511">
        <v>2.1286902997834267</v>
      </c>
      <c r="AY148" s="511">
        <v>1.4721116623957256</v>
      </c>
      <c r="AZ148" s="511">
        <v>0</v>
      </c>
      <c r="BA148" s="511">
        <v>7.0100555352177411E-3</v>
      </c>
      <c r="BB148" s="511">
        <v>999.10919867776101</v>
      </c>
      <c r="BC148" s="511">
        <v>904.38955657504255</v>
      </c>
      <c r="BD148" s="511">
        <v>571.75424598199015</v>
      </c>
      <c r="BE148" s="576">
        <v>524.79069765630481</v>
      </c>
      <c r="BF148" s="511">
        <v>37.618260572210353</v>
      </c>
      <c r="BG148" s="512">
        <v>28.297257510495612</v>
      </c>
      <c r="BH148" s="513">
        <v>0.68343777349831847</v>
      </c>
      <c r="BI148" s="514">
        <v>0.89432689056308623</v>
      </c>
      <c r="BJ148" s="514">
        <v>0.68343777349831847</v>
      </c>
      <c r="BK148" s="514">
        <v>0.89432689056308623</v>
      </c>
      <c r="BL148" s="511">
        <v>36.256</v>
      </c>
      <c r="BM148" s="511">
        <v>1404.3690000000004</v>
      </c>
      <c r="BN148" s="511">
        <v>2.965026478375993</v>
      </c>
      <c r="BO148" s="511">
        <v>2.6520807565532976</v>
      </c>
      <c r="BP148" s="515">
        <v>0</v>
      </c>
      <c r="BQ148" s="515">
        <v>0</v>
      </c>
      <c r="BR148" s="515">
        <v>982.4348282109346</v>
      </c>
      <c r="BS148" s="515">
        <v>917.44460837787176</v>
      </c>
      <c r="BT148" s="515">
        <v>0</v>
      </c>
      <c r="BU148" s="516">
        <v>0</v>
      </c>
      <c r="BV148" s="513">
        <v>0.80676924825644414</v>
      </c>
      <c r="BW148" s="514">
        <v>0.91732725580253149</v>
      </c>
      <c r="BX148" s="514">
        <v>0.80676924825644414</v>
      </c>
      <c r="BY148" s="514">
        <v>0.92475641092038319</v>
      </c>
      <c r="BZ148" s="511">
        <v>47.451000000000001</v>
      </c>
      <c r="CA148" s="511">
        <v>1433.6840000000002</v>
      </c>
      <c r="CB148" s="515">
        <v>75.53547616126572</v>
      </c>
      <c r="CC148" s="515">
        <v>81.617736745284105</v>
      </c>
      <c r="CD148" s="511">
        <v>2.1727676972034309</v>
      </c>
      <c r="CE148" s="511">
        <v>1.9867697484243392</v>
      </c>
      <c r="CF148" s="515">
        <v>0</v>
      </c>
      <c r="CG148" s="515">
        <v>0</v>
      </c>
      <c r="CH148" s="515">
        <v>772.44026192039223</v>
      </c>
      <c r="CI148" s="515">
        <v>811.85958187227891</v>
      </c>
      <c r="CJ148" s="515">
        <v>689.8906240121388</v>
      </c>
      <c r="CK148" s="515">
        <v>338.18607656917419</v>
      </c>
      <c r="CL148" s="515"/>
      <c r="CM148" s="516"/>
    </row>
    <row r="149" spans="1:91">
      <c r="A149" s="558">
        <v>46052</v>
      </c>
      <c r="B149" s="513">
        <v>0.60529480555148507</v>
      </c>
      <c r="C149" s="514">
        <v>0.79614150639475179</v>
      </c>
      <c r="D149" s="514">
        <v>0.60529480555148507</v>
      </c>
      <c r="E149" s="514">
        <v>0.80788650582628996</v>
      </c>
      <c r="F149" s="511">
        <v>46.002000000000002</v>
      </c>
      <c r="G149" s="511">
        <v>1455.7419999999997</v>
      </c>
      <c r="H149" s="511">
        <v>3.1339724359810437</v>
      </c>
      <c r="I149" s="511">
        <v>2.5568479854259891</v>
      </c>
      <c r="J149" s="511">
        <v>1146.466240598173</v>
      </c>
      <c r="K149" s="512">
        <v>1103.7933644835405</v>
      </c>
      <c r="L149" s="513">
        <v>0.98070555492734535</v>
      </c>
      <c r="M149" s="514">
        <v>0.88002374232059866</v>
      </c>
      <c r="N149" s="514">
        <v>0.98070555492734535</v>
      </c>
      <c r="O149" s="514">
        <v>0.8823487279658363</v>
      </c>
      <c r="P149" s="511">
        <v>68.539000000000001</v>
      </c>
      <c r="Q149" s="511">
        <v>1672.9940000000001</v>
      </c>
      <c r="R149" s="511">
        <v>1.7556573629612335</v>
      </c>
      <c r="S149" s="511">
        <v>1.9892961361487254</v>
      </c>
      <c r="T149" s="511">
        <v>0.28013247931834429</v>
      </c>
      <c r="U149" s="511">
        <v>0.28428075653588714</v>
      </c>
      <c r="V149" s="511">
        <v>458.71416273947483</v>
      </c>
      <c r="W149" s="511">
        <v>618.2131197123249</v>
      </c>
      <c r="X149" s="511">
        <v>423.87545776856973</v>
      </c>
      <c r="Y149" s="576">
        <v>477.09854309100922</v>
      </c>
      <c r="Z149" s="511">
        <v>0</v>
      </c>
      <c r="AA149" s="576">
        <v>0</v>
      </c>
      <c r="AB149" s="513">
        <v>0.77658842652023008</v>
      </c>
      <c r="AC149" s="514">
        <v>0.82437827234377781</v>
      </c>
      <c r="AD149" s="514">
        <v>0.94529783109816667</v>
      </c>
      <c r="AE149" s="514">
        <v>0.90386013104375329</v>
      </c>
      <c r="AF149" s="511">
        <v>33.451999999999998</v>
      </c>
      <c r="AG149" s="511">
        <v>1113.5309999999999</v>
      </c>
      <c r="AH149" s="511">
        <v>102.70123492407497</v>
      </c>
      <c r="AI149" s="511">
        <v>119.44397410071451</v>
      </c>
      <c r="AJ149" s="511">
        <v>1.4916895850771255</v>
      </c>
      <c r="AK149" s="511">
        <v>1.3878374288636779</v>
      </c>
      <c r="AL149" s="511">
        <v>1051.349396149707</v>
      </c>
      <c r="AM149" s="576">
        <v>998.41707146006615</v>
      </c>
      <c r="AN149" s="587"/>
      <c r="AO149" s="587"/>
      <c r="AP149" s="513">
        <v>0.82686522419796304</v>
      </c>
      <c r="AQ149" s="514">
        <v>0.82147031873985998</v>
      </c>
      <c r="AR149" s="514">
        <v>0.84874440268069495</v>
      </c>
      <c r="AS149" s="514">
        <v>0.88709436768226235</v>
      </c>
      <c r="AT149" s="511">
        <v>45.441000000000003</v>
      </c>
      <c r="AU149" s="511">
        <v>1329.3109999999999</v>
      </c>
      <c r="AV149" s="515">
        <v>77.177024262694871</v>
      </c>
      <c r="AW149" s="515">
        <v>94.879942810924334</v>
      </c>
      <c r="AX149" s="511">
        <v>1.5250544662309367</v>
      </c>
      <c r="AY149" s="511">
        <v>1.4739214525419559</v>
      </c>
      <c r="AZ149" s="511">
        <v>0</v>
      </c>
      <c r="BA149" s="511">
        <v>6.7704246786493161E-3</v>
      </c>
      <c r="BB149" s="511">
        <v>860.89082546598979</v>
      </c>
      <c r="BC149" s="511">
        <v>902.90260142284228</v>
      </c>
      <c r="BD149" s="511">
        <v>581.07876147091827</v>
      </c>
      <c r="BE149" s="576">
        <v>526.71484174884586</v>
      </c>
      <c r="BF149" s="511">
        <v>38.066943949296636</v>
      </c>
      <c r="BG149" s="512">
        <v>28.631223242717457</v>
      </c>
      <c r="BH149" s="513">
        <v>0.6382735199755124</v>
      </c>
      <c r="BI149" s="514">
        <v>0.8861603385879202</v>
      </c>
      <c r="BJ149" s="514">
        <v>0.6382735199755124</v>
      </c>
      <c r="BK149" s="514">
        <v>0.8861603385879202</v>
      </c>
      <c r="BL149" s="511">
        <v>33.020000000000003</v>
      </c>
      <c r="BM149" s="511">
        <v>1437.3890000000004</v>
      </c>
      <c r="BN149" s="511">
        <v>4.0399757722592362</v>
      </c>
      <c r="BO149" s="511">
        <v>2.6839637704198362</v>
      </c>
      <c r="BP149" s="515">
        <v>0</v>
      </c>
      <c r="BQ149" s="515">
        <v>0</v>
      </c>
      <c r="BR149" s="515">
        <v>1395.086664978239</v>
      </c>
      <c r="BS149" s="515">
        <v>928.41710135572544</v>
      </c>
      <c r="BT149" s="515">
        <v>0</v>
      </c>
      <c r="BU149" s="516">
        <v>0</v>
      </c>
      <c r="BV149" s="513">
        <v>1.0052649228277659</v>
      </c>
      <c r="BW149" s="514">
        <v>0.92050468351105452</v>
      </c>
      <c r="BX149" s="514">
        <v>1.0052649228277659</v>
      </c>
      <c r="BY149" s="514">
        <v>0.92768810414449077</v>
      </c>
      <c r="BZ149" s="511">
        <v>58.896999999999998</v>
      </c>
      <c r="CA149" s="511">
        <v>1492.5810000000001</v>
      </c>
      <c r="CB149" s="515">
        <v>51.758784484756895</v>
      </c>
      <c r="CC149" s="515">
        <v>80.439507415493452</v>
      </c>
      <c r="CD149" s="511">
        <v>1.5790277942849382</v>
      </c>
      <c r="CE149" s="511">
        <v>1.9706803181870869</v>
      </c>
      <c r="CF149" s="515">
        <v>0</v>
      </c>
      <c r="CG149" s="515">
        <v>0</v>
      </c>
      <c r="CH149" s="515">
        <v>571.39511897750924</v>
      </c>
      <c r="CI149" s="515">
        <v>802.37089384053172</v>
      </c>
      <c r="CJ149" s="515">
        <v>485.68178345246787</v>
      </c>
      <c r="CK149" s="515">
        <v>344.00623282756516</v>
      </c>
      <c r="CL149" s="515"/>
      <c r="CM149" s="516"/>
    </row>
    <row r="150" spans="1:91">
      <c r="A150" s="558">
        <v>46053</v>
      </c>
      <c r="B150" s="513">
        <v>0.80497446587442234</v>
      </c>
      <c r="C150" s="514">
        <v>0.79651332909894346</v>
      </c>
      <c r="D150" s="514">
        <v>0.80497446587442234</v>
      </c>
      <c r="E150" s="514">
        <v>0.80776219256210335</v>
      </c>
      <c r="F150" s="511">
        <v>64.682000000000002</v>
      </c>
      <c r="G150" s="511">
        <v>1520.4239999999998</v>
      </c>
      <c r="H150" s="511">
        <v>2.4514238891809157</v>
      </c>
      <c r="I150" s="511">
        <v>2.5523630250509073</v>
      </c>
      <c r="J150" s="511">
        <v>810.65860672212705</v>
      </c>
      <c r="K150" s="512">
        <v>1091.3228020604772</v>
      </c>
      <c r="L150" s="513">
        <v>0.96590361886898857</v>
      </c>
      <c r="M150" s="514">
        <v>0.88301529197953088</v>
      </c>
      <c r="N150" s="514">
        <v>0.96590361886898857</v>
      </c>
      <c r="O150" s="514">
        <v>0.88526670983944578</v>
      </c>
      <c r="P150" s="511">
        <v>66.272999999999996</v>
      </c>
      <c r="Q150" s="511">
        <v>1739.2670000000001</v>
      </c>
      <c r="R150" s="511">
        <v>1.8730403029891511</v>
      </c>
      <c r="S150" s="511">
        <v>1.9848663258717614</v>
      </c>
      <c r="T150" s="511">
        <v>0.22935433736212335</v>
      </c>
      <c r="U150" s="511">
        <v>0.28218784119976981</v>
      </c>
      <c r="V150" s="511">
        <v>573.44212575254301</v>
      </c>
      <c r="W150" s="511">
        <v>616.50716652474841</v>
      </c>
      <c r="X150" s="511">
        <v>376.56360810586517</v>
      </c>
      <c r="Y150" s="576">
        <v>473.26776164901651</v>
      </c>
      <c r="Z150" s="511">
        <v>0</v>
      </c>
      <c r="AA150" s="576">
        <v>0</v>
      </c>
      <c r="AB150" s="513">
        <v>0.84436885210724499</v>
      </c>
      <c r="AC150" s="514">
        <v>0.8250062442315248</v>
      </c>
      <c r="AD150" s="514">
        <v>0.84436885210724499</v>
      </c>
      <c r="AE150" s="514">
        <v>0.90181731409921739</v>
      </c>
      <c r="AF150" s="511">
        <v>36.99</v>
      </c>
      <c r="AG150" s="511">
        <v>1150.521</v>
      </c>
      <c r="AH150" s="511">
        <v>153.26211251670242</v>
      </c>
      <c r="AI150" s="511">
        <v>120.53124929169962</v>
      </c>
      <c r="AJ150" s="511">
        <v>1.3381995133819951</v>
      </c>
      <c r="AK150" s="511">
        <v>1.3862415375295194</v>
      </c>
      <c r="AL150" s="511">
        <v>962.55798864557983</v>
      </c>
      <c r="AM150" s="576">
        <v>997.26417857648755</v>
      </c>
      <c r="AN150" s="587"/>
      <c r="AO150" s="587"/>
      <c r="AP150" s="513">
        <v>5.313592153437581E-2</v>
      </c>
      <c r="AQ150" s="514">
        <v>0.79624347980899668</v>
      </c>
      <c r="AR150" s="514">
        <v>5.313592153437581E-2</v>
      </c>
      <c r="AS150" s="514">
        <v>0.85760283861967224</v>
      </c>
      <c r="AT150" s="511">
        <v>2.919</v>
      </c>
      <c r="AU150" s="511">
        <v>1332.23</v>
      </c>
      <c r="AV150" s="515">
        <v>17.14281892166996</v>
      </c>
      <c r="AW150" s="515">
        <v>94.709615866903604</v>
      </c>
      <c r="AX150" s="511">
        <v>6.3035286056868784</v>
      </c>
      <c r="AY150" s="511">
        <v>1.4845034265854995</v>
      </c>
      <c r="AZ150" s="511">
        <v>0</v>
      </c>
      <c r="BA150" s="511">
        <v>6.7555902509326467E-3</v>
      </c>
      <c r="BB150" s="511">
        <v>3578.2870846179922</v>
      </c>
      <c r="BC150" s="511">
        <v>908.76453765490942</v>
      </c>
      <c r="BD150" s="511">
        <v>0</v>
      </c>
      <c r="BE150" s="576">
        <v>525.56077629238212</v>
      </c>
      <c r="BF150" s="511">
        <v>489.92805755395887</v>
      </c>
      <c r="BG150" s="512">
        <v>29.641953716700566</v>
      </c>
      <c r="BH150" s="513">
        <v>0.95458896001576621</v>
      </c>
      <c r="BI150" s="514">
        <v>0.88835377220485801</v>
      </c>
      <c r="BJ150" s="514">
        <v>0.95458896001576621</v>
      </c>
      <c r="BK150" s="514">
        <v>0.88835377220485801</v>
      </c>
      <c r="BL150" s="511">
        <v>51.276000000000003</v>
      </c>
      <c r="BM150" s="511">
        <v>1488.6650000000004</v>
      </c>
      <c r="BN150" s="511">
        <v>2.6113581402605508</v>
      </c>
      <c r="BO150" s="511">
        <v>2.6814629214766237</v>
      </c>
      <c r="BP150" s="515">
        <v>0</v>
      </c>
      <c r="BQ150" s="515">
        <v>0</v>
      </c>
      <c r="BR150" s="515">
        <v>828.13843828508629</v>
      </c>
      <c r="BS150" s="515">
        <v>924.96307460853245</v>
      </c>
      <c r="BT150" s="515">
        <v>0</v>
      </c>
      <c r="BU150" s="516">
        <v>0</v>
      </c>
      <c r="BV150" s="513">
        <v>0.46941383167063289</v>
      </c>
      <c r="BW150" s="514">
        <v>0.90611411830132604</v>
      </c>
      <c r="BX150" s="514">
        <v>0.46941383167063289</v>
      </c>
      <c r="BY150" s="514">
        <v>0.91295795351375308</v>
      </c>
      <c r="BZ150" s="511">
        <v>25.082000000000001</v>
      </c>
      <c r="CA150" s="511">
        <v>1517.6630000000002</v>
      </c>
      <c r="CB150" s="515">
        <v>175.13733233294087</v>
      </c>
      <c r="CC150" s="515">
        <v>82.004552385674188</v>
      </c>
      <c r="CD150" s="511">
        <v>2.8466629455386334</v>
      </c>
      <c r="CE150" s="511">
        <v>1.9851574427260863</v>
      </c>
      <c r="CF150" s="515">
        <v>0</v>
      </c>
      <c r="CG150" s="515">
        <v>0</v>
      </c>
      <c r="CH150" s="515">
        <v>1014.7290263333832</v>
      </c>
      <c r="CI150" s="515">
        <v>805.88047843156789</v>
      </c>
      <c r="CJ150" s="515">
        <v>690.53504505222872</v>
      </c>
      <c r="CK150" s="515">
        <v>349.73321943013701</v>
      </c>
      <c r="CL150" s="515"/>
      <c r="CM150" s="516"/>
    </row>
    <row r="151" spans="1:91">
      <c r="A151" s="558"/>
      <c r="B151" s="513"/>
      <c r="C151" s="514"/>
      <c r="D151" s="514"/>
      <c r="E151" s="514"/>
      <c r="F151" s="511"/>
      <c r="G151" s="511"/>
      <c r="H151" s="511"/>
      <c r="I151" s="511"/>
      <c r="J151" s="511"/>
      <c r="K151" s="512"/>
      <c r="L151" s="513"/>
      <c r="M151" s="514"/>
      <c r="N151" s="514"/>
      <c r="O151" s="514"/>
      <c r="P151" s="511"/>
      <c r="Q151" s="511"/>
      <c r="R151" s="511"/>
      <c r="S151" s="511"/>
      <c r="T151" s="511"/>
      <c r="U151" s="511"/>
      <c r="V151" s="511"/>
      <c r="W151" s="511"/>
      <c r="X151" s="511"/>
      <c r="Y151" s="576"/>
      <c r="Z151" s="511"/>
      <c r="AA151" s="576"/>
      <c r="AB151" s="513"/>
      <c r="AC151" s="514"/>
      <c r="AD151" s="514"/>
      <c r="AE151" s="514"/>
      <c r="AF151" s="511"/>
      <c r="AG151" s="511"/>
      <c r="AH151" s="511"/>
      <c r="AI151" s="511"/>
      <c r="AJ151" s="511"/>
      <c r="AK151" s="511"/>
      <c r="AL151" s="511"/>
      <c r="AM151" s="576"/>
      <c r="AN151" s="511"/>
      <c r="AO151" s="576"/>
      <c r="AP151" s="513"/>
      <c r="AQ151" s="514"/>
      <c r="AR151" s="514"/>
      <c r="AS151" s="514"/>
      <c r="AT151" s="511"/>
      <c r="AU151" s="511"/>
      <c r="AV151" s="515"/>
      <c r="AW151" s="515"/>
      <c r="AX151" s="511"/>
      <c r="AY151" s="511"/>
      <c r="AZ151" s="511"/>
      <c r="BA151" s="511"/>
      <c r="BB151" s="511"/>
      <c r="BC151" s="511"/>
      <c r="BD151" s="511"/>
      <c r="BE151" s="576"/>
      <c r="BF151" s="511"/>
      <c r="BG151" s="512"/>
      <c r="BH151" s="513"/>
      <c r="BI151" s="514"/>
      <c r="BJ151" s="514"/>
      <c r="BK151" s="514"/>
      <c r="BL151" s="511"/>
      <c r="BM151" s="511"/>
      <c r="BN151" s="511"/>
      <c r="BO151" s="511"/>
      <c r="BP151" s="515"/>
      <c r="BQ151" s="515"/>
      <c r="BR151" s="515"/>
      <c r="BS151" s="515"/>
      <c r="BT151" s="515"/>
      <c r="BU151" s="516"/>
      <c r="BV151" s="513"/>
      <c r="BW151" s="514"/>
      <c r="BX151" s="514"/>
      <c r="BY151" s="514"/>
      <c r="BZ151" s="511"/>
      <c r="CA151" s="511"/>
      <c r="CB151" s="511"/>
      <c r="CC151" s="511"/>
      <c r="CD151" s="511"/>
      <c r="CE151" s="511"/>
      <c r="CF151" s="511"/>
      <c r="CG151" s="511"/>
      <c r="CH151" s="579"/>
      <c r="CI151" s="515"/>
      <c r="CJ151" s="515"/>
      <c r="CK151" s="515"/>
      <c r="CL151" s="515"/>
      <c r="CM151" s="516"/>
    </row>
    <row r="152" spans="1:91" ht="13.5" thickBot="1">
      <c r="A152" s="568" t="s">
        <v>229</v>
      </c>
      <c r="B152" s="818">
        <v>0.79651332909894346</v>
      </c>
      <c r="C152" s="819"/>
      <c r="D152" s="820">
        <v>0.80776219256210335</v>
      </c>
      <c r="E152" s="819"/>
      <c r="F152" s="821">
        <v>1520.4239999999998</v>
      </c>
      <c r="G152" s="822"/>
      <c r="H152" s="823">
        <v>2.5523630250509073</v>
      </c>
      <c r="I152" s="824"/>
      <c r="J152" s="821">
        <v>1091.3228020604772</v>
      </c>
      <c r="K152" s="825"/>
      <c r="L152" s="818">
        <v>0.88301529197953088</v>
      </c>
      <c r="M152" s="819"/>
      <c r="N152" s="820">
        <v>0.88526670983944578</v>
      </c>
      <c r="O152" s="819"/>
      <c r="P152" s="821">
        <v>1739.2670000000001</v>
      </c>
      <c r="Q152" s="822"/>
      <c r="R152" s="823">
        <v>1.9848663258717614</v>
      </c>
      <c r="S152" s="824"/>
      <c r="T152" s="823">
        <v>0.28218784119976981</v>
      </c>
      <c r="U152" s="824"/>
      <c r="V152" s="821">
        <v>616.50716652474841</v>
      </c>
      <c r="W152" s="822"/>
      <c r="X152" s="823">
        <v>473.26776164901651</v>
      </c>
      <c r="Y152" s="824"/>
      <c r="Z152" s="829">
        <v>0</v>
      </c>
      <c r="AA152" s="830"/>
      <c r="AB152" s="831">
        <v>0.8250062442315248</v>
      </c>
      <c r="AC152" s="828"/>
      <c r="AD152" s="828">
        <v>0.90181731409921739</v>
      </c>
      <c r="AE152" s="828"/>
      <c r="AF152" s="826">
        <v>1150.521</v>
      </c>
      <c r="AG152" s="826"/>
      <c r="AH152" s="827">
        <v>120.53124929169962</v>
      </c>
      <c r="AI152" s="827"/>
      <c r="AJ152" s="826">
        <v>1.3862415375295194</v>
      </c>
      <c r="AK152" s="826"/>
      <c r="AL152" s="826">
        <v>997.26417857648755</v>
      </c>
      <c r="AM152" s="826"/>
      <c r="AN152" s="821">
        <v>0</v>
      </c>
      <c r="AO152" s="825"/>
      <c r="AP152" s="819">
        <v>0.79624347980899668</v>
      </c>
      <c r="AQ152" s="828"/>
      <c r="AR152" s="828">
        <v>0.85760283861967224</v>
      </c>
      <c r="AS152" s="828"/>
      <c r="AT152" s="833">
        <v>1332.23</v>
      </c>
      <c r="AU152" s="833"/>
      <c r="AV152" s="827">
        <v>94.709615866903604</v>
      </c>
      <c r="AW152" s="827"/>
      <c r="AX152" s="826">
        <v>1.4845034265854995</v>
      </c>
      <c r="AY152" s="826"/>
      <c r="AZ152" s="826">
        <v>6.7555902509326467E-3</v>
      </c>
      <c r="BA152" s="826"/>
      <c r="BB152" s="827">
        <v>908.76453765490942</v>
      </c>
      <c r="BC152" s="827"/>
      <c r="BD152" s="827">
        <v>525.56077629238212</v>
      </c>
      <c r="BE152" s="821"/>
      <c r="BF152" s="827">
        <v>0</v>
      </c>
      <c r="BG152" s="832"/>
      <c r="BH152" s="818">
        <v>0.88835377220485801</v>
      </c>
      <c r="BI152" s="819"/>
      <c r="BJ152" s="820">
        <v>0.88835377220485801</v>
      </c>
      <c r="BK152" s="819"/>
      <c r="BL152" s="821">
        <v>1488.6650000000004</v>
      </c>
      <c r="BM152" s="822"/>
      <c r="BN152" s="821">
        <v>2.6814629214766237</v>
      </c>
      <c r="BO152" s="822"/>
      <c r="BP152" s="823">
        <v>0</v>
      </c>
      <c r="BQ152" s="824"/>
      <c r="BR152" s="821">
        <v>924.96307460853245</v>
      </c>
      <c r="BS152" s="822"/>
      <c r="BT152" s="823">
        <v>0</v>
      </c>
      <c r="BU152" s="830"/>
      <c r="BV152" s="818">
        <v>0.90611411830132604</v>
      </c>
      <c r="BW152" s="819"/>
      <c r="BX152" s="820">
        <v>0.91295795351375308</v>
      </c>
      <c r="BY152" s="819"/>
      <c r="BZ152" s="821">
        <v>1517.6630000000002</v>
      </c>
      <c r="CA152" s="822"/>
      <c r="CB152" s="823">
        <v>82.004552385674188</v>
      </c>
      <c r="CC152" s="824"/>
      <c r="CD152" s="823">
        <v>1.9851574427260863</v>
      </c>
      <c r="CE152" s="824"/>
      <c r="CF152" s="823">
        <v>0</v>
      </c>
      <c r="CG152" s="824"/>
      <c r="CH152" s="821">
        <v>805.88047843156789</v>
      </c>
      <c r="CI152" s="822"/>
      <c r="CJ152" s="827">
        <v>349.73321943013701</v>
      </c>
      <c r="CK152" s="827"/>
      <c r="CL152" s="827">
        <v>0</v>
      </c>
      <c r="CM152" s="832"/>
    </row>
  </sheetData>
  <mergeCells count="724">
    <mergeCell ref="CB152:CC152"/>
    <mergeCell ref="CD152:CE152"/>
    <mergeCell ref="CF152:CG152"/>
    <mergeCell ref="CH152:CI152"/>
    <mergeCell ref="CJ152:CK152"/>
    <mergeCell ref="CL152:CM152"/>
    <mergeCell ref="BP152:BQ152"/>
    <mergeCell ref="BR152:BS152"/>
    <mergeCell ref="BT152:BU152"/>
    <mergeCell ref="BV152:BW152"/>
    <mergeCell ref="BX152:BY152"/>
    <mergeCell ref="BZ152:CA152"/>
    <mergeCell ref="BD152:BE152"/>
    <mergeCell ref="BF152:BG152"/>
    <mergeCell ref="BH152:BI152"/>
    <mergeCell ref="BJ152:BK152"/>
    <mergeCell ref="BL152:BM152"/>
    <mergeCell ref="BN152:BO152"/>
    <mergeCell ref="AR152:AS152"/>
    <mergeCell ref="AT152:AU152"/>
    <mergeCell ref="AV152:AW152"/>
    <mergeCell ref="AX152:AY152"/>
    <mergeCell ref="AZ152:BA152"/>
    <mergeCell ref="BB152:BC152"/>
    <mergeCell ref="AF152:AG152"/>
    <mergeCell ref="AH152:AI152"/>
    <mergeCell ref="AJ152:AK152"/>
    <mergeCell ref="AL152:AM152"/>
    <mergeCell ref="AN152:AO152"/>
    <mergeCell ref="AP152:AQ152"/>
    <mergeCell ref="T152:U152"/>
    <mergeCell ref="V152:W152"/>
    <mergeCell ref="X152:Y152"/>
    <mergeCell ref="Z152:AA152"/>
    <mergeCell ref="AB152:AC152"/>
    <mergeCell ref="AD152:AE152"/>
    <mergeCell ref="CL118:CM118"/>
    <mergeCell ref="B152:C152"/>
    <mergeCell ref="D152:E152"/>
    <mergeCell ref="F152:G152"/>
    <mergeCell ref="H152:I152"/>
    <mergeCell ref="J152:K152"/>
    <mergeCell ref="L152:M152"/>
    <mergeCell ref="N152:O152"/>
    <mergeCell ref="P152:Q152"/>
    <mergeCell ref="R152:S152"/>
    <mergeCell ref="BZ118:CA118"/>
    <mergeCell ref="CB118:CC118"/>
    <mergeCell ref="CD118:CE118"/>
    <mergeCell ref="CF118:CG118"/>
    <mergeCell ref="CH118:CI118"/>
    <mergeCell ref="CJ118:CK118"/>
    <mergeCell ref="BN118:BO118"/>
    <mergeCell ref="BP118:BQ118"/>
    <mergeCell ref="BR118:BS118"/>
    <mergeCell ref="BT118:BU118"/>
    <mergeCell ref="BV118:BW118"/>
    <mergeCell ref="BX118:BY118"/>
    <mergeCell ref="BB118:BC118"/>
    <mergeCell ref="BD118:BE118"/>
    <mergeCell ref="BF118:BG118"/>
    <mergeCell ref="BH118:BI118"/>
    <mergeCell ref="BJ118:BK118"/>
    <mergeCell ref="BL118:BM118"/>
    <mergeCell ref="AP118:AQ118"/>
    <mergeCell ref="AR118:AS118"/>
    <mergeCell ref="AT118:AU118"/>
    <mergeCell ref="AV118:AW118"/>
    <mergeCell ref="AX118:AY118"/>
    <mergeCell ref="AZ118:BA118"/>
    <mergeCell ref="AD118:AE118"/>
    <mergeCell ref="AF118:AG118"/>
    <mergeCell ref="AH118:AI118"/>
    <mergeCell ref="AJ118:AK118"/>
    <mergeCell ref="AL118:AM118"/>
    <mergeCell ref="AN118:AO118"/>
    <mergeCell ref="R118:S118"/>
    <mergeCell ref="T118:U118"/>
    <mergeCell ref="V118:W118"/>
    <mergeCell ref="X118:Y118"/>
    <mergeCell ref="Z118:AA118"/>
    <mergeCell ref="AB118:AC118"/>
    <mergeCell ref="F118:G118"/>
    <mergeCell ref="H118:I118"/>
    <mergeCell ref="J118:K118"/>
    <mergeCell ref="L118:M118"/>
    <mergeCell ref="N118:O118"/>
    <mergeCell ref="P118:Q118"/>
    <mergeCell ref="CL115:CM115"/>
    <mergeCell ref="A117:A119"/>
    <mergeCell ref="B117:K117"/>
    <mergeCell ref="L117:AA117"/>
    <mergeCell ref="AB117:AO117"/>
    <mergeCell ref="AP117:BG117"/>
    <mergeCell ref="BH117:BU117"/>
    <mergeCell ref="BV117:CM117"/>
    <mergeCell ref="B118:C118"/>
    <mergeCell ref="D118:E118"/>
    <mergeCell ref="BZ115:CA115"/>
    <mergeCell ref="CB115:CC115"/>
    <mergeCell ref="CD115:CE115"/>
    <mergeCell ref="CF115:CG115"/>
    <mergeCell ref="CH115:CI115"/>
    <mergeCell ref="CJ115:CK115"/>
    <mergeCell ref="BN115:BO115"/>
    <mergeCell ref="BP115:BQ115"/>
    <mergeCell ref="BR115:BS115"/>
    <mergeCell ref="BT115:BU115"/>
    <mergeCell ref="BV115:BW115"/>
    <mergeCell ref="BX115:BY115"/>
    <mergeCell ref="BB115:BC115"/>
    <mergeCell ref="BD115:BE115"/>
    <mergeCell ref="BF115:BG115"/>
    <mergeCell ref="BH115:BI115"/>
    <mergeCell ref="BJ115:BK115"/>
    <mergeCell ref="BL115:BM115"/>
    <mergeCell ref="AP115:AQ115"/>
    <mergeCell ref="AR115:AS115"/>
    <mergeCell ref="AT115:AU115"/>
    <mergeCell ref="AV115:AW115"/>
    <mergeCell ref="AX115:AY115"/>
    <mergeCell ref="AZ115:BA115"/>
    <mergeCell ref="AD115:AE115"/>
    <mergeCell ref="AF115:AG115"/>
    <mergeCell ref="AH115:AI115"/>
    <mergeCell ref="AJ115:AK115"/>
    <mergeCell ref="AL115:AM115"/>
    <mergeCell ref="AN115:AO115"/>
    <mergeCell ref="R115:S115"/>
    <mergeCell ref="T115:U115"/>
    <mergeCell ref="V115:W115"/>
    <mergeCell ref="X115:Y115"/>
    <mergeCell ref="Z115:AA115"/>
    <mergeCell ref="AB115:AC115"/>
    <mergeCell ref="CJ84:CK84"/>
    <mergeCell ref="CL84:CM84"/>
    <mergeCell ref="B115:C115"/>
    <mergeCell ref="D115:E115"/>
    <mergeCell ref="F115:G115"/>
    <mergeCell ref="H115:I115"/>
    <mergeCell ref="J115:K115"/>
    <mergeCell ref="L115:M115"/>
    <mergeCell ref="N115:O115"/>
    <mergeCell ref="P115:Q115"/>
    <mergeCell ref="BX84:BY84"/>
    <mergeCell ref="BZ84:CA84"/>
    <mergeCell ref="CB84:CC84"/>
    <mergeCell ref="CD84:CE84"/>
    <mergeCell ref="CF84:CG84"/>
    <mergeCell ref="CH84:CI84"/>
    <mergeCell ref="BL84:BM84"/>
    <mergeCell ref="BN84:BO84"/>
    <mergeCell ref="BP84:BQ84"/>
    <mergeCell ref="BR84:BS84"/>
    <mergeCell ref="BT84:BU84"/>
    <mergeCell ref="BV84:BW84"/>
    <mergeCell ref="AZ84:BA84"/>
    <mergeCell ref="BB84:BC84"/>
    <mergeCell ref="BD84:BE84"/>
    <mergeCell ref="BF84:BG84"/>
    <mergeCell ref="BH84:BI84"/>
    <mergeCell ref="BJ84:BK84"/>
    <mergeCell ref="AN84:AO84"/>
    <mergeCell ref="AP84:AQ84"/>
    <mergeCell ref="AR84:AS84"/>
    <mergeCell ref="AT84:AU84"/>
    <mergeCell ref="AV84:AW84"/>
    <mergeCell ref="AX84:AY84"/>
    <mergeCell ref="AB84:AC84"/>
    <mergeCell ref="AD84:AE84"/>
    <mergeCell ref="AF84:AG84"/>
    <mergeCell ref="AH84:AI84"/>
    <mergeCell ref="AJ84:AK84"/>
    <mergeCell ref="AL84:AM84"/>
    <mergeCell ref="P84:Q84"/>
    <mergeCell ref="R84:S84"/>
    <mergeCell ref="T84:U84"/>
    <mergeCell ref="V84:W84"/>
    <mergeCell ref="X84:Y84"/>
    <mergeCell ref="Z84:AA84"/>
    <mergeCell ref="D84:E84"/>
    <mergeCell ref="F84:G84"/>
    <mergeCell ref="H84:I84"/>
    <mergeCell ref="J84:K84"/>
    <mergeCell ref="L84:M84"/>
    <mergeCell ref="N84:O84"/>
    <mergeCell ref="CJ81:CK81"/>
    <mergeCell ref="CL81:CM81"/>
    <mergeCell ref="A83:A85"/>
    <mergeCell ref="B83:K83"/>
    <mergeCell ref="L83:AA83"/>
    <mergeCell ref="AB83:AO83"/>
    <mergeCell ref="AP83:BG83"/>
    <mergeCell ref="BH83:BU83"/>
    <mergeCell ref="BV83:CM83"/>
    <mergeCell ref="B84:C84"/>
    <mergeCell ref="BX81:BY81"/>
    <mergeCell ref="BZ81:CA81"/>
    <mergeCell ref="CB81:CC81"/>
    <mergeCell ref="CD81:CE81"/>
    <mergeCell ref="CF81:CG81"/>
    <mergeCell ref="CH81:CI81"/>
    <mergeCell ref="BL81:BM81"/>
    <mergeCell ref="BN81:BO81"/>
    <mergeCell ref="BP81:BQ81"/>
    <mergeCell ref="BR81:BS81"/>
    <mergeCell ref="BT81:BU81"/>
    <mergeCell ref="BV81:BW81"/>
    <mergeCell ref="AZ81:BA81"/>
    <mergeCell ref="BB81:BC81"/>
    <mergeCell ref="BD81:BE81"/>
    <mergeCell ref="BF81:BG81"/>
    <mergeCell ref="BH81:BI81"/>
    <mergeCell ref="BJ81:BK81"/>
    <mergeCell ref="AN81:AO81"/>
    <mergeCell ref="AP81:AQ81"/>
    <mergeCell ref="AR81:AS81"/>
    <mergeCell ref="AT81:AU81"/>
    <mergeCell ref="AV81:AW81"/>
    <mergeCell ref="AX81:AY81"/>
    <mergeCell ref="AB81:AC81"/>
    <mergeCell ref="AD81:AE81"/>
    <mergeCell ref="AF81:AG81"/>
    <mergeCell ref="AH81:AI81"/>
    <mergeCell ref="AJ81:AK81"/>
    <mergeCell ref="AL81:AM81"/>
    <mergeCell ref="P81:Q81"/>
    <mergeCell ref="R81:S81"/>
    <mergeCell ref="T81:U81"/>
    <mergeCell ref="V81:W81"/>
    <mergeCell ref="X81:Y81"/>
    <mergeCell ref="Z81:AA81"/>
    <mergeCell ref="CH47:CI47"/>
    <mergeCell ref="CJ47:CK47"/>
    <mergeCell ref="CL47:CM47"/>
    <mergeCell ref="B81:C81"/>
    <mergeCell ref="D81:E81"/>
    <mergeCell ref="F81:G81"/>
    <mergeCell ref="H81:I81"/>
    <mergeCell ref="J81:K81"/>
    <mergeCell ref="L81:M81"/>
    <mergeCell ref="N81:O81"/>
    <mergeCell ref="BV47:BW47"/>
    <mergeCell ref="BX47:BY47"/>
    <mergeCell ref="BZ47:CA47"/>
    <mergeCell ref="CB47:CC47"/>
    <mergeCell ref="CD47:CE47"/>
    <mergeCell ref="CF47:CG47"/>
    <mergeCell ref="BJ47:BK47"/>
    <mergeCell ref="BL47:BM47"/>
    <mergeCell ref="BN47:BO47"/>
    <mergeCell ref="BP47:BQ47"/>
    <mergeCell ref="BR47:BS47"/>
    <mergeCell ref="BT47:BU47"/>
    <mergeCell ref="AX47:AY47"/>
    <mergeCell ref="AZ47:BA47"/>
    <mergeCell ref="BB47:BC47"/>
    <mergeCell ref="BD47:BE47"/>
    <mergeCell ref="BF47:BG47"/>
    <mergeCell ref="BH47:BI47"/>
    <mergeCell ref="AL47:AM47"/>
    <mergeCell ref="AN47:AO47"/>
    <mergeCell ref="AP47:AQ47"/>
    <mergeCell ref="AR47:AS47"/>
    <mergeCell ref="AT47:AU47"/>
    <mergeCell ref="AV47:AW47"/>
    <mergeCell ref="Z47:AA47"/>
    <mergeCell ref="AB47:AC47"/>
    <mergeCell ref="AD47:AE47"/>
    <mergeCell ref="AF47:AG47"/>
    <mergeCell ref="AH47:AI47"/>
    <mergeCell ref="AJ47:AK47"/>
    <mergeCell ref="N47:O47"/>
    <mergeCell ref="P47:Q47"/>
    <mergeCell ref="R47:S47"/>
    <mergeCell ref="T47:U47"/>
    <mergeCell ref="V47:W47"/>
    <mergeCell ref="X47:Y47"/>
    <mergeCell ref="B47:C47"/>
    <mergeCell ref="D47:E47"/>
    <mergeCell ref="F47:G47"/>
    <mergeCell ref="H47:I47"/>
    <mergeCell ref="J47:K47"/>
    <mergeCell ref="L47:M47"/>
    <mergeCell ref="CH44:CI44"/>
    <mergeCell ref="CJ44:CK44"/>
    <mergeCell ref="CL44:CM44"/>
    <mergeCell ref="BH44:BI44"/>
    <mergeCell ref="AL44:AM44"/>
    <mergeCell ref="AN44:AO44"/>
    <mergeCell ref="AP44:AQ44"/>
    <mergeCell ref="AR44:AS44"/>
    <mergeCell ref="AT44:AU44"/>
    <mergeCell ref="AV44:AW44"/>
    <mergeCell ref="Z44:AA44"/>
    <mergeCell ref="AB44:AC44"/>
    <mergeCell ref="AD44:AE44"/>
    <mergeCell ref="AF44:AG44"/>
    <mergeCell ref="AH44:AI44"/>
    <mergeCell ref="AJ44:AK44"/>
    <mergeCell ref="N44:O44"/>
    <mergeCell ref="P44:Q44"/>
    <mergeCell ref="A46:A48"/>
    <mergeCell ref="B46:K46"/>
    <mergeCell ref="L46:AA46"/>
    <mergeCell ref="AB46:AO46"/>
    <mergeCell ref="AP46:BG46"/>
    <mergeCell ref="BH46:BU46"/>
    <mergeCell ref="BV46:CM46"/>
    <mergeCell ref="BV44:BW44"/>
    <mergeCell ref="BX44:BY44"/>
    <mergeCell ref="BZ44:CA44"/>
    <mergeCell ref="CB44:CC44"/>
    <mergeCell ref="CD44:CE44"/>
    <mergeCell ref="CF44:CG44"/>
    <mergeCell ref="BJ44:BK44"/>
    <mergeCell ref="BL44:BM44"/>
    <mergeCell ref="BN44:BO44"/>
    <mergeCell ref="BP44:BQ44"/>
    <mergeCell ref="BR44:BS44"/>
    <mergeCell ref="BT44:BU44"/>
    <mergeCell ref="AX44:AY44"/>
    <mergeCell ref="AZ44:BA44"/>
    <mergeCell ref="BB44:BC44"/>
    <mergeCell ref="BD44:BE44"/>
    <mergeCell ref="BF44:BG44"/>
    <mergeCell ref="R44:S44"/>
    <mergeCell ref="T44:U44"/>
    <mergeCell ref="V44:W44"/>
    <mergeCell ref="X44:Y44"/>
    <mergeCell ref="B44:C44"/>
    <mergeCell ref="D44:E44"/>
    <mergeCell ref="F44:G44"/>
    <mergeCell ref="H44:I44"/>
    <mergeCell ref="J44:K44"/>
    <mergeCell ref="L44:M44"/>
    <mergeCell ref="BV43:BW43"/>
    <mergeCell ref="BX43:BY43"/>
    <mergeCell ref="BZ43:CA43"/>
    <mergeCell ref="CB43:CC43"/>
    <mergeCell ref="CD43:CE43"/>
    <mergeCell ref="CF43:CG43"/>
    <mergeCell ref="BJ43:BK43"/>
    <mergeCell ref="BL43:BM43"/>
    <mergeCell ref="BN43:BO43"/>
    <mergeCell ref="BP43:BQ43"/>
    <mergeCell ref="BR43:BS43"/>
    <mergeCell ref="BT43:BU43"/>
    <mergeCell ref="AX43:AY43"/>
    <mergeCell ref="AZ43:BA43"/>
    <mergeCell ref="BB43:BC43"/>
    <mergeCell ref="BD43:BE43"/>
    <mergeCell ref="BF43:BG43"/>
    <mergeCell ref="BH43:BI43"/>
    <mergeCell ref="AL43:AM43"/>
    <mergeCell ref="AN43:AO43"/>
    <mergeCell ref="AP43:AQ43"/>
    <mergeCell ref="AR43:AS43"/>
    <mergeCell ref="AT43:AU43"/>
    <mergeCell ref="AV43:AW43"/>
    <mergeCell ref="Z43:AA43"/>
    <mergeCell ref="AB43:AC43"/>
    <mergeCell ref="AD43:AE43"/>
    <mergeCell ref="AF43:AG43"/>
    <mergeCell ref="AH43:AI43"/>
    <mergeCell ref="AJ43:AK43"/>
    <mergeCell ref="N43:O43"/>
    <mergeCell ref="P43:Q43"/>
    <mergeCell ref="R43:S43"/>
    <mergeCell ref="T43:U43"/>
    <mergeCell ref="V43:W43"/>
    <mergeCell ref="X43:Y43"/>
    <mergeCell ref="B43:C43"/>
    <mergeCell ref="D43:E43"/>
    <mergeCell ref="F43:G43"/>
    <mergeCell ref="H43:I43"/>
    <mergeCell ref="J43:K43"/>
    <mergeCell ref="L43:M43"/>
    <mergeCell ref="BV42:BW42"/>
    <mergeCell ref="BX42:BY42"/>
    <mergeCell ref="BZ42:CA42"/>
    <mergeCell ref="AX42:AY42"/>
    <mergeCell ref="AZ42:BA42"/>
    <mergeCell ref="BB42:BC42"/>
    <mergeCell ref="BD42:BE42"/>
    <mergeCell ref="BF42:BG42"/>
    <mergeCell ref="BH42:BI42"/>
    <mergeCell ref="AL42:AM42"/>
    <mergeCell ref="AN42:AO42"/>
    <mergeCell ref="AP42:AQ42"/>
    <mergeCell ref="AR42:AS42"/>
    <mergeCell ref="AT42:AU42"/>
    <mergeCell ref="AV42:AW42"/>
    <mergeCell ref="Z42:AA42"/>
    <mergeCell ref="AB42:AC42"/>
    <mergeCell ref="AD42:AE42"/>
    <mergeCell ref="CB42:CC42"/>
    <mergeCell ref="CD42:CE42"/>
    <mergeCell ref="CF42:CG42"/>
    <mergeCell ref="BJ42:BK42"/>
    <mergeCell ref="BL42:BM42"/>
    <mergeCell ref="BN42:BO42"/>
    <mergeCell ref="BP42:BQ42"/>
    <mergeCell ref="BR42:BS42"/>
    <mergeCell ref="BT42:BU42"/>
    <mergeCell ref="AF42:AG42"/>
    <mergeCell ref="AH42:AI42"/>
    <mergeCell ref="AJ42:AK42"/>
    <mergeCell ref="N42:O42"/>
    <mergeCell ref="P42:Q42"/>
    <mergeCell ref="R42:S42"/>
    <mergeCell ref="T42:U42"/>
    <mergeCell ref="V42:W42"/>
    <mergeCell ref="X42:Y42"/>
    <mergeCell ref="B42:C42"/>
    <mergeCell ref="D42:E42"/>
    <mergeCell ref="F42:G42"/>
    <mergeCell ref="H42:I42"/>
    <mergeCell ref="J42:K42"/>
    <mergeCell ref="L42:M42"/>
    <mergeCell ref="BV41:BW41"/>
    <mergeCell ref="BX41:BY41"/>
    <mergeCell ref="BZ41:CA41"/>
    <mergeCell ref="AX41:AY41"/>
    <mergeCell ref="AZ41:BA41"/>
    <mergeCell ref="BB41:BC41"/>
    <mergeCell ref="BD41:BE41"/>
    <mergeCell ref="BF41:BG41"/>
    <mergeCell ref="BH41:BI41"/>
    <mergeCell ref="AL41:AM41"/>
    <mergeCell ref="AN41:AO41"/>
    <mergeCell ref="AP41:AQ41"/>
    <mergeCell ref="AR41:AS41"/>
    <mergeCell ref="AT41:AU41"/>
    <mergeCell ref="AV41:AW41"/>
    <mergeCell ref="Z41:AA41"/>
    <mergeCell ref="AB41:AC41"/>
    <mergeCell ref="AD41:AE41"/>
    <mergeCell ref="CB41:CC41"/>
    <mergeCell ref="CD41:CE41"/>
    <mergeCell ref="CF41:CG41"/>
    <mergeCell ref="BJ41:BK41"/>
    <mergeCell ref="BL41:BM41"/>
    <mergeCell ref="BN41:BO41"/>
    <mergeCell ref="BP41:BQ41"/>
    <mergeCell ref="BR41:BS41"/>
    <mergeCell ref="BT41:BU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BV40:BW40"/>
    <mergeCell ref="BX40:BY40"/>
    <mergeCell ref="BZ40:CA40"/>
    <mergeCell ref="AX40:AY40"/>
    <mergeCell ref="AZ40:BA40"/>
    <mergeCell ref="BB40:BC40"/>
    <mergeCell ref="BD40:BE40"/>
    <mergeCell ref="BF40:BG40"/>
    <mergeCell ref="BH40:BI40"/>
    <mergeCell ref="AL40:AM40"/>
    <mergeCell ref="AN40:AO40"/>
    <mergeCell ref="AP40:AQ40"/>
    <mergeCell ref="AR40:AS40"/>
    <mergeCell ref="AT40:AU40"/>
    <mergeCell ref="AV40:AW40"/>
    <mergeCell ref="Z40:AA40"/>
    <mergeCell ref="AB40:AC40"/>
    <mergeCell ref="AD40:AE40"/>
    <mergeCell ref="CB40:CC40"/>
    <mergeCell ref="CD40:CE40"/>
    <mergeCell ref="CF40:CG40"/>
    <mergeCell ref="BJ40:BK40"/>
    <mergeCell ref="BL40:BM40"/>
    <mergeCell ref="BN40:BO40"/>
    <mergeCell ref="BP40:BQ40"/>
    <mergeCell ref="BR40:BS40"/>
    <mergeCell ref="BT40:BU40"/>
    <mergeCell ref="AF40:AG40"/>
    <mergeCell ref="AH40:AI40"/>
    <mergeCell ref="AJ40:AK40"/>
    <mergeCell ref="N40:O40"/>
    <mergeCell ref="P40:Q40"/>
    <mergeCell ref="R40:S40"/>
    <mergeCell ref="T40:U40"/>
    <mergeCell ref="V40:W40"/>
    <mergeCell ref="X40:Y40"/>
    <mergeCell ref="B40:C40"/>
    <mergeCell ref="D40:E40"/>
    <mergeCell ref="F40:G40"/>
    <mergeCell ref="H40:I40"/>
    <mergeCell ref="J40:K40"/>
    <mergeCell ref="L40:M40"/>
    <mergeCell ref="BV39:BW39"/>
    <mergeCell ref="BX39:BY39"/>
    <mergeCell ref="BZ39:CA39"/>
    <mergeCell ref="AX39:AY39"/>
    <mergeCell ref="AZ39:BA39"/>
    <mergeCell ref="BB39:BC39"/>
    <mergeCell ref="BD39:BE39"/>
    <mergeCell ref="BF39:BG39"/>
    <mergeCell ref="BH39:BI39"/>
    <mergeCell ref="AL39:AM39"/>
    <mergeCell ref="AN39:AO39"/>
    <mergeCell ref="AP39:AQ39"/>
    <mergeCell ref="AR39:AS39"/>
    <mergeCell ref="AT39:AU39"/>
    <mergeCell ref="AV39:AW39"/>
    <mergeCell ref="Z39:AA39"/>
    <mergeCell ref="AB39:AC39"/>
    <mergeCell ref="AD39:AE39"/>
    <mergeCell ref="CB39:CC39"/>
    <mergeCell ref="CD39:CE39"/>
    <mergeCell ref="CF39:CG39"/>
    <mergeCell ref="BJ39:BK39"/>
    <mergeCell ref="BL39:BM39"/>
    <mergeCell ref="BN39:BO39"/>
    <mergeCell ref="BP39:BQ39"/>
    <mergeCell ref="BR39:BS39"/>
    <mergeCell ref="BT39:BU39"/>
    <mergeCell ref="AF39:AG39"/>
    <mergeCell ref="AH39:AI39"/>
    <mergeCell ref="AJ39:AK39"/>
    <mergeCell ref="N39:O39"/>
    <mergeCell ref="P39:Q39"/>
    <mergeCell ref="R39:S39"/>
    <mergeCell ref="T39:U39"/>
    <mergeCell ref="V39:W39"/>
    <mergeCell ref="X39:Y39"/>
    <mergeCell ref="B39:C39"/>
    <mergeCell ref="D39:E39"/>
    <mergeCell ref="F39:G39"/>
    <mergeCell ref="H39:I39"/>
    <mergeCell ref="J39:K39"/>
    <mergeCell ref="L39:M39"/>
    <mergeCell ref="BV38:BW38"/>
    <mergeCell ref="BX38:BY38"/>
    <mergeCell ref="BZ38:CA38"/>
    <mergeCell ref="AX38:AY38"/>
    <mergeCell ref="AZ38:BA38"/>
    <mergeCell ref="BB38:BC38"/>
    <mergeCell ref="BD38:BE38"/>
    <mergeCell ref="BF38:BG38"/>
    <mergeCell ref="BH38:BI38"/>
    <mergeCell ref="AL38:AM38"/>
    <mergeCell ref="AN38:AO38"/>
    <mergeCell ref="AP38:AQ38"/>
    <mergeCell ref="AR38:AS38"/>
    <mergeCell ref="AT38:AU38"/>
    <mergeCell ref="AV38:AW38"/>
    <mergeCell ref="Z38:AA38"/>
    <mergeCell ref="AB38:AC38"/>
    <mergeCell ref="AD38:AE38"/>
    <mergeCell ref="CB38:CC38"/>
    <mergeCell ref="CD38:CE38"/>
    <mergeCell ref="CF38:CG38"/>
    <mergeCell ref="BJ38:BK38"/>
    <mergeCell ref="BL38:BM38"/>
    <mergeCell ref="BN38:BO38"/>
    <mergeCell ref="BP38:BQ38"/>
    <mergeCell ref="BR38:BS38"/>
    <mergeCell ref="BT38:BU38"/>
    <mergeCell ref="AF38:AG38"/>
    <mergeCell ref="AH38:AI38"/>
    <mergeCell ref="AJ38:AK38"/>
    <mergeCell ref="N38:O38"/>
    <mergeCell ref="P38:Q38"/>
    <mergeCell ref="R38:S38"/>
    <mergeCell ref="T38:U38"/>
    <mergeCell ref="V38:W38"/>
    <mergeCell ref="X38:Y38"/>
    <mergeCell ref="B38:C38"/>
    <mergeCell ref="D38:E38"/>
    <mergeCell ref="F38:G38"/>
    <mergeCell ref="H38:I38"/>
    <mergeCell ref="J38:K38"/>
    <mergeCell ref="L38:M38"/>
    <mergeCell ref="BV37:BW37"/>
    <mergeCell ref="BX37:BY37"/>
    <mergeCell ref="BZ37:CA37"/>
    <mergeCell ref="AX37:AY37"/>
    <mergeCell ref="AZ37:BA37"/>
    <mergeCell ref="BB37:BC37"/>
    <mergeCell ref="BD37:BE37"/>
    <mergeCell ref="BF37:BG37"/>
    <mergeCell ref="BH37:BI37"/>
    <mergeCell ref="AL37:AM37"/>
    <mergeCell ref="AN37:AO37"/>
    <mergeCell ref="AP37:AQ37"/>
    <mergeCell ref="AR37:AS37"/>
    <mergeCell ref="AT37:AU37"/>
    <mergeCell ref="AV37:AW37"/>
    <mergeCell ref="Z37:AA37"/>
    <mergeCell ref="AB37:AC37"/>
    <mergeCell ref="AD37:AE37"/>
    <mergeCell ref="CB37:CC37"/>
    <mergeCell ref="CD37:CE37"/>
    <mergeCell ref="CF37:CG37"/>
    <mergeCell ref="BJ37:BK37"/>
    <mergeCell ref="BL37:BM37"/>
    <mergeCell ref="BN37:BO37"/>
    <mergeCell ref="BP37:BQ37"/>
    <mergeCell ref="BR37:BS37"/>
    <mergeCell ref="BT37:BU37"/>
    <mergeCell ref="AF37:AG37"/>
    <mergeCell ref="AH37:AI37"/>
    <mergeCell ref="AJ37:AK37"/>
    <mergeCell ref="N37:O37"/>
    <mergeCell ref="P37:Q37"/>
    <mergeCell ref="R37:S37"/>
    <mergeCell ref="T37:U37"/>
    <mergeCell ref="V37:W37"/>
    <mergeCell ref="X37:Y37"/>
    <mergeCell ref="BZ36:CA36"/>
    <mergeCell ref="CB36:CC36"/>
    <mergeCell ref="CD36:CE36"/>
    <mergeCell ref="CF36:CG36"/>
    <mergeCell ref="B37:C37"/>
    <mergeCell ref="D37:E37"/>
    <mergeCell ref="F37:G37"/>
    <mergeCell ref="H37:I37"/>
    <mergeCell ref="J37:K37"/>
    <mergeCell ref="L37:M37"/>
    <mergeCell ref="BN36:BO36"/>
    <mergeCell ref="BP36:BQ36"/>
    <mergeCell ref="BR36:BS36"/>
    <mergeCell ref="BT36:BU36"/>
    <mergeCell ref="BV36:BW36"/>
    <mergeCell ref="BX36:BY36"/>
    <mergeCell ref="BB36:BC36"/>
    <mergeCell ref="BD36:BE36"/>
    <mergeCell ref="BF36:BG36"/>
    <mergeCell ref="BH36:BI36"/>
    <mergeCell ref="BJ36:BK36"/>
    <mergeCell ref="BL36:BM36"/>
    <mergeCell ref="AP36:AQ36"/>
    <mergeCell ref="AR36:AS36"/>
    <mergeCell ref="CJ2:CK2"/>
    <mergeCell ref="CL2:CM2"/>
    <mergeCell ref="B36:C36"/>
    <mergeCell ref="D36:E36"/>
    <mergeCell ref="F36:G36"/>
    <mergeCell ref="H36:I36"/>
    <mergeCell ref="J36:K36"/>
    <mergeCell ref="L36:M36"/>
    <mergeCell ref="N36:O36"/>
    <mergeCell ref="P36:Q36"/>
    <mergeCell ref="BX2:BY2"/>
    <mergeCell ref="BZ2:CA2"/>
    <mergeCell ref="CB2:CC2"/>
    <mergeCell ref="CD2:CE2"/>
    <mergeCell ref="CF2:CG2"/>
    <mergeCell ref="CH2:CI2"/>
    <mergeCell ref="BL2:BM2"/>
    <mergeCell ref="BN2:BO2"/>
    <mergeCell ref="AT36:AU36"/>
    <mergeCell ref="AV36:AW36"/>
    <mergeCell ref="AX36:AY36"/>
    <mergeCell ref="AZ36:BA36"/>
    <mergeCell ref="AD36:AE36"/>
    <mergeCell ref="AF36:AG36"/>
    <mergeCell ref="BV2:BW2"/>
    <mergeCell ref="AZ2:BA2"/>
    <mergeCell ref="BB2:BC2"/>
    <mergeCell ref="BD2:BE2"/>
    <mergeCell ref="BF2:BG2"/>
    <mergeCell ref="BH2:BI2"/>
    <mergeCell ref="BJ2:BK2"/>
    <mergeCell ref="R36:S36"/>
    <mergeCell ref="T36:U36"/>
    <mergeCell ref="V36:W36"/>
    <mergeCell ref="X36:Y36"/>
    <mergeCell ref="Z36:AA36"/>
    <mergeCell ref="AB36:AC36"/>
    <mergeCell ref="AH36:AI36"/>
    <mergeCell ref="AJ36:AK36"/>
    <mergeCell ref="AL36:AM36"/>
    <mergeCell ref="AN36:AO36"/>
    <mergeCell ref="BV1:CM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AN2:AO2"/>
    <mergeCell ref="AP2:AQ2"/>
    <mergeCell ref="AR2:AS2"/>
    <mergeCell ref="AT2:AU2"/>
    <mergeCell ref="AV2:AW2"/>
    <mergeCell ref="AX2:AY2"/>
    <mergeCell ref="AB2:AC2"/>
    <mergeCell ref="AD2:AE2"/>
    <mergeCell ref="AF2:AG2"/>
    <mergeCell ref="AH2:AI2"/>
    <mergeCell ref="AJ2:AK2"/>
    <mergeCell ref="AL2:AM2"/>
    <mergeCell ref="BP2:BQ2"/>
    <mergeCell ref="BR2:BS2"/>
    <mergeCell ref="A1:A3"/>
    <mergeCell ref="B1:K1"/>
    <mergeCell ref="L1:AA1"/>
    <mergeCell ref="AB1:AO1"/>
    <mergeCell ref="AP1:BG1"/>
    <mergeCell ref="BH1:BU1"/>
    <mergeCell ref="T2:U2"/>
    <mergeCell ref="V2:W2"/>
    <mergeCell ref="X2:Y2"/>
    <mergeCell ref="Z2:AA2"/>
    <mergeCell ref="BT2:BU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152"/>
  <sheetViews>
    <sheetView tabSelected="1" zoomScale="115" zoomScaleNormal="115" workbookViewId="0">
      <selection activeCell="C33" sqref="C33"/>
    </sheetView>
  </sheetViews>
  <sheetFormatPr defaultColWidth="9.140625" defaultRowHeight="12.75"/>
  <cols>
    <col min="1" max="1" width="11.5703125" style="578" customWidth="1"/>
    <col min="2" max="9" width="9.140625" style="578" customWidth="1"/>
    <col min="10" max="10" width="10.28515625" style="578" customWidth="1"/>
    <col min="11" max="11" width="9.140625" style="578" customWidth="1"/>
    <col min="12" max="25" width="9.42578125" style="578" customWidth="1"/>
    <col min="26" max="27" width="9.85546875" style="578" customWidth="1"/>
    <col min="28" max="36" width="9.140625" style="578" customWidth="1"/>
    <col min="37" max="37" width="9.28515625" style="578" customWidth="1"/>
    <col min="38" max="38" width="10.28515625" style="578" customWidth="1"/>
    <col min="39" max="53" width="9.140625" style="578" customWidth="1"/>
    <col min="54" max="54" width="12.85546875" style="578" customWidth="1"/>
    <col min="55" max="73" width="9.140625" style="578" customWidth="1"/>
    <col min="74" max="16384" width="9.140625" style="578"/>
  </cols>
  <sheetData>
    <row r="1" spans="1:91" ht="13.5" thickBot="1">
      <c r="A1" s="629" t="s">
        <v>29</v>
      </c>
      <c r="B1" s="632" t="s">
        <v>149</v>
      </c>
      <c r="C1" s="633"/>
      <c r="D1" s="633"/>
      <c r="E1" s="633"/>
      <c r="F1" s="633"/>
      <c r="G1" s="633"/>
      <c r="H1" s="633"/>
      <c r="I1" s="633"/>
      <c r="J1" s="633"/>
      <c r="K1" s="634"/>
      <c r="L1" s="635" t="s">
        <v>212</v>
      </c>
      <c r="M1" s="636"/>
      <c r="N1" s="636"/>
      <c r="O1" s="636"/>
      <c r="P1" s="636"/>
      <c r="Q1" s="636"/>
      <c r="R1" s="636"/>
      <c r="S1" s="636"/>
      <c r="T1" s="636"/>
      <c r="U1" s="636"/>
      <c r="V1" s="636"/>
      <c r="W1" s="636"/>
      <c r="X1" s="636"/>
      <c r="Y1" s="636"/>
      <c r="Z1" s="636"/>
      <c r="AA1" s="637"/>
      <c r="AB1" s="638" t="s">
        <v>314</v>
      </c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40"/>
      <c r="AP1" s="641" t="s">
        <v>315</v>
      </c>
      <c r="AQ1" s="642"/>
      <c r="AR1" s="642"/>
      <c r="AS1" s="642"/>
      <c r="AT1" s="642"/>
      <c r="AU1" s="642"/>
      <c r="AV1" s="642"/>
      <c r="AW1" s="642"/>
      <c r="AX1" s="642"/>
      <c r="AY1" s="642"/>
      <c r="AZ1" s="642"/>
      <c r="BA1" s="642"/>
      <c r="BB1" s="642"/>
      <c r="BC1" s="642"/>
      <c r="BD1" s="642"/>
      <c r="BE1" s="642"/>
      <c r="BF1" s="642"/>
      <c r="BG1" s="643"/>
      <c r="BH1" s="644" t="s">
        <v>213</v>
      </c>
      <c r="BI1" s="645"/>
      <c r="BJ1" s="645"/>
      <c r="BK1" s="645"/>
      <c r="BL1" s="645"/>
      <c r="BM1" s="645"/>
      <c r="BN1" s="645"/>
      <c r="BO1" s="645"/>
      <c r="BP1" s="645"/>
      <c r="BQ1" s="645"/>
      <c r="BR1" s="645"/>
      <c r="BS1" s="645"/>
      <c r="BT1" s="645"/>
      <c r="BU1" s="646"/>
      <c r="BV1" s="651" t="s">
        <v>316</v>
      </c>
      <c r="BW1" s="652"/>
      <c r="BX1" s="652"/>
      <c r="BY1" s="652"/>
      <c r="BZ1" s="652"/>
      <c r="CA1" s="652"/>
      <c r="CB1" s="652"/>
      <c r="CC1" s="652"/>
      <c r="CD1" s="652"/>
      <c r="CE1" s="652"/>
      <c r="CF1" s="652"/>
      <c r="CG1" s="652"/>
      <c r="CH1" s="652"/>
      <c r="CI1" s="652"/>
      <c r="CJ1" s="652"/>
      <c r="CK1" s="652"/>
      <c r="CL1" s="652"/>
      <c r="CM1" s="652"/>
    </row>
    <row r="2" spans="1:91">
      <c r="A2" s="630"/>
      <c r="B2" s="653" t="s">
        <v>404</v>
      </c>
      <c r="C2" s="648"/>
      <c r="D2" s="647" t="s">
        <v>405</v>
      </c>
      <c r="E2" s="648"/>
      <c r="F2" s="647" t="s">
        <v>214</v>
      </c>
      <c r="G2" s="648"/>
      <c r="H2" s="647" t="s">
        <v>215</v>
      </c>
      <c r="I2" s="648"/>
      <c r="J2" s="647" t="s">
        <v>216</v>
      </c>
      <c r="K2" s="650"/>
      <c r="L2" s="653" t="s">
        <v>404</v>
      </c>
      <c r="M2" s="648"/>
      <c r="N2" s="647" t="s">
        <v>405</v>
      </c>
      <c r="O2" s="648"/>
      <c r="P2" s="647" t="s">
        <v>214</v>
      </c>
      <c r="Q2" s="648"/>
      <c r="R2" s="647" t="s">
        <v>317</v>
      </c>
      <c r="S2" s="648"/>
      <c r="T2" s="647" t="s">
        <v>318</v>
      </c>
      <c r="U2" s="648"/>
      <c r="V2" s="647" t="s">
        <v>216</v>
      </c>
      <c r="W2" s="648"/>
      <c r="X2" s="647" t="s">
        <v>319</v>
      </c>
      <c r="Y2" s="648"/>
      <c r="Z2" s="649" t="s">
        <v>430</v>
      </c>
      <c r="AA2" s="650"/>
      <c r="AB2" s="653" t="s">
        <v>404</v>
      </c>
      <c r="AC2" s="648"/>
      <c r="AD2" s="647" t="s">
        <v>405</v>
      </c>
      <c r="AE2" s="648"/>
      <c r="AF2" s="647" t="s">
        <v>214</v>
      </c>
      <c r="AG2" s="648"/>
      <c r="AH2" s="647" t="s">
        <v>320</v>
      </c>
      <c r="AI2" s="648"/>
      <c r="AJ2" s="647" t="s">
        <v>217</v>
      </c>
      <c r="AK2" s="648"/>
      <c r="AL2" s="647" t="s">
        <v>218</v>
      </c>
      <c r="AM2" s="648"/>
      <c r="AN2" s="654" t="s">
        <v>428</v>
      </c>
      <c r="AO2" s="654"/>
      <c r="AP2" s="653" t="s">
        <v>404</v>
      </c>
      <c r="AQ2" s="648"/>
      <c r="AR2" s="647" t="s">
        <v>405</v>
      </c>
      <c r="AS2" s="648"/>
      <c r="AT2" s="647" t="s">
        <v>214</v>
      </c>
      <c r="AU2" s="648"/>
      <c r="AV2" s="647" t="s">
        <v>320</v>
      </c>
      <c r="AW2" s="648"/>
      <c r="AX2" s="647" t="s">
        <v>217</v>
      </c>
      <c r="AY2" s="648"/>
      <c r="AZ2" s="647" t="s">
        <v>321</v>
      </c>
      <c r="BA2" s="648"/>
      <c r="BB2" s="647" t="s">
        <v>218</v>
      </c>
      <c r="BC2" s="648"/>
      <c r="BD2" s="647" t="s">
        <v>322</v>
      </c>
      <c r="BE2" s="648"/>
      <c r="BF2" s="648" t="s">
        <v>428</v>
      </c>
      <c r="BG2" s="655"/>
      <c r="BH2" s="653" t="s">
        <v>404</v>
      </c>
      <c r="BI2" s="648"/>
      <c r="BJ2" s="647" t="s">
        <v>405</v>
      </c>
      <c r="BK2" s="648"/>
      <c r="BL2" s="647" t="s">
        <v>214</v>
      </c>
      <c r="BM2" s="648"/>
      <c r="BN2" s="647" t="s">
        <v>217</v>
      </c>
      <c r="BO2" s="648"/>
      <c r="BP2" s="647" t="s">
        <v>318</v>
      </c>
      <c r="BQ2" s="648"/>
      <c r="BR2" s="647" t="s">
        <v>218</v>
      </c>
      <c r="BS2" s="648"/>
      <c r="BT2" s="647" t="s">
        <v>430</v>
      </c>
      <c r="BU2" s="650"/>
      <c r="BV2" s="653" t="s">
        <v>404</v>
      </c>
      <c r="BW2" s="648"/>
      <c r="BX2" s="647" t="s">
        <v>405</v>
      </c>
      <c r="BY2" s="648"/>
      <c r="BZ2" s="647" t="s">
        <v>214</v>
      </c>
      <c r="CA2" s="648"/>
      <c r="CB2" s="647" t="s">
        <v>320</v>
      </c>
      <c r="CC2" s="648"/>
      <c r="CD2" s="647" t="s">
        <v>217</v>
      </c>
      <c r="CE2" s="648"/>
      <c r="CF2" s="647" t="s">
        <v>321</v>
      </c>
      <c r="CG2" s="648"/>
      <c r="CH2" s="647" t="s">
        <v>218</v>
      </c>
      <c r="CI2" s="648"/>
      <c r="CJ2" s="666" t="s">
        <v>322</v>
      </c>
      <c r="CK2" s="666"/>
      <c r="CL2" s="666" t="s">
        <v>431</v>
      </c>
      <c r="CM2" s="655"/>
    </row>
    <row r="3" spans="1:91" ht="13.5" thickBot="1">
      <c r="A3" s="631"/>
      <c r="B3" s="508" t="s">
        <v>219</v>
      </c>
      <c r="C3" s="509" t="s">
        <v>220</v>
      </c>
      <c r="D3" s="509" t="s">
        <v>219</v>
      </c>
      <c r="E3" s="509" t="s">
        <v>220</v>
      </c>
      <c r="F3" s="509" t="s">
        <v>219</v>
      </c>
      <c r="G3" s="509" t="s">
        <v>220</v>
      </c>
      <c r="H3" s="509" t="s">
        <v>219</v>
      </c>
      <c r="I3" s="509" t="s">
        <v>220</v>
      </c>
      <c r="J3" s="509" t="s">
        <v>219</v>
      </c>
      <c r="K3" s="510" t="s">
        <v>220</v>
      </c>
      <c r="L3" s="508" t="s">
        <v>219</v>
      </c>
      <c r="M3" s="509" t="s">
        <v>220</v>
      </c>
      <c r="N3" s="509" t="s">
        <v>219</v>
      </c>
      <c r="O3" s="509" t="s">
        <v>220</v>
      </c>
      <c r="P3" s="583" t="s">
        <v>219</v>
      </c>
      <c r="Q3" s="583" t="s">
        <v>220</v>
      </c>
      <c r="R3" s="583" t="s">
        <v>219</v>
      </c>
      <c r="S3" s="583" t="s">
        <v>220</v>
      </c>
      <c r="T3" s="583" t="s">
        <v>219</v>
      </c>
      <c r="U3" s="583" t="s">
        <v>220</v>
      </c>
      <c r="V3" s="583" t="s">
        <v>219</v>
      </c>
      <c r="W3" s="583" t="s">
        <v>220</v>
      </c>
      <c r="X3" s="509" t="s">
        <v>219</v>
      </c>
      <c r="Y3" s="509" t="s">
        <v>220</v>
      </c>
      <c r="Z3" s="592" t="s">
        <v>219</v>
      </c>
      <c r="AA3" s="584" t="s">
        <v>220</v>
      </c>
      <c r="AB3" s="581" t="s">
        <v>219</v>
      </c>
      <c r="AC3" s="583" t="s">
        <v>220</v>
      </c>
      <c r="AD3" s="583" t="s">
        <v>219</v>
      </c>
      <c r="AE3" s="583" t="s">
        <v>220</v>
      </c>
      <c r="AF3" s="583" t="s">
        <v>219</v>
      </c>
      <c r="AG3" s="583" t="s">
        <v>220</v>
      </c>
      <c r="AH3" s="583" t="s">
        <v>219</v>
      </c>
      <c r="AI3" s="583" t="s">
        <v>220</v>
      </c>
      <c r="AJ3" s="583" t="s">
        <v>219</v>
      </c>
      <c r="AK3" s="583" t="s">
        <v>220</v>
      </c>
      <c r="AL3" s="509" t="s">
        <v>219</v>
      </c>
      <c r="AM3" s="509" t="s">
        <v>220</v>
      </c>
      <c r="AN3" s="592" t="s">
        <v>219</v>
      </c>
      <c r="AO3" s="585" t="s">
        <v>220</v>
      </c>
      <c r="AP3" s="581" t="s">
        <v>219</v>
      </c>
      <c r="AQ3" s="583" t="s">
        <v>220</v>
      </c>
      <c r="AR3" s="583" t="s">
        <v>219</v>
      </c>
      <c r="AS3" s="583" t="s">
        <v>220</v>
      </c>
      <c r="AT3" s="583" t="s">
        <v>219</v>
      </c>
      <c r="AU3" s="583" t="s">
        <v>220</v>
      </c>
      <c r="AV3" s="583" t="s">
        <v>219</v>
      </c>
      <c r="AW3" s="583" t="s">
        <v>220</v>
      </c>
      <c r="AX3" s="583" t="s">
        <v>219</v>
      </c>
      <c r="AY3" s="583" t="s">
        <v>220</v>
      </c>
      <c r="AZ3" s="583" t="s">
        <v>219</v>
      </c>
      <c r="BA3" s="583" t="s">
        <v>220</v>
      </c>
      <c r="BB3" s="583" t="s">
        <v>219</v>
      </c>
      <c r="BC3" s="583" t="s">
        <v>220</v>
      </c>
      <c r="BD3" s="509" t="s">
        <v>219</v>
      </c>
      <c r="BE3" s="509" t="s">
        <v>220</v>
      </c>
      <c r="BF3" s="592" t="s">
        <v>219</v>
      </c>
      <c r="BG3" s="584" t="s">
        <v>220</v>
      </c>
      <c r="BH3" s="581" t="s">
        <v>219</v>
      </c>
      <c r="BI3" s="583" t="s">
        <v>220</v>
      </c>
      <c r="BJ3" s="583" t="s">
        <v>219</v>
      </c>
      <c r="BK3" s="583" t="s">
        <v>220</v>
      </c>
      <c r="BL3" s="583" t="s">
        <v>219</v>
      </c>
      <c r="BM3" s="583" t="s">
        <v>220</v>
      </c>
      <c r="BN3" s="583" t="s">
        <v>219</v>
      </c>
      <c r="BO3" s="583" t="s">
        <v>220</v>
      </c>
      <c r="BP3" s="583" t="s">
        <v>219</v>
      </c>
      <c r="BQ3" s="583" t="s">
        <v>220</v>
      </c>
      <c r="BR3" s="583" t="s">
        <v>219</v>
      </c>
      <c r="BS3" s="583" t="s">
        <v>220</v>
      </c>
      <c r="BT3" s="583" t="s">
        <v>219</v>
      </c>
      <c r="BU3" s="584" t="s">
        <v>220</v>
      </c>
      <c r="BV3" s="581" t="s">
        <v>219</v>
      </c>
      <c r="BW3" s="583" t="s">
        <v>220</v>
      </c>
      <c r="BX3" s="583" t="s">
        <v>219</v>
      </c>
      <c r="BY3" s="583" t="s">
        <v>220</v>
      </c>
      <c r="BZ3" s="583" t="s">
        <v>219</v>
      </c>
      <c r="CA3" s="583" t="s">
        <v>220</v>
      </c>
      <c r="CB3" s="583" t="s">
        <v>219</v>
      </c>
      <c r="CC3" s="583" t="s">
        <v>220</v>
      </c>
      <c r="CD3" s="583" t="s">
        <v>219</v>
      </c>
      <c r="CE3" s="583" t="s">
        <v>220</v>
      </c>
      <c r="CF3" s="583" t="s">
        <v>219</v>
      </c>
      <c r="CG3" s="583" t="s">
        <v>220</v>
      </c>
      <c r="CH3" s="509" t="s">
        <v>219</v>
      </c>
      <c r="CI3" s="509" t="s">
        <v>220</v>
      </c>
      <c r="CJ3" s="509" t="s">
        <v>219</v>
      </c>
      <c r="CK3" s="509" t="s">
        <v>220</v>
      </c>
      <c r="CL3" s="509" t="s">
        <v>219</v>
      </c>
      <c r="CM3" s="510" t="s">
        <v>220</v>
      </c>
    </row>
    <row r="4" spans="1:91" ht="14.25" customHeight="1" thickTop="1">
      <c r="A4" s="557">
        <f>+Report1!A9</f>
        <v>46113</v>
      </c>
      <c r="B4" s="519">
        <f>+Report1!J9</f>
        <v>0.88350182457804671</v>
      </c>
      <c r="C4" s="520">
        <f>+Report1!K9</f>
        <v>0.88350182457804671</v>
      </c>
      <c r="D4" s="520">
        <f>+Report1!AJ9</f>
        <v>0.88350182457804671</v>
      </c>
      <c r="E4" s="520">
        <f>+Report1!AK9</f>
        <v>0.88350182457804671</v>
      </c>
      <c r="F4" s="521">
        <f>+Report1!R9</f>
        <v>63.094000000000001</v>
      </c>
      <c r="G4" s="521">
        <f>+Report1!S9</f>
        <v>63.094000000000001</v>
      </c>
      <c r="H4" s="521">
        <f>+Report1!X9</f>
        <v>2.3357213047199417</v>
      </c>
      <c r="I4" s="521">
        <f>+Report1!Y9</f>
        <v>2.3357213047199417</v>
      </c>
      <c r="J4" s="521">
        <f>+Report1!AD9</f>
        <v>882.5882017307689</v>
      </c>
      <c r="K4" s="547">
        <f>+Report1!AE9</f>
        <v>882.5882017307689</v>
      </c>
      <c r="L4" s="519">
        <f>+[1]Report1!J9</f>
        <v>0.84320977610655468</v>
      </c>
      <c r="M4" s="520">
        <f>+[1]Report1!K9</f>
        <v>0.84320977610655468</v>
      </c>
      <c r="N4" s="520">
        <f>+[1]Report1!BP9</f>
        <v>0.84320977610655468</v>
      </c>
      <c r="O4" s="520">
        <f>+[1]Report1!BQ9</f>
        <v>0.84320977610655468</v>
      </c>
      <c r="P4" s="521">
        <f>+[1]Report1!R9</f>
        <v>58.884</v>
      </c>
      <c r="Q4" s="521">
        <f>+[1]Report1!S9</f>
        <v>58.884</v>
      </c>
      <c r="R4" s="521">
        <f>+[1]Report1!AL9</f>
        <v>2.5994667481828682</v>
      </c>
      <c r="S4" s="521">
        <f>+[1]Report1!AM9</f>
        <v>2.5994667481828682</v>
      </c>
      <c r="T4" s="521">
        <f>+[1]Report1!AR9</f>
        <v>0</v>
      </c>
      <c r="U4" s="521">
        <f>+[1]Report1!AS9</f>
        <v>0</v>
      </c>
      <c r="V4" s="521">
        <f>+[1]Report1!AX9</f>
        <v>593.88849262956705</v>
      </c>
      <c r="W4" s="521">
        <f>+[1]Report1!AY9</f>
        <v>593.88849262956705</v>
      </c>
      <c r="X4" s="521">
        <f>+[1]Report1!BD9</f>
        <v>429.35262550098497</v>
      </c>
      <c r="Y4" s="555">
        <f>+[1]Report1!BE9</f>
        <v>429.35262550098497</v>
      </c>
      <c r="Z4" s="521">
        <f>+[1]Report1!BJ9</f>
        <v>0</v>
      </c>
      <c r="AA4" s="521">
        <f>+[1]Report1!BK9</f>
        <v>0</v>
      </c>
      <c r="AB4" s="519">
        <f>+[2]Report1!J9</f>
        <v>0.83776420495737336</v>
      </c>
      <c r="AC4" s="520">
        <f>+[2]Report1!K9</f>
        <v>0.83776420495737336</v>
      </c>
      <c r="AD4" s="520">
        <f>+[2]Report1!BC9</f>
        <v>0.83776420495737336</v>
      </c>
      <c r="AE4" s="520">
        <f>+[2]Report1!BD9</f>
        <v>0.83776420495737336</v>
      </c>
      <c r="AF4" s="521">
        <f>+[2]Report1!R9</f>
        <v>34.951000000000001</v>
      </c>
      <c r="AG4" s="521">
        <f>+[2]Report1!S9</f>
        <v>34.951000000000001</v>
      </c>
      <c r="AH4" s="521">
        <f>+[2]Report1!X9</f>
        <v>151.7219843344526</v>
      </c>
      <c r="AI4" s="521">
        <f>+[2]Report1!Y9</f>
        <v>151.72198433445263</v>
      </c>
      <c r="AJ4" s="521">
        <f>+[2]Report1!AD9</f>
        <v>1.5507424680266659</v>
      </c>
      <c r="AK4" s="521">
        <f>+[2]Report1!AE9</f>
        <v>1.5507424680266659</v>
      </c>
      <c r="AL4" s="521">
        <f>+[2]Report1!AJ9</f>
        <v>1053.6471059483379</v>
      </c>
      <c r="AM4" s="521">
        <f>+[2]Report1!AK9</f>
        <v>1053.6471059483379</v>
      </c>
      <c r="AN4" s="521">
        <v>0</v>
      </c>
      <c r="AO4" s="547">
        <v>0</v>
      </c>
      <c r="AP4" s="593">
        <f>+[3]Report1!J9</f>
        <v>0.19239198151558753</v>
      </c>
      <c r="AQ4" s="520">
        <f>+[3]Report1!K9</f>
        <v>0.19239198151558753</v>
      </c>
      <c r="AR4" s="520">
        <f>+[3]Report1!BN9</f>
        <v>0.28942501267377768</v>
      </c>
      <c r="AS4" s="520">
        <f>+[3]Report1!BO9</f>
        <v>0.28942501267377768</v>
      </c>
      <c r="AT4" s="521">
        <f>+[3]Report1!R9</f>
        <v>10.537000000000001</v>
      </c>
      <c r="AU4" s="521">
        <f>+[3]Report1!S9</f>
        <v>10.537000000000001</v>
      </c>
      <c r="AV4" s="522">
        <f>+[3]Report1!AF9</f>
        <v>158.80242259782003</v>
      </c>
      <c r="AW4" s="522">
        <f>+[3]Report1!AG9</f>
        <v>158.80242259782003</v>
      </c>
      <c r="AX4" s="521">
        <f>+[3]Report1!AL9</f>
        <v>3.302647812470342</v>
      </c>
      <c r="AY4" s="521">
        <f>+[3]Report1!AM9</f>
        <v>3.302647812470342</v>
      </c>
      <c r="AZ4" s="521">
        <f>+[4]Report1!AR9</f>
        <v>0</v>
      </c>
      <c r="BA4" s="521">
        <f>+[4]Report1!AS9</f>
        <v>0</v>
      </c>
      <c r="BB4" s="521">
        <f>+[3]Report1!AX9</f>
        <v>1923.3197304735659</v>
      </c>
      <c r="BC4" s="521">
        <f>+[3]Report1!AY9</f>
        <v>1923.3197304735659</v>
      </c>
      <c r="BD4" s="521">
        <f>+[3]Report1!BD9</f>
        <v>0</v>
      </c>
      <c r="BE4" s="555">
        <f>+[3]Report1!BE9</f>
        <v>0</v>
      </c>
      <c r="BF4" s="521">
        <f>+[3]Report1!BJ9</f>
        <v>0</v>
      </c>
      <c r="BG4" s="547">
        <f>+[3]Report1!BK9</f>
        <v>0</v>
      </c>
      <c r="BH4" s="519">
        <f>+[5]Report1!J9</f>
        <v>0.66499435987131972</v>
      </c>
      <c r="BI4" s="520">
        <f>+[5]Report1!K9</f>
        <v>0.66499435987131972</v>
      </c>
      <c r="BJ4" s="520">
        <f>+[5]Report1!AN9</f>
        <v>0.66499435987131972</v>
      </c>
      <c r="BK4" s="520">
        <f>+[5]Report1!AO9</f>
        <v>0.66499435987131972</v>
      </c>
      <c r="BL4" s="521">
        <f>+[5]Report1!R9</f>
        <v>36.936999999999998</v>
      </c>
      <c r="BM4" s="521">
        <f>+[5]Report1!S9</f>
        <v>36.936999999999998</v>
      </c>
      <c r="BN4" s="521">
        <f>+[5]Report1!X9</f>
        <v>3.3002138776836238</v>
      </c>
      <c r="BO4" s="521">
        <f>+[5]Report1!Y9</f>
        <v>3.3002138776836238</v>
      </c>
      <c r="BP4" s="522">
        <v>0</v>
      </c>
      <c r="BQ4" s="522">
        <v>0</v>
      </c>
      <c r="BR4" s="522">
        <f>+[5]Report1!AD9</f>
        <v>1328.2368989345775</v>
      </c>
      <c r="BS4" s="522">
        <f>+[5]Report1!AE9</f>
        <v>1328.2368989345775</v>
      </c>
      <c r="BT4" s="522">
        <f>+[5]Report1!AJ9</f>
        <v>0</v>
      </c>
      <c r="BU4" s="523">
        <f>+[5]Report1!AK9</f>
        <v>0</v>
      </c>
      <c r="BV4" s="519">
        <f>+[6]Report1!J9</f>
        <v>0.97171609589607599</v>
      </c>
      <c r="BW4" s="520">
        <f>+[6]Report1!K9</f>
        <v>0.97171609589607599</v>
      </c>
      <c r="BX4" s="520">
        <f>+[6]Report1!BG9</f>
        <v>0.97171609589607599</v>
      </c>
      <c r="BY4" s="520">
        <f>+[6]Report1!BH9</f>
        <v>0.97171609589607599</v>
      </c>
      <c r="BZ4" s="521">
        <f>+[6]Report1!R9</f>
        <v>50.847000000000001</v>
      </c>
      <c r="CA4" s="521">
        <f>+[6]Report1!S9</f>
        <v>50.847000000000001</v>
      </c>
      <c r="CB4" s="522">
        <f>+[6]Report1!X9</f>
        <v>76.698011654833479</v>
      </c>
      <c r="CC4" s="522">
        <f>+[6]Report1!Y9</f>
        <v>76.698011654833465</v>
      </c>
      <c r="CD4" s="521">
        <f>+[6]Report1!AD9</f>
        <v>1.8644167797510176</v>
      </c>
      <c r="CE4" s="521">
        <f>+[6]Report1!AE9</f>
        <v>1.8644167797510176</v>
      </c>
      <c r="CF4" s="522">
        <v>0</v>
      </c>
      <c r="CG4" s="522">
        <v>0</v>
      </c>
      <c r="CH4" s="522">
        <f>+[6]Report1!AP9</f>
        <v>826.0147828594113</v>
      </c>
      <c r="CI4" s="522">
        <f>+[6]Report1!AQ9</f>
        <v>826.0147828594113</v>
      </c>
      <c r="CJ4" s="522">
        <f>+[6]Report1!AV9</f>
        <v>393.44700768973701</v>
      </c>
      <c r="CK4" s="522">
        <f>+[6]Report1!AW9</f>
        <v>393.44700768973701</v>
      </c>
      <c r="CL4" s="522">
        <f>+[6]Report1!$BB9</f>
        <v>0</v>
      </c>
      <c r="CM4" s="523">
        <f>+[6]Report1!$BB9</f>
        <v>0</v>
      </c>
    </row>
    <row r="5" spans="1:91" ht="14.25" customHeight="1">
      <c r="A5" s="558">
        <f>1+A4</f>
        <v>46114</v>
      </c>
      <c r="B5" s="513">
        <f>+Report1!J10</f>
        <v>0.94830449899454505</v>
      </c>
      <c r="C5" s="514">
        <f>+Report1!K10</f>
        <v>0.91513347202202944</v>
      </c>
      <c r="D5" s="514">
        <f>+Report1!AJ10</f>
        <v>0.94830449899454505</v>
      </c>
      <c r="E5" s="514">
        <f>+Report1!AK10</f>
        <v>0.91513347202202944</v>
      </c>
      <c r="F5" s="511">
        <f>+Report1!R10</f>
        <v>64.578999999999994</v>
      </c>
      <c r="G5" s="511">
        <f>+Report1!S10</f>
        <v>127.673</v>
      </c>
      <c r="H5" s="511">
        <f>+Report1!X10</f>
        <v>2.1749485126743995</v>
      </c>
      <c r="I5" s="511">
        <f>+Report1!Y10</f>
        <v>2.2543999122758924</v>
      </c>
      <c r="J5" s="511">
        <f>+Report1!AD10</f>
        <v>937.61780145248679</v>
      </c>
      <c r="K5" s="512">
        <f>+Report1!AE10</f>
        <v>910.42303384428408</v>
      </c>
      <c r="L5" s="513">
        <f>+[1]Report1!J10</f>
        <v>1.0435369648691895</v>
      </c>
      <c r="M5" s="514">
        <f>+[1]Report1!K10</f>
        <v>0.94491050032358892</v>
      </c>
      <c r="N5" s="514">
        <f>+[1]Report1!BP10</f>
        <v>1.0435369648691895</v>
      </c>
      <c r="O5" s="514">
        <f>+[1]Report1!BQ10</f>
        <v>0.94491050032358892</v>
      </c>
      <c r="P5" s="511">
        <f>+[1]Report1!R10</f>
        <v>75.144999999999996</v>
      </c>
      <c r="Q5" s="511">
        <f>+[1]Report1!S10</f>
        <v>134.029</v>
      </c>
      <c r="R5" s="511">
        <f>+[1]Report1!AL10</f>
        <v>2.0241399960077184</v>
      </c>
      <c r="S5" s="511">
        <f>+[1]Report1!AM10</f>
        <v>2.2769027598504801</v>
      </c>
      <c r="T5" s="511">
        <f>+[1]Report1!AR10</f>
        <v>0</v>
      </c>
      <c r="U5" s="511">
        <f>+[1]Report1!AS10</f>
        <v>0</v>
      </c>
      <c r="V5" s="511">
        <f>+[1]Report1!AX10</f>
        <v>549.8812961607332</v>
      </c>
      <c r="W5" s="511">
        <f>+[1]Report1!AY10</f>
        <v>569.21531907272094</v>
      </c>
      <c r="X5" s="511">
        <f>+[1]Report1!BD10</f>
        <v>389.99268081708698</v>
      </c>
      <c r="Y5" s="576">
        <f>+[1]Report1!BE10</f>
        <v>407.28499056174411</v>
      </c>
      <c r="Z5" s="511">
        <f>+[1]Report1!BJ10</f>
        <v>0</v>
      </c>
      <c r="AA5" s="576">
        <f>+[1]Report1!BK10</f>
        <v>0</v>
      </c>
      <c r="AB5" s="513">
        <f>+[2]Report1!J10</f>
        <v>0.89284652428992595</v>
      </c>
      <c r="AC5" s="514">
        <f>+[2]Report1!K10</f>
        <v>0.86530536462364971</v>
      </c>
      <c r="AD5" s="514">
        <f>+[2]Report1!BC10</f>
        <v>0.89284652428992595</v>
      </c>
      <c r="AE5" s="514">
        <f>+[2]Report1!BD10</f>
        <v>0.86530536462364971</v>
      </c>
      <c r="AF5" s="511">
        <f>+[2]Report1!R10</f>
        <v>37.249000000000002</v>
      </c>
      <c r="AG5" s="511">
        <f>+[2]Report1!S10</f>
        <v>72.2</v>
      </c>
      <c r="AH5" s="511">
        <f>+[2]Report1!X10</f>
        <v>148.23423884150426</v>
      </c>
      <c r="AI5" s="511">
        <f>+[2]Report1!Y10</f>
        <v>149.9226071617818</v>
      </c>
      <c r="AJ5" s="511">
        <f>+[2]Report1!AD10</f>
        <v>1.4309108969368303</v>
      </c>
      <c r="AK5" s="511">
        <f>+[2]Report1!AE10</f>
        <v>1.4889196675900276</v>
      </c>
      <c r="AL5" s="511">
        <f>+[2]Report1!AJ10</f>
        <v>1040.8445864318603</v>
      </c>
      <c r="AM5" s="511">
        <f>+[2]Report1!AK10</f>
        <v>1047.042105263168</v>
      </c>
      <c r="AN5" s="511">
        <v>0</v>
      </c>
      <c r="AO5" s="512">
        <v>0</v>
      </c>
      <c r="AP5" s="594">
        <f>+[3]Report1!J10</f>
        <v>0.82991067442209676</v>
      </c>
      <c r="AQ5" s="514">
        <f>+[3]Report1!K10</f>
        <v>0.50505895514933941</v>
      </c>
      <c r="AR5" s="514">
        <f>+[3]Report1!BN10</f>
        <v>0.82991067442209676</v>
      </c>
      <c r="AS5" s="514">
        <f>+[3]Report1!BO10</f>
        <v>0.60911724340830908</v>
      </c>
      <c r="AT5" s="511">
        <f>+[3]Report1!R10</f>
        <v>43.747999999999998</v>
      </c>
      <c r="AU5" s="511">
        <f>+[3]Report1!S10</f>
        <v>54.284999999999997</v>
      </c>
      <c r="AV5" s="515">
        <f>+[3]Report1!AF10</f>
        <v>122.86806983816527</v>
      </c>
      <c r="AW5" s="515">
        <f>+[3]Report1!AG10</f>
        <v>129.843114049798</v>
      </c>
      <c r="AX5" s="511">
        <f>+[3]Report1!AL10</f>
        <v>1.5292127640120694</v>
      </c>
      <c r="AY5" s="511">
        <f>+[3]Report1!AM10</f>
        <v>1.8734457032329375</v>
      </c>
      <c r="AZ5" s="511">
        <f>+[7]Report1!AR10</f>
        <v>0</v>
      </c>
      <c r="BA5" s="511">
        <f>+[7]Report1!AS10</f>
        <v>0</v>
      </c>
      <c r="BB5" s="511">
        <f>+[3]Report1!AX10</f>
        <v>978.34003840175535</v>
      </c>
      <c r="BC5" s="511">
        <f>+[3]Report1!AY10</f>
        <v>1161.7654969144323</v>
      </c>
      <c r="BD5" s="511">
        <f>+[3]Report1!BD10</f>
        <v>42.223644509482476</v>
      </c>
      <c r="BE5" s="576">
        <f>+[3]Report1!BE10</f>
        <v>34.027816155491195</v>
      </c>
      <c r="BF5" s="511">
        <f>+[3]Report1!BJ10</f>
        <v>0</v>
      </c>
      <c r="BG5" s="512">
        <f>+[3]Report1!BK10</f>
        <v>0</v>
      </c>
      <c r="BH5" s="513">
        <f>+[5]Report1!J10</f>
        <v>0.96651656089264981</v>
      </c>
      <c r="BI5" s="514">
        <f>+[5]Report1!K10</f>
        <v>0.81575546038198476</v>
      </c>
      <c r="BJ5" s="514">
        <f>+[5]Report1!AN10</f>
        <v>0.96651656089264981</v>
      </c>
      <c r="BK5" s="514">
        <f>+[5]Report1!AO10</f>
        <v>0.81575546038198476</v>
      </c>
      <c r="BL5" s="511">
        <f>+[5]Report1!R10</f>
        <v>53.685000000000002</v>
      </c>
      <c r="BM5" s="511">
        <f>+[5]Report1!S10</f>
        <v>90.622</v>
      </c>
      <c r="BN5" s="511">
        <f>+[5]Report1!X10</f>
        <v>2.3488870261711834</v>
      </c>
      <c r="BO5" s="511">
        <f>+[5]Report1!Y10</f>
        <v>2.7366423164353026</v>
      </c>
      <c r="BP5" s="515">
        <v>0</v>
      </c>
      <c r="BQ5" s="515">
        <v>0</v>
      </c>
      <c r="BR5" s="515">
        <f>+[5]Report1!AD10</f>
        <v>1057.1209668246702</v>
      </c>
      <c r="BS5" s="515">
        <f>+[5]Report1!AE10</f>
        <v>1167.6262435162421</v>
      </c>
      <c r="BT5" s="515">
        <f>+[5]Report1!AJ10</f>
        <v>0</v>
      </c>
      <c r="BU5" s="516">
        <f>+[5]Report1!AK10</f>
        <v>0</v>
      </c>
      <c r="BV5" s="513">
        <f>+[6]Report1!J10</f>
        <v>0.36971172035649852</v>
      </c>
      <c r="BW5" s="514">
        <f>+[6]Report1!K10</f>
        <v>0.6626868849711951</v>
      </c>
      <c r="BX5" s="514">
        <f>+[6]Report1!BG10</f>
        <v>0.55786699803881512</v>
      </c>
      <c r="BY5" s="514">
        <f>+[6]Report1!BH10</f>
        <v>0.80144536770058028</v>
      </c>
      <c r="BZ5" s="511">
        <f>+[6]Report1!R10</f>
        <v>20.405999999999999</v>
      </c>
      <c r="CA5" s="511">
        <f>+[6]Report1!S10</f>
        <v>71.253</v>
      </c>
      <c r="CB5" s="515">
        <f>+[6]Report1!X10</f>
        <v>103.06726051713967</v>
      </c>
      <c r="CC5" s="515">
        <f>+[6]Report1!Y10</f>
        <v>84.249846557002087</v>
      </c>
      <c r="CD5" s="511">
        <f>+[6]Report1!AD10</f>
        <v>2.3718514162501227</v>
      </c>
      <c r="CE5" s="511">
        <f>+[6]Report1!AE10</f>
        <v>2.0097399407744234</v>
      </c>
      <c r="CF5" s="515">
        <v>0</v>
      </c>
      <c r="CG5" s="515">
        <v>0</v>
      </c>
      <c r="CH5" s="515">
        <f>+[6]Report1!AP10</f>
        <v>1190.1166762725595</v>
      </c>
      <c r="CI5" s="515">
        <f>+[6]Report1!AQ10</f>
        <v>930.28917463223058</v>
      </c>
      <c r="CJ5" s="515">
        <f>+[6]Report1!AV10</f>
        <v>0</v>
      </c>
      <c r="CK5" s="515">
        <f>+[6]Report1!AW10</f>
        <v>280.76852904439193</v>
      </c>
      <c r="CL5" s="515">
        <f>+[6]Report1!$BB10</f>
        <v>0</v>
      </c>
      <c r="CM5" s="516">
        <f>+[6]Report1!$BB10</f>
        <v>0</v>
      </c>
    </row>
    <row r="6" spans="1:91" ht="12.75" customHeight="1">
      <c r="A6" s="558">
        <f t="shared" ref="A6:A33" si="0">1+A5</f>
        <v>46115</v>
      </c>
      <c r="B6" s="513">
        <f>+Report1!J11</f>
        <v>1.0052149374740189</v>
      </c>
      <c r="C6" s="514">
        <f>+Report1!K11</f>
        <v>0.94320346245799869</v>
      </c>
      <c r="D6" s="514">
        <f>+Report1!AJ11</f>
        <v>1.0052149374740189</v>
      </c>
      <c r="E6" s="514">
        <f>+Report1!AK11</f>
        <v>0.94320346245799869</v>
      </c>
      <c r="F6" s="511">
        <f>+Report1!R11</f>
        <v>63.481000000000002</v>
      </c>
      <c r="G6" s="511">
        <f>+Report1!S11</f>
        <v>191.154</v>
      </c>
      <c r="H6" s="511">
        <f>+Report1!X11</f>
        <v>2.1226193664245989</v>
      </c>
      <c r="I6" s="511">
        <f>+Report1!Y11</f>
        <v>2.2106364501919917</v>
      </c>
      <c r="J6" s="511">
        <f>+Report1!AD11</f>
        <v>867.85368850521411</v>
      </c>
      <c r="K6" s="512">
        <f>+Report1!AE11</f>
        <v>896.2860311581278</v>
      </c>
      <c r="L6" s="513">
        <f>+[1]Report1!J11</f>
        <v>0.9851470948318759</v>
      </c>
      <c r="M6" s="514">
        <f>+[1]Report1!K11</f>
        <v>0.95878204681649803</v>
      </c>
      <c r="N6" s="514">
        <f>+[1]Report1!BP11</f>
        <v>0.9851470948318759</v>
      </c>
      <c r="O6" s="514">
        <f>+[1]Report1!BQ11</f>
        <v>0.95878204681649803</v>
      </c>
      <c r="P6" s="511">
        <f>+[1]Report1!R11</f>
        <v>73.52</v>
      </c>
      <c r="Q6" s="511">
        <f>+[1]Report1!S11</f>
        <v>207.54899999999998</v>
      </c>
      <c r="R6" s="511">
        <f>+[1]Report1!AL11</f>
        <v>2.0845076169749728</v>
      </c>
      <c r="S6" s="511">
        <f>+[1]Report1!AM11</f>
        <v>2.2087507046528772</v>
      </c>
      <c r="T6" s="511">
        <f>+[1]Report1!AR11</f>
        <v>0</v>
      </c>
      <c r="U6" s="511">
        <f>+[1]Report1!AS11</f>
        <v>0</v>
      </c>
      <c r="V6" s="511">
        <f>+[1]Report1!AX11</f>
        <v>498.2947497279888</v>
      </c>
      <c r="W6" s="511">
        <f>+[1]Report1!AY11</f>
        <v>544.09315390582219</v>
      </c>
      <c r="X6" s="511">
        <f>+[1]Report1!BD11</f>
        <v>357.61697497279653</v>
      </c>
      <c r="Y6" s="576">
        <f>+[1]Report1!BE11</f>
        <v>389.69110908749263</v>
      </c>
      <c r="Z6" s="511">
        <f>+[1]Report1!BJ11</f>
        <v>0</v>
      </c>
      <c r="AA6" s="576">
        <f>+[1]Report1!BK11</f>
        <v>0</v>
      </c>
      <c r="AB6" s="513">
        <f>+[2]Report1!J11</f>
        <v>0.89720900562957973</v>
      </c>
      <c r="AC6" s="514">
        <f>+[2]Report1!K11</f>
        <v>0.87593991162562634</v>
      </c>
      <c r="AD6" s="514">
        <f>+[2]Report1!BC11</f>
        <v>0.89720900562957973</v>
      </c>
      <c r="AE6" s="514">
        <f>+[2]Report1!BD11</f>
        <v>0.87593991162562634</v>
      </c>
      <c r="AF6" s="511">
        <f>+[2]Report1!R11</f>
        <v>37.430999999999997</v>
      </c>
      <c r="AG6" s="511">
        <f>+[2]Report1!S11</f>
        <v>109.631</v>
      </c>
      <c r="AH6" s="511">
        <f>+[2]Report1!X11</f>
        <v>125.06908700352326</v>
      </c>
      <c r="AI6" s="511">
        <f>+[2]Report1!Y11</f>
        <v>141.43694057984993</v>
      </c>
      <c r="AJ6" s="511">
        <f>+[2]Report1!AD11</f>
        <v>1.5468461970024847</v>
      </c>
      <c r="AK6" s="511">
        <f>+[2]Report1!AE11</f>
        <v>1.5086973574992475</v>
      </c>
      <c r="AL6" s="511">
        <f>+[2]Report1!AJ11</f>
        <v>1054.2657155833595</v>
      </c>
      <c r="AM6" s="511">
        <f>+[2]Report1!AK11</f>
        <v>1049.5084419552995</v>
      </c>
      <c r="AN6" s="511">
        <v>0</v>
      </c>
      <c r="AO6" s="512">
        <v>0</v>
      </c>
      <c r="AP6" s="594">
        <f>+[3]Report1!J11</f>
        <v>0.87046367871888464</v>
      </c>
      <c r="AQ6" s="514">
        <f>+[3]Report1!K11</f>
        <v>0.62687822169859797</v>
      </c>
      <c r="AR6" s="514">
        <f>+[3]Report1!BN11</f>
        <v>0.87046367871888464</v>
      </c>
      <c r="AS6" s="514">
        <f>+[3]Report1!BO11</f>
        <v>0.70744283658112561</v>
      </c>
      <c r="AT6" s="511">
        <f>+[3]Report1!R11</f>
        <v>46.79</v>
      </c>
      <c r="AU6" s="511">
        <f>+[3]Report1!S11</f>
        <v>101.07499999999999</v>
      </c>
      <c r="AV6" s="515">
        <f>+[3]Report1!AF11</f>
        <v>113.49021724949048</v>
      </c>
      <c r="AW6" s="515">
        <f>+[3]Report1!AG11</f>
        <v>122.27297265690768</v>
      </c>
      <c r="AX6" s="511">
        <f>+[3]Report1!AL11</f>
        <v>1.429792690745886</v>
      </c>
      <c r="AY6" s="511">
        <f>+[3]Report1!AM11</f>
        <v>1.6680682661390061</v>
      </c>
      <c r="AZ6" s="511">
        <f>+[7]Report1!AR11</f>
        <v>0</v>
      </c>
      <c r="BA6" s="511">
        <f>+[7]Report1!AS11</f>
        <v>0</v>
      </c>
      <c r="BB6" s="511">
        <f>+[3]Report1!AX11</f>
        <v>975.04210301346473</v>
      </c>
      <c r="BC6" s="511">
        <f>+[3]Report1!AY11</f>
        <v>1075.3268365075439</v>
      </c>
      <c r="BD6" s="511">
        <f>+[3]Report1!BD11</f>
        <v>75.443470827099802</v>
      </c>
      <c r="BE6" s="576">
        <f>+[3]Report1!BE11</f>
        <v>53.200098936441655</v>
      </c>
      <c r="BF6" s="511">
        <f>+[3]Report1!BJ11</f>
        <v>0</v>
      </c>
      <c r="BG6" s="512">
        <f>+[3]Report1!BK11</f>
        <v>0</v>
      </c>
      <c r="BH6" s="513">
        <f>+[5]Report1!J11</f>
        <v>1.0974484167977767</v>
      </c>
      <c r="BI6" s="514">
        <f>+[5]Report1!K11</f>
        <v>0.90459365107412826</v>
      </c>
      <c r="BJ6" s="514">
        <f>+[5]Report1!AN11</f>
        <v>1.0974484167977767</v>
      </c>
      <c r="BK6" s="514">
        <f>+[5]Report1!AO11</f>
        <v>0.90459365107412826</v>
      </c>
      <c r="BL6" s="511">
        <f>+[5]Report1!R11</f>
        <v>56.16</v>
      </c>
      <c r="BM6" s="511">
        <f>+[5]Report1!S11</f>
        <v>146.78199999999998</v>
      </c>
      <c r="BN6" s="511">
        <f>+[5]Report1!X11</f>
        <v>2.257834757834758</v>
      </c>
      <c r="BO6" s="511">
        <f>+[5]Report1!Y11</f>
        <v>2.5534466078947013</v>
      </c>
      <c r="BP6" s="515">
        <v>0</v>
      </c>
      <c r="BQ6" s="515">
        <v>0</v>
      </c>
      <c r="BR6" s="515">
        <f>+[5]Report1!AD11</f>
        <v>964.26876401238894</v>
      </c>
      <c r="BS6" s="515">
        <f>+[5]Report1!AE11</f>
        <v>1089.8199999105116</v>
      </c>
      <c r="BT6" s="515">
        <f>+[5]Report1!AJ11</f>
        <v>0</v>
      </c>
      <c r="BU6" s="516">
        <f>+[5]Report1!AK11</f>
        <v>0</v>
      </c>
      <c r="BV6" s="513">
        <f>+[6]Report1!J11</f>
        <v>0.84087781056235023</v>
      </c>
      <c r="BW6" s="514">
        <f>+[6]Report1!K11</f>
        <v>0.72268332256073287</v>
      </c>
      <c r="BX6" s="514">
        <f>+[6]Report1!BG11</f>
        <v>0.84087781056235023</v>
      </c>
      <c r="BY6" s="514">
        <f>+[6]Report1!BH11</f>
        <v>0.81644471329372459</v>
      </c>
      <c r="BZ6" s="511">
        <f>+[6]Report1!R11</f>
        <v>45.893999999999998</v>
      </c>
      <c r="CA6" s="511">
        <f>+[6]Report1!S11</f>
        <v>117.14699999999999</v>
      </c>
      <c r="CB6" s="515">
        <f>+[6]Report1!X11</f>
        <v>66.486506716944703</v>
      </c>
      <c r="CC6" s="515">
        <f>+[6]Report1!Y11</f>
        <v>77.29080604704798</v>
      </c>
      <c r="CD6" s="511">
        <f>+[6]Report1!AD11</f>
        <v>1.9109251754041925</v>
      </c>
      <c r="CE6" s="511">
        <f>+[6]Report1!AE11</f>
        <v>1.971027853892972</v>
      </c>
      <c r="CF6" s="515">
        <v>0</v>
      </c>
      <c r="CG6" s="515">
        <v>0</v>
      </c>
      <c r="CH6" s="515">
        <f>+[6]Report1!AP11</f>
        <v>854.65041646105578</v>
      </c>
      <c r="CI6" s="515">
        <f>+[6]Report1!AQ11</f>
        <v>900.65661752442691</v>
      </c>
      <c r="CJ6" s="515">
        <f>+[6]Report1!AV11</f>
        <v>0</v>
      </c>
      <c r="CK6" s="515">
        <f>+[6]Report1!AW11</f>
        <v>170.77347264548013</v>
      </c>
      <c r="CL6" s="515">
        <f>+[6]Report1!$BB11</f>
        <v>0</v>
      </c>
      <c r="CM6" s="516">
        <f>+[6]Report1!$BB11</f>
        <v>0</v>
      </c>
    </row>
    <row r="7" spans="1:91" ht="12.75" customHeight="1">
      <c r="A7" s="558">
        <f t="shared" si="0"/>
        <v>46116</v>
      </c>
      <c r="B7" s="513">
        <f>+Report1!J12</f>
        <v>0.88577419544239522</v>
      </c>
      <c r="C7" s="514">
        <f>+Report1!K12</f>
        <v>0.92987355695749951</v>
      </c>
      <c r="D7" s="514">
        <f>+Report1!AJ12</f>
        <v>0.88577419544239522</v>
      </c>
      <c r="E7" s="514">
        <f>+Report1!AK12</f>
        <v>0.92987355695749951</v>
      </c>
      <c r="F7" s="511">
        <f>+Report1!R12</f>
        <v>54.262</v>
      </c>
      <c r="G7" s="511">
        <f>+Report1!S12</f>
        <v>245.416</v>
      </c>
      <c r="H7" s="511">
        <f>+Report1!X12</f>
        <v>2.4079834875234969</v>
      </c>
      <c r="I7" s="511">
        <f>+Report1!Y12</f>
        <v>2.254270300224924</v>
      </c>
      <c r="J7" s="511">
        <f>+Report1!AD12</f>
        <v>965.26814345213973</v>
      </c>
      <c r="K7" s="512">
        <f>+Report1!AE12</f>
        <v>911.53812302376684</v>
      </c>
      <c r="L7" s="513">
        <f>+[1]Report1!J12</f>
        <v>0.97578069359020725</v>
      </c>
      <c r="M7" s="514">
        <f>+[1]Report1!K12</f>
        <v>0.96313994037327055</v>
      </c>
      <c r="N7" s="514">
        <f>+[1]Report1!BP12</f>
        <v>0.97578069359020725</v>
      </c>
      <c r="O7" s="514">
        <f>+[1]Report1!BQ12</f>
        <v>0.96313994037327055</v>
      </c>
      <c r="P7" s="511">
        <f>+[1]Report1!R12</f>
        <v>72.820999999999998</v>
      </c>
      <c r="Q7" s="511">
        <f>+[1]Report1!S12</f>
        <v>280.37</v>
      </c>
      <c r="R7" s="511">
        <f>+[1]Report1!AL12</f>
        <v>2.1298114554867413</v>
      </c>
      <c r="S7" s="511">
        <f>+[1]Report1!AM12</f>
        <v>2.1882476727181936</v>
      </c>
      <c r="T7" s="511">
        <f>+[1]Report1!AR12</f>
        <v>0</v>
      </c>
      <c r="U7" s="511">
        <f>+[1]Report1!AS12</f>
        <v>0</v>
      </c>
      <c r="V7" s="511">
        <f>+[1]Report1!AX12</f>
        <v>485.78253525767263</v>
      </c>
      <c r="W7" s="511">
        <f>+[1]Report1!AY12</f>
        <v>528.94803295644476</v>
      </c>
      <c r="X7" s="511">
        <f>+[1]Report1!BD12</f>
        <v>371.63730242649785</v>
      </c>
      <c r="Y7" s="576">
        <f>+[1]Report1!BE12</f>
        <v>385.00196169347652</v>
      </c>
      <c r="Z7" s="511">
        <f>+[1]Report1!BJ12</f>
        <v>0</v>
      </c>
      <c r="AA7" s="576">
        <f>+[1]Report1!BK12</f>
        <v>0</v>
      </c>
      <c r="AB7" s="513">
        <f>+[2]Report1!J12</f>
        <v>0.91752820960639481</v>
      </c>
      <c r="AC7" s="514">
        <f>+[2]Report1!K12</f>
        <v>0.88707124335004905</v>
      </c>
      <c r="AD7" s="514">
        <f>+[2]Report1!BC12</f>
        <v>0.91752820960639481</v>
      </c>
      <c r="AE7" s="514">
        <f>+[2]Report1!BD12</f>
        <v>0.88707124335004905</v>
      </c>
      <c r="AF7" s="511">
        <f>+[2]Report1!R12</f>
        <v>41.97</v>
      </c>
      <c r="AG7" s="511">
        <f>+[2]Report1!S12</f>
        <v>151.601</v>
      </c>
      <c r="AH7" s="511">
        <f>+[2]Report1!X12</f>
        <v>120.95144365840378</v>
      </c>
      <c r="AI7" s="511">
        <f>+[2]Report1!Y12</f>
        <v>135.76563032600532</v>
      </c>
      <c r="AJ7" s="511">
        <f>+[2]Report1!AD12</f>
        <v>1.3771741720276387</v>
      </c>
      <c r="AK7" s="511">
        <f>+[2]Report1!AE12</f>
        <v>1.472285802864097</v>
      </c>
      <c r="AL7" s="511">
        <f>+[2]Report1!AJ12</f>
        <v>890.8120085775206</v>
      </c>
      <c r="AM7" s="511">
        <f>+[2]Report1!AK12</f>
        <v>1005.5741057117039</v>
      </c>
      <c r="AN7" s="511">
        <v>0</v>
      </c>
      <c r="AO7" s="512">
        <v>0</v>
      </c>
      <c r="AP7" s="594">
        <f>+[3]Report1!J12</f>
        <v>0.87951424020594138</v>
      </c>
      <c r="AQ7" s="514">
        <f>+[3]Report1!K12</f>
        <v>0.68996441685851018</v>
      </c>
      <c r="AR7" s="514">
        <f>+[3]Report1!BN12</f>
        <v>0.87951424020594138</v>
      </c>
      <c r="AS7" s="514">
        <f>+[3]Report1!BO12</f>
        <v>0.75442547701971641</v>
      </c>
      <c r="AT7" s="511">
        <f>+[3]Report1!R12</f>
        <v>47.197000000000003</v>
      </c>
      <c r="AU7" s="511">
        <f>+[3]Report1!S12</f>
        <v>148.27199999999999</v>
      </c>
      <c r="AV7" s="515">
        <f>+[3]Report1!AF12</f>
        <v>118.34475629736929</v>
      </c>
      <c r="AW7" s="515">
        <f>+[3]Report1!AG12</f>
        <v>121.02256780959237</v>
      </c>
      <c r="AX7" s="511">
        <f>+[3]Report1!AL12</f>
        <v>1.4111066381337796</v>
      </c>
      <c r="AY7" s="511">
        <f>+[3]Report1!AM12</f>
        <v>1.5862738750404664</v>
      </c>
      <c r="AZ7" s="511">
        <f>+[7]Report1!AR12</f>
        <v>0</v>
      </c>
      <c r="BA7" s="511">
        <f>+[7]Report1!AS12</f>
        <v>0</v>
      </c>
      <c r="BB7" s="511">
        <f>+[3]Report1!AX12</f>
        <v>967.37885882577314</v>
      </c>
      <c r="BC7" s="511">
        <f>+[3]Report1!AY12</f>
        <v>1040.9655228229201</v>
      </c>
      <c r="BD7" s="511">
        <f>+[3]Report1!BD12</f>
        <v>49.367544547320996</v>
      </c>
      <c r="BE7" s="576">
        <f>+[3]Report1!BE12</f>
        <v>51.980144599120187</v>
      </c>
      <c r="BF7" s="511">
        <f>+[3]Report1!BJ12</f>
        <v>0</v>
      </c>
      <c r="BG7" s="512">
        <f>+[3]Report1!BK12</f>
        <v>0</v>
      </c>
      <c r="BH7" s="513">
        <f>+[5]Report1!J12</f>
        <v>0.85554476436593652</v>
      </c>
      <c r="BI7" s="514">
        <f>+[5]Report1!K12</f>
        <v>0.89247976896733694</v>
      </c>
      <c r="BJ7" s="514">
        <f>+[5]Report1!AN12</f>
        <v>0.85554476436593652</v>
      </c>
      <c r="BK7" s="514">
        <f>+[5]Report1!AO12</f>
        <v>0.89247976896733694</v>
      </c>
      <c r="BL7" s="511">
        <f>+[5]Report1!R12</f>
        <v>45.530999999999999</v>
      </c>
      <c r="BM7" s="511">
        <f>+[5]Report1!S12</f>
        <v>192.31299999999999</v>
      </c>
      <c r="BN7" s="511">
        <f>+[5]Report1!X12</f>
        <v>2.701456150754431</v>
      </c>
      <c r="BO7" s="511">
        <f>+[5]Report1!Y12</f>
        <v>2.5884885577158072</v>
      </c>
      <c r="BP7" s="515">
        <v>0</v>
      </c>
      <c r="BQ7" s="515">
        <v>0</v>
      </c>
      <c r="BR7" s="515">
        <f>+[5]Report1!AD12</f>
        <v>1007.4242523725412</v>
      </c>
      <c r="BS7" s="515">
        <f>+[5]Report1!AE12</f>
        <v>1070.3124222576678</v>
      </c>
      <c r="BT7" s="515">
        <f>+[5]Report1!AJ12</f>
        <v>0</v>
      </c>
      <c r="BU7" s="516">
        <f>+[5]Report1!AK12</f>
        <v>0</v>
      </c>
      <c r="BV7" s="513">
        <f>+[6]Report1!J12</f>
        <v>0.91430190010131684</v>
      </c>
      <c r="BW7" s="514">
        <f>+[6]Report1!K12</f>
        <v>0.76954130045799252</v>
      </c>
      <c r="BX7" s="514">
        <f>+[6]Report1!BG12</f>
        <v>0.91430190010131684</v>
      </c>
      <c r="BY7" s="514">
        <f>+[6]Report1!BH12</f>
        <v>0.84264782255576653</v>
      </c>
      <c r="BZ7" s="511">
        <f>+[6]Report1!R12</f>
        <v>47.973999999999997</v>
      </c>
      <c r="CA7" s="511">
        <f>+[6]Report1!S12</f>
        <v>165.12099999999998</v>
      </c>
      <c r="CB7" s="515">
        <f>+[6]Report1!X12</f>
        <v>73.70972707487087</v>
      </c>
      <c r="CC7" s="515">
        <f>+[6]Report1!Y12</f>
        <v>76.250364900184621</v>
      </c>
      <c r="CD7" s="511">
        <f>+[6]Report1!AD12</f>
        <v>1.9760703714512029</v>
      </c>
      <c r="CE7" s="511">
        <f>+[6]Report1!AE12</f>
        <v>1.9724928991466866</v>
      </c>
      <c r="CF7" s="515">
        <v>0</v>
      </c>
      <c r="CG7" s="515">
        <v>0</v>
      </c>
      <c r="CH7" s="515">
        <f>+[6]Report1!AP12</f>
        <v>883.4599234007153</v>
      </c>
      <c r="CI7" s="515">
        <f>+[6]Report1!AQ12</f>
        <v>895.66031660636736</v>
      </c>
      <c r="CJ7" s="515">
        <f>+[6]Report1!AV12</f>
        <v>0</v>
      </c>
      <c r="CK7" s="515">
        <f>+[6]Report1!AW12</f>
        <v>121.15721198393942</v>
      </c>
      <c r="CL7" s="515">
        <f>+[6]Report1!$BB12</f>
        <v>0</v>
      </c>
      <c r="CM7" s="516">
        <f>+[6]Report1!$BB12</f>
        <v>0</v>
      </c>
    </row>
    <row r="8" spans="1:91" ht="12.75" customHeight="1">
      <c r="A8" s="558">
        <f t="shared" si="0"/>
        <v>46117</v>
      </c>
      <c r="B8" s="513">
        <f>+Report1!J13</f>
        <v>0.76882602427068336</v>
      </c>
      <c r="C8" s="514">
        <f>+Report1!K13</f>
        <v>0.8995158465493841</v>
      </c>
      <c r="D8" s="514">
        <f>+Report1!AJ13</f>
        <v>0.76882602427068336</v>
      </c>
      <c r="E8" s="514">
        <f>+Report1!AK13</f>
        <v>0.8995158465493841</v>
      </c>
      <c r="F8" s="511">
        <f>+Report1!R13</f>
        <v>47.134</v>
      </c>
      <c r="G8" s="511">
        <f>+Report1!S13</f>
        <v>292.55</v>
      </c>
      <c r="H8" s="511">
        <f>+Report1!X13</f>
        <v>2.3987143038995207</v>
      </c>
      <c r="I8" s="511">
        <f>+Report1!Y13</f>
        <v>2.2775423004614592</v>
      </c>
      <c r="J8" s="511">
        <f>+Report1!AD13</f>
        <v>1026.114482114855</v>
      </c>
      <c r="K8" s="512">
        <f>+Report1!AE13</f>
        <v>929.99801743292551</v>
      </c>
      <c r="L8" s="513">
        <f>+[1]Report1!J13</f>
        <v>0.94859080178956723</v>
      </c>
      <c r="M8" s="514">
        <f>+[1]Report1!K13</f>
        <v>0.96026188601745766</v>
      </c>
      <c r="N8" s="514">
        <f>+[1]Report1!BP13</f>
        <v>0.94859080178956723</v>
      </c>
      <c r="O8" s="514">
        <f>+[1]Report1!BQ13</f>
        <v>0.96026188601745766</v>
      </c>
      <c r="P8" s="511">
        <f>+[1]Report1!R13</f>
        <v>68.093999999999994</v>
      </c>
      <c r="Q8" s="511">
        <f>+[1]Report1!S13</f>
        <v>348.464</v>
      </c>
      <c r="R8" s="511">
        <f>+[1]Report1!AL13</f>
        <v>2.0620318970834437</v>
      </c>
      <c r="S8" s="511">
        <f>+[1]Report1!AM13</f>
        <v>2.1635836126543921</v>
      </c>
      <c r="T8" s="511">
        <f>+[1]Report1!AR13</f>
        <v>0</v>
      </c>
      <c r="U8" s="511">
        <f>+[1]Report1!AS13</f>
        <v>0</v>
      </c>
      <c r="V8" s="511">
        <f>+[1]Report1!AX13</f>
        <v>542.75883337739413</v>
      </c>
      <c r="W8" s="511">
        <f>+[1]Report1!AY13</f>
        <v>531.64682721887687</v>
      </c>
      <c r="X8" s="511">
        <f>+[1]Report1!BD13</f>
        <v>401.2394630951332</v>
      </c>
      <c r="Y8" s="576">
        <f>+[1]Report1!BE13</f>
        <v>388.17496211947287</v>
      </c>
      <c r="Z8" s="511">
        <f>+[1]Report1!BJ13</f>
        <v>0</v>
      </c>
      <c r="AA8" s="576">
        <f>+[1]Report1!BK13</f>
        <v>0</v>
      </c>
      <c r="AB8" s="513">
        <f>+[2]Report1!J13</f>
        <v>0.94174466677835378</v>
      </c>
      <c r="AC8" s="514">
        <f>+[2]Report1!K13</f>
        <v>0.89779902750586116</v>
      </c>
      <c r="AD8" s="514">
        <f>+[2]Report1!BC13</f>
        <v>0.94174466677835378</v>
      </c>
      <c r="AE8" s="514">
        <f>+[2]Report1!BD13</f>
        <v>0.89779902750586116</v>
      </c>
      <c r="AF8" s="511">
        <f>+[2]Report1!R13</f>
        <v>39.289000000000001</v>
      </c>
      <c r="AG8" s="511">
        <f>+[2]Report1!S13</f>
        <v>190.89</v>
      </c>
      <c r="AH8" s="511">
        <f>+[2]Report1!X13</f>
        <v>130.37427392410524</v>
      </c>
      <c r="AI8" s="511">
        <f>+[2]Report1!Y13</f>
        <v>134.65598078085236</v>
      </c>
      <c r="AJ8" s="511">
        <f>+[2]Report1!AD13</f>
        <v>1.4635139606505636</v>
      </c>
      <c r="AK8" s="511">
        <f>+[2]Report1!AE13</f>
        <v>1.4704803813714706</v>
      </c>
      <c r="AL8" s="511">
        <f>+[2]Report1!AJ13</f>
        <v>989.45964519333882</v>
      </c>
      <c r="AM8" s="511">
        <f>+[2]Report1!AK13</f>
        <v>1002.25742574258</v>
      </c>
      <c r="AN8" s="511">
        <v>0</v>
      </c>
      <c r="AO8" s="512">
        <v>0</v>
      </c>
      <c r="AP8" s="594">
        <f>+[3]Report1!J13</f>
        <v>0.93757074558490405</v>
      </c>
      <c r="AQ8" s="514">
        <f>+[3]Report1!K13</f>
        <v>0.73876139691597908</v>
      </c>
      <c r="AR8" s="514">
        <f>+[3]Report1!BN13</f>
        <v>0.93757074558490405</v>
      </c>
      <c r="AS8" s="514">
        <f>+[3]Report1!BO13</f>
        <v>0.79317738002115812</v>
      </c>
      <c r="AT8" s="511">
        <f>+[3]Report1!R13</f>
        <v>49.453000000000003</v>
      </c>
      <c r="AU8" s="511">
        <f>+[3]Report1!S13</f>
        <v>197.72499999999999</v>
      </c>
      <c r="AV8" s="515">
        <f>+[3]Report1!AF13</f>
        <v>112.97714583050954</v>
      </c>
      <c r="AW8" s="515">
        <f>+[3]Report1!AG13</f>
        <v>119.01032730823147</v>
      </c>
      <c r="AX8" s="511">
        <f>+[3]Report1!AL13</f>
        <v>1.3285341637514407</v>
      </c>
      <c r="AY8" s="511">
        <f>+[3]Report1!AM13</f>
        <v>1.5218105955240866</v>
      </c>
      <c r="AZ8" s="511">
        <f>+[7]Report1!AR13</f>
        <v>0</v>
      </c>
      <c r="BA8" s="511">
        <f>+[7]Report1!AS13</f>
        <v>0</v>
      </c>
      <c r="BB8" s="511">
        <f>+[3]Report1!AX13</f>
        <v>944.83408488868179</v>
      </c>
      <c r="BC8" s="511">
        <f>+[3]Report1!AY13</f>
        <v>1016.9220887596406</v>
      </c>
      <c r="BD8" s="511">
        <f>+[3]Report1!BD13</f>
        <v>47.115442945830111</v>
      </c>
      <c r="BE8" s="576">
        <f>+[3]Report1!BE13</f>
        <v>50.76343406246496</v>
      </c>
      <c r="BF8" s="511">
        <f>+[3]Report1!BJ13</f>
        <v>0</v>
      </c>
      <c r="BG8" s="512">
        <f>+[3]Report1!BK13</f>
        <v>0</v>
      </c>
      <c r="BH8" s="513">
        <f>+[5]Report1!J13</f>
        <v>0.67468890243097956</v>
      </c>
      <c r="BI8" s="514">
        <f>+[5]Report1!K13</f>
        <v>0.84815678475867595</v>
      </c>
      <c r="BJ8" s="514">
        <f>+[5]Report1!AN13</f>
        <v>0.67468890243097956</v>
      </c>
      <c r="BK8" s="514">
        <f>+[5]Report1!AO13</f>
        <v>0.84815678475867595</v>
      </c>
      <c r="BL8" s="511">
        <f>+[5]Report1!R13</f>
        <v>37.146999999999998</v>
      </c>
      <c r="BM8" s="511">
        <f>+[5]Report1!S13</f>
        <v>229.45999999999998</v>
      </c>
      <c r="BN8" s="511">
        <f>+[5]Report1!X13</f>
        <v>3.1711847524699168</v>
      </c>
      <c r="BO8" s="511">
        <f>+[5]Report1!Y13</f>
        <v>2.6828205351695287</v>
      </c>
      <c r="BP8" s="515">
        <v>0</v>
      </c>
      <c r="BQ8" s="515">
        <v>0</v>
      </c>
      <c r="BR8" s="515">
        <f>+[5]Report1!AD13</f>
        <v>1184.5070322655995</v>
      </c>
      <c r="BS8" s="515">
        <f>+[5]Report1!AE13</f>
        <v>1088.7992486237649</v>
      </c>
      <c r="BT8" s="515">
        <f>+[5]Report1!AJ13</f>
        <v>0</v>
      </c>
      <c r="BU8" s="516">
        <f>+[5]Report1!AK13</f>
        <v>0</v>
      </c>
      <c r="BV8" s="513">
        <f>+[6]Report1!J13</f>
        <v>0.85042371165635389</v>
      </c>
      <c r="BW8" s="514">
        <f>+[6]Report1!K13</f>
        <v>0.78551459977227689</v>
      </c>
      <c r="BX8" s="514">
        <f>+[6]Report1!BG13</f>
        <v>0.90644694580352858</v>
      </c>
      <c r="BY8" s="514">
        <f>+[6]Report1!BH13</f>
        <v>0.85552217008995268</v>
      </c>
      <c r="BZ8" s="511">
        <f>+[6]Report1!R13</f>
        <v>44.905000000000001</v>
      </c>
      <c r="CA8" s="511">
        <f>+[6]Report1!S13</f>
        <v>210.02599999999998</v>
      </c>
      <c r="CB8" s="515">
        <f>+[6]Report1!X13</f>
        <v>75.685700012017364</v>
      </c>
      <c r="CC8" s="515">
        <f>+[6]Report1!Y13</f>
        <v>76.12963567235974</v>
      </c>
      <c r="CD8" s="511">
        <f>+[6]Report1!AD13</f>
        <v>1.9730542255873509</v>
      </c>
      <c r="CE8" s="511">
        <f>+[6]Report1!AE13</f>
        <v>1.9726129145915268</v>
      </c>
      <c r="CF8" s="515">
        <v>0</v>
      </c>
      <c r="CG8" s="515">
        <v>0</v>
      </c>
      <c r="CH8" s="515">
        <f>+[6]Report1!AP13</f>
        <v>957.88347115977353</v>
      </c>
      <c r="CI8" s="515">
        <f>+[6]Report1!AQ13</f>
        <v>908.96405402564267</v>
      </c>
      <c r="CJ8" s="515">
        <f>+[6]Report1!AV13</f>
        <v>0</v>
      </c>
      <c r="CK8" s="515">
        <f>+[6]Report1!AW13</f>
        <v>95.252968680068463</v>
      </c>
      <c r="CL8" s="515">
        <f>+[6]Report1!$BB13</f>
        <v>0</v>
      </c>
      <c r="CM8" s="516">
        <f>+[6]Report1!$BB13</f>
        <v>0</v>
      </c>
    </row>
    <row r="9" spans="1:91" ht="12.75" customHeight="1">
      <c r="A9" s="558">
        <f t="shared" si="0"/>
        <v>46118</v>
      </c>
      <c r="B9" s="513">
        <f>+Report1!J14</f>
        <v>0.90679342184358558</v>
      </c>
      <c r="C9" s="514">
        <f>+Report1!K14</f>
        <v>0.90072892351478073</v>
      </c>
      <c r="D9" s="514">
        <f>+Report1!AJ14</f>
        <v>0.90679342184358558</v>
      </c>
      <c r="E9" s="514">
        <f>+Report1!AK14</f>
        <v>0.90072892351478073</v>
      </c>
      <c r="F9" s="511">
        <f>+Report1!R14</f>
        <v>58.991999999999997</v>
      </c>
      <c r="G9" s="511">
        <f>+Report1!S14</f>
        <v>351.54200000000003</v>
      </c>
      <c r="H9" s="511">
        <f>+Report1!X14</f>
        <v>2.1711079468402499</v>
      </c>
      <c r="I9" s="511">
        <f>+Report1!Y14</f>
        <v>2.2596816312133399</v>
      </c>
      <c r="J9" s="511">
        <f>+Report1!AD14</f>
        <v>887.9322620016095</v>
      </c>
      <c r="K9" s="512">
        <f>+Report1!AE14</f>
        <v>922.93899448714888</v>
      </c>
      <c r="L9" s="513">
        <f>+[1]Report1!J14</f>
        <v>0.97736912336124138</v>
      </c>
      <c r="M9" s="514">
        <f>+[1]Report1!K14</f>
        <v>0.9631539938736744</v>
      </c>
      <c r="N9" s="514">
        <f>+[1]Report1!BP14</f>
        <v>0.97736912336124138</v>
      </c>
      <c r="O9" s="514">
        <f>+[1]Report1!BQ14</f>
        <v>0.9631539938736744</v>
      </c>
      <c r="P9" s="511">
        <f>+[1]Report1!R14</f>
        <v>72.159000000000006</v>
      </c>
      <c r="Q9" s="511">
        <f>+[1]Report1!S14</f>
        <v>420.62299999999999</v>
      </c>
      <c r="R9" s="511">
        <f>+[1]Report1!AL14</f>
        <v>2.0569159772169789</v>
      </c>
      <c r="S9" s="511">
        <f>+[1]Report1!AM14</f>
        <v>2.145284494666245</v>
      </c>
      <c r="T9" s="511">
        <f>+[1]Report1!AR14</f>
        <v>0</v>
      </c>
      <c r="U9" s="511">
        <f>+[1]Report1!AS14</f>
        <v>0</v>
      </c>
      <c r="V9" s="511">
        <f>+[1]Report1!AX14</f>
        <v>499.44497567869536</v>
      </c>
      <c r="W9" s="511">
        <f>+[1]Report1!AY14</f>
        <v>526.12251350971701</v>
      </c>
      <c r="X9" s="511">
        <f>+[1]Report1!BD14</f>
        <v>319.22559902437678</v>
      </c>
      <c r="Y9" s="576">
        <f>+[1]Report1!BE14</f>
        <v>376.34651457480925</v>
      </c>
      <c r="Z9" s="511">
        <f>+[1]Report1!BJ14</f>
        <v>0</v>
      </c>
      <c r="AA9" s="576">
        <f>+[1]Report1!BK14</f>
        <v>0</v>
      </c>
      <c r="AB9" s="513">
        <f>+[2]Report1!J14</f>
        <v>0.83363160760019694</v>
      </c>
      <c r="AC9" s="514">
        <f>+[2]Report1!K14</f>
        <v>0.88621722146215776</v>
      </c>
      <c r="AD9" s="514">
        <f>+[2]Report1!BC14</f>
        <v>0.83363160760019694</v>
      </c>
      <c r="AE9" s="514">
        <f>+[2]Report1!BD14</f>
        <v>0.88621722146215776</v>
      </c>
      <c r="AF9" s="511">
        <f>+[2]Report1!R14</f>
        <v>39.037999999999997</v>
      </c>
      <c r="AG9" s="511">
        <f>+[2]Report1!S14</f>
        <v>229.928</v>
      </c>
      <c r="AH9" s="511">
        <f>+[2]Report1!X14</f>
        <v>134.82156601286661</v>
      </c>
      <c r="AI9" s="511">
        <f>+[2]Report1!Y14</f>
        <v>134.68409443507181</v>
      </c>
      <c r="AJ9" s="511">
        <f>+[2]Report1!AD14</f>
        <v>1.4216916850248478</v>
      </c>
      <c r="AK9" s="511">
        <f>+[2]Report1!AE14</f>
        <v>1.4621968616262482</v>
      </c>
      <c r="AL9" s="511">
        <f>+[2]Report1!AJ14</f>
        <v>968.31036426044557</v>
      </c>
      <c r="AM9" s="511">
        <f>+[2]Report1!AK14</f>
        <v>996.49377196339879</v>
      </c>
      <c r="AN9" s="511">
        <v>0</v>
      </c>
      <c r="AO9" s="512">
        <v>0</v>
      </c>
      <c r="AP9" s="594">
        <f>+[3]Report1!J14</f>
        <v>0.9101351062941333</v>
      </c>
      <c r="AQ9" s="514">
        <f>+[3]Report1!K14</f>
        <v>0.76684749863098522</v>
      </c>
      <c r="AR9" s="514">
        <f>+[3]Report1!BN14</f>
        <v>0.9101351062941333</v>
      </c>
      <c r="AS9" s="514">
        <f>+[3]Report1!BO14</f>
        <v>0.81351176380963142</v>
      </c>
      <c r="AT9" s="511">
        <f>+[3]Report1!R14</f>
        <v>47.747</v>
      </c>
      <c r="AU9" s="511">
        <f>+[3]Report1!S14</f>
        <v>245.47199999999998</v>
      </c>
      <c r="AV9" s="515">
        <f>+[3]Report1!AF14</f>
        <v>115.0710855262919</v>
      </c>
      <c r="AW9" s="515">
        <f>+[3]Report1!AG14</f>
        <v>118.24410151725625</v>
      </c>
      <c r="AX9" s="511">
        <f>+[3]Report1!AL14</f>
        <v>1.4262676189079941</v>
      </c>
      <c r="AY9" s="511">
        <f>+[3]Report1!AM14</f>
        <v>1.5032264372311304</v>
      </c>
      <c r="AZ9" s="511">
        <f>+[7]Report1!AR14</f>
        <v>0</v>
      </c>
      <c r="BA9" s="511">
        <f>+[7]Report1!AS14</f>
        <v>0</v>
      </c>
      <c r="BB9" s="511">
        <f>+[3]Report1!AX14</f>
        <v>935.15613546400766</v>
      </c>
      <c r="BC9" s="511">
        <f>+[3]Report1!AY14</f>
        <v>1001.0177128144959</v>
      </c>
      <c r="BD9" s="511">
        <f>+[3]Report1!BD14</f>
        <v>414.05742769179216</v>
      </c>
      <c r="BE9" s="576">
        <f>+[3]Report1!BE14</f>
        <v>121.42810585321702</v>
      </c>
      <c r="BF9" s="511">
        <f>+[3]Report1!BJ14</f>
        <v>0</v>
      </c>
      <c r="BG9" s="512">
        <f>+[3]Report1!BK14</f>
        <v>0</v>
      </c>
      <c r="BH9" s="513">
        <f>+[5]Report1!J14</f>
        <v>0.76259501421272791</v>
      </c>
      <c r="BI9" s="514">
        <f>+[5]Report1!K14</f>
        <v>0.83349852733492558</v>
      </c>
      <c r="BJ9" s="514">
        <f>+[5]Report1!AN14</f>
        <v>0.76259501421272791</v>
      </c>
      <c r="BK9" s="514">
        <f>+[5]Report1!AO14</f>
        <v>0.83349852733492558</v>
      </c>
      <c r="BL9" s="511">
        <f>+[5]Report1!R14</f>
        <v>42.652000000000001</v>
      </c>
      <c r="BM9" s="511">
        <f>+[5]Report1!S14</f>
        <v>272.11199999999997</v>
      </c>
      <c r="BN9" s="511">
        <f>+[5]Report1!X14</f>
        <v>2.7923661258557626</v>
      </c>
      <c r="BO9" s="511">
        <f>+[5]Report1!Y14</f>
        <v>2.6999911801023111</v>
      </c>
      <c r="BP9" s="515">
        <v>0</v>
      </c>
      <c r="BQ9" s="515">
        <v>0</v>
      </c>
      <c r="BR9" s="515">
        <f>+[5]Report1!AD14</f>
        <v>1012.7409182731128</v>
      </c>
      <c r="BS9" s="515">
        <f>+[5]Report1!AE14</f>
        <v>1076.8775402606059</v>
      </c>
      <c r="BT9" s="515">
        <f>+[5]Report1!AJ14</f>
        <v>0</v>
      </c>
      <c r="BU9" s="516">
        <f>+[5]Report1!AK14</f>
        <v>0</v>
      </c>
      <c r="BV9" s="513">
        <f>+[6]Report1!J14</f>
        <v>0.81748289425142562</v>
      </c>
      <c r="BW9" s="514">
        <f>+[6]Report1!K14</f>
        <v>0.79082387624784822</v>
      </c>
      <c r="BX9" s="514">
        <f>+[6]Report1!BG14</f>
        <v>0.81748289425142562</v>
      </c>
      <c r="BY9" s="514">
        <f>+[6]Report1!BH14</f>
        <v>0.84874194661376856</v>
      </c>
      <c r="BZ9" s="511">
        <f>+[6]Report1!R14</f>
        <v>43.53</v>
      </c>
      <c r="CA9" s="511">
        <f>+[6]Report1!S14</f>
        <v>253.55599999999998</v>
      </c>
      <c r="CB9" s="515">
        <f>+[6]Report1!X14</f>
        <v>81.84095073204351</v>
      </c>
      <c r="CC9" s="515">
        <f>+[6]Report1!Y14</f>
        <v>77.110143112720195</v>
      </c>
      <c r="CD9" s="511">
        <f>+[6]Report1!AD14</f>
        <v>2.0721341603491843</v>
      </c>
      <c r="CE9" s="511">
        <f>+[6]Report1!AE14</f>
        <v>1.9896985281357964</v>
      </c>
      <c r="CF9" s="515">
        <v>0</v>
      </c>
      <c r="CG9" s="515">
        <v>0</v>
      </c>
      <c r="CH9" s="515">
        <f>+[6]Report1!AP14</f>
        <v>1012.1128957917573</v>
      </c>
      <c r="CI9" s="515">
        <f>+[6]Report1!AQ14</f>
        <v>926.67244618389941</v>
      </c>
      <c r="CJ9" s="515">
        <f>+[6]Report1!AV14</f>
        <v>0</v>
      </c>
      <c r="CK9" s="515">
        <f>+[6]Report1!AW14</f>
        <v>78.900124627301508</v>
      </c>
      <c r="CL9" s="515">
        <f>+[6]Report1!$BB14</f>
        <v>0</v>
      </c>
      <c r="CM9" s="516">
        <f>+[6]Report1!$BB14</f>
        <v>0</v>
      </c>
    </row>
    <row r="10" spans="1:91" ht="12.75" customHeight="1">
      <c r="A10" s="558">
        <f t="shared" si="0"/>
        <v>46119</v>
      </c>
      <c r="B10" s="513">
        <f>+Report1!J15</f>
        <v>0.94432381228372031</v>
      </c>
      <c r="C10" s="514">
        <f>+Report1!K15</f>
        <v>0.90686825456373543</v>
      </c>
      <c r="D10" s="514">
        <f>+Report1!AJ15</f>
        <v>0.94432381228372031</v>
      </c>
      <c r="E10" s="514">
        <f>+Report1!AK15</f>
        <v>0.90686825456373543</v>
      </c>
      <c r="F10" s="511">
        <f>+Report1!R15</f>
        <v>60.41</v>
      </c>
      <c r="G10" s="511">
        <f>+Report1!S15</f>
        <v>411.952</v>
      </c>
      <c r="H10" s="511">
        <f>+Report1!X15</f>
        <v>2.1756993875186228</v>
      </c>
      <c r="I10" s="511">
        <f>+Report1!Y15</f>
        <v>2.2473661980036508</v>
      </c>
      <c r="J10" s="511">
        <f>+Report1!AD15</f>
        <v>909.32461512999544</v>
      </c>
      <c r="K10" s="512">
        <f>+Report1!AE15</f>
        <v>920.94253699461194</v>
      </c>
      <c r="L10" s="513">
        <f>+[1]Report1!J15</f>
        <v>0.94195743496396411</v>
      </c>
      <c r="M10" s="514">
        <f>+[1]Report1!K15</f>
        <v>0.96057275042977908</v>
      </c>
      <c r="N10" s="514">
        <f>+[1]Report1!BP15</f>
        <v>1.0538149078638601</v>
      </c>
      <c r="O10" s="514">
        <f>+[1]Report1!BQ15</f>
        <v>0.97315171286799473</v>
      </c>
      <c r="P10" s="511">
        <f>+[1]Report1!R15</f>
        <v>57.040999999999997</v>
      </c>
      <c r="Q10" s="511">
        <f>+[1]Report1!S15</f>
        <v>477.66399999999999</v>
      </c>
      <c r="R10" s="511">
        <f>+[1]Report1!AL15</f>
        <v>1.7015304780771727</v>
      </c>
      <c r="S10" s="511">
        <f>+[1]Report1!AM15</f>
        <v>2.0922929088229383</v>
      </c>
      <c r="T10" s="511">
        <f>+[1]Report1!AR15</f>
        <v>0</v>
      </c>
      <c r="U10" s="511">
        <f>+[1]Report1!AS15</f>
        <v>0</v>
      </c>
      <c r="V10" s="511">
        <f>+[1]Report1!AX15</f>
        <v>527.97899756318975</v>
      </c>
      <c r="W10" s="511">
        <f>+[1]Report1!AY15</f>
        <v>526.34420848127468</v>
      </c>
      <c r="X10" s="511">
        <f>+[1]Report1!BD15</f>
        <v>356.41030136217813</v>
      </c>
      <c r="Y10" s="576">
        <f>+[1]Report1!BE15</f>
        <v>373.96580022777516</v>
      </c>
      <c r="Z10" s="511">
        <f>+[1]Report1!BJ15</f>
        <v>0</v>
      </c>
      <c r="AA10" s="576">
        <f>+[1]Report1!BK15</f>
        <v>0</v>
      </c>
      <c r="AB10" s="513">
        <f>+[2]Report1!J15</f>
        <v>0.80586375766861051</v>
      </c>
      <c r="AC10" s="514">
        <f>+[2]Report1!K15</f>
        <v>0.8733562843039816</v>
      </c>
      <c r="AD10" s="514">
        <f>+[2]Report1!BC15</f>
        <v>0.80586375766861051</v>
      </c>
      <c r="AE10" s="514">
        <f>+[2]Report1!BD15</f>
        <v>0.8733562843039816</v>
      </c>
      <c r="AF10" s="511">
        <f>+[2]Report1!R15</f>
        <v>39.841000000000001</v>
      </c>
      <c r="AG10" s="511">
        <f>+[2]Report1!S15</f>
        <v>269.76900000000001</v>
      </c>
      <c r="AH10" s="511">
        <f>+[2]Report1!X15</f>
        <v>131.86547308711329</v>
      </c>
      <c r="AI10" s="511">
        <f>+[2]Report1!Y15</f>
        <v>134.26782461487744</v>
      </c>
      <c r="AJ10" s="511">
        <f>+[2]Report1!AD15</f>
        <v>1.3353078486985768</v>
      </c>
      <c r="AK10" s="511">
        <f>+[2]Report1!AE15</f>
        <v>1.4434571800318048</v>
      </c>
      <c r="AL10" s="511">
        <f>+[2]Report1!AJ15</f>
        <v>902.14352049399099</v>
      </c>
      <c r="AM10" s="511">
        <f>+[2]Report1!AK15</f>
        <v>982.55959728509004</v>
      </c>
      <c r="AN10" s="511">
        <v>0</v>
      </c>
      <c r="AO10" s="512">
        <v>0</v>
      </c>
      <c r="AP10" s="594">
        <f>+[3]Report1!J15</f>
        <v>0.8671083265975158</v>
      </c>
      <c r="AQ10" s="514">
        <f>+[3]Report1!K15</f>
        <v>0.78175744174485873</v>
      </c>
      <c r="AR10" s="514">
        <f>+[3]Report1!BN15</f>
        <v>0.8671083265975158</v>
      </c>
      <c r="AS10" s="514">
        <f>+[3]Report1!BO15</f>
        <v>0.82189137830005365</v>
      </c>
      <c r="AT10" s="511">
        <f>+[3]Report1!R15</f>
        <v>48.488</v>
      </c>
      <c r="AU10" s="511">
        <f>+[3]Report1!S15</f>
        <v>293.95999999999998</v>
      </c>
      <c r="AV10" s="515">
        <f>+[3]Report1!AF15</f>
        <v>116.06107881441741</v>
      </c>
      <c r="AW10" s="515">
        <f>+[3]Report1!AG15</f>
        <v>117.88401713565587</v>
      </c>
      <c r="AX10" s="511">
        <f>+[3]Report1!AL15</f>
        <v>1.4354066985645932</v>
      </c>
      <c r="AY10" s="511">
        <f>+[3]Report1!AM15</f>
        <v>1.4920397332970474</v>
      </c>
      <c r="AZ10" s="511">
        <f>+[7]Report1!AR15</f>
        <v>0</v>
      </c>
      <c r="BA10" s="511">
        <f>+[7]Report1!AS15</f>
        <v>0</v>
      </c>
      <c r="BB10" s="511">
        <f>+[3]Report1!AX15</f>
        <v>866.85984161029751</v>
      </c>
      <c r="BC10" s="511">
        <f>+[3]Report1!AY15</f>
        <v>978.88869233909372</v>
      </c>
      <c r="BD10" s="511">
        <f>+[3]Report1!BD15</f>
        <v>569.41923774954626</v>
      </c>
      <c r="BE10" s="576">
        <f>+[3]Report1!BE15</f>
        <v>195.32317322084938</v>
      </c>
      <c r="BF10" s="511">
        <f>+[3]Report1!BJ15</f>
        <v>0</v>
      </c>
      <c r="BG10" s="512">
        <f>+[3]Report1!BK15</f>
        <v>0</v>
      </c>
      <c r="BH10" s="513">
        <f>+[5]Report1!J15</f>
        <v>1.1219331482593038</v>
      </c>
      <c r="BI10" s="514">
        <f>+[5]Report1!K15</f>
        <v>0.87426577953758322</v>
      </c>
      <c r="BJ10" s="514">
        <f>+[5]Report1!AN15</f>
        <v>1.1219331482593038</v>
      </c>
      <c r="BK10" s="514">
        <f>+[5]Report1!AO15</f>
        <v>0.87426577953758322</v>
      </c>
      <c r="BL10" s="511">
        <f>+[5]Report1!R15</f>
        <v>60.290999999999997</v>
      </c>
      <c r="BM10" s="511">
        <f>+[5]Report1!S15</f>
        <v>332.40299999999996</v>
      </c>
      <c r="BN10" s="511">
        <f>+[5]Report1!X15</f>
        <v>1.9953226849778574</v>
      </c>
      <c r="BO10" s="511">
        <f>+[5]Report1!Y15</f>
        <v>2.5721789514535072</v>
      </c>
      <c r="BP10" s="515">
        <v>0</v>
      </c>
      <c r="BQ10" s="515">
        <v>0</v>
      </c>
      <c r="BR10" s="515">
        <f>+[5]Report1!AD15</f>
        <v>826.72762859340799</v>
      </c>
      <c r="BS10" s="515">
        <f>+[5]Report1!AE15</f>
        <v>1031.5055420405927</v>
      </c>
      <c r="BT10" s="515">
        <f>+[5]Report1!AJ15</f>
        <v>0</v>
      </c>
      <c r="BU10" s="516">
        <f>+[5]Report1!AK15</f>
        <v>0</v>
      </c>
      <c r="BV10" s="513">
        <f>+[6]Report1!J15</f>
        <v>0.96795653214739297</v>
      </c>
      <c r="BW10" s="514">
        <f>+[6]Report1!K15</f>
        <v>0.81568874145533454</v>
      </c>
      <c r="BX10" s="514">
        <f>+[6]Report1!BG15</f>
        <v>0.96795653214739297</v>
      </c>
      <c r="BY10" s="514">
        <f>+[6]Report1!BH15</f>
        <v>0.8665194477191922</v>
      </c>
      <c r="BZ10" s="511">
        <f>+[6]Report1!R15</f>
        <v>50.679000000000002</v>
      </c>
      <c r="CA10" s="511">
        <f>+[6]Report1!S15</f>
        <v>304.23500000000001</v>
      </c>
      <c r="CB10" s="515">
        <f>+[6]Report1!X15</f>
        <v>70.399536241497415</v>
      </c>
      <c r="CC10" s="515">
        <f>+[6]Report1!Y15</f>
        <v>75.992300505437328</v>
      </c>
      <c r="CD10" s="511">
        <f>+[6]Report1!AD15</f>
        <v>1.9179541822056474</v>
      </c>
      <c r="CE10" s="511">
        <f>+[6]Report1!AE15</f>
        <v>1.9777474649530786</v>
      </c>
      <c r="CF10" s="515">
        <v>0</v>
      </c>
      <c r="CG10" s="515">
        <v>0</v>
      </c>
      <c r="CH10" s="515">
        <f>+[6]Report1!AP15</f>
        <v>899.63623087423207</v>
      </c>
      <c r="CI10" s="515">
        <f>+[6]Report1!AQ15</f>
        <v>922.16879487593474</v>
      </c>
      <c r="CJ10" s="515">
        <f>+[6]Report1!AV15</f>
        <v>0</v>
      </c>
      <c r="CK10" s="515">
        <f>+[6]Report1!AW15</f>
        <v>65.757062796851301</v>
      </c>
      <c r="CL10" s="515">
        <f>+[6]Report1!$BB15</f>
        <v>0</v>
      </c>
      <c r="CM10" s="516">
        <f>+[6]Report1!$BB15</f>
        <v>0</v>
      </c>
    </row>
    <row r="11" spans="1:91" ht="12.75" customHeight="1">
      <c r="A11" s="558">
        <f t="shared" si="0"/>
        <v>46120</v>
      </c>
      <c r="B11" s="513">
        <f>+Report1!J16</f>
        <v>0.92692772797605072</v>
      </c>
      <c r="C11" s="514">
        <f>+Report1!K16</f>
        <v>0.90934195733146672</v>
      </c>
      <c r="D11" s="514">
        <f>+Report1!AJ16</f>
        <v>0.92692772797605072</v>
      </c>
      <c r="E11" s="514">
        <f>+Report1!AK16</f>
        <v>0.90934195733146672</v>
      </c>
      <c r="F11" s="511">
        <f>+Report1!R16</f>
        <v>59.228999999999999</v>
      </c>
      <c r="G11" s="511">
        <f>+Report1!S16</f>
        <v>471.18099999999998</v>
      </c>
      <c r="H11" s="511">
        <f>+Report1!X16</f>
        <v>2.2471762143544551</v>
      </c>
      <c r="I11" s="511">
        <f>+Report1!Y16</f>
        <v>2.2473423164346609</v>
      </c>
      <c r="J11" s="511">
        <f>+Report1!AD16</f>
        <v>988.75415759168447</v>
      </c>
      <c r="K11" s="512">
        <f>+Report1!AE16</f>
        <v>929.46668053253904</v>
      </c>
      <c r="L11" s="513">
        <f>+[1]Report1!J16</f>
        <v>0.88077379823315094</v>
      </c>
      <c r="M11" s="514">
        <f>+[1]Report1!K16</f>
        <v>0.95191378817151717</v>
      </c>
      <c r="N11" s="514">
        <f>+[1]Report1!BP16</f>
        <v>0.88077379823315094</v>
      </c>
      <c r="O11" s="514">
        <f>+[1]Report1!BQ16</f>
        <v>0.96301095479379095</v>
      </c>
      <c r="P11" s="511">
        <f>+[1]Report1!R16</f>
        <v>53.31</v>
      </c>
      <c r="Q11" s="511">
        <f>+[1]Report1!S16</f>
        <v>530.97399999999993</v>
      </c>
      <c r="R11" s="511">
        <f>+[1]Report1!AL16</f>
        <v>2.1079159632339146</v>
      </c>
      <c r="S11" s="511">
        <f>+[1]Report1!AM16</f>
        <v>2.0938614696764817</v>
      </c>
      <c r="T11" s="511">
        <f>+[1]Report1!AR16</f>
        <v>0</v>
      </c>
      <c r="U11" s="511">
        <f>+[1]Report1!AS16</f>
        <v>0</v>
      </c>
      <c r="V11" s="511">
        <f>+[1]Report1!AX16</f>
        <v>675.658975801878</v>
      </c>
      <c r="W11" s="511">
        <f>+[1]Report1!AY16</f>
        <v>541.33547028667647</v>
      </c>
      <c r="X11" s="511">
        <f>+[1]Report1!BD16</f>
        <v>428.49371600075034</v>
      </c>
      <c r="Y11" s="576">
        <f>+[1]Report1!BE16</f>
        <v>379.44042457822803</v>
      </c>
      <c r="Z11" s="511">
        <f>+[1]Report1!BJ16</f>
        <v>0</v>
      </c>
      <c r="AA11" s="576">
        <f>+[1]Report1!BK16</f>
        <v>0</v>
      </c>
      <c r="AB11" s="513">
        <f>+[2]Report1!J16</f>
        <v>0.81688570620441436</v>
      </c>
      <c r="AC11" s="514">
        <f>+[2]Report1!K16</f>
        <v>0.86494480631832837</v>
      </c>
      <c r="AD11" s="514">
        <f>+[2]Report1!BC16</f>
        <v>0.81688570620441436</v>
      </c>
      <c r="AE11" s="514">
        <f>+[2]Report1!BD16</f>
        <v>0.86494480631832837</v>
      </c>
      <c r="AF11" s="511">
        <f>+[2]Report1!R16</f>
        <v>44.162999999999997</v>
      </c>
      <c r="AG11" s="511">
        <f>+[2]Report1!S16</f>
        <v>313.93200000000002</v>
      </c>
      <c r="AH11" s="511">
        <f>+[2]Report1!X16</f>
        <v>111.15204448672891</v>
      </c>
      <c r="AI11" s="511">
        <f>+[2]Report1!Y16</f>
        <v>131.01596689473607</v>
      </c>
      <c r="AJ11" s="511">
        <f>+[2]Report1!AD16</f>
        <v>1.2000996309127552</v>
      </c>
      <c r="AK11" s="511">
        <f>+[2]Report1!AE16</f>
        <v>1.4092223793687804</v>
      </c>
      <c r="AL11" s="511">
        <f>+[2]Report1!AJ16</f>
        <v>775.14933315216967</v>
      </c>
      <c r="AM11" s="511">
        <f>+[2]Report1!AK16</f>
        <v>953.38175146210244</v>
      </c>
      <c r="AN11" s="511">
        <v>0</v>
      </c>
      <c r="AO11" s="512">
        <v>0</v>
      </c>
      <c r="AP11" s="594">
        <f>+[3]Report1!J16</f>
        <v>0.86112173841226947</v>
      </c>
      <c r="AQ11" s="514">
        <f>+[3]Report1!K16</f>
        <v>0.79208122877339082</v>
      </c>
      <c r="AR11" s="514">
        <f>+[3]Report1!BN16</f>
        <v>0.86112173841226947</v>
      </c>
      <c r="AS11" s="514">
        <f>+[3]Report1!BO16</f>
        <v>0.82722089632036666</v>
      </c>
      <c r="AT11" s="511">
        <f>+[3]Report1!R16</f>
        <v>48.418999999999997</v>
      </c>
      <c r="AU11" s="511">
        <f>+[3]Report1!S16</f>
        <v>342.37899999999996</v>
      </c>
      <c r="AV11" s="515">
        <f>+[3]Report1!AF16</f>
        <v>108.3595469754609</v>
      </c>
      <c r="AW11" s="515">
        <f>+[3]Report1!AG16</f>
        <v>116.53707319141141</v>
      </c>
      <c r="AX11" s="511">
        <f>+[3]Report1!AL16</f>
        <v>1.3569053470744956</v>
      </c>
      <c r="AY11" s="511">
        <f>+[3]Report1!AM16</f>
        <v>1.4729291224052878</v>
      </c>
      <c r="AZ11" s="511">
        <f>+[7]Report1!AR16</f>
        <v>0</v>
      </c>
      <c r="BA11" s="511">
        <f>+[7]Report1!AS16</f>
        <v>0</v>
      </c>
      <c r="BB11" s="511">
        <f>+[3]Report1!AX16</f>
        <v>813.9969846547823</v>
      </c>
      <c r="BC11" s="511">
        <f>+[3]Report1!AY16</f>
        <v>955.56982174724487</v>
      </c>
      <c r="BD11" s="511">
        <f>+[3]Report1!BD16</f>
        <v>512.60868667258433</v>
      </c>
      <c r="BE11" s="576">
        <f>+[3]Report1!BE16</f>
        <v>240.1934698097744</v>
      </c>
      <c r="BF11" s="511">
        <f>+[3]Report1!BJ16</f>
        <v>0</v>
      </c>
      <c r="BG11" s="512">
        <f>+[3]Report1!BK16</f>
        <v>0</v>
      </c>
      <c r="BH11" s="513">
        <f>+[5]Report1!J16</f>
        <v>0.86083540559080773</v>
      </c>
      <c r="BI11" s="514">
        <f>+[5]Report1!K16</f>
        <v>0.87260260722126737</v>
      </c>
      <c r="BJ11" s="514">
        <f>+[5]Report1!AN16</f>
        <v>0.86083540559080773</v>
      </c>
      <c r="BK11" s="514">
        <f>+[5]Report1!AO16</f>
        <v>0.87260260722126737</v>
      </c>
      <c r="BL11" s="511">
        <f>+[5]Report1!R16</f>
        <v>46.26</v>
      </c>
      <c r="BM11" s="511">
        <f>+[5]Report1!S16</f>
        <v>378.66299999999995</v>
      </c>
      <c r="BN11" s="511">
        <f>+[5]Report1!X16</f>
        <v>2.4210981409424992</v>
      </c>
      <c r="BO11" s="511">
        <f>+[5]Report1!Y16</f>
        <v>2.5537219110396316</v>
      </c>
      <c r="BP11" s="515">
        <v>0</v>
      </c>
      <c r="BQ11" s="515">
        <v>0</v>
      </c>
      <c r="BR11" s="515">
        <f>+[5]Report1!AD16</f>
        <v>988.15638897100143</v>
      </c>
      <c r="BS11" s="515">
        <f>+[5]Report1!AE16</f>
        <v>1026.2097201065794</v>
      </c>
      <c r="BT11" s="515">
        <f>+[5]Report1!AJ16</f>
        <v>0</v>
      </c>
      <c r="BU11" s="516">
        <f>+[5]Report1!AK16</f>
        <v>0</v>
      </c>
      <c r="BV11" s="513">
        <f>+[6]Report1!J16</f>
        <v>0.72379670261637452</v>
      </c>
      <c r="BW11" s="514">
        <f>+[6]Report1!K16</f>
        <v>0.80435416795299985</v>
      </c>
      <c r="BX11" s="514">
        <f>+[6]Report1!BG16</f>
        <v>0.72379670261637452</v>
      </c>
      <c r="BY11" s="514">
        <f>+[6]Report1!BH16</f>
        <v>0.84796069055404699</v>
      </c>
      <c r="BZ11" s="511">
        <f>+[6]Report1!R16</f>
        <v>37.984000000000002</v>
      </c>
      <c r="CA11" s="511">
        <f>+[6]Report1!S16</f>
        <v>342.21899999999999</v>
      </c>
      <c r="CB11" s="515">
        <f>+[6]Report1!X16</f>
        <v>89.31474711267245</v>
      </c>
      <c r="CC11" s="515">
        <f>+[6]Report1!Y16</f>
        <v>77.471002190408711</v>
      </c>
      <c r="CD11" s="511">
        <f>+[6]Report1!AD16</f>
        <v>2.4299705139005896</v>
      </c>
      <c r="CE11" s="511">
        <f>+[6]Report1!AE16</f>
        <v>2.027941172173374</v>
      </c>
      <c r="CF11" s="515">
        <v>0</v>
      </c>
      <c r="CG11" s="515">
        <v>0</v>
      </c>
      <c r="CH11" s="515">
        <f>+[6]Report1!AP16</f>
        <v>1126.4386438026816</v>
      </c>
      <c r="CI11" s="515">
        <f>+[6]Report1!AQ16</f>
        <v>944.84136986923875</v>
      </c>
      <c r="CJ11" s="515">
        <f>+[6]Report1!AV16</f>
        <v>0</v>
      </c>
      <c r="CK11" s="515">
        <f>+[6]Report1!AW16</f>
        <v>58.458472498604863</v>
      </c>
      <c r="CL11" s="515">
        <f>+[6]Report1!$BB16</f>
        <v>0</v>
      </c>
      <c r="CM11" s="516">
        <f>+[6]Report1!$BB16</f>
        <v>0</v>
      </c>
    </row>
    <row r="12" spans="1:91" ht="12.75" customHeight="1">
      <c r="A12" s="558">
        <f t="shared" si="0"/>
        <v>46121</v>
      </c>
      <c r="B12" s="513">
        <f>+Report1!J17</f>
        <v>0.94365129194850539</v>
      </c>
      <c r="C12" s="514">
        <f>+Report1!K17</f>
        <v>0.91317566690724805</v>
      </c>
      <c r="D12" s="514">
        <f>+Report1!AJ17</f>
        <v>0.94365129194850539</v>
      </c>
      <c r="E12" s="514">
        <f>+Report1!AK17</f>
        <v>0.91317566690724805</v>
      </c>
      <c r="F12" s="511">
        <f>+Report1!R17</f>
        <v>61.509</v>
      </c>
      <c r="G12" s="511">
        <f>+Report1!S17</f>
        <v>532.68999999999994</v>
      </c>
      <c r="H12" s="511">
        <f>+Report1!X17</f>
        <v>2.1663821554569251</v>
      </c>
      <c r="I12" s="511">
        <f>+Report1!Y17</f>
        <v>2.2379939552084704</v>
      </c>
      <c r="J12" s="511">
        <f>+Report1!AD17</f>
        <v>868.56850217040744</v>
      </c>
      <c r="K12" s="512">
        <f>+Report1!AE17</f>
        <v>922.43484953725795</v>
      </c>
      <c r="L12" s="513">
        <f>+[1]Report1!J17</f>
        <v>0.87403084162558697</v>
      </c>
      <c r="M12" s="514">
        <f>+[1]Report1!K17</f>
        <v>0.94374022445655315</v>
      </c>
      <c r="N12" s="514">
        <f>+[1]Report1!BP17</f>
        <v>0.87403084162558697</v>
      </c>
      <c r="O12" s="514">
        <f>+[1]Report1!BQ17</f>
        <v>0.95357546101127011</v>
      </c>
      <c r="P12" s="511">
        <f>+[1]Report1!R17</f>
        <v>57.164000000000001</v>
      </c>
      <c r="Q12" s="511">
        <f>+[1]Report1!S17</f>
        <v>588.13799999999992</v>
      </c>
      <c r="R12" s="511">
        <f>+[1]Report1!AL17</f>
        <v>1.8584773633755509</v>
      </c>
      <c r="S12" s="511">
        <f>+[1]Report1!AM17</f>
        <v>2.0709833406445433</v>
      </c>
      <c r="T12" s="511">
        <f>+[1]Report1!AR17</f>
        <v>0</v>
      </c>
      <c r="U12" s="511">
        <f>+[1]Report1!AS17</f>
        <v>0</v>
      </c>
      <c r="V12" s="511">
        <f>+[1]Report1!AX17</f>
        <v>527.73196417326324</v>
      </c>
      <c r="W12" s="511">
        <f>+[1]Report1!AY17</f>
        <v>540.01327919637606</v>
      </c>
      <c r="X12" s="511">
        <f>+[1]Report1!BD17</f>
        <v>395.42369323350363</v>
      </c>
      <c r="Y12" s="576">
        <f>+[1]Report1!BE17</f>
        <v>380.9939163937716</v>
      </c>
      <c r="Z12" s="511">
        <f>+[1]Report1!BJ17</f>
        <v>0</v>
      </c>
      <c r="AA12" s="576">
        <f>+[1]Report1!BK17</f>
        <v>0</v>
      </c>
      <c r="AB12" s="513">
        <f>+[2]Report1!J17</f>
        <v>7.6207396674792843E-2</v>
      </c>
      <c r="AC12" s="514">
        <f>+[2]Report1!K17</f>
        <v>0.76433591035556048</v>
      </c>
      <c r="AD12" s="514">
        <f>+[2]Report1!BC17</f>
        <v>7.6207396674792843E-2</v>
      </c>
      <c r="AE12" s="514">
        <f>+[2]Report1!BD17</f>
        <v>0.76433591035556048</v>
      </c>
      <c r="AF12" s="511">
        <f>+[2]Report1!R17</f>
        <v>4.0439999999999996</v>
      </c>
      <c r="AG12" s="511">
        <f>+[2]Report1!S17</f>
        <v>317.976</v>
      </c>
      <c r="AH12" s="511">
        <f>+[2]Report1!X17</f>
        <v>305.79666375921352</v>
      </c>
      <c r="AI12" s="511">
        <f>+[2]Report1!Y17</f>
        <v>133.23881748132104</v>
      </c>
      <c r="AJ12" s="511">
        <f>+[2]Report1!AD17</f>
        <v>4.6488625123639968</v>
      </c>
      <c r="AK12" s="511">
        <f>+[2]Report1!AE17</f>
        <v>1.4504239313658893</v>
      </c>
      <c r="AL12" s="511">
        <f>+[2]Report1!AJ17</f>
        <v>3366.6617210683394</v>
      </c>
      <c r="AM12" s="511">
        <f>+[2]Report1!AK17</f>
        <v>984.07370367575265</v>
      </c>
      <c r="AN12" s="511">
        <v>0</v>
      </c>
      <c r="AO12" s="512">
        <v>0</v>
      </c>
      <c r="AP12" s="594">
        <f>+[3]Report1!J17</f>
        <v>0.75230938292136096</v>
      </c>
      <c r="AQ12" s="514">
        <f>+[3]Report1!K17</f>
        <v>0.78767532471842938</v>
      </c>
      <c r="AR12" s="514">
        <f>+[3]Report1!BN17</f>
        <v>0.75230938292136096</v>
      </c>
      <c r="AS12" s="514">
        <f>+[3]Report1!BO17</f>
        <v>0.81859646470278979</v>
      </c>
      <c r="AT12" s="511">
        <f>+[3]Report1!R17</f>
        <v>40.512</v>
      </c>
      <c r="AU12" s="511">
        <f>+[3]Report1!S17</f>
        <v>382.89099999999996</v>
      </c>
      <c r="AV12" s="515">
        <f>+[3]Report1!AF17</f>
        <v>125.90409198261973</v>
      </c>
      <c r="AW12" s="515">
        <f>+[3]Report1!AG17</f>
        <v>117.52815594151373</v>
      </c>
      <c r="AX12" s="511">
        <f>+[3]Report1!AL17</f>
        <v>1.5797788309636651</v>
      </c>
      <c r="AY12" s="511">
        <f>+[3]Report1!AM17</f>
        <v>1.4842344165833097</v>
      </c>
      <c r="AZ12" s="511">
        <f>+[7]Report1!AR17</f>
        <v>0</v>
      </c>
      <c r="BA12" s="511">
        <f>+[7]Report1!AS17</f>
        <v>0</v>
      </c>
      <c r="BB12" s="511">
        <f>+[3]Report1!AX17</f>
        <v>915.89603080568793</v>
      </c>
      <c r="BC12" s="511">
        <f>+[3]Report1!AY17</f>
        <v>951.37211373471814</v>
      </c>
      <c r="BD12" s="511">
        <f>+[3]Report1!BD17</f>
        <v>656.59557661927442</v>
      </c>
      <c r="BE12" s="576">
        <f>+[3]Report1!BE17</f>
        <v>284.25113152307262</v>
      </c>
      <c r="BF12" s="511">
        <f>+[3]Report1!BJ17</f>
        <v>0</v>
      </c>
      <c r="BG12" s="512">
        <f>+[3]Report1!BK17</f>
        <v>0</v>
      </c>
      <c r="BH12" s="513">
        <f>+[5]Report1!J17</f>
        <v>0.9137955777549116</v>
      </c>
      <c r="BI12" s="514">
        <f>+[5]Report1!K17</f>
        <v>0.8771417000907743</v>
      </c>
      <c r="BJ12" s="514">
        <f>+[5]Report1!AN17</f>
        <v>0.9137955777549116</v>
      </c>
      <c r="BK12" s="514">
        <f>+[5]Report1!AO17</f>
        <v>0.8771417000907743</v>
      </c>
      <c r="BL12" s="511">
        <f>+[5]Report1!R17</f>
        <v>49.106000000000002</v>
      </c>
      <c r="BM12" s="511">
        <f>+[5]Report1!S17</f>
        <v>427.76899999999995</v>
      </c>
      <c r="BN12" s="511">
        <f>+[5]Report1!X17</f>
        <v>2.5984604732619232</v>
      </c>
      <c r="BO12" s="511">
        <f>+[5]Report1!Y17</f>
        <v>2.5588577012359477</v>
      </c>
      <c r="BP12" s="515">
        <v>0</v>
      </c>
      <c r="BQ12" s="515">
        <v>0</v>
      </c>
      <c r="BR12" s="515">
        <f>+[5]Report1!AD17</f>
        <v>996.83763548888339</v>
      </c>
      <c r="BS12" s="515">
        <f>+[5]Report1!AE17</f>
        <v>1022.8379339621027</v>
      </c>
      <c r="BT12" s="515">
        <f>+[5]Report1!AJ17</f>
        <v>0</v>
      </c>
      <c r="BU12" s="516">
        <f>+[5]Report1!AK17</f>
        <v>0</v>
      </c>
      <c r="BV12" s="513">
        <f>+[6]Report1!J17</f>
        <v>0.90800433541419712</v>
      </c>
      <c r="BW12" s="514">
        <f>+[6]Report1!K17</f>
        <v>0.81573524900343608</v>
      </c>
      <c r="BX12" s="514">
        <f>+[6]Report1!BG17</f>
        <v>0.90800433541419712</v>
      </c>
      <c r="BY12" s="514">
        <f>+[6]Report1!BH17</f>
        <v>0.85486994802374938</v>
      </c>
      <c r="BZ12" s="511">
        <f>+[6]Report1!R17</f>
        <v>47.651000000000003</v>
      </c>
      <c r="CA12" s="511">
        <f>+[6]Report1!S17</f>
        <v>389.87</v>
      </c>
      <c r="CB12" s="515">
        <f>+[6]Report1!X17</f>
        <v>84.441705680003594</v>
      </c>
      <c r="CC12" s="515">
        <f>+[6]Report1!Y17</f>
        <v>78.322981034594434</v>
      </c>
      <c r="CD12" s="511">
        <f>+[6]Report1!AD17</f>
        <v>2.0608171916643929</v>
      </c>
      <c r="CE12" s="511">
        <f>+[6]Report1!AE17</f>
        <v>2.0319593710724084</v>
      </c>
      <c r="CF12" s="515">
        <v>0</v>
      </c>
      <c r="CG12" s="515">
        <v>0</v>
      </c>
      <c r="CH12" s="515">
        <f>+[6]Report1!AP17</f>
        <v>892.18759462935873</v>
      </c>
      <c r="CI12" s="515">
        <f>+[6]Report1!AQ17</f>
        <v>938.40587843887613</v>
      </c>
      <c r="CJ12" s="515">
        <f>+[6]Report1!AV17</f>
        <v>0</v>
      </c>
      <c r="CK12" s="515">
        <f>+[6]Report1!AW17</f>
        <v>51.313514761330843</v>
      </c>
      <c r="CL12" s="515">
        <f>+[6]Report1!$BB17</f>
        <v>0</v>
      </c>
      <c r="CM12" s="516">
        <f>+[6]Report1!$BB17</f>
        <v>0</v>
      </c>
    </row>
    <row r="13" spans="1:91" ht="12.75" customHeight="1">
      <c r="A13" s="558">
        <f t="shared" si="0"/>
        <v>46122</v>
      </c>
      <c r="B13" s="513">
        <f>+Report1!J18</f>
        <v>0.83113884425451567</v>
      </c>
      <c r="C13" s="514">
        <f>+Report1!K18</f>
        <v>0.90346802185403419</v>
      </c>
      <c r="D13" s="514">
        <f>+Report1!AJ18</f>
        <v>0.83113884425451567</v>
      </c>
      <c r="E13" s="514">
        <f>+Report1!AK18</f>
        <v>0.90346802185403419</v>
      </c>
      <c r="F13" s="511">
        <f>+Report1!R18</f>
        <v>65.072000000000003</v>
      </c>
      <c r="G13" s="511">
        <f>+Report1!S18</f>
        <v>597.76199999999994</v>
      </c>
      <c r="H13" s="511">
        <f>+Report1!X18</f>
        <v>2.3505655274157853</v>
      </c>
      <c r="I13" s="511">
        <f>+Report1!Y18</f>
        <v>2.2502484266313347</v>
      </c>
      <c r="J13" s="511">
        <f>+Report1!AD18</f>
        <v>886.88130071306023</v>
      </c>
      <c r="K13" s="512">
        <f>+Report1!AE18</f>
        <v>918.56451229753986</v>
      </c>
      <c r="L13" s="513">
        <f>+[1]Report1!J18</f>
        <v>0.97044671957673512</v>
      </c>
      <c r="M13" s="514">
        <f>+[1]Report1!K18</f>
        <v>0.94618740926064027</v>
      </c>
      <c r="N13" s="514">
        <f>+[1]Report1!BP18</f>
        <v>0.97044671957673512</v>
      </c>
      <c r="O13" s="514">
        <f>+[1]Report1!BQ18</f>
        <v>0.95513603879359266</v>
      </c>
      <c r="P13" s="511">
        <f>+[1]Report1!R18</f>
        <v>61.008000000000003</v>
      </c>
      <c r="Q13" s="511">
        <f>+[1]Report1!S18</f>
        <v>649.14599999999996</v>
      </c>
      <c r="R13" s="511">
        <f>+[1]Report1!AL18</f>
        <v>1.8442007605559925</v>
      </c>
      <c r="S13" s="511">
        <f>+[1]Report1!AM18</f>
        <v>2.0496698739574768</v>
      </c>
      <c r="T13" s="511">
        <f>+[1]Report1!AR18</f>
        <v>0</v>
      </c>
      <c r="U13" s="511">
        <f>+[1]Report1!AS18</f>
        <v>0</v>
      </c>
      <c r="V13" s="511">
        <f>+[1]Report1!AX18</f>
        <v>498.51347364279678</v>
      </c>
      <c r="W13" s="511">
        <f>+[1]Report1!AY18</f>
        <v>536.11304698788558</v>
      </c>
      <c r="X13" s="511">
        <f>+[1]Report1!BD18</f>
        <v>375.19669551534224</v>
      </c>
      <c r="Y13" s="576">
        <f>+[1]Report1!BE18</f>
        <v>380.44908233278801</v>
      </c>
      <c r="Z13" s="511">
        <f>+[1]Report1!BJ18</f>
        <v>0</v>
      </c>
      <c r="AA13" s="576">
        <f>+[1]Report1!BK18</f>
        <v>0</v>
      </c>
      <c r="AB13" s="513">
        <f>+[2]Report1!J18</f>
        <v>0.67229957799797813</v>
      </c>
      <c r="AC13" s="514">
        <f>+[2]Report1!K18</f>
        <v>0.7553528640261109</v>
      </c>
      <c r="AD13" s="514">
        <f>+[2]Report1!BC18</f>
        <v>0.67229957799797813</v>
      </c>
      <c r="AE13" s="514">
        <f>+[2]Report1!BD18</f>
        <v>0.7553528640261109</v>
      </c>
      <c r="AF13" s="511">
        <f>+[2]Report1!R18</f>
        <v>30.251000000000001</v>
      </c>
      <c r="AG13" s="511">
        <f>+[2]Report1!S18</f>
        <v>348.22699999999998</v>
      </c>
      <c r="AH13" s="511">
        <f>+[2]Report1!X18</f>
        <v>164.0863936341743</v>
      </c>
      <c r="AI13" s="511">
        <f>+[2]Report1!Y18</f>
        <v>135.9185925309294</v>
      </c>
      <c r="AJ13" s="511">
        <f>+[2]Report1!AD18</f>
        <v>1.9602657763379721</v>
      </c>
      <c r="AK13" s="511">
        <f>+[2]Report1!AE18</f>
        <v>1.4947146545213326</v>
      </c>
      <c r="AL13" s="511">
        <f>+[2]Report1!AJ18</f>
        <v>1112.7281742751945</v>
      </c>
      <c r="AM13" s="511">
        <f>+[2]Report1!AK18</f>
        <v>995.25010984214327</v>
      </c>
      <c r="AN13" s="511">
        <v>0</v>
      </c>
      <c r="AO13" s="512">
        <v>0</v>
      </c>
      <c r="AP13" s="594">
        <f>+[3]Report1!J18</f>
        <v>0.92388267199715368</v>
      </c>
      <c r="AQ13" s="514">
        <f>+[3]Report1!K18</f>
        <v>0.80216849704584903</v>
      </c>
      <c r="AR13" s="514">
        <f>+[3]Report1!BN18</f>
        <v>0.92388267199715368</v>
      </c>
      <c r="AS13" s="514">
        <f>+[3]Report1!BO18</f>
        <v>0.83019082331555694</v>
      </c>
      <c r="AT13" s="511">
        <f>+[3]Report1!R18</f>
        <v>53.476999999999997</v>
      </c>
      <c r="AU13" s="511">
        <f>+[3]Report1!S18</f>
        <v>436.36799999999994</v>
      </c>
      <c r="AV13" s="515">
        <f>+[3]Report1!AF18</f>
        <v>104.12891784524957</v>
      </c>
      <c r="AW13" s="515">
        <f>+[3]Report1!AG18</f>
        <v>115.8860761930585</v>
      </c>
      <c r="AX13" s="511">
        <f>+[3]Report1!AL18</f>
        <v>1.3463732071731773</v>
      </c>
      <c r="AY13" s="511">
        <f>+[3]Report1!AM18</f>
        <v>1.4673394932717341</v>
      </c>
      <c r="AZ13" s="511">
        <f>+[7]Report1!AR18</f>
        <v>0</v>
      </c>
      <c r="BA13" s="511">
        <f>+[7]Report1!AS18</f>
        <v>0</v>
      </c>
      <c r="BB13" s="511">
        <f>+[3]Report1!AX18</f>
        <v>742.0225517512207</v>
      </c>
      <c r="BC13" s="511">
        <f>+[3]Report1!AY18</f>
        <v>925.71627617057163</v>
      </c>
      <c r="BD13" s="511">
        <f>+[3]Report1!BD18</f>
        <v>532.93939450605103</v>
      </c>
      <c r="BE13" s="576">
        <f>+[3]Report1!BE18</f>
        <v>314.72793605397487</v>
      </c>
      <c r="BF13" s="511">
        <f>+[3]Report1!BJ18</f>
        <v>0</v>
      </c>
      <c r="BG13" s="512">
        <f>+[3]Report1!BK18</f>
        <v>0</v>
      </c>
      <c r="BH13" s="513">
        <f>+[5]Report1!J18</f>
        <v>1.0584032720230951</v>
      </c>
      <c r="BI13" s="514">
        <f>+[5]Report1!K18</f>
        <v>0.89513264664878411</v>
      </c>
      <c r="BJ13" s="514">
        <f>+[5]Report1!AN18</f>
        <v>1.0584032720230951</v>
      </c>
      <c r="BK13" s="514">
        <f>+[5]Report1!AO18</f>
        <v>0.89513264664878411</v>
      </c>
      <c r="BL13" s="511">
        <f>+[5]Report1!R18</f>
        <v>56.877000000000002</v>
      </c>
      <c r="BM13" s="511">
        <f>+[5]Report1!S18</f>
        <v>484.64599999999996</v>
      </c>
      <c r="BN13" s="511">
        <f>+[5]Report1!X18</f>
        <v>2.2364048736747719</v>
      </c>
      <c r="BO13" s="511">
        <f>+[5]Report1!Y18</f>
        <v>2.5210153390309631</v>
      </c>
      <c r="BP13" s="515">
        <v>0</v>
      </c>
      <c r="BQ13" s="515">
        <v>0</v>
      </c>
      <c r="BR13" s="515">
        <f>+[5]Report1!AD18</f>
        <v>853.82567797278671</v>
      </c>
      <c r="BS13" s="515">
        <f>+[5]Report1!AE18</f>
        <v>1003.0030233595097</v>
      </c>
      <c r="BT13" s="515">
        <f>+[5]Report1!AJ18</f>
        <v>0</v>
      </c>
      <c r="BU13" s="516">
        <f>+[5]Report1!AK18</f>
        <v>0</v>
      </c>
      <c r="BV13" s="513">
        <f>+[6]Report1!J18</f>
        <v>0.87730645200379209</v>
      </c>
      <c r="BW13" s="514">
        <f>+[6]Report1!K18</f>
        <v>0.82184158478513536</v>
      </c>
      <c r="BX13" s="514">
        <f>+[6]Report1!BG18</f>
        <v>0.87730645200379209</v>
      </c>
      <c r="BY13" s="514">
        <f>+[6]Report1!BH18</f>
        <v>0.85719080094503286</v>
      </c>
      <c r="BZ13" s="511">
        <f>+[6]Report1!R18</f>
        <v>46.161999999999999</v>
      </c>
      <c r="CA13" s="511">
        <f>+[6]Report1!S18</f>
        <v>436.03199999999998</v>
      </c>
      <c r="CB13" s="515">
        <f>+[6]Report1!X18</f>
        <v>82.269407013608202</v>
      </c>
      <c r="CC13" s="515">
        <f>+[6]Report1!Y18</f>
        <v>78.74078274649456</v>
      </c>
      <c r="CD13" s="511">
        <f>+[6]Report1!AD18</f>
        <v>2.1597851046315153</v>
      </c>
      <c r="CE13" s="511">
        <f>+[6]Report1!AE18</f>
        <v>2.0454920739762219</v>
      </c>
      <c r="CF13" s="515">
        <v>0</v>
      </c>
      <c r="CG13" s="515">
        <v>0</v>
      </c>
      <c r="CH13" s="515">
        <f>+[6]Report1!AP18</f>
        <v>958.37218738228796</v>
      </c>
      <c r="CI13" s="515">
        <f>+[6]Report1!AQ18</f>
        <v>940.51967915406624</v>
      </c>
      <c r="CJ13" s="515">
        <f>+[6]Report1!AV18</f>
        <v>0</v>
      </c>
      <c r="CK13" s="515">
        <f>+[6]Report1!AW18</f>
        <v>45.881036254220007</v>
      </c>
      <c r="CL13" s="515">
        <f>+[6]Report1!$BB18</f>
        <v>0</v>
      </c>
      <c r="CM13" s="516">
        <f>+[6]Report1!$BB18</f>
        <v>0</v>
      </c>
    </row>
    <row r="14" spans="1:91" ht="12.75" customHeight="1">
      <c r="A14" s="558">
        <f t="shared" si="0"/>
        <v>46123</v>
      </c>
      <c r="B14" s="513">
        <f>+Report1!J19</f>
        <v>0.96245606085571489</v>
      </c>
      <c r="C14" s="514">
        <f>+Report1!K19</f>
        <v>0.91010622676596453</v>
      </c>
      <c r="D14" s="514">
        <f>+Report1!AJ19</f>
        <v>0.96245606085571489</v>
      </c>
      <c r="E14" s="514">
        <f>+Report1!AK19</f>
        <v>0.91010622676596453</v>
      </c>
      <c r="F14" s="511">
        <f>+Report1!R19</f>
        <v>80.748000000000005</v>
      </c>
      <c r="G14" s="511">
        <f>+Report1!S19</f>
        <v>678.51</v>
      </c>
      <c r="H14" s="511">
        <f>+Report1!X19</f>
        <v>1.8942388665973149</v>
      </c>
      <c r="I14" s="511">
        <f>+Report1!Y19</f>
        <v>2.2078805028665749</v>
      </c>
      <c r="J14" s="511">
        <f>+Report1!AD19</f>
        <v>700.07504829840764</v>
      </c>
      <c r="K14" s="512">
        <f>+Report1!AE19</f>
        <v>892.56255618929993</v>
      </c>
      <c r="L14" s="513">
        <f>+[1]Report1!J19</f>
        <v>8.2479420626900973E-2</v>
      </c>
      <c r="M14" s="514">
        <f>+[1]Report1!K19</f>
        <v>0.87150460585215761</v>
      </c>
      <c r="N14" s="514">
        <f>+[1]Report1!BP19</f>
        <v>1.6967195100391057</v>
      </c>
      <c r="O14" s="514">
        <f>+[1]Report1!BQ19</f>
        <v>0.95856451330608949</v>
      </c>
      <c r="P14" s="511">
        <f>+[1]Report1!R19</f>
        <v>5.3559999999999999</v>
      </c>
      <c r="Q14" s="511">
        <f>+[1]Report1!S19</f>
        <v>654.50199999999995</v>
      </c>
      <c r="R14" s="511">
        <f>+[1]Report1!AL19</f>
        <v>1.2042569081404031</v>
      </c>
      <c r="S14" s="511">
        <f>+[1]Report1!AM19</f>
        <v>2.0427515882304412</v>
      </c>
      <c r="T14" s="511">
        <f>+[1]Report1!AR19</f>
        <v>0</v>
      </c>
      <c r="U14" s="511">
        <f>+[1]Report1!AS19</f>
        <v>0</v>
      </c>
      <c r="V14" s="511">
        <f>+[1]Report1!AX19</f>
        <v>870.42382374932595</v>
      </c>
      <c r="W14" s="511">
        <f>+[1]Report1!AY19</f>
        <v>538.84881940773187</v>
      </c>
      <c r="X14" s="511">
        <f>+[1]Report1!BD19</f>
        <v>160.56758775205375</v>
      </c>
      <c r="Y14" s="576">
        <f>+[1]Report1!BE19</f>
        <v>378.64972146761966</v>
      </c>
      <c r="Z14" s="511">
        <f>+[1]Report1!BJ19</f>
        <v>0</v>
      </c>
      <c r="AA14" s="576">
        <f>+[1]Report1!BK19</f>
        <v>0</v>
      </c>
      <c r="AB14" s="513">
        <f>+[2]Report1!J19</f>
        <v>0.88267107079737062</v>
      </c>
      <c r="AC14" s="514">
        <f>+[2]Report1!K19</f>
        <v>0.7665731471738898</v>
      </c>
      <c r="AD14" s="514">
        <f>+[2]Report1!BC19</f>
        <v>0.88267107079737062</v>
      </c>
      <c r="AE14" s="514">
        <f>+[2]Report1!BD19</f>
        <v>0.7665731471738898</v>
      </c>
      <c r="AF14" s="511">
        <f>+[2]Report1!R19</f>
        <v>39.326999999999998</v>
      </c>
      <c r="AG14" s="511">
        <f>+[2]Report1!S19</f>
        <v>387.55399999999997</v>
      </c>
      <c r="AH14" s="511">
        <f>+[2]Report1!X19</f>
        <v>137.9187005614167</v>
      </c>
      <c r="AI14" s="511">
        <f>+[2]Report1!Y19</f>
        <v>136.12155327579327</v>
      </c>
      <c r="AJ14" s="511">
        <f>+[2]Report1!AD19</f>
        <v>1.4748137411956164</v>
      </c>
      <c r="AK14" s="511">
        <f>+[2]Report1!AE19</f>
        <v>1.4926952115060095</v>
      </c>
      <c r="AL14" s="511">
        <f>+[2]Report1!AJ19</f>
        <v>910.30742238157927</v>
      </c>
      <c r="AM14" s="511">
        <f>+[2]Report1!AK19</f>
        <v>986.63055987036751</v>
      </c>
      <c r="AN14" s="511">
        <v>0</v>
      </c>
      <c r="AO14" s="512">
        <v>0</v>
      </c>
      <c r="AP14" s="594">
        <f>+[3]Report1!J19</f>
        <v>1.0139383030223927</v>
      </c>
      <c r="AQ14" s="514">
        <f>+[3]Report1!K19</f>
        <v>0.8229111842751673</v>
      </c>
      <c r="AR14" s="514">
        <f>+[3]Report1!BN19</f>
        <v>1.0139383030223927</v>
      </c>
      <c r="AS14" s="514">
        <f>+[3]Report1!BO19</f>
        <v>0.84875395376338991</v>
      </c>
      <c r="AT14" s="511">
        <f>+[3]Report1!R19</f>
        <v>59.892000000000003</v>
      </c>
      <c r="AU14" s="511">
        <f>+[3]Report1!S19</f>
        <v>496.25999999999993</v>
      </c>
      <c r="AV14" s="515">
        <f>+[3]Report1!AF19</f>
        <v>92.836452497481133</v>
      </c>
      <c r="AW14" s="515">
        <f>+[3]Report1!AG19</f>
        <v>113.1042923249742</v>
      </c>
      <c r="AX14" s="511">
        <f>+[3]Report1!AL19</f>
        <v>1.2155212716222532</v>
      </c>
      <c r="AY14" s="511">
        <f>+[3]Report1!AM19</f>
        <v>1.4369483738362956</v>
      </c>
      <c r="AZ14" s="511">
        <f>+[7]Report1!AR19</f>
        <v>0</v>
      </c>
      <c r="BA14" s="511">
        <f>+[7]Report1!AS19</f>
        <v>0</v>
      </c>
      <c r="BB14" s="511">
        <f>+[3]Report1!AX19</f>
        <v>699.58692312829839</v>
      </c>
      <c r="BC14" s="511">
        <f>+[3]Report1!AY19</f>
        <v>898.42546245919482</v>
      </c>
      <c r="BD14" s="511">
        <f>+[3]Report1!BD19</f>
        <v>493.22113136979971</v>
      </c>
      <c r="BE14" s="576">
        <f>+[3]Report1!BE19</f>
        <v>336.26969733607575</v>
      </c>
      <c r="BF14" s="511">
        <f>+[3]Report1!BJ19</f>
        <v>0</v>
      </c>
      <c r="BG14" s="512">
        <f>+[3]Report1!BK19</f>
        <v>0</v>
      </c>
      <c r="BH14" s="513">
        <f>+[5]Report1!J19</f>
        <v>0.81268286908475418</v>
      </c>
      <c r="BI14" s="514">
        <f>+[5]Report1!K19</f>
        <v>0.88767526177684164</v>
      </c>
      <c r="BJ14" s="514">
        <f>+[5]Report1!AN19</f>
        <v>0.81268286908475418</v>
      </c>
      <c r="BK14" s="514">
        <f>+[5]Report1!AO19</f>
        <v>0.88767526177684164</v>
      </c>
      <c r="BL14" s="511">
        <f>+[5]Report1!R19</f>
        <v>43.755000000000003</v>
      </c>
      <c r="BM14" s="511">
        <f>+[5]Report1!S19</f>
        <v>528.40099999999995</v>
      </c>
      <c r="BN14" s="511">
        <f>+[5]Report1!X19</f>
        <v>2.9299508627585413</v>
      </c>
      <c r="BO14" s="511">
        <f>+[5]Report1!Y19</f>
        <v>2.5548778295271966</v>
      </c>
      <c r="BP14" s="515">
        <v>0</v>
      </c>
      <c r="BQ14" s="515">
        <v>0</v>
      </c>
      <c r="BR14" s="515">
        <f>+[5]Report1!AD19</f>
        <v>1059.6520136418449</v>
      </c>
      <c r="BS14" s="515">
        <f>+[5]Report1!AE19</f>
        <v>1007.6939239630351</v>
      </c>
      <c r="BT14" s="515">
        <f>+[5]Report1!AJ19</f>
        <v>0</v>
      </c>
      <c r="BU14" s="516">
        <f>+[5]Report1!AK19</f>
        <v>0</v>
      </c>
      <c r="BV14" s="513">
        <f>+[6]Report1!J19</f>
        <v>0.99944396243782274</v>
      </c>
      <c r="BW14" s="514">
        <f>+[6]Report1!K19</f>
        <v>0.83805477346431445</v>
      </c>
      <c r="BX14" s="514">
        <f>+[6]Report1!BG19</f>
        <v>0.99944396243782274</v>
      </c>
      <c r="BY14" s="514">
        <f>+[6]Report1!BH19</f>
        <v>0.87068257429555329</v>
      </c>
      <c r="BZ14" s="511">
        <f>+[6]Report1!R19</f>
        <v>53.27</v>
      </c>
      <c r="CA14" s="511">
        <f>+[6]Report1!S19</f>
        <v>489.30199999999996</v>
      </c>
      <c r="CB14" s="515">
        <f>+[6]Report1!X19</f>
        <v>72.722178525286722</v>
      </c>
      <c r="CC14" s="515">
        <f>+[6]Report1!Y19</f>
        <v>78.085541102553307</v>
      </c>
      <c r="CD14" s="511">
        <f>+[6]Report1!AD19</f>
        <v>1.8678430636380701</v>
      </c>
      <c r="CE14" s="511">
        <f>+[6]Report1!AE19</f>
        <v>2.0261515383137612</v>
      </c>
      <c r="CF14" s="515">
        <v>0</v>
      </c>
      <c r="CG14" s="515">
        <v>0</v>
      </c>
      <c r="CH14" s="515">
        <f>+[6]Report1!AP19</f>
        <v>843.13696532946994</v>
      </c>
      <c r="CI14" s="515">
        <f>+[6]Report1!AQ19</f>
        <v>929.91768454657188</v>
      </c>
      <c r="CJ14" s="515">
        <f>+[6]Report1!AV19</f>
        <v>0</v>
      </c>
      <c r="CK14" s="515">
        <f>+[6]Report1!AW19</f>
        <v>40.885996787260339</v>
      </c>
      <c r="CL14" s="515">
        <f>+[6]Report1!$BB19</f>
        <v>0</v>
      </c>
      <c r="CM14" s="516">
        <f>+[6]Report1!$BB19</f>
        <v>0</v>
      </c>
    </row>
    <row r="15" spans="1:91" ht="12.75" customHeight="1">
      <c r="A15" s="558">
        <f t="shared" si="0"/>
        <v>46124</v>
      </c>
      <c r="B15" s="513">
        <f>+Report1!J20</f>
        <v>1.0960021047342328</v>
      </c>
      <c r="C15" s="514">
        <f>+Report1!K20</f>
        <v>0.92839434958834022</v>
      </c>
      <c r="D15" s="514">
        <f>+Report1!AJ20</f>
        <v>1.0960021047342328</v>
      </c>
      <c r="E15" s="514">
        <f>+Report1!AK20</f>
        <v>0.92839434958834022</v>
      </c>
      <c r="F15" s="511">
        <f>+Report1!R20</f>
        <v>89.156000000000006</v>
      </c>
      <c r="G15" s="511">
        <f>+Report1!S20</f>
        <v>767.66599999999994</v>
      </c>
      <c r="H15" s="511">
        <f>+Report1!X20</f>
        <v>1.7666898470097356</v>
      </c>
      <c r="I15" s="511">
        <f>+Report1!Y20</f>
        <v>2.1566410392019444</v>
      </c>
      <c r="J15" s="511">
        <f>+Report1!AD20</f>
        <v>660.79860020637307</v>
      </c>
      <c r="K15" s="512">
        <f>+Report1!AE20</f>
        <v>865.64571050430948</v>
      </c>
      <c r="L15" s="513">
        <f>+[1]Report1!J20</f>
        <v>0.33826628115870461</v>
      </c>
      <c r="M15" s="514">
        <f>+[1]Report1!K20</f>
        <v>0.8370119838293687</v>
      </c>
      <c r="N15" s="514">
        <f>+[1]Report1!BP20</f>
        <v>0.44894326715993982</v>
      </c>
      <c r="O15" s="514">
        <f>+[1]Report1!BQ20</f>
        <v>0.93093907302440637</v>
      </c>
      <c r="P15" s="511">
        <f>+[1]Report1!R20</f>
        <v>17.568999999999999</v>
      </c>
      <c r="Q15" s="511">
        <f>+[1]Report1!S20</f>
        <v>672.07099999999991</v>
      </c>
      <c r="R15" s="511">
        <f>+[1]Report1!AL20</f>
        <v>6.1137799533268833</v>
      </c>
      <c r="S15" s="511">
        <f>+[1]Report1!AM20</f>
        <v>2.1491747151714629</v>
      </c>
      <c r="T15" s="511">
        <f>+[1]Report1!AR20</f>
        <v>0</v>
      </c>
      <c r="U15" s="511">
        <f>+[1]Report1!AS20</f>
        <v>0</v>
      </c>
      <c r="V15" s="511">
        <f>+[1]Report1!AX20</f>
        <v>1523.9307871818935</v>
      </c>
      <c r="W15" s="511">
        <f>+[1]Report1!AY20</f>
        <v>564.60042168163488</v>
      </c>
      <c r="X15" s="511">
        <f>+[1]Report1!BD20</f>
        <v>1122.4884740167324</v>
      </c>
      <c r="Y15" s="576">
        <f>+[1]Report1!BE20</f>
        <v>398.09484414593112</v>
      </c>
      <c r="Z15" s="511">
        <f>+[1]Report1!BJ20</f>
        <v>25.102737776765991</v>
      </c>
      <c r="AA15" s="576">
        <f>+[1]Report1!BK20</f>
        <v>0.65622530952831148</v>
      </c>
      <c r="AB15" s="513">
        <f>+[2]Report1!J20</f>
        <v>0.79522767333947764</v>
      </c>
      <c r="AC15" s="514">
        <f>+[2]Report1!K20</f>
        <v>0.76889388776541223</v>
      </c>
      <c r="AD15" s="514">
        <f>+[2]Report1!BC20</f>
        <v>0.79522767333947764</v>
      </c>
      <c r="AE15" s="514">
        <f>+[2]Report1!BD20</f>
        <v>0.76889388776541223</v>
      </c>
      <c r="AF15" s="511">
        <f>+[2]Report1!R20</f>
        <v>35.430999999999997</v>
      </c>
      <c r="AG15" s="511">
        <f>+[2]Report1!S20</f>
        <v>422.98499999999996</v>
      </c>
      <c r="AH15" s="511">
        <f>+[2]Report1!X20</f>
        <v>152.76630723129097</v>
      </c>
      <c r="AI15" s="511">
        <f>+[2]Report1!Y20</f>
        <v>137.51578776968134</v>
      </c>
      <c r="AJ15" s="511">
        <f>+[2]Report1!AD20</f>
        <v>1.6341621743670798</v>
      </c>
      <c r="AK15" s="511">
        <f>+[2]Report1!AE20</f>
        <v>1.5045450784306773</v>
      </c>
      <c r="AL15" s="511">
        <f>+[2]Report1!AJ20</f>
        <v>1046.0940983884479</v>
      </c>
      <c r="AM15" s="511">
        <f>+[2]Report1!AK20</f>
        <v>991.6114755842442</v>
      </c>
      <c r="AN15" s="511">
        <v>0</v>
      </c>
      <c r="AO15" s="512">
        <v>0</v>
      </c>
      <c r="AP15" s="594">
        <f>+[3]Report1!J20</f>
        <v>0.9920114335333956</v>
      </c>
      <c r="AQ15" s="514">
        <f>+[3]Report1!K20</f>
        <v>0.83756560140641967</v>
      </c>
      <c r="AR15" s="514">
        <f>+[3]Report1!BN20</f>
        <v>0.9920114335333956</v>
      </c>
      <c r="AS15" s="514">
        <f>+[3]Report1!BO20</f>
        <v>0.86152393094185487</v>
      </c>
      <c r="AT15" s="511">
        <f>+[3]Report1!R20</f>
        <v>56.762999999999998</v>
      </c>
      <c r="AU15" s="511">
        <f>+[3]Report1!S20</f>
        <v>553.02299999999991</v>
      </c>
      <c r="AV15" s="515">
        <f>+[3]Report1!AF20</f>
        <v>95.731144767382062</v>
      </c>
      <c r="AW15" s="515">
        <f>+[3]Report1!AG20</f>
        <v>111.32108986357277</v>
      </c>
      <c r="AX15" s="511">
        <f>+[3]Report1!AL20</f>
        <v>1.2649084791149163</v>
      </c>
      <c r="AY15" s="511">
        <f>+[3]Report1!AM20</f>
        <v>1.4192899752813175</v>
      </c>
      <c r="AZ15" s="511">
        <f>+[7]Report1!AR20</f>
        <v>0</v>
      </c>
      <c r="BA15" s="511">
        <f>+[7]Report1!AS20</f>
        <v>0</v>
      </c>
      <c r="BB15" s="511">
        <f>+[3]Report1!AX20</f>
        <v>775.22611560347229</v>
      </c>
      <c r="BC15" s="511">
        <f>+[3]Report1!AY20</f>
        <v>885.78012126077942</v>
      </c>
      <c r="BD15" s="511">
        <f>+[3]Report1!BD20</f>
        <v>569.73732889382052</v>
      </c>
      <c r="BE15" s="576">
        <f>+[3]Report1!BE20</f>
        <v>360.23311869488418</v>
      </c>
      <c r="BF15" s="511">
        <f>+[3]Report1!BJ20</f>
        <v>0</v>
      </c>
      <c r="BG15" s="512">
        <f>+[3]Report1!BK20</f>
        <v>0</v>
      </c>
      <c r="BH15" s="513">
        <f>+[5]Report1!J20</f>
        <v>0.99683971035605357</v>
      </c>
      <c r="BI15" s="514">
        <f>+[5]Report1!K20</f>
        <v>0.89604845086606999</v>
      </c>
      <c r="BJ15" s="514">
        <f>+[5]Report1!AN20</f>
        <v>0.99683971035605357</v>
      </c>
      <c r="BK15" s="514">
        <f>+[5]Report1!AO20</f>
        <v>0.89604845086606999</v>
      </c>
      <c r="BL15" s="511">
        <f>+[5]Report1!R20</f>
        <v>49.295000000000002</v>
      </c>
      <c r="BM15" s="511">
        <f>+[5]Report1!S20</f>
        <v>577.69599999999991</v>
      </c>
      <c r="BN15" s="511">
        <f>+[5]Report1!X20</f>
        <v>2.6290698853839132</v>
      </c>
      <c r="BO15" s="511">
        <f>+[5]Report1!Y20</f>
        <v>2.5612086633800479</v>
      </c>
      <c r="BP15" s="515">
        <v>0</v>
      </c>
      <c r="BQ15" s="515">
        <v>0</v>
      </c>
      <c r="BR15" s="515">
        <f>+[5]Report1!AD20</f>
        <v>1043.9927463588967</v>
      </c>
      <c r="BS15" s="515">
        <f>+[5]Report1!AE20</f>
        <v>1010.7913150649368</v>
      </c>
      <c r="BT15" s="515">
        <f>+[5]Report1!AJ20</f>
        <v>0</v>
      </c>
      <c r="BU15" s="516">
        <f>+[5]Report1!AK20</f>
        <v>0</v>
      </c>
      <c r="BV15" s="513">
        <f>+[6]Report1!J20</f>
        <v>0.76135675550880233</v>
      </c>
      <c r="BW15" s="514">
        <f>+[6]Report1!K20</f>
        <v>0.8320330327945471</v>
      </c>
      <c r="BX15" s="514">
        <f>+[6]Report1!BG20</f>
        <v>0.76135675550880233</v>
      </c>
      <c r="BY15" s="514">
        <f>+[6]Report1!BH20</f>
        <v>0.86179214750733912</v>
      </c>
      <c r="BZ15" s="511">
        <f>+[6]Report1!R20</f>
        <v>37.874000000000002</v>
      </c>
      <c r="CA15" s="511">
        <f>+[6]Report1!S20</f>
        <v>527.17599999999993</v>
      </c>
      <c r="CB15" s="515">
        <f>+[6]Report1!X20</f>
        <v>101.74130004903685</v>
      </c>
      <c r="CC15" s="515">
        <f>+[6]Report1!Y20</f>
        <v>79.785046038929636</v>
      </c>
      <c r="CD15" s="511">
        <f>+[6]Report1!AD20</f>
        <v>2.2125996725986163</v>
      </c>
      <c r="CE15" s="511">
        <f>+[6]Report1!AE20</f>
        <v>2.0395465650940108</v>
      </c>
      <c r="CF15" s="515">
        <v>0</v>
      </c>
      <c r="CG15" s="515">
        <v>0</v>
      </c>
      <c r="CH15" s="515">
        <f>+[6]Report1!AP20</f>
        <v>1200.0015199936179</v>
      </c>
      <c r="CI15" s="515">
        <f>+[6]Report1!AQ20</f>
        <v>949.32136601864465</v>
      </c>
      <c r="CJ15" s="515">
        <f>+[6]Report1!AV20</f>
        <v>0</v>
      </c>
      <c r="CK15" s="515">
        <f>+[6]Report1!AW20</f>
        <v>37.948616780733687</v>
      </c>
      <c r="CL15" s="515">
        <f>+[6]Report1!$BB20</f>
        <v>0</v>
      </c>
      <c r="CM15" s="516">
        <f>+[6]Report1!$BB20</f>
        <v>0</v>
      </c>
    </row>
    <row r="16" spans="1:91" ht="12.75" customHeight="1">
      <c r="A16" s="558">
        <f t="shared" si="0"/>
        <v>46125</v>
      </c>
      <c r="B16" s="513">
        <f>+Report1!J21</f>
        <v>0.72887552343170847</v>
      </c>
      <c r="C16" s="514">
        <f>+Report1!K21</f>
        <v>0.91146560145020183</v>
      </c>
      <c r="D16" s="514">
        <f>+Report1!AJ21</f>
        <v>0.91987796121092036</v>
      </c>
      <c r="E16" s="514">
        <f>+Report1!AK21</f>
        <v>0.92781152340700046</v>
      </c>
      <c r="F16" s="511">
        <f>+Report1!R21</f>
        <v>55.878</v>
      </c>
      <c r="G16" s="511">
        <f>+Report1!S21</f>
        <v>823.54399999999998</v>
      </c>
      <c r="H16" s="511">
        <f>+Report1!X21</f>
        <v>2.0969612369805648</v>
      </c>
      <c r="I16" s="511">
        <f>+Report1!Y21</f>
        <v>2.1525917255180049</v>
      </c>
      <c r="J16" s="511">
        <f>+Report1!AD21</f>
        <v>753.05379576932648</v>
      </c>
      <c r="K16" s="512">
        <f>+Report1!AE21</f>
        <v>858.00627531740815</v>
      </c>
      <c r="L16" s="513">
        <f>+[1]Report1!J21</f>
        <v>0.54438734452432347</v>
      </c>
      <c r="M16" s="514">
        <f>+[1]Report1!K21</f>
        <v>0.81922145602627194</v>
      </c>
      <c r="N16" s="514">
        <f>+[1]Report1!BP21</f>
        <v>0.67231370164238924</v>
      </c>
      <c r="O16" s="514">
        <f>+[1]Report1!BQ21</f>
        <v>0.91669259437368078</v>
      </c>
      <c r="P16" s="511">
        <f>+[1]Report1!R21</f>
        <v>28.295000000000002</v>
      </c>
      <c r="Q16" s="511">
        <f>+[1]Report1!S21</f>
        <v>700.36599999999987</v>
      </c>
      <c r="R16" s="511">
        <f>+[1]Report1!AL21</f>
        <v>3.8024739353242625</v>
      </c>
      <c r="S16" s="511">
        <f>+[1]Report1!AM21</f>
        <v>2.215968507894444</v>
      </c>
      <c r="T16" s="511">
        <f>+[1]Report1!AR21</f>
        <v>0</v>
      </c>
      <c r="U16" s="511">
        <f>+[1]Report1!AS21</f>
        <v>0</v>
      </c>
      <c r="V16" s="511">
        <f>+[1]Report1!AX21</f>
        <v>842.63332744308309</v>
      </c>
      <c r="W16" s="511">
        <f>+[1]Report1!AY21</f>
        <v>575.83303586981674</v>
      </c>
      <c r="X16" s="511">
        <f>+[1]Report1!BD21</f>
        <v>530.94186251987981</v>
      </c>
      <c r="Y16" s="576">
        <f>+[1]Report1!BE21</f>
        <v>403.46190420437324</v>
      </c>
      <c r="Z16" s="511">
        <f>+[1]Report1!BJ21</f>
        <v>0</v>
      </c>
      <c r="AA16" s="576">
        <f>+[1]Report1!BK21</f>
        <v>0.62971360688554523</v>
      </c>
      <c r="AB16" s="513">
        <f>+[2]Report1!J21</f>
        <v>0.56789341976200725</v>
      </c>
      <c r="AC16" s="514">
        <f>+[2]Report1!K21</f>
        <v>0.75388855401956911</v>
      </c>
      <c r="AD16" s="514">
        <f>+[2]Report1!BC21</f>
        <v>0.67187835433932197</v>
      </c>
      <c r="AE16" s="514">
        <f>+[2]Report1!BD21</f>
        <v>0.76270071695299579</v>
      </c>
      <c r="AF16" s="511">
        <f>+[2]Report1!R21</f>
        <v>25.204000000000001</v>
      </c>
      <c r="AG16" s="511">
        <f>+[2]Report1!S21</f>
        <v>448.18899999999996</v>
      </c>
      <c r="AH16" s="511">
        <f>+[2]Report1!X21</f>
        <v>158.88272846856864</v>
      </c>
      <c r="AI16" s="511">
        <f>+[2]Report1!Y21</f>
        <v>138.71736204610212</v>
      </c>
      <c r="AJ16" s="511">
        <f>+[2]Report1!AD21</f>
        <v>1.6505316616410093</v>
      </c>
      <c r="AK16" s="511">
        <f>+[2]Report1!AE21</f>
        <v>1.5127546637690796</v>
      </c>
      <c r="AL16" s="511">
        <f>+[2]Report1!AJ21</f>
        <v>1215.2491667988775</v>
      </c>
      <c r="AM16" s="511">
        <f>+[2]Report1!AK21</f>
        <v>1004.1877868488527</v>
      </c>
      <c r="AN16" s="511">
        <v>0</v>
      </c>
      <c r="AO16" s="512">
        <v>0</v>
      </c>
      <c r="AP16" s="594">
        <f>+[3]Report1!J21</f>
        <v>0.34893925012492605</v>
      </c>
      <c r="AQ16" s="514">
        <f>+[3]Report1!K21</f>
        <v>0.80218463824646458</v>
      </c>
      <c r="AR16" s="514">
        <f>+[3]Report1!BN21</f>
        <v>0.51332475388189069</v>
      </c>
      <c r="AS16" s="514">
        <f>+[3]Report1!BO21</f>
        <v>0.84350246407804408</v>
      </c>
      <c r="AT16" s="511">
        <f>+[3]Report1!R21</f>
        <v>17.984999999999999</v>
      </c>
      <c r="AU16" s="511">
        <f>+[3]Report1!S21</f>
        <v>571.00799999999992</v>
      </c>
      <c r="AV16" s="515">
        <f>+[3]Report1!AF21</f>
        <v>168.65122105426363</v>
      </c>
      <c r="AW16" s="515">
        <f>+[3]Report1!AG21</f>
        <v>113.12681309243222</v>
      </c>
      <c r="AX16" s="511">
        <f>+[3]Report1!AL21</f>
        <v>2.313038643313873</v>
      </c>
      <c r="AY16" s="511">
        <f>+[3]Report1!AM21</f>
        <v>1.4474403160726295</v>
      </c>
      <c r="AZ16" s="511">
        <f>+[7]Report1!AR21</f>
        <v>0</v>
      </c>
      <c r="BA16" s="511">
        <f>+[7]Report1!AS21</f>
        <v>0</v>
      </c>
      <c r="BB16" s="511">
        <f>+[3]Report1!AX21</f>
        <v>1562.3653044203543</v>
      </c>
      <c r="BC16" s="511">
        <f>+[3]Report1!AY21</f>
        <v>907.09047859224404</v>
      </c>
      <c r="BD16" s="511">
        <f>+[3]Report1!BD21</f>
        <v>806.67778704475802</v>
      </c>
      <c r="BE16" s="576">
        <f>+[3]Report1!BE21</f>
        <v>374.2947559403737</v>
      </c>
      <c r="BF16" s="511">
        <f>+[3]Report1!BJ21</f>
        <v>0</v>
      </c>
      <c r="BG16" s="512">
        <f>+[3]Report1!BK21</f>
        <v>0</v>
      </c>
      <c r="BH16" s="513">
        <f>+[5]Report1!J21</f>
        <v>0.37373128442927717</v>
      </c>
      <c r="BI16" s="514">
        <f>+[5]Report1!K21</f>
        <v>0.85942820580249957</v>
      </c>
      <c r="BJ16" s="514">
        <f>+[5]Report1!AN21</f>
        <v>0.51947205557737364</v>
      </c>
      <c r="BK16" s="514">
        <f>+[5]Report1!AO21</f>
        <v>0.87667241007247232</v>
      </c>
      <c r="BL16" s="511">
        <f>+[5]Report1!R21</f>
        <v>18.167000000000002</v>
      </c>
      <c r="BM16" s="511">
        <f>+[5]Report1!S21</f>
        <v>595.86299999999994</v>
      </c>
      <c r="BN16" s="511">
        <f>+[5]Report1!X21</f>
        <v>4.5577145373479384</v>
      </c>
      <c r="BO16" s="511">
        <f>+[5]Report1!Y21</f>
        <v>2.6220792363345264</v>
      </c>
      <c r="BP16" s="515">
        <v>0</v>
      </c>
      <c r="BQ16" s="515">
        <v>0</v>
      </c>
      <c r="BR16" s="515">
        <f>+[5]Report1!AD21</f>
        <v>2010.8702752411639</v>
      </c>
      <c r="BS16" s="515">
        <f>+[5]Report1!AE21</f>
        <v>1041.282274345042</v>
      </c>
      <c r="BT16" s="515">
        <f>+[5]Report1!AJ21</f>
        <v>0</v>
      </c>
      <c r="BU16" s="516">
        <f>+[5]Report1!AK21</f>
        <v>0</v>
      </c>
      <c r="BV16" s="513">
        <f>+[6]Report1!J21</f>
        <v>0.21014267007828072</v>
      </c>
      <c r="BW16" s="514">
        <f>+[6]Report1!K21</f>
        <v>0.78431286089659269</v>
      </c>
      <c r="BX16" s="514">
        <f>+[6]Report1!BG21</f>
        <v>0.43481147372806106</v>
      </c>
      <c r="BY16" s="514">
        <f>+[6]Report1!BH21</f>
        <v>0.8447375257412657</v>
      </c>
      <c r="BZ16" s="511">
        <f>+[6]Report1!R21</f>
        <v>11.066000000000001</v>
      </c>
      <c r="CA16" s="511">
        <f>+[6]Report1!S21</f>
        <v>538.24199999999996</v>
      </c>
      <c r="CB16" s="515">
        <f>+[6]Report1!X21</f>
        <v>135.03772826832321</v>
      </c>
      <c r="CC16" s="515">
        <f>+[6]Report1!Y21</f>
        <v>80.921014955421597</v>
      </c>
      <c r="CD16" s="511">
        <f>+[6]Report1!AD21</f>
        <v>3.7954093620097593</v>
      </c>
      <c r="CE16" s="511">
        <f>+[6]Report1!AE21</f>
        <v>2.0756462706366285</v>
      </c>
      <c r="CF16" s="515">
        <v>0</v>
      </c>
      <c r="CG16" s="515">
        <v>0</v>
      </c>
      <c r="CH16" s="515">
        <f>+[6]Report1!AP21</f>
        <v>1491.590640298499</v>
      </c>
      <c r="CI16" s="515">
        <f>+[6]Report1!AQ21</f>
        <v>960.4701648659676</v>
      </c>
      <c r="CJ16" s="515">
        <f>+[6]Report1!AV21</f>
        <v>911.06994397252697</v>
      </c>
      <c r="CK16" s="515">
        <f>+[6]Report1!AW21</f>
        <v>55.89957677030042</v>
      </c>
      <c r="CL16" s="515">
        <f>+[6]Report1!$BB21</f>
        <v>0</v>
      </c>
      <c r="CM16" s="516">
        <f>+[6]Report1!$BB21</f>
        <v>0</v>
      </c>
    </row>
    <row r="17" spans="1:91" ht="12.75" customHeight="1">
      <c r="A17" s="558">
        <f t="shared" si="0"/>
        <v>46126</v>
      </c>
      <c r="B17" s="513">
        <f>+Report1!J22</f>
        <v>0.93899208518203148</v>
      </c>
      <c r="C17" s="514">
        <f>+Report1!K22</f>
        <v>0.91367216154916076</v>
      </c>
      <c r="D17" s="514">
        <f>+Report1!AJ22</f>
        <v>0.93899208518203148</v>
      </c>
      <c r="E17" s="514">
        <f>+Report1!AK22</f>
        <v>0.92872253570520835</v>
      </c>
      <c r="F17" s="511">
        <f>+Report1!R22</f>
        <v>73.936999999999998</v>
      </c>
      <c r="G17" s="511">
        <f>+Report1!S22</f>
        <v>897.48099999999999</v>
      </c>
      <c r="H17" s="511">
        <f>+Report1!X22</f>
        <v>2.0645008588392821</v>
      </c>
      <c r="I17" s="511">
        <f>+Report1!Y22</f>
        <v>2.1453345530434627</v>
      </c>
      <c r="J17" s="511">
        <f>+Report1!AD22</f>
        <v>765.81873757389712</v>
      </c>
      <c r="K17" s="512">
        <f>+Report1!AE22</f>
        <v>850.41160759949332</v>
      </c>
      <c r="L17" s="513">
        <f>+[1]Report1!J22</f>
        <v>0.47997295543705643</v>
      </c>
      <c r="M17" s="514">
        <f>+[1]Report1!K22</f>
        <v>0.79808877113443721</v>
      </c>
      <c r="N17" s="514">
        <f>+[1]Report1!BP22</f>
        <v>0.47997295543705643</v>
      </c>
      <c r="O17" s="514">
        <f>+[1]Report1!BQ22</f>
        <v>0.88647534534117411</v>
      </c>
      <c r="P17" s="511">
        <f>+[1]Report1!R22</f>
        <v>27.259</v>
      </c>
      <c r="Q17" s="511">
        <f>+[1]Report1!S22</f>
        <v>727.62499999999989</v>
      </c>
      <c r="R17" s="511">
        <f>+[1]Report1!AL22</f>
        <v>4.3815987380314763</v>
      </c>
      <c r="S17" s="511">
        <f>+[1]Report1!AM22</f>
        <v>2.2970994674454568</v>
      </c>
      <c r="T17" s="511">
        <f>+[1]Report1!AR22</f>
        <v>0</v>
      </c>
      <c r="U17" s="511">
        <f>+[1]Report1!AS22</f>
        <v>0</v>
      </c>
      <c r="V17" s="511">
        <f>+[1]Report1!AX22</f>
        <v>1070.1386697971236</v>
      </c>
      <c r="W17" s="511">
        <f>+[1]Report1!AY22</f>
        <v>594.3511973887646</v>
      </c>
      <c r="X17" s="511">
        <f>+[1]Report1!BD22</f>
        <v>708.94016655049711</v>
      </c>
      <c r="Y17" s="576">
        <f>+[1]Report1!BE22</f>
        <v>414.9060298917712</v>
      </c>
      <c r="Z17" s="511">
        <f>+[1]Report1!BJ22</f>
        <v>0</v>
      </c>
      <c r="AA17" s="576">
        <f>+[1]Report1!BK22</f>
        <v>0.60612265933688614</v>
      </c>
      <c r="AB17" s="513">
        <f>+[2]Report1!J22</f>
        <v>1.0083233107335434</v>
      </c>
      <c r="AC17" s="514">
        <f>+[2]Report1!K22</f>
        <v>0.77196118077633546</v>
      </c>
      <c r="AD17" s="514">
        <f>+[2]Report1!BC22</f>
        <v>1.0083233107335434</v>
      </c>
      <c r="AE17" s="514">
        <f>+[2]Report1!BD22</f>
        <v>0.78033670223163987</v>
      </c>
      <c r="AF17" s="511">
        <f>+[2]Report1!R22</f>
        <v>45.835000000000001</v>
      </c>
      <c r="AG17" s="511">
        <f>+[2]Report1!S22</f>
        <v>494.02399999999994</v>
      </c>
      <c r="AH17" s="511">
        <f>+[2]Report1!X22</f>
        <v>122.18310295905783</v>
      </c>
      <c r="AI17" s="511">
        <f>+[2]Report1!Y22</f>
        <v>137.18333178592312</v>
      </c>
      <c r="AJ17" s="511">
        <f>+[2]Report1!AD22</f>
        <v>1.2457728809861459</v>
      </c>
      <c r="AK17" s="511">
        <f>+[2]Report1!AE22</f>
        <v>1.4879843894223765</v>
      </c>
      <c r="AL17" s="511">
        <f>+[2]Report1!AJ22</f>
        <v>815.58503327152516</v>
      </c>
      <c r="AM17" s="511">
        <f>+[2]Report1!AK22</f>
        <v>986.68943209236966</v>
      </c>
      <c r="AN17" s="511">
        <v>0</v>
      </c>
      <c r="AO17" s="512">
        <v>0</v>
      </c>
      <c r="AP17" s="594">
        <f>+[3]Report1!J22</f>
        <v>0.90499382859417588</v>
      </c>
      <c r="AQ17" s="514">
        <f>+[3]Report1!K22</f>
        <v>0.80911047323395735</v>
      </c>
      <c r="AR17" s="514">
        <f>+[3]Report1!BN22</f>
        <v>0.90499382859417588</v>
      </c>
      <c r="AS17" s="514">
        <f>+[3]Report1!BO22</f>
        <v>0.84784318678382442</v>
      </c>
      <c r="AT17" s="511">
        <f>+[3]Report1!R22</f>
        <v>46.530999999999999</v>
      </c>
      <c r="AU17" s="511">
        <f>+[3]Report1!S22</f>
        <v>617.53899999999987</v>
      </c>
      <c r="AV17" s="515">
        <f>+[3]Report1!AF22</f>
        <v>101.99696683233381</v>
      </c>
      <c r="AW17" s="515">
        <f>+[3]Report1!AG22</f>
        <v>112.28818933534379</v>
      </c>
      <c r="AX17" s="511">
        <f>+[3]Report1!AL22</f>
        <v>1.4420493864305517</v>
      </c>
      <c r="AY17" s="511">
        <f>+[3]Report1!AM22</f>
        <v>1.447034114444594</v>
      </c>
      <c r="AZ17" s="511">
        <f>+[7]Report1!AR22</f>
        <v>0</v>
      </c>
      <c r="BA17" s="511">
        <f>+[7]Report1!AS22</f>
        <v>0</v>
      </c>
      <c r="BB17" s="511">
        <f>+[3]Report1!AX22</f>
        <v>820.57853903848991</v>
      </c>
      <c r="BC17" s="511">
        <f>+[3]Report1!AY22</f>
        <v>900.57188290941974</v>
      </c>
      <c r="BD17" s="511">
        <f>+[3]Report1!BD22</f>
        <v>467.0090907137178</v>
      </c>
      <c r="BE17" s="576">
        <f>+[3]Report1!BE22</f>
        <v>381.28069644184558</v>
      </c>
      <c r="BF17" s="511">
        <f>+[3]Report1!BJ22</f>
        <v>0</v>
      </c>
      <c r="BG17" s="512">
        <f>+[3]Report1!BK22</f>
        <v>0</v>
      </c>
      <c r="BH17" s="513">
        <f>+[5]Report1!J22</f>
        <v>1.0080822156168618</v>
      </c>
      <c r="BI17" s="514">
        <f>+[5]Report1!K22</f>
        <v>0.8700999272328982</v>
      </c>
      <c r="BJ17" s="514">
        <f>+[5]Report1!AN22</f>
        <v>1.0080822156168618</v>
      </c>
      <c r="BK17" s="514">
        <f>+[5]Report1!AO22</f>
        <v>0.88628163238204949</v>
      </c>
      <c r="BL17" s="511">
        <f>+[5]Report1!R22</f>
        <v>54.055999999999997</v>
      </c>
      <c r="BM17" s="511">
        <f>+[5]Report1!S22</f>
        <v>649.91899999999998</v>
      </c>
      <c r="BN17" s="511">
        <f>+[5]Report1!X22</f>
        <v>2.2828178185585322</v>
      </c>
      <c r="BO17" s="511">
        <f>+[5]Report1!Y22</f>
        <v>2.5938616966114241</v>
      </c>
      <c r="BP17" s="515">
        <v>0</v>
      </c>
      <c r="BQ17" s="515">
        <v>0</v>
      </c>
      <c r="BR17" s="515">
        <f>+[5]Report1!AD22</f>
        <v>730.90340662310871</v>
      </c>
      <c r="BS17" s="515">
        <f>+[5]Report1!AE22</f>
        <v>1015.4669957125097</v>
      </c>
      <c r="BT17" s="515">
        <f>+[5]Report1!AJ22</f>
        <v>0</v>
      </c>
      <c r="BU17" s="516">
        <f>+[5]Report1!AK22</f>
        <v>0</v>
      </c>
      <c r="BV17" s="513">
        <f>+[6]Report1!J22</f>
        <v>0.94080191820507475</v>
      </c>
      <c r="BW17" s="514">
        <f>+[6]Report1!K22</f>
        <v>0.7956870124836144</v>
      </c>
      <c r="BX17" s="514">
        <f>+[6]Report1!BG22</f>
        <v>0.94080191820507475</v>
      </c>
      <c r="BY17" s="514">
        <f>+[6]Report1!BH22</f>
        <v>0.85221585909826636</v>
      </c>
      <c r="BZ17" s="511">
        <f>+[6]Report1!R22</f>
        <v>50.604999999999997</v>
      </c>
      <c r="CA17" s="511">
        <f>+[6]Report1!S22</f>
        <v>588.84699999999998</v>
      </c>
      <c r="CB17" s="515">
        <f>+[6]Report1!X22</f>
        <v>66.845501673673766</v>
      </c>
      <c r="CC17" s="515">
        <f>+[6]Report1!Y22</f>
        <v>79.711377562987138</v>
      </c>
      <c r="CD17" s="511">
        <f>+[6]Report1!AD22</f>
        <v>1.9385436221717223</v>
      </c>
      <c r="CE17" s="511">
        <f>+[6]Report1!AE22</f>
        <v>2.06386378804681</v>
      </c>
      <c r="CF17" s="515">
        <v>0</v>
      </c>
      <c r="CG17" s="515">
        <v>0</v>
      </c>
      <c r="CH17" s="515">
        <f>+[6]Report1!AP22</f>
        <v>650.47535720938731</v>
      </c>
      <c r="CI17" s="515">
        <f>+[6]Report1!AQ22</f>
        <v>933.82948020346396</v>
      </c>
      <c r="CJ17" s="515">
        <f>+[6]Report1!AV22</f>
        <v>504.09248098014035</v>
      </c>
      <c r="CK17" s="515">
        <f>+[6]Report1!AW22</f>
        <v>94.416885880373073</v>
      </c>
      <c r="CL17" s="515">
        <f>+[6]Report1!$BB22</f>
        <v>0</v>
      </c>
      <c r="CM17" s="516">
        <f>+[6]Report1!$BB22</f>
        <v>0</v>
      </c>
    </row>
    <row r="18" spans="1:91" ht="12.75" customHeight="1">
      <c r="A18" s="558">
        <f t="shared" si="0"/>
        <v>46127</v>
      </c>
      <c r="B18" s="513">
        <f>+Report1!J23</f>
        <v>1.0224381050192495</v>
      </c>
      <c r="C18" s="514">
        <f>+Report1!K23</f>
        <v>0.92170507129414136</v>
      </c>
      <c r="D18" s="514">
        <f>+Report1!AJ23</f>
        <v>1.0224381050192495</v>
      </c>
      <c r="E18" s="514">
        <f>+Report1!AK23</f>
        <v>0.93574936279408527</v>
      </c>
      <c r="F18" s="511">
        <f>+Report1!R23</f>
        <v>80.088999999999999</v>
      </c>
      <c r="G18" s="511">
        <f>+Report1!S23</f>
        <v>977.56999999999994</v>
      </c>
      <c r="H18" s="511">
        <f>+Report1!X23</f>
        <v>1.9288416636491905</v>
      </c>
      <c r="I18" s="511">
        <f>+Report1!Y23</f>
        <v>2.1275980236709389</v>
      </c>
      <c r="J18" s="511">
        <f>+Report1!AD23</f>
        <v>710.11449762139682</v>
      </c>
      <c r="K18" s="512">
        <f>+Report1!AE23</f>
        <v>838.91754043188814</v>
      </c>
      <c r="L18" s="513">
        <f>+[1]Report1!J23</f>
        <v>0.65127176250783325</v>
      </c>
      <c r="M18" s="514">
        <f>+[1]Report1!K23</f>
        <v>0.78923110082680736</v>
      </c>
      <c r="N18" s="514">
        <f>+[1]Report1!BP23</f>
        <v>0.65127176250783325</v>
      </c>
      <c r="O18" s="514">
        <f>+[1]Report1!BQ23</f>
        <v>0.87081827804080092</v>
      </c>
      <c r="P18" s="511">
        <f>+[1]Report1!R23</f>
        <v>38.122999999999998</v>
      </c>
      <c r="Q18" s="511">
        <f>+[1]Report1!S23</f>
        <v>765.74799999999993</v>
      </c>
      <c r="R18" s="511">
        <f>+[1]Report1!AL23</f>
        <v>2.9317472391994337</v>
      </c>
      <c r="S18" s="511">
        <f>+[1]Report1!AM23</f>
        <v>2.3286956022085601</v>
      </c>
      <c r="T18" s="511">
        <f>+[1]Report1!AR23</f>
        <v>0</v>
      </c>
      <c r="U18" s="511">
        <f>+[1]Report1!AS23</f>
        <v>0</v>
      </c>
      <c r="V18" s="511">
        <f>+[1]Report1!AX23</f>
        <v>724.88366602834981</v>
      </c>
      <c r="W18" s="511">
        <f>+[1]Report1!AY23</f>
        <v>600.84979653880737</v>
      </c>
      <c r="X18" s="511">
        <f>+[1]Report1!BD23</f>
        <v>448.57435144138708</v>
      </c>
      <c r="Y18" s="576">
        <f>+[1]Report1!BE23</f>
        <v>416.58221764862594</v>
      </c>
      <c r="Z18" s="511">
        <f>+[1]Report1!BJ23</f>
        <v>0</v>
      </c>
      <c r="AA18" s="576">
        <f>+[1]Report1!BK23</f>
        <v>0.57594665608007056</v>
      </c>
      <c r="AB18" s="513">
        <f>+[2]Report1!J23</f>
        <v>0.9564264209284794</v>
      </c>
      <c r="AC18" s="514">
        <f>+[2]Report1!K23</f>
        <v>0.78434818504000203</v>
      </c>
      <c r="AD18" s="514">
        <f>+[2]Report1!BC23</f>
        <v>0.9564264209284794</v>
      </c>
      <c r="AE18" s="514">
        <f>+[2]Report1!BD23</f>
        <v>0.79228087346648401</v>
      </c>
      <c r="AF18" s="511">
        <f>+[2]Report1!R23</f>
        <v>44.06</v>
      </c>
      <c r="AG18" s="511">
        <f>+[2]Report1!S23</f>
        <v>538.08399999999995</v>
      </c>
      <c r="AH18" s="511">
        <f>+[2]Report1!X23</f>
        <v>127.34095884992452</v>
      </c>
      <c r="AI18" s="511">
        <f>+[2]Report1!Y23</f>
        <v>136.3774075221277</v>
      </c>
      <c r="AJ18" s="511">
        <f>+[2]Report1!AD23</f>
        <v>1.348161597821153</v>
      </c>
      <c r="AK18" s="511">
        <f>+[2]Report1!AE23</f>
        <v>1.4765352621523777</v>
      </c>
      <c r="AL18" s="511">
        <f>+[2]Report1!AJ23</f>
        <v>813.7167498865266</v>
      </c>
      <c r="AM18" s="511">
        <f>+[2]Report1!AK23</f>
        <v>972.52588815129445</v>
      </c>
      <c r="AN18" s="511">
        <v>0</v>
      </c>
      <c r="AO18" s="512">
        <v>0</v>
      </c>
      <c r="AP18" s="594">
        <f>+[3]Report1!J23</f>
        <v>0.59950186584440734</v>
      </c>
      <c r="AQ18" s="514">
        <f>+[3]Report1!K23</f>
        <v>0.7954630546907463</v>
      </c>
      <c r="AR18" s="514">
        <f>+[3]Report1!BN23</f>
        <v>0.59950186584440734</v>
      </c>
      <c r="AS18" s="514">
        <f>+[3]Report1!BO23</f>
        <v>0.83095252814388587</v>
      </c>
      <c r="AT18" s="511">
        <f>+[3]Report1!R23</f>
        <v>31.866</v>
      </c>
      <c r="AU18" s="511">
        <f>+[3]Report1!S23</f>
        <v>649.40499999999986</v>
      </c>
      <c r="AV18" s="515">
        <f>+[3]Report1!AF23</f>
        <v>137.95323376820588</v>
      </c>
      <c r="AW18" s="515">
        <f>+[3]Report1!AG23</f>
        <v>113.54756107701128</v>
      </c>
      <c r="AX18" s="511">
        <f>+[3]Report1!AL23</f>
        <v>2.1621791250862992</v>
      </c>
      <c r="AY18" s="511">
        <f>+[3]Report1!AM23</f>
        <v>1.4821259460583152</v>
      </c>
      <c r="AZ18" s="511">
        <f>+[7]Report1!AR23</f>
        <v>0</v>
      </c>
      <c r="BA18" s="511">
        <f>+[7]Report1!AS23</f>
        <v>0</v>
      </c>
      <c r="BB18" s="511">
        <f>+[3]Report1!AX23</f>
        <v>1165.8934287328179</v>
      </c>
      <c r="BC18" s="511">
        <f>+[3]Report1!AY23</f>
        <v>913.59108722599933</v>
      </c>
      <c r="BD18" s="511">
        <f>+[3]Report1!BD23</f>
        <v>709.29203539823015</v>
      </c>
      <c r="BE18" s="576">
        <f>+[3]Report1!BE23</f>
        <v>397.37605962381087</v>
      </c>
      <c r="BF18" s="511">
        <f>+[3]Report1!BJ23</f>
        <v>0</v>
      </c>
      <c r="BG18" s="512">
        <f>+[3]Report1!BK23</f>
        <v>0</v>
      </c>
      <c r="BH18" s="513">
        <f>+[5]Report1!J23</f>
        <v>0.90977081719246977</v>
      </c>
      <c r="BI18" s="514">
        <f>+[5]Report1!K23</f>
        <v>0.87285248586676989</v>
      </c>
      <c r="BJ18" s="514">
        <f>+[5]Report1!AN23</f>
        <v>0.90977081719246977</v>
      </c>
      <c r="BK18" s="514">
        <f>+[5]Report1!AO23</f>
        <v>0.88793959658923238</v>
      </c>
      <c r="BL18" s="511">
        <f>+[5]Report1!R23</f>
        <v>50.665999999999997</v>
      </c>
      <c r="BM18" s="511">
        <f>+[5]Report1!S23</f>
        <v>700.58500000000004</v>
      </c>
      <c r="BN18" s="511">
        <f>+[5]Report1!X23</f>
        <v>2.4829274069395653</v>
      </c>
      <c r="BO18" s="511">
        <f>+[5]Report1!Y23</f>
        <v>2.585838977426008</v>
      </c>
      <c r="BP18" s="515">
        <v>0</v>
      </c>
      <c r="BQ18" s="515">
        <v>0</v>
      </c>
      <c r="BR18" s="515">
        <f>+[5]Report1!AD23</f>
        <v>792.96912129723057</v>
      </c>
      <c r="BS18" s="515">
        <f>+[5]Report1!AE23</f>
        <v>999.37604699804319</v>
      </c>
      <c r="BT18" s="515">
        <f>+[5]Report1!AJ23</f>
        <v>0</v>
      </c>
      <c r="BU18" s="516">
        <f>+[5]Report1!AK23</f>
        <v>0</v>
      </c>
      <c r="BV18" s="513">
        <f>+[6]Report1!J23</f>
        <v>0.93572826471668835</v>
      </c>
      <c r="BW18" s="514">
        <f>+[6]Report1!K23</f>
        <v>0.80519688636582643</v>
      </c>
      <c r="BX18" s="514">
        <f>+[6]Report1!BG23</f>
        <v>0.96722294173926193</v>
      </c>
      <c r="BY18" s="514">
        <f>+[6]Report1!BH23</f>
        <v>0.86028836704692768</v>
      </c>
      <c r="BZ18" s="511">
        <f>+[6]Report1!R23</f>
        <v>50.451000000000001</v>
      </c>
      <c r="CA18" s="511">
        <f>+[6]Report1!S23</f>
        <v>639.298</v>
      </c>
      <c r="CB18" s="515">
        <f>+[6]Report1!X23</f>
        <v>78.141951711852698</v>
      </c>
      <c r="CC18" s="515">
        <f>+[6]Report1!Y23</f>
        <v>79.58752436210807</v>
      </c>
      <c r="CD18" s="511">
        <f>+[6]Report1!AD23</f>
        <v>1.9920318725099602</v>
      </c>
      <c r="CE18" s="511">
        <f>+[6]Report1!AE23</f>
        <v>2.0581950827313711</v>
      </c>
      <c r="CF18" s="515">
        <v>0</v>
      </c>
      <c r="CG18" s="515">
        <v>0</v>
      </c>
      <c r="CH18" s="515">
        <f>+[6]Report1!AP23</f>
        <v>723.68251373321652</v>
      </c>
      <c r="CI18" s="515">
        <f>+[6]Report1!AQ23</f>
        <v>917.24546992126307</v>
      </c>
      <c r="CJ18" s="515">
        <f>+[6]Report1!AV23</f>
        <v>505.19712195992162</v>
      </c>
      <c r="CK18" s="515">
        <f>+[6]Report1!AW23</f>
        <v>126.83412117666573</v>
      </c>
      <c r="CL18" s="515">
        <f>+[6]Report1!$BB23</f>
        <v>0</v>
      </c>
      <c r="CM18" s="516">
        <f>+[6]Report1!$BB23</f>
        <v>0</v>
      </c>
    </row>
    <row r="19" spans="1:91" ht="12.75" customHeight="1">
      <c r="A19" s="558">
        <f t="shared" si="0"/>
        <v>46128</v>
      </c>
      <c r="B19" s="513">
        <f>+Report1!J24</f>
        <v>1.0002896019398828</v>
      </c>
      <c r="C19" s="514">
        <f>+Report1!K24</f>
        <v>0.92721501980754695</v>
      </c>
      <c r="D19" s="514">
        <f>+Report1!AJ24</f>
        <v>1.0002896019398828</v>
      </c>
      <c r="E19" s="514">
        <f>+Report1!AK24</f>
        <v>0.94033864616361362</v>
      </c>
      <c r="F19" s="511">
        <f>+Report1!R24</f>
        <v>79.995000000000005</v>
      </c>
      <c r="G19" s="511">
        <f>+Report1!S24</f>
        <v>1057.5650000000001</v>
      </c>
      <c r="H19" s="511">
        <f>+Report1!X24</f>
        <v>1.9336708544284016</v>
      </c>
      <c r="I19" s="511">
        <f>+Report1!Y24</f>
        <v>2.1129292289362827</v>
      </c>
      <c r="J19" s="511">
        <f>+Report1!AD24</f>
        <v>740.25051565724846</v>
      </c>
      <c r="K19" s="512">
        <f>+Report1!AE24</f>
        <v>831.45429358952163</v>
      </c>
      <c r="L19" s="513">
        <f>+[1]Report1!J24</f>
        <v>0.85265470263058685</v>
      </c>
      <c r="M19" s="514">
        <f>+[1]Report1!K24</f>
        <v>0.79329568756335367</v>
      </c>
      <c r="N19" s="514">
        <f>+[1]Report1!BP24</f>
        <v>0.85265470263058685</v>
      </c>
      <c r="O19" s="514">
        <f>+[1]Report1!BQ24</f>
        <v>0.86954236085898406</v>
      </c>
      <c r="P19" s="511">
        <f>+[1]Report1!R24</f>
        <v>56.648000000000003</v>
      </c>
      <c r="Q19" s="511">
        <f>+[1]Report1!S24</f>
        <v>822.39599999999996</v>
      </c>
      <c r="R19" s="511">
        <f>+[1]Report1!AL24</f>
        <v>2.4486830956079646</v>
      </c>
      <c r="S19" s="511">
        <f>+[1]Report1!AM24</f>
        <v>2.3369605396913413</v>
      </c>
      <c r="T19" s="511">
        <f>+[1]Report1!AR24</f>
        <v>0</v>
      </c>
      <c r="U19" s="511">
        <f>+[1]Report1!AS24</f>
        <v>0</v>
      </c>
      <c r="V19" s="511">
        <f>+[1]Report1!AX24</f>
        <v>671.41134726733071</v>
      </c>
      <c r="W19" s="511">
        <f>+[1]Report1!AY24</f>
        <v>605.71019314296075</v>
      </c>
      <c r="X19" s="511">
        <f>+[1]Report1!BD24</f>
        <v>377.91272419149834</v>
      </c>
      <c r="Y19" s="576">
        <f>+[1]Report1!BE24</f>
        <v>413.91859882586976</v>
      </c>
      <c r="Z19" s="511">
        <f>+[1]Report1!BJ24</f>
        <v>0</v>
      </c>
      <c r="AA19" s="576">
        <f>+[1]Report1!BK24</f>
        <v>0.53627449549852113</v>
      </c>
      <c r="AB19" s="513">
        <f>+[2]Report1!J24</f>
        <v>1.0124531252502316</v>
      </c>
      <c r="AC19" s="514">
        <f>+[2]Report1!K24</f>
        <v>0.79870177737689774</v>
      </c>
      <c r="AD19" s="514">
        <f>+[2]Report1!BC24</f>
        <v>1.0124531252502316</v>
      </c>
      <c r="AE19" s="514">
        <f>+[2]Report1!BD24</f>
        <v>0.80626651763638202</v>
      </c>
      <c r="AF19" s="511">
        <f>+[2]Report1!R24</f>
        <v>46.640999999999998</v>
      </c>
      <c r="AG19" s="511">
        <f>+[2]Report1!S24</f>
        <v>584.72499999999991</v>
      </c>
      <c r="AH19" s="511">
        <f>+[2]Report1!X24</f>
        <v>118.46733043237815</v>
      </c>
      <c r="AI19" s="511">
        <f>+[2]Report1!Y24</f>
        <v>134.94879765331243</v>
      </c>
      <c r="AJ19" s="511">
        <f>+[2]Report1!AD24</f>
        <v>1.2778456722626017</v>
      </c>
      <c r="AK19" s="511">
        <f>+[2]Report1!AE24</f>
        <v>1.4606866475693705</v>
      </c>
      <c r="AL19" s="511">
        <f>+[2]Report1!AJ24</f>
        <v>818.30020797150371</v>
      </c>
      <c r="AM19" s="511">
        <f>+[2]Report1!AK24</f>
        <v>960.22396853221642</v>
      </c>
      <c r="AN19" s="511">
        <v>0</v>
      </c>
      <c r="AO19" s="512">
        <v>0</v>
      </c>
      <c r="AP19" s="594">
        <f>+[3]Report1!J24</f>
        <v>0.9910484794483434</v>
      </c>
      <c r="AQ19" s="514">
        <f>+[3]Report1!K24</f>
        <v>0.80804158315142915</v>
      </c>
      <c r="AR19" s="514">
        <f>+[3]Report1!BN24</f>
        <v>0.9910484794483434</v>
      </c>
      <c r="AS19" s="514">
        <f>+[3]Report1!BO24</f>
        <v>0.84167723845469677</v>
      </c>
      <c r="AT19" s="511">
        <f>+[3]Report1!R24</f>
        <v>55.61</v>
      </c>
      <c r="AU19" s="511">
        <f>+[3]Report1!S24</f>
        <v>705.01499999999987</v>
      </c>
      <c r="AV19" s="515">
        <f>+[3]Report1!AF24</f>
        <v>89.784385288392912</v>
      </c>
      <c r="AW19" s="515">
        <f>+[3]Report1!AG24</f>
        <v>111.67317513400998</v>
      </c>
      <c r="AX19" s="511">
        <f>+[3]Report1!AL24</f>
        <v>1.3109153030030571</v>
      </c>
      <c r="AY19" s="511">
        <f>+[3]Report1!AM24</f>
        <v>1.4686212350091843</v>
      </c>
      <c r="AZ19" s="511">
        <f>+[7]Report1!AR24</f>
        <v>0</v>
      </c>
      <c r="BA19" s="511">
        <f>+[7]Report1!AS24</f>
        <v>0</v>
      </c>
      <c r="BB19" s="511">
        <f>+[3]Report1!AX24</f>
        <v>821.18935443265673</v>
      </c>
      <c r="BC19" s="511">
        <f>+[3]Report1!AY24</f>
        <v>906.30264604299225</v>
      </c>
      <c r="BD19" s="511">
        <f>+[3]Report1!BD24</f>
        <v>455.52418629742857</v>
      </c>
      <c r="BE19" s="576">
        <f>+[3]Report1!BE24</f>
        <v>401.96265327688195</v>
      </c>
      <c r="BF19" s="511">
        <f>+[3]Report1!BJ24</f>
        <v>0</v>
      </c>
      <c r="BG19" s="512">
        <f>+[3]Report1!BK24</f>
        <v>0</v>
      </c>
      <c r="BH19" s="513">
        <f>+[5]Report1!J24</f>
        <v>0.76458268864379975</v>
      </c>
      <c r="BI19" s="514">
        <f>+[5]Report1!K24</f>
        <v>0.86619276542317447</v>
      </c>
      <c r="BJ19" s="514">
        <f>+[5]Report1!AN24</f>
        <v>0.76458268864379975</v>
      </c>
      <c r="BK19" s="514">
        <f>+[5]Report1!AO24</f>
        <v>0.88022890690735356</v>
      </c>
      <c r="BL19" s="511">
        <f>+[5]Report1!R24</f>
        <v>40.222000000000001</v>
      </c>
      <c r="BM19" s="511">
        <f>+[5]Report1!S24</f>
        <v>740.80700000000002</v>
      </c>
      <c r="BN19" s="511">
        <f>+[5]Report1!X24</f>
        <v>3.0754313559743425</v>
      </c>
      <c r="BO19" s="511">
        <f>+[5]Report1!Y24</f>
        <v>2.612421318913023</v>
      </c>
      <c r="BP19" s="515">
        <v>0</v>
      </c>
      <c r="BQ19" s="515">
        <v>0</v>
      </c>
      <c r="BR19" s="515">
        <f>+[5]Report1!AD24</f>
        <v>1155.2908598015288</v>
      </c>
      <c r="BS19" s="515">
        <f>+[5]Report1!AE24</f>
        <v>1007.8414173314522</v>
      </c>
      <c r="BT19" s="515">
        <f>+[5]Report1!AJ24</f>
        <v>0</v>
      </c>
      <c r="BU19" s="516">
        <f>+[5]Report1!AK24</f>
        <v>0</v>
      </c>
      <c r="BV19" s="513">
        <f>+[6]Report1!J24</f>
        <v>0.92155099723313738</v>
      </c>
      <c r="BW19" s="514">
        <f>+[6]Report1!K24</f>
        <v>0.81282279007101355</v>
      </c>
      <c r="BX19" s="514">
        <f>+[6]Report1!BG24</f>
        <v>0.92155099723313738</v>
      </c>
      <c r="BY19" s="514">
        <f>+[6]Report1!BH24</f>
        <v>0.86455911602939395</v>
      </c>
      <c r="BZ19" s="511">
        <f>+[6]Report1!R24</f>
        <v>51.317999999999998</v>
      </c>
      <c r="CA19" s="511">
        <f>+[6]Report1!S24</f>
        <v>690.61599999999999</v>
      </c>
      <c r="CB19" s="515">
        <f>+[6]Report1!X24</f>
        <v>77.802244347322997</v>
      </c>
      <c r="CC19" s="515">
        <f>+[6]Report1!Y24</f>
        <v>79.454864534072314</v>
      </c>
      <c r="CD19" s="511">
        <f>+[6]Report1!AD24</f>
        <v>1.9837094196967926</v>
      </c>
      <c r="CE19" s="511">
        <f>+[6]Report1!AE24</f>
        <v>2.0526602337623223</v>
      </c>
      <c r="CF19" s="515">
        <v>0</v>
      </c>
      <c r="CG19" s="515">
        <v>0</v>
      </c>
      <c r="CH19" s="515">
        <f>+[6]Report1!AP24</f>
        <v>802.46523709152871</v>
      </c>
      <c r="CI19" s="515">
        <f>+[6]Report1!AQ24</f>
        <v>908.7164291976826</v>
      </c>
      <c r="CJ19" s="515">
        <f>+[6]Report1!AV24</f>
        <v>474.2643906621459</v>
      </c>
      <c r="CK19" s="515">
        <f>+[6]Report1!AW24</f>
        <v>152.65082187496387</v>
      </c>
      <c r="CL19" s="515">
        <f>+[6]Report1!$BB24</f>
        <v>0</v>
      </c>
      <c r="CM19" s="516">
        <f>+[6]Report1!$BB24</f>
        <v>0</v>
      </c>
    </row>
    <row r="20" spans="1:91" ht="12.75" customHeight="1">
      <c r="A20" s="558">
        <f t="shared" si="0"/>
        <v>46129</v>
      </c>
      <c r="B20" s="513">
        <f>+Report1!J25</f>
        <v>0.99328624982802594</v>
      </c>
      <c r="C20" s="514">
        <f>+Report1!K25</f>
        <v>0.9317169429582024</v>
      </c>
      <c r="D20" s="514">
        <f>+Report1!AJ25</f>
        <v>0.99328624982802594</v>
      </c>
      <c r="E20" s="514">
        <f>+Report1!AK25</f>
        <v>0.9439938970242564</v>
      </c>
      <c r="F20" s="511">
        <f>+Report1!R25</f>
        <v>82.838999999999999</v>
      </c>
      <c r="G20" s="511">
        <f>+Report1!S25</f>
        <v>1140.404</v>
      </c>
      <c r="H20" s="511">
        <f>+Report1!X25</f>
        <v>1.877473170849479</v>
      </c>
      <c r="I20" s="511">
        <f>+Report1!Y25</f>
        <v>2.0958256898432484</v>
      </c>
      <c r="J20" s="511">
        <f>+Report1!AD25</f>
        <v>683.00969350183277</v>
      </c>
      <c r="K20" s="512">
        <f>+Report1!AE25</f>
        <v>820.67127088295092</v>
      </c>
      <c r="L20" s="513">
        <f>+[1]Report1!J25</f>
        <v>0.86545860097688077</v>
      </c>
      <c r="M20" s="514">
        <f>+[1]Report1!K25</f>
        <v>0.79776174828965452</v>
      </c>
      <c r="N20" s="514">
        <f>+[1]Report1!BP25</f>
        <v>0.86545860097688077</v>
      </c>
      <c r="O20" s="514">
        <f>+[1]Report1!BQ25</f>
        <v>0.86926696923141988</v>
      </c>
      <c r="P20" s="511">
        <f>+[1]Report1!R25</f>
        <v>59.19</v>
      </c>
      <c r="Q20" s="511">
        <f>+[1]Report1!S25</f>
        <v>881.58600000000001</v>
      </c>
      <c r="R20" s="511">
        <f>+[1]Report1!AL25</f>
        <v>2.3873289406994429</v>
      </c>
      <c r="S20" s="511">
        <f>+[1]Report1!AM25</f>
        <v>2.340342292187036</v>
      </c>
      <c r="T20" s="511">
        <f>+[1]Report1!AR25</f>
        <v>0</v>
      </c>
      <c r="U20" s="511">
        <f>+[1]Report1!AS25</f>
        <v>0</v>
      </c>
      <c r="V20" s="511">
        <f>+[1]Report1!AX25</f>
        <v>590.11589795575912</v>
      </c>
      <c r="W20" s="511">
        <f>+[1]Report1!AY25</f>
        <v>604.66318657510408</v>
      </c>
      <c r="X20" s="511">
        <f>+[1]Report1!BD25</f>
        <v>435.07349214394327</v>
      </c>
      <c r="Y20" s="576">
        <f>+[1]Report1!BE25</f>
        <v>415.33894594514885</v>
      </c>
      <c r="Z20" s="511">
        <f>+[1]Report1!BJ25</f>
        <v>44.264233823280961</v>
      </c>
      <c r="AA20" s="576">
        <f>+[1]Report1!BK25</f>
        <v>3.4721853568455052</v>
      </c>
      <c r="AB20" s="513">
        <f>+[2]Report1!J25</f>
        <v>0.92818514145439968</v>
      </c>
      <c r="AC20" s="514">
        <f>+[2]Report1!K25</f>
        <v>0.8063672177425284</v>
      </c>
      <c r="AD20" s="514">
        <f>+[2]Report1!BC25</f>
        <v>0.92818514145439968</v>
      </c>
      <c r="AE20" s="514">
        <f>+[2]Report1!BD25</f>
        <v>0.81354840101451076</v>
      </c>
      <c r="AF20" s="511">
        <f>+[2]Report1!R25</f>
        <v>42.759</v>
      </c>
      <c r="AG20" s="511">
        <f>+[2]Report1!S25</f>
        <v>627.48399999999992</v>
      </c>
      <c r="AH20" s="511">
        <f>+[2]Report1!X25</f>
        <v>131.23379552079192</v>
      </c>
      <c r="AI20" s="511">
        <f>+[2]Report1!Y25</f>
        <v>134.69564414472185</v>
      </c>
      <c r="AJ20" s="511">
        <f>+[2]Report1!AD25</f>
        <v>1.405552047522159</v>
      </c>
      <c r="AK20" s="511">
        <f>+[2]Report1!AE25</f>
        <v>1.4569295790809011</v>
      </c>
      <c r="AL20" s="511">
        <f>+[2]Report1!AJ25</f>
        <v>826.72279520102722</v>
      </c>
      <c r="AM20" s="511">
        <f>+[2]Report1!AK25</f>
        <v>951.12672195625851</v>
      </c>
      <c r="AN20" s="511">
        <v>0</v>
      </c>
      <c r="AO20" s="512">
        <v>0</v>
      </c>
      <c r="AP20" s="594">
        <f>+[3]Report1!J25</f>
        <v>0.9967740363851546</v>
      </c>
      <c r="AQ20" s="514">
        <f>+[3]Report1!K25</f>
        <v>0.81956726783464673</v>
      </c>
      <c r="AR20" s="514">
        <f>+[3]Report1!BN25</f>
        <v>0.9967740363851546</v>
      </c>
      <c r="AS20" s="514">
        <f>+[3]Report1!BO25</f>
        <v>0.85151808023384956</v>
      </c>
      <c r="AT20" s="511">
        <f>+[3]Report1!R25</f>
        <v>56.564999999999998</v>
      </c>
      <c r="AU20" s="511">
        <f>+[3]Report1!S25</f>
        <v>761.57999999999993</v>
      </c>
      <c r="AV20" s="515">
        <f>+[3]Report1!AF25</f>
        <v>89.421841588167027</v>
      </c>
      <c r="AW20" s="515">
        <f>+[3]Report1!AG25</f>
        <v>110.02049690976484</v>
      </c>
      <c r="AX20" s="511">
        <f>+[3]Report1!AL25</f>
        <v>1.2887828162291171</v>
      </c>
      <c r="AY20" s="511">
        <f>+[3]Report1!AM25</f>
        <v>1.4552640563039996</v>
      </c>
      <c r="AZ20" s="511">
        <f>+[7]Report1!AR25</f>
        <v>0</v>
      </c>
      <c r="BA20" s="511">
        <f>+[7]Report1!AS25</f>
        <v>0</v>
      </c>
      <c r="BB20" s="511">
        <f>+[3]Report1!AX25</f>
        <v>739.85397330504611</v>
      </c>
      <c r="BC20" s="511">
        <f>+[3]Report1!AY25</f>
        <v>893.93996691089592</v>
      </c>
      <c r="BD20" s="511">
        <f>+[3]Report1!BD25</f>
        <v>511.58843808008425</v>
      </c>
      <c r="BE20" s="576">
        <f>+[3]Report1!BE25</f>
        <v>410.10491346936743</v>
      </c>
      <c r="BF20" s="511">
        <f>+[3]Report1!BJ25</f>
        <v>0</v>
      </c>
      <c r="BG20" s="512">
        <f>+[3]Report1!BK25</f>
        <v>0</v>
      </c>
      <c r="BH20" s="513">
        <f>+[5]Report1!J25</f>
        <v>0.8131617384883596</v>
      </c>
      <c r="BI20" s="514">
        <f>+[5]Report1!K25</f>
        <v>0.86319475218325747</v>
      </c>
      <c r="BJ20" s="514">
        <f>+[5]Report1!AN25</f>
        <v>0.8131617384883596</v>
      </c>
      <c r="BK20" s="514">
        <f>+[5]Report1!AO25</f>
        <v>0.87637947284156259</v>
      </c>
      <c r="BL20" s="511">
        <f>+[5]Report1!R25</f>
        <v>41.671999999999997</v>
      </c>
      <c r="BM20" s="511">
        <f>+[5]Report1!S25</f>
        <v>782.47900000000004</v>
      </c>
      <c r="BN20" s="511">
        <f>+[5]Report1!X25</f>
        <v>3.0164138990209257</v>
      </c>
      <c r="BO20" s="511">
        <f>+[5]Report1!Y25</f>
        <v>2.6339365018102723</v>
      </c>
      <c r="BP20" s="515">
        <v>0</v>
      </c>
      <c r="BQ20" s="515">
        <v>0</v>
      </c>
      <c r="BR20" s="515">
        <f>+[5]Report1!AD25</f>
        <v>1171.9906078780884</v>
      </c>
      <c r="BS20" s="515">
        <f>+[5]Report1!AE25</f>
        <v>1016.5834092168058</v>
      </c>
      <c r="BT20" s="515">
        <f>+[5]Report1!AJ25</f>
        <v>0</v>
      </c>
      <c r="BU20" s="516">
        <f>+[5]Report1!AK25</f>
        <v>0</v>
      </c>
      <c r="BV20" s="513">
        <f>+[6]Report1!J25</f>
        <v>0.82645030590281643</v>
      </c>
      <c r="BW20" s="514">
        <f>+[6]Report1!K25</f>
        <v>0.81363320157868002</v>
      </c>
      <c r="BX20" s="514">
        <f>+[6]Report1!BG25</f>
        <v>0.82645030590281643</v>
      </c>
      <c r="BY20" s="514">
        <f>+[6]Report1!BH25</f>
        <v>0.86215767277813871</v>
      </c>
      <c r="BZ20" s="511">
        <f>+[6]Report1!R25</f>
        <v>44.399000000000001</v>
      </c>
      <c r="CA20" s="511">
        <f>+[6]Report1!S25</f>
        <v>735.01499999999999</v>
      </c>
      <c r="CB20" s="515">
        <f>+[6]Report1!X25</f>
        <v>89.876521270564467</v>
      </c>
      <c r="CC20" s="515">
        <f>+[6]Report1!Y25</f>
        <v>80.084390649108755</v>
      </c>
      <c r="CD20" s="511">
        <f>+[6]Report1!AD25</f>
        <v>2.2545552827766389</v>
      </c>
      <c r="CE20" s="511">
        <f>+[6]Report1!AE25</f>
        <v>2.0648558192689941</v>
      </c>
      <c r="CF20" s="515">
        <v>0</v>
      </c>
      <c r="CG20" s="515">
        <v>0</v>
      </c>
      <c r="CH20" s="515">
        <f>+[6]Report1!AP25</f>
        <v>906.10886255330877</v>
      </c>
      <c r="CI20" s="515">
        <f>+[6]Report1!AQ25</f>
        <v>908.5589176483353</v>
      </c>
      <c r="CJ20" s="515">
        <f>+[6]Report1!AV25</f>
        <v>577.9859906754649</v>
      </c>
      <c r="CK20" s="515">
        <f>+[6]Report1!AW25</f>
        <v>178.34343516798978</v>
      </c>
      <c r="CL20" s="515">
        <f>+[6]Report1!$BB25</f>
        <v>0</v>
      </c>
      <c r="CM20" s="516">
        <f>+[6]Report1!$BB25</f>
        <v>0</v>
      </c>
    </row>
    <row r="21" spans="1:91" ht="12.75" customHeight="1">
      <c r="A21" s="558">
        <f t="shared" si="0"/>
        <v>46130</v>
      </c>
      <c r="B21" s="513">
        <f>+Report1!J26</f>
        <v>0.9440063239886245</v>
      </c>
      <c r="C21" s="514">
        <f>+Report1!K26</f>
        <v>0.93248022486220539</v>
      </c>
      <c r="D21" s="514">
        <f>+Report1!AJ26</f>
        <v>0.9440063239886245</v>
      </c>
      <c r="E21" s="514">
        <f>+Report1!AK26</f>
        <v>0.94399467838200835</v>
      </c>
      <c r="F21" s="511">
        <f>+Report1!R26</f>
        <v>76.516000000000005</v>
      </c>
      <c r="G21" s="511">
        <f>+Report1!S26</f>
        <v>1216.92</v>
      </c>
      <c r="H21" s="511">
        <f>+Report1!X26</f>
        <v>1.9766715458204818</v>
      </c>
      <c r="I21" s="511">
        <f>+Report1!Y26</f>
        <v>2.088333662032015</v>
      </c>
      <c r="J21" s="511">
        <f>+Report1!AD26</f>
        <v>697.55057765695119</v>
      </c>
      <c r="K21" s="512">
        <f>+Report1!AE26</f>
        <v>812.92983926634463</v>
      </c>
      <c r="L21" s="513">
        <f>+[1]Report1!J26</f>
        <v>0.92258355291454774</v>
      </c>
      <c r="M21" s="514">
        <f>+[1]Report1!K26</f>
        <v>0.80502344118671787</v>
      </c>
      <c r="N21" s="514">
        <f>+[1]Report1!BP26</f>
        <v>0.92258355291454774</v>
      </c>
      <c r="O21" s="514">
        <f>+[1]Report1!BQ26</f>
        <v>0.87262922666821241</v>
      </c>
      <c r="P21" s="511">
        <f>+[1]Report1!R26</f>
        <v>62.975999999999999</v>
      </c>
      <c r="Q21" s="511">
        <f>+[1]Report1!S26</f>
        <v>944.56200000000001</v>
      </c>
      <c r="R21" s="511">
        <f>+[1]Report1!AL26</f>
        <v>2.1619505843495936</v>
      </c>
      <c r="S21" s="511">
        <f>+[1]Report1!AM26</f>
        <v>2.3284485295830235</v>
      </c>
      <c r="T21" s="511">
        <f>+[1]Report1!AR26</f>
        <v>0</v>
      </c>
      <c r="U21" s="511">
        <f>+[1]Report1!AS26</f>
        <v>0</v>
      </c>
      <c r="V21" s="511">
        <f>+[1]Report1!AX26</f>
        <v>500.95544334350552</v>
      </c>
      <c r="W21" s="511">
        <f>+[1]Report1!AY26</f>
        <v>597.74876609476178</v>
      </c>
      <c r="X21" s="511">
        <f>+[1]Report1!BD26</f>
        <v>359.64494410569102</v>
      </c>
      <c r="Y21" s="576">
        <f>+[1]Report1!BE26</f>
        <v>411.62570588272661</v>
      </c>
      <c r="Z21" s="511">
        <f>+[1]Report1!BJ26</f>
        <v>26.519626524389874</v>
      </c>
      <c r="AA21" s="576">
        <f>+[1]Report1!BK26</f>
        <v>5.0088083153884853</v>
      </c>
      <c r="AB21" s="513">
        <f>+[2]Report1!J26</f>
        <v>0.83110066625776835</v>
      </c>
      <c r="AC21" s="514">
        <f>+[2]Report1!K26</f>
        <v>0.80768412320718586</v>
      </c>
      <c r="AD21" s="514">
        <f>+[2]Report1!BC26</f>
        <v>0.83110066625776835</v>
      </c>
      <c r="AE21" s="514">
        <f>+[2]Report1!BD26</f>
        <v>0.81449082808439788</v>
      </c>
      <c r="AF21" s="511">
        <f>+[2]Report1!R26</f>
        <v>36.371000000000002</v>
      </c>
      <c r="AG21" s="511">
        <f>+[2]Report1!S26</f>
        <v>663.8549999999999</v>
      </c>
      <c r="AH21" s="511">
        <f>+[2]Report1!X26</f>
        <v>154.74579861068329</v>
      </c>
      <c r="AI21" s="511">
        <f>+[2]Report1!Y26</f>
        <v>135.79414331710362</v>
      </c>
      <c r="AJ21" s="511">
        <f>+[2]Report1!AD26</f>
        <v>1.6166726237936817</v>
      </c>
      <c r="AK21" s="511">
        <f>+[2]Report1!AE26</f>
        <v>1.4656815117759152</v>
      </c>
      <c r="AL21" s="511">
        <f>+[2]Report1!AJ26</f>
        <v>959.3846746034128</v>
      </c>
      <c r="AM21" s="511">
        <f>+[2]Report1!AK26</f>
        <v>951.57915508657993</v>
      </c>
      <c r="AN21" s="511">
        <v>0</v>
      </c>
      <c r="AO21" s="512">
        <v>0</v>
      </c>
      <c r="AP21" s="594">
        <f>+[3]Report1!J26</f>
        <v>0.94179490429861867</v>
      </c>
      <c r="AQ21" s="514">
        <f>+[3]Report1!K26</f>
        <v>0.82654326385816379</v>
      </c>
      <c r="AR21" s="514">
        <f>+[3]Report1!BN26</f>
        <v>0.94179490429861867</v>
      </c>
      <c r="AS21" s="514">
        <f>+[3]Report1!BO26</f>
        <v>0.85685950493603136</v>
      </c>
      <c r="AT21" s="511">
        <f>+[3]Report1!R26</f>
        <v>52.972000000000001</v>
      </c>
      <c r="AU21" s="511">
        <f>+[3]Report1!S26</f>
        <v>814.55199999999991</v>
      </c>
      <c r="AV21" s="515">
        <f>+[3]Report1!AF26</f>
        <v>100.02650408039493</v>
      </c>
      <c r="AW21" s="515">
        <f>+[3]Report1!AG26</f>
        <v>109.37056690141991</v>
      </c>
      <c r="AX21" s="511">
        <f>+[3]Report1!AL26</f>
        <v>1.3308917918900551</v>
      </c>
      <c r="AY21" s="511">
        <f>+[3]Report1!AM26</f>
        <v>1.4471758709081803</v>
      </c>
      <c r="AZ21" s="511">
        <f>+[7]Report1!AR26</f>
        <v>0</v>
      </c>
      <c r="BA21" s="511">
        <f>+[7]Report1!AS26</f>
        <v>0</v>
      </c>
      <c r="BB21" s="511">
        <f>+[3]Report1!AX26</f>
        <v>730.45722268368195</v>
      </c>
      <c r="BC21" s="511">
        <f>+[3]Report1!AY26</f>
        <v>883.30834618293261</v>
      </c>
      <c r="BD21" s="511">
        <f>+[3]Report1!BD26</f>
        <v>455.90123083893417</v>
      </c>
      <c r="BE21" s="576">
        <f>+[3]Report1!BE26</f>
        <v>413.08314263546202</v>
      </c>
      <c r="BF21" s="511">
        <f>+[3]Report1!BJ26</f>
        <v>0</v>
      </c>
      <c r="BG21" s="512">
        <f>+[3]Report1!BK26</f>
        <v>0</v>
      </c>
      <c r="BH21" s="513">
        <f>+[5]Report1!J26</f>
        <v>1.0060094716179373</v>
      </c>
      <c r="BI21" s="514">
        <f>+[5]Report1!K26</f>
        <v>0.87081309976728094</v>
      </c>
      <c r="BJ21" s="514">
        <f>+[5]Report1!AN26</f>
        <v>1.0060094716179373</v>
      </c>
      <c r="BK21" s="514">
        <f>+[5]Report1!AO26</f>
        <v>0.88339439758568106</v>
      </c>
      <c r="BL21" s="511">
        <f>+[5]Report1!R26</f>
        <v>51.387999999999998</v>
      </c>
      <c r="BM21" s="511">
        <f>+[5]Report1!S26</f>
        <v>833.86700000000008</v>
      </c>
      <c r="BN21" s="511">
        <f>+[5]Report1!X26</f>
        <v>2.3779870786954156</v>
      </c>
      <c r="BO21" s="511">
        <f>+[5]Report1!Y26</f>
        <v>2.6181633282046173</v>
      </c>
      <c r="BP21" s="515">
        <v>0</v>
      </c>
      <c r="BQ21" s="515">
        <v>0</v>
      </c>
      <c r="BR21" s="515">
        <f>+[5]Report1!AD26</f>
        <v>858.69827466476499</v>
      </c>
      <c r="BS21" s="515">
        <f>+[5]Report1!AE26</f>
        <v>1006.8535586598699</v>
      </c>
      <c r="BT21" s="515">
        <f>+[5]Report1!AJ26</f>
        <v>0</v>
      </c>
      <c r="BU21" s="516">
        <f>+[5]Report1!AK26</f>
        <v>0</v>
      </c>
      <c r="BV21" s="513">
        <f>+[6]Report1!J26</f>
        <v>0.86552458972066693</v>
      </c>
      <c r="BW21" s="514">
        <f>+[6]Report1!K26</f>
        <v>0.81676678934504376</v>
      </c>
      <c r="BX21" s="514">
        <f>+[6]Report1!BG26</f>
        <v>0.86552458972066693</v>
      </c>
      <c r="BY21" s="514">
        <f>+[6]Report1!BH26</f>
        <v>0.86237234493895742</v>
      </c>
      <c r="BZ21" s="511">
        <f>+[6]Report1!R26</f>
        <v>50.250999999999998</v>
      </c>
      <c r="CA21" s="511">
        <f>+[6]Report1!S26</f>
        <v>785.26599999999996</v>
      </c>
      <c r="CB21" s="515">
        <f>+[6]Report1!X26</f>
        <v>65.533752255361222</v>
      </c>
      <c r="CC21" s="515">
        <f>+[6]Report1!Y26</f>
        <v>79.153261414016185</v>
      </c>
      <c r="CD21" s="511">
        <f>+[6]Report1!AD26</f>
        <v>2.0258303317346917</v>
      </c>
      <c r="CE21" s="511">
        <f>+[6]Report1!AE26</f>
        <v>2.0623584874424714</v>
      </c>
      <c r="CF21" s="515">
        <v>0</v>
      </c>
      <c r="CG21" s="515">
        <v>0</v>
      </c>
      <c r="CH21" s="515">
        <f>+[6]Report1!AP26</f>
        <v>654.20694237979365</v>
      </c>
      <c r="CI21" s="515">
        <f>+[6]Report1!AQ26</f>
        <v>892.28234243787222</v>
      </c>
      <c r="CJ21" s="515">
        <f>+[6]Report1!AV26</f>
        <v>480.58745099600054</v>
      </c>
      <c r="CK21" s="515">
        <f>+[6]Report1!AW26</f>
        <v>197.68473358072299</v>
      </c>
      <c r="CL21" s="515">
        <f>+[6]Report1!$BB26</f>
        <v>0</v>
      </c>
      <c r="CM21" s="516">
        <f>+[6]Report1!$BB26</f>
        <v>0</v>
      </c>
    </row>
    <row r="22" spans="1:91" ht="12.75" customHeight="1">
      <c r="A22" s="558">
        <f t="shared" si="0"/>
        <v>46131</v>
      </c>
      <c r="B22" s="513">
        <f>+Report1!J27</f>
        <v>1.0044804784621215</v>
      </c>
      <c r="C22" s="514">
        <f>+Report1!K27</f>
        <v>0.93628485075703105</v>
      </c>
      <c r="D22" s="514">
        <f>+Report1!AJ27</f>
        <v>1.0044804784621215</v>
      </c>
      <c r="E22" s="514">
        <f>+Report1!AK27</f>
        <v>0.94722821656103873</v>
      </c>
      <c r="F22" s="511">
        <f>+Report1!R27</f>
        <v>73.134</v>
      </c>
      <c r="G22" s="511">
        <f>+Report1!S27</f>
        <v>1290.0540000000001</v>
      </c>
      <c r="H22" s="511">
        <f>+Report1!X27</f>
        <v>1.9925615992561598</v>
      </c>
      <c r="I22" s="511">
        <f>+Report1!Y27</f>
        <v>2.0829042815261993</v>
      </c>
      <c r="J22" s="511">
        <f>+Report1!AD27</f>
        <v>822.35977794187102</v>
      </c>
      <c r="K22" s="512">
        <f>+Report1!AE27</f>
        <v>813.46442862081813</v>
      </c>
      <c r="L22" s="513">
        <f>+[1]Report1!J27</f>
        <v>0.89684422889631188</v>
      </c>
      <c r="M22" s="514">
        <f>+[1]Report1!K27</f>
        <v>0.81007024245071246</v>
      </c>
      <c r="N22" s="514">
        <f>+[1]Report1!BP27</f>
        <v>0.89684422889631188</v>
      </c>
      <c r="O22" s="514">
        <f>+[1]Report1!BQ27</f>
        <v>0.87406531419395894</v>
      </c>
      <c r="P22" s="511">
        <f>+[1]Report1!R27</f>
        <v>61.201999999999998</v>
      </c>
      <c r="Q22" s="511">
        <f>+[1]Report1!S27</f>
        <v>1005.764</v>
      </c>
      <c r="R22" s="511">
        <f>+[1]Report1!AL27</f>
        <v>2.3181105192640761</v>
      </c>
      <c r="S22" s="511">
        <f>+[1]Report1!AM27</f>
        <v>2.3278194486977064</v>
      </c>
      <c r="T22" s="511">
        <f>+[1]Report1!AR27</f>
        <v>0</v>
      </c>
      <c r="U22" s="511">
        <f>+[1]Report1!AS27</f>
        <v>0</v>
      </c>
      <c r="V22" s="511">
        <f>+[1]Report1!AX27</f>
        <v>643.61279043165723</v>
      </c>
      <c r="W22" s="511">
        <f>+[1]Report1!AY27</f>
        <v>600.53964946050826</v>
      </c>
      <c r="X22" s="511">
        <f>+[1]Report1!BD27</f>
        <v>475.32760367308259</v>
      </c>
      <c r="Y22" s="576">
        <f>+[1]Report1!BE27</f>
        <v>415.50204620567047</v>
      </c>
      <c r="Z22" s="511">
        <f>+[1]Report1!BJ27</f>
        <v>33.657396817097862</v>
      </c>
      <c r="AA22" s="576">
        <f>+[1]Report1!BK27</f>
        <v>6.7521108331576807</v>
      </c>
      <c r="AB22" s="513">
        <f>+[2]Report1!J27</f>
        <v>0.9045540267092278</v>
      </c>
      <c r="AC22" s="514">
        <f>+[2]Report1!K27</f>
        <v>0.8127153493091257</v>
      </c>
      <c r="AD22" s="514">
        <f>+[2]Report1!BC27</f>
        <v>0.9045540267092278</v>
      </c>
      <c r="AE22" s="514">
        <f>+[2]Report1!BD27</f>
        <v>0.81920588496362134</v>
      </c>
      <c r="AF22" s="511">
        <f>+[2]Report1!R27</f>
        <v>40.729999999999997</v>
      </c>
      <c r="AG22" s="511">
        <f>+[2]Report1!S27</f>
        <v>704.58499999999992</v>
      </c>
      <c r="AH22" s="511">
        <f>+[2]Report1!X27</f>
        <v>141.18563477313609</v>
      </c>
      <c r="AI22" s="511">
        <f>+[2]Report1!Y27</f>
        <v>136.10580968383607</v>
      </c>
      <c r="AJ22" s="511">
        <f>+[2]Report1!AD27</f>
        <v>1.4264669776577463</v>
      </c>
      <c r="AK22" s="511">
        <f>+[2]Report1!AE27</f>
        <v>1.4634146341463414</v>
      </c>
      <c r="AL22" s="511">
        <f>+[2]Report1!AJ27</f>
        <v>947.32285784431394</v>
      </c>
      <c r="AM22" s="511">
        <f>+[2]Report1!AK27</f>
        <v>951.33311098022307</v>
      </c>
      <c r="AN22" s="511">
        <v>0</v>
      </c>
      <c r="AO22" s="512">
        <v>0</v>
      </c>
      <c r="AP22" s="594">
        <f>+[3]Report1!J27</f>
        <v>0.75920939046577451</v>
      </c>
      <c r="AQ22" s="514">
        <f>+[3]Report1!K27</f>
        <v>0.82272059702571232</v>
      </c>
      <c r="AR22" s="514">
        <f>+[3]Report1!BN27</f>
        <v>0.75920939046577451</v>
      </c>
      <c r="AS22" s="514">
        <f>+[3]Report1!BO27</f>
        <v>0.85112433560320921</v>
      </c>
      <c r="AT22" s="511">
        <f>+[3]Report1!R27</f>
        <v>45.033000000000001</v>
      </c>
      <c r="AU22" s="511">
        <f>+[3]Report1!S27</f>
        <v>859.58499999999992</v>
      </c>
      <c r="AV22" s="515">
        <f>+[3]Report1!AF27</f>
        <v>112.85831056182619</v>
      </c>
      <c r="AW22" s="515">
        <f>+[3]Report1!AG27</f>
        <v>109.55328712136217</v>
      </c>
      <c r="AX22" s="511">
        <f>+[3]Report1!AL27</f>
        <v>1.4766948682077587</v>
      </c>
      <c r="AY22" s="511">
        <f>+[3]Report1!AM27</f>
        <v>1.4487223485751846</v>
      </c>
      <c r="AZ22" s="511">
        <f>+[7]Report1!AR27</f>
        <v>0</v>
      </c>
      <c r="BA22" s="511">
        <f>+[7]Report1!AS27</f>
        <v>0</v>
      </c>
      <c r="BB22" s="511">
        <f>+[3]Report1!AX27</f>
        <v>854.58352763529012</v>
      </c>
      <c r="BC22" s="511">
        <f>+[3]Report1!AY27</f>
        <v>881.80347493267118</v>
      </c>
      <c r="BD22" s="511">
        <f>+[3]Report1!BD27</f>
        <v>546.49923389514413</v>
      </c>
      <c r="BE22" s="576">
        <f>+[3]Report1!BE27</f>
        <v>420.0727095051692</v>
      </c>
      <c r="BF22" s="511">
        <f>+[3]Report1!BJ27</f>
        <v>0</v>
      </c>
      <c r="BG22" s="512">
        <f>+[3]Report1!BK27</f>
        <v>0</v>
      </c>
      <c r="BH22" s="513">
        <f>+[5]Report1!J27</f>
        <v>1.0552248565192892</v>
      </c>
      <c r="BI22" s="514">
        <f>+[5]Report1!K27</f>
        <v>0.880275505152602</v>
      </c>
      <c r="BJ22" s="514">
        <f>+[5]Report1!AN27</f>
        <v>1.0552248565192892</v>
      </c>
      <c r="BK22" s="514">
        <f>+[5]Report1!AO27</f>
        <v>0.89233199821216358</v>
      </c>
      <c r="BL22" s="511">
        <f>+[5]Report1!R27</f>
        <v>54.652000000000001</v>
      </c>
      <c r="BM22" s="511">
        <f>+[5]Report1!S27</f>
        <v>888.51900000000012</v>
      </c>
      <c r="BN22" s="511">
        <f>+[5]Report1!X27</f>
        <v>2.235965746907707</v>
      </c>
      <c r="BO22" s="511">
        <f>+[5]Report1!Y27</f>
        <v>2.5946547006873226</v>
      </c>
      <c r="BP22" s="515">
        <v>0</v>
      </c>
      <c r="BQ22" s="515">
        <v>0</v>
      </c>
      <c r="BR22" s="515">
        <f>+[5]Report1!AD27</f>
        <v>831.91981244449562</v>
      </c>
      <c r="BS22" s="515">
        <f>+[5]Report1!AE27</f>
        <v>996.09354216257191</v>
      </c>
      <c r="BT22" s="515">
        <f>+[5]Report1!AJ27</f>
        <v>0</v>
      </c>
      <c r="BU22" s="516">
        <f>+[5]Report1!AK27</f>
        <v>0</v>
      </c>
      <c r="BV22" s="513">
        <f>+[6]Report1!J27</f>
        <v>0.97804333617052686</v>
      </c>
      <c r="BW22" s="514">
        <f>+[6]Report1!K27</f>
        <v>0.8259549529747271</v>
      </c>
      <c r="BX22" s="514">
        <f>+[6]Report1!BG27</f>
        <v>0.97804333617052686</v>
      </c>
      <c r="BY22" s="514">
        <f>+[6]Report1!BH27</f>
        <v>0.86930818981650693</v>
      </c>
      <c r="BZ22" s="511">
        <f>+[6]Report1!R27</f>
        <v>56.808</v>
      </c>
      <c r="CA22" s="511">
        <f>+[6]Report1!S27</f>
        <v>842.07399999999996</v>
      </c>
      <c r="CB22" s="515">
        <f>+[6]Report1!X27</f>
        <v>59.431080061953374</v>
      </c>
      <c r="CC22" s="515">
        <f>+[6]Report1!Y27</f>
        <v>77.822763526362635</v>
      </c>
      <c r="CD22" s="511">
        <f>+[6]Report1!AD27</f>
        <v>1.7638360794254331</v>
      </c>
      <c r="CE22" s="511">
        <f>+[6]Report1!AE27</f>
        <v>2.0422195674014398</v>
      </c>
      <c r="CF22" s="515">
        <v>0</v>
      </c>
      <c r="CG22" s="515">
        <v>0</v>
      </c>
      <c r="CH22" s="515">
        <f>+[6]Report1!AP27</f>
        <v>575.92765825734386</v>
      </c>
      <c r="CI22" s="515">
        <f>+[6]Report1!AQ27</f>
        <v>870.94042130157368</v>
      </c>
      <c r="CJ22" s="515">
        <f>+[6]Report1!AV27</f>
        <v>529.49408534009331</v>
      </c>
      <c r="CK22" s="515">
        <f>+[6]Report1!AW27</f>
        <v>220.06925757118739</v>
      </c>
      <c r="CL22" s="515">
        <f>+[6]Report1!$BB27</f>
        <v>0</v>
      </c>
      <c r="CM22" s="516">
        <f>+[6]Report1!$BB27</f>
        <v>0</v>
      </c>
    </row>
    <row r="23" spans="1:91" ht="12.75" customHeight="1">
      <c r="A23" s="558">
        <f t="shared" si="0"/>
        <v>46132</v>
      </c>
      <c r="B23" s="513">
        <f>+Report1!J28</f>
        <v>1.0754025512867882</v>
      </c>
      <c r="C23" s="514">
        <f>+Report1!K28</f>
        <v>0.94378080773120521</v>
      </c>
      <c r="D23" s="514">
        <f>+Report1!AJ28</f>
        <v>1.0754025512867882</v>
      </c>
      <c r="E23" s="514">
        <f>+Report1!AK28</f>
        <v>0.95421084565170788</v>
      </c>
      <c r="F23" s="511">
        <f>+Report1!R28</f>
        <v>84.385999999999996</v>
      </c>
      <c r="G23" s="511">
        <f>+Report1!S28</f>
        <v>1374.44</v>
      </c>
      <c r="H23" s="511">
        <f>+Report1!X28</f>
        <v>1.7768350200270189</v>
      </c>
      <c r="I23" s="511">
        <f>+Report1!Y28</f>
        <v>2.0641126567911292</v>
      </c>
      <c r="J23" s="511">
        <f>+Report1!AD28</f>
        <v>599.43805844571511</v>
      </c>
      <c r="K23" s="512">
        <f>+Report1!AE28</f>
        <v>800.32392829079561</v>
      </c>
      <c r="L23" s="513">
        <f>+[1]Report1!J28</f>
        <v>0.9167184283544787</v>
      </c>
      <c r="M23" s="514">
        <f>+[1]Report1!K28</f>
        <v>0.81573936728497265</v>
      </c>
      <c r="N23" s="514">
        <f>+[1]Report1!BP28</f>
        <v>0.9167184283544787</v>
      </c>
      <c r="O23" s="514">
        <f>+[1]Report1!BQ28</f>
        <v>0.87650152321127561</v>
      </c>
      <c r="P23" s="511">
        <f>+[1]Report1!R28</f>
        <v>63.899000000000001</v>
      </c>
      <c r="Q23" s="511">
        <f>+[1]Report1!S28</f>
        <v>1069.663</v>
      </c>
      <c r="R23" s="511">
        <f>+[1]Report1!AL28</f>
        <v>2.2579383088937228</v>
      </c>
      <c r="S23" s="511">
        <f>+[1]Report1!AM28</f>
        <v>2.3236449236815711</v>
      </c>
      <c r="T23" s="511">
        <f>+[1]Report1!AR28</f>
        <v>0</v>
      </c>
      <c r="U23" s="511">
        <f>+[1]Report1!AS28</f>
        <v>0</v>
      </c>
      <c r="V23" s="511">
        <f>+[1]Report1!AX28</f>
        <v>584.61431321303962</v>
      </c>
      <c r="W23" s="511">
        <f>+[1]Report1!AY28</f>
        <v>599.58830958909357</v>
      </c>
      <c r="X23" s="511">
        <f>+[1]Report1!BD28</f>
        <v>391.24242945898993</v>
      </c>
      <c r="Y23" s="576">
        <f>+[1]Report1!BE28</f>
        <v>414.05283720199725</v>
      </c>
      <c r="Z23" s="511">
        <f>+[1]Report1!BJ28</f>
        <v>46.520289832392287</v>
      </c>
      <c r="AA23" s="576">
        <f>+[1]Report1!BK28</f>
        <v>9.1277626691771481</v>
      </c>
      <c r="AB23" s="513">
        <f>+[2]Report1!J28</f>
        <v>0.89882204575769642</v>
      </c>
      <c r="AC23" s="514">
        <f>+[2]Report1!K28</f>
        <v>0.81702353754508739</v>
      </c>
      <c r="AD23" s="514">
        <f>+[2]Report1!BC28</f>
        <v>0.89882204575769642</v>
      </c>
      <c r="AE23" s="514">
        <f>+[2]Report1!BD28</f>
        <v>0.82321954030908506</v>
      </c>
      <c r="AF23" s="511">
        <f>+[2]Report1!R28</f>
        <v>41.040999999999997</v>
      </c>
      <c r="AG23" s="511">
        <f>+[2]Report1!S28</f>
        <v>745.62599999999998</v>
      </c>
      <c r="AH23" s="511">
        <f>+[2]Report1!X28</f>
        <v>136.72054409354533</v>
      </c>
      <c r="AI23" s="511">
        <f>+[2]Report1!Y28</f>
        <v>136.13964610438589</v>
      </c>
      <c r="AJ23" s="511">
        <f>+[2]Report1!AD28</f>
        <v>1.3912916351940743</v>
      </c>
      <c r="AK23" s="511">
        <f>+[2]Report1!AE28</f>
        <v>1.4594448154973134</v>
      </c>
      <c r="AL23" s="511">
        <f>+[2]Report1!AJ28</f>
        <v>866.06515435786389</v>
      </c>
      <c r="AM23" s="511">
        <f>+[2]Report1!AK28</f>
        <v>946.63976309839177</v>
      </c>
      <c r="AN23" s="511">
        <v>0</v>
      </c>
      <c r="AO23" s="512">
        <v>0</v>
      </c>
      <c r="AP23" s="594">
        <f>+[3]Report1!J28</f>
        <v>0.93990133101080509</v>
      </c>
      <c r="AQ23" s="514">
        <f>+[3]Report1!K28</f>
        <v>0.82855937617866426</v>
      </c>
      <c r="AR23" s="514">
        <f>+[3]Report1!BN28</f>
        <v>0.93990133101080509</v>
      </c>
      <c r="AS23" s="514">
        <f>+[3]Report1!BO28</f>
        <v>0.85569269714270813</v>
      </c>
      <c r="AT23" s="511">
        <f>+[3]Report1!R28</f>
        <v>51.497</v>
      </c>
      <c r="AU23" s="511">
        <f>+[3]Report1!S28</f>
        <v>911.08199999999988</v>
      </c>
      <c r="AV23" s="515">
        <f>+[3]Report1!AF28</f>
        <v>110.40824632767597</v>
      </c>
      <c r="AW23" s="515">
        <f>+[3]Report1!AG28</f>
        <v>109.60161189810843</v>
      </c>
      <c r="AX23" s="511">
        <f>+[3]Report1!AL28</f>
        <v>1.378721090548964</v>
      </c>
      <c r="AY23" s="511">
        <f>+[3]Report1!AM28</f>
        <v>1.4447656742203228</v>
      </c>
      <c r="AZ23" s="511">
        <f>+[7]Report1!AR28</f>
        <v>0</v>
      </c>
      <c r="BA23" s="511">
        <f>+[7]Report1!AS28</f>
        <v>0</v>
      </c>
      <c r="BB23" s="511">
        <f>+[3]Report1!AX28</f>
        <v>859.16033943724869</v>
      </c>
      <c r="BC23" s="511">
        <f>+[3]Report1!AY28</f>
        <v>880.52361916929544</v>
      </c>
      <c r="BD23" s="511">
        <f>+[3]Report1!BD28</f>
        <v>542.82307707245263</v>
      </c>
      <c r="BE23" s="576">
        <f>+[3]Report1!BE28</f>
        <v>427.01091669026601</v>
      </c>
      <c r="BF23" s="511">
        <f>+[3]Report1!BJ28</f>
        <v>0</v>
      </c>
      <c r="BG23" s="512">
        <f>+[3]Report1!BK28</f>
        <v>0</v>
      </c>
      <c r="BH23" s="513">
        <f>+[5]Report1!J28</f>
        <v>0.88036595973103915</v>
      </c>
      <c r="BI23" s="514">
        <f>+[5]Report1!K28</f>
        <v>0.8802798622950837</v>
      </c>
      <c r="BJ23" s="514">
        <f>+[5]Report1!AN28</f>
        <v>0.88036595973103915</v>
      </c>
      <c r="BK23" s="514">
        <f>+[5]Report1!AO28</f>
        <v>0.89174809209497219</v>
      </c>
      <c r="BL23" s="511">
        <f>+[5]Report1!R28</f>
        <v>44.97</v>
      </c>
      <c r="BM23" s="511">
        <f>+[5]Report1!S28</f>
        <v>933.48900000000015</v>
      </c>
      <c r="BN23" s="511">
        <f>+[5]Report1!X28</f>
        <v>2.695130086724483</v>
      </c>
      <c r="BO23" s="511">
        <f>+[5]Report1!Y28</f>
        <v>2.599495012796079</v>
      </c>
      <c r="BP23" s="515">
        <v>0</v>
      </c>
      <c r="BQ23" s="515">
        <v>0</v>
      </c>
      <c r="BR23" s="515">
        <f>+[5]Report1!AD28</f>
        <v>1017.2422083351136</v>
      </c>
      <c r="BS23" s="515">
        <f>+[5]Report1!AE28</f>
        <v>997.11236029302574</v>
      </c>
      <c r="BT23" s="515">
        <f>+[5]Report1!AJ28</f>
        <v>0</v>
      </c>
      <c r="BU23" s="516">
        <f>+[5]Report1!AK28</f>
        <v>0</v>
      </c>
      <c r="BV23" s="513">
        <f>+[6]Report1!J28</f>
        <v>1.172729191075053</v>
      </c>
      <c r="BW23" s="514">
        <f>+[6]Report1!K28</f>
        <v>0.84464631984894312</v>
      </c>
      <c r="BX23" s="514">
        <f>+[6]Report1!BG28</f>
        <v>1.172729191075053</v>
      </c>
      <c r="BY23" s="514">
        <f>+[6]Report1!BH28</f>
        <v>0.88647265685688514</v>
      </c>
      <c r="BZ23" s="511">
        <f>+[6]Report1!R28</f>
        <v>68.116</v>
      </c>
      <c r="CA23" s="511">
        <f>+[6]Report1!S28</f>
        <v>910.18999999999994</v>
      </c>
      <c r="CB23" s="515">
        <f>+[6]Report1!X28</f>
        <v>48.830798765642086</v>
      </c>
      <c r="CC23" s="515">
        <f>+[6]Report1!Y28</f>
        <v>75.653088324875867</v>
      </c>
      <c r="CD23" s="511">
        <f>+[6]Report1!AD28</f>
        <v>1.4871689470902578</v>
      </c>
      <c r="CE23" s="511">
        <f>+[6]Report1!AE28</f>
        <v>2.0006811764576624</v>
      </c>
      <c r="CF23" s="515">
        <v>0</v>
      </c>
      <c r="CG23" s="515">
        <v>0</v>
      </c>
      <c r="CH23" s="515">
        <f>+[6]Report1!AP28</f>
        <v>523.19804291461401</v>
      </c>
      <c r="CI23" s="515">
        <f>+[6]Report1!AQ28</f>
        <v>844.91638253361748</v>
      </c>
      <c r="CJ23" s="515">
        <f>+[6]Report1!AV28</f>
        <v>444.58335780139907</v>
      </c>
      <c r="CK23" s="515">
        <f>+[6]Report1!AW28</f>
        <v>236.87124666278493</v>
      </c>
      <c r="CL23" s="515">
        <f>+[6]Report1!$BB28</f>
        <v>0</v>
      </c>
      <c r="CM23" s="516">
        <f>+[6]Report1!$BB28</f>
        <v>0</v>
      </c>
    </row>
    <row r="24" spans="1:91" ht="12.75" customHeight="1">
      <c r="A24" s="558">
        <f t="shared" si="0"/>
        <v>46133</v>
      </c>
      <c r="B24" s="513">
        <f>+Report1!J29</f>
        <v>0.86719302409777588</v>
      </c>
      <c r="C24" s="514">
        <f>+Report1!K29</f>
        <v>0.94024070535764159</v>
      </c>
      <c r="D24" s="514">
        <f>+Report1!AJ29</f>
        <v>0.86719302409777588</v>
      </c>
      <c r="E24" s="514">
        <f>+Report1!AK29</f>
        <v>0.95014626316082751</v>
      </c>
      <c r="F24" s="511">
        <f>+Report1!R29</f>
        <v>61.204000000000001</v>
      </c>
      <c r="G24" s="511">
        <f>+Report1!S29</f>
        <v>1435.644</v>
      </c>
      <c r="H24" s="511">
        <f>+Report1!X29</f>
        <v>2.3236879942487416</v>
      </c>
      <c r="I24" s="511">
        <f>+Report1!Y29</f>
        <v>2.0751788047733282</v>
      </c>
      <c r="J24" s="511">
        <f>+Report1!AD29</f>
        <v>904.0477746552491</v>
      </c>
      <c r="K24" s="512">
        <f>+Report1!AE29</f>
        <v>804.74585621505128</v>
      </c>
      <c r="L24" s="513">
        <f>+[1]Report1!J29</f>
        <v>0.73817790595394839</v>
      </c>
      <c r="M24" s="514">
        <f>+[1]Report1!K29</f>
        <v>0.81182451565859415</v>
      </c>
      <c r="N24" s="514">
        <f>+[1]Report1!BP29</f>
        <v>0.73817790595394839</v>
      </c>
      <c r="O24" s="514">
        <f>+[1]Report1!BQ29</f>
        <v>0.86902779728416302</v>
      </c>
      <c r="P24" s="511">
        <f>+[1]Report1!R29</f>
        <v>51.454000000000001</v>
      </c>
      <c r="Q24" s="511">
        <f>+[1]Report1!S29</f>
        <v>1121.117</v>
      </c>
      <c r="R24" s="511">
        <f>+[1]Report1!AL29</f>
        <v>2.4959381194853654</v>
      </c>
      <c r="S24" s="511">
        <f>+[1]Report1!AM29</f>
        <v>2.3315523714295656</v>
      </c>
      <c r="T24" s="511">
        <f>+[1]Report1!AR29</f>
        <v>0</v>
      </c>
      <c r="U24" s="511">
        <f>+[1]Report1!AS29</f>
        <v>0</v>
      </c>
      <c r="V24" s="511">
        <f>+[1]Report1!AX29</f>
        <v>710.75154506938145</v>
      </c>
      <c r="W24" s="511">
        <f>+[1]Report1!AY29</f>
        <v>604.69017952631043</v>
      </c>
      <c r="X24" s="511">
        <f>+[1]Report1!BD29</f>
        <v>351.77051346834065</v>
      </c>
      <c r="Y24" s="576">
        <f>+[1]Report1!BE29</f>
        <v>411.19437132788107</v>
      </c>
      <c r="Z24" s="511">
        <f>+[1]Report1!BJ29</f>
        <v>45.767092937380276</v>
      </c>
      <c r="AA24" s="576">
        <f>+[1]Report1!BK29</f>
        <v>10.809335689316995</v>
      </c>
      <c r="AB24" s="513">
        <f>+[2]Report1!J29</f>
        <v>0.9408533994348196</v>
      </c>
      <c r="AC24" s="514">
        <f>+[2]Report1!K29</f>
        <v>0.82293998119846234</v>
      </c>
      <c r="AD24" s="514">
        <f>+[2]Report1!BC29</f>
        <v>0.9408533994348196</v>
      </c>
      <c r="AE24" s="514">
        <f>+[2]Report1!BD29</f>
        <v>0.82888051820247366</v>
      </c>
      <c r="AF24" s="511">
        <f>+[2]Report1!R29</f>
        <v>43.082999999999998</v>
      </c>
      <c r="AG24" s="511">
        <f>+[2]Report1!S29</f>
        <v>788.70899999999995</v>
      </c>
      <c r="AH24" s="511">
        <f>+[2]Report1!X29</f>
        <v>135.54144347083448</v>
      </c>
      <c r="AI24" s="511">
        <f>+[2]Report1!Y29</f>
        <v>136.10696945930982</v>
      </c>
      <c r="AJ24" s="511">
        <f>+[2]Report1!AD29</f>
        <v>1.3160643409233341</v>
      </c>
      <c r="AK24" s="511">
        <f>+[2]Report1!AE29</f>
        <v>1.4516126987266533</v>
      </c>
      <c r="AL24" s="511">
        <f>+[2]Report1!AJ29</f>
        <v>839.94475779306322</v>
      </c>
      <c r="AM24" s="511">
        <f>+[2]Report1!AK29</f>
        <v>940.81157942916843</v>
      </c>
      <c r="AN24" s="511">
        <v>0</v>
      </c>
      <c r="AO24" s="512">
        <v>0</v>
      </c>
      <c r="AP24" s="594">
        <f>+[3]Report1!J29</f>
        <v>0.94492581866319225</v>
      </c>
      <c r="AQ24" s="514">
        <f>+[3]Report1!K29</f>
        <v>0.83410663713227484</v>
      </c>
      <c r="AR24" s="514">
        <f>+[3]Report1!BN29</f>
        <v>0.94492581866319225</v>
      </c>
      <c r="AS24" s="514">
        <f>+[3]Report1!BO29</f>
        <v>0.86007895002146006</v>
      </c>
      <c r="AT24" s="511">
        <f>+[3]Report1!R29</f>
        <v>52.011000000000003</v>
      </c>
      <c r="AU24" s="511">
        <f>+[3]Report1!S29</f>
        <v>963.09299999999985</v>
      </c>
      <c r="AV24" s="515">
        <f>+[3]Report1!AF29</f>
        <v>112.02539728935362</v>
      </c>
      <c r="AW24" s="515">
        <f>+[3]Report1!AG29</f>
        <v>109.73250632054122</v>
      </c>
      <c r="AX24" s="511">
        <f>+[3]Report1!AL29</f>
        <v>1.3650958451096882</v>
      </c>
      <c r="AY24" s="511">
        <f>+[3]Report1!AM29</f>
        <v>1.4404631743767218</v>
      </c>
      <c r="AZ24" s="511">
        <f>+[7]Report1!AR29</f>
        <v>0</v>
      </c>
      <c r="BA24" s="511">
        <f>+[7]Report1!AS29</f>
        <v>0</v>
      </c>
      <c r="BB24" s="511">
        <f>+[3]Report1!AX29</f>
        <v>868.80352233181475</v>
      </c>
      <c r="BC24" s="511">
        <f>+[3]Report1!AY29</f>
        <v>879.8906855308885</v>
      </c>
      <c r="BD24" s="511">
        <f>+[3]Report1!BD29</f>
        <v>416.08990405876295</v>
      </c>
      <c r="BE24" s="576">
        <f>+[3]Report1!BE29</f>
        <v>426.42113689955306</v>
      </c>
      <c r="BF24" s="511">
        <f>+[3]Report1!BJ29</f>
        <v>0</v>
      </c>
      <c r="BG24" s="512">
        <f>+[3]Report1!BK29</f>
        <v>0</v>
      </c>
      <c r="BH24" s="513">
        <f>+[5]Report1!J29</f>
        <v>1.0139967811925483</v>
      </c>
      <c r="BI24" s="514">
        <f>+[5]Report1!K29</f>
        <v>0.88642492181081955</v>
      </c>
      <c r="BJ24" s="514">
        <f>+[5]Report1!AN29</f>
        <v>1.0139967811925483</v>
      </c>
      <c r="BK24" s="514">
        <f>+[5]Report1!AO29</f>
        <v>0.89743590663658313</v>
      </c>
      <c r="BL24" s="511">
        <f>+[5]Report1!R29</f>
        <v>51.795999999999999</v>
      </c>
      <c r="BM24" s="511">
        <f>+[5]Report1!S29</f>
        <v>985.2850000000002</v>
      </c>
      <c r="BN24" s="511">
        <f>+[5]Report1!X29</f>
        <v>2.2974747084716967</v>
      </c>
      <c r="BO24" s="511">
        <f>+[5]Report1!Y29</f>
        <v>2.5836179379570368</v>
      </c>
      <c r="BP24" s="515">
        <v>0</v>
      </c>
      <c r="BQ24" s="515">
        <v>0</v>
      </c>
      <c r="BR24" s="515">
        <f>+[5]Report1!AD29</f>
        <v>942.66847837807802</v>
      </c>
      <c r="BS24" s="515">
        <f>+[5]Report1!AE29</f>
        <v>994.25026931664149</v>
      </c>
      <c r="BT24" s="515">
        <f>+[5]Report1!AJ29</f>
        <v>0</v>
      </c>
      <c r="BU24" s="516">
        <f>+[5]Report1!AK29</f>
        <v>0</v>
      </c>
      <c r="BV24" s="513">
        <f>+[6]Report1!J29</f>
        <v>0.98103903291207162</v>
      </c>
      <c r="BW24" s="514">
        <f>+[6]Report1!K29</f>
        <v>0.85162198651670018</v>
      </c>
      <c r="BX24" s="514">
        <f>+[6]Report1!BG29</f>
        <v>0.98103903291207162</v>
      </c>
      <c r="BY24" s="514">
        <f>+[6]Report1!BH29</f>
        <v>0.89153583533949099</v>
      </c>
      <c r="BZ24" s="511">
        <f>+[6]Report1!R29</f>
        <v>56.981999999999999</v>
      </c>
      <c r="CA24" s="511">
        <f>+[6]Report1!S29</f>
        <v>967.17199999999991</v>
      </c>
      <c r="CB24" s="515">
        <f>+[6]Report1!X29</f>
        <v>59.420782923194459</v>
      </c>
      <c r="CC24" s="515">
        <f>+[6]Report1!Y29</f>
        <v>74.696744234684459</v>
      </c>
      <c r="CD24" s="511">
        <f>+[6]Report1!AD29</f>
        <v>1.7742444982626091</v>
      </c>
      <c r="CE24" s="511">
        <f>+[6]Report1!AE29</f>
        <v>1.9873404110127255</v>
      </c>
      <c r="CF24" s="515">
        <v>0</v>
      </c>
      <c r="CG24" s="515">
        <v>0</v>
      </c>
      <c r="CH24" s="515">
        <f>+[6]Report1!AP29</f>
        <v>612.11195630070927</v>
      </c>
      <c r="CI24" s="515">
        <f>+[6]Report1!AQ29</f>
        <v>831.20045422344765</v>
      </c>
      <c r="CJ24" s="515">
        <f>+[6]Report1!AV29</f>
        <v>445.84163420028034</v>
      </c>
      <c r="CK24" s="515">
        <f>+[6]Report1!AW29</f>
        <v>249.18296642169187</v>
      </c>
      <c r="CL24" s="515">
        <f>+[6]Report1!$BB29</f>
        <v>0</v>
      </c>
      <c r="CM24" s="516">
        <f>+[6]Report1!$BB29</f>
        <v>0</v>
      </c>
    </row>
    <row r="25" spans="1:91" ht="12.75" customHeight="1">
      <c r="A25" s="558">
        <f t="shared" si="0"/>
        <v>46134</v>
      </c>
      <c r="B25" s="513">
        <f>+Report1!J30</f>
        <v>0.86359075307645083</v>
      </c>
      <c r="C25" s="514">
        <f>+Report1!K30</f>
        <v>0.93720852671895671</v>
      </c>
      <c r="D25" s="514">
        <f>+Report1!AJ30</f>
        <v>0.86359075307645083</v>
      </c>
      <c r="E25" s="514">
        <f>+Report1!AK30</f>
        <v>0.94668760155146114</v>
      </c>
      <c r="F25" s="511">
        <f>+Report1!R30</f>
        <v>54.311</v>
      </c>
      <c r="G25" s="511">
        <f>+Report1!S30</f>
        <v>1489.9549999999999</v>
      </c>
      <c r="H25" s="511">
        <f>+Report1!X30</f>
        <v>2.4400765959013828</v>
      </c>
      <c r="I25" s="511">
        <f>+Report1!Y30</f>
        <v>2.0884798534183919</v>
      </c>
      <c r="J25" s="511">
        <f>+Report1!AD30</f>
        <v>972.88210491429402</v>
      </c>
      <c r="K25" s="512">
        <f>+Report1!AE30</f>
        <v>810.87466399992024</v>
      </c>
      <c r="L25" s="513">
        <f>+[1]Report1!J30</f>
        <v>0.84303549359761853</v>
      </c>
      <c r="M25" s="514">
        <f>+[1]Report1!K30</f>
        <v>0.81332417050686068</v>
      </c>
      <c r="N25" s="514">
        <f>+[1]Report1!BP30</f>
        <v>0.84303549359761853</v>
      </c>
      <c r="O25" s="514">
        <f>+[1]Report1!BQ30</f>
        <v>0.86769540432195535</v>
      </c>
      <c r="P25" s="511">
        <f>+[1]Report1!R30</f>
        <v>58.762999999999998</v>
      </c>
      <c r="Q25" s="511">
        <f>+[1]Report1!S30</f>
        <v>1179.8799999999999</v>
      </c>
      <c r="R25" s="511">
        <f>+[1]Report1!AL30</f>
        <v>2.4490580807651074</v>
      </c>
      <c r="S25" s="511">
        <f>+[1]Report1!AM30</f>
        <v>2.3374046513204738</v>
      </c>
      <c r="T25" s="511">
        <f>+[1]Report1!AR30</f>
        <v>0</v>
      </c>
      <c r="U25" s="511">
        <f>+[1]Report1!AS30</f>
        <v>0</v>
      </c>
      <c r="V25" s="511">
        <f>+[1]Report1!AX30</f>
        <v>644.44123002569609</v>
      </c>
      <c r="W25" s="511">
        <f>+[1]Report1!AY30</f>
        <v>606.66994948638728</v>
      </c>
      <c r="X25" s="511">
        <f>+[1]Report1!BD30</f>
        <v>423.73602436907578</v>
      </c>
      <c r="Y25" s="576">
        <f>+[1]Report1!BE30</f>
        <v>411.81899854222468</v>
      </c>
      <c r="Z25" s="511">
        <f>+[1]Report1!BJ30</f>
        <v>56.030155029525382</v>
      </c>
      <c r="AA25" s="576">
        <f>+[1]Report1!BK30</f>
        <v>13.061523205749742</v>
      </c>
      <c r="AB25" s="513">
        <f>+[2]Report1!J30</f>
        <v>0.89758805925248297</v>
      </c>
      <c r="AC25" s="514">
        <f>+[2]Report1!K30</f>
        <v>0.82635343850007348</v>
      </c>
      <c r="AD25" s="514">
        <f>+[2]Report1!BC30</f>
        <v>0.89758805925248297</v>
      </c>
      <c r="AE25" s="514">
        <f>+[2]Report1!BD30</f>
        <v>0.83204396610842268</v>
      </c>
      <c r="AF25" s="511">
        <f>+[2]Report1!R30</f>
        <v>41.222000000000001</v>
      </c>
      <c r="AG25" s="511">
        <f>+[2]Report1!S30</f>
        <v>829.93099999999993</v>
      </c>
      <c r="AH25" s="511">
        <f>+[2]Report1!X30</f>
        <v>145.18642455656982</v>
      </c>
      <c r="AI25" s="511">
        <f>+[2]Report1!Y30</f>
        <v>136.55793863387888</v>
      </c>
      <c r="AJ25" s="511">
        <f>+[2]Report1!AD30</f>
        <v>1.3948862258017563</v>
      </c>
      <c r="AK25" s="511">
        <f>+[2]Report1!AE30</f>
        <v>1.4487951408008617</v>
      </c>
      <c r="AL25" s="511">
        <f>+[2]Report1!AJ30</f>
        <v>859.88549803502974</v>
      </c>
      <c r="AM25" s="511">
        <f>+[2]Report1!AK30</f>
        <v>936.79204656772686</v>
      </c>
      <c r="AN25" s="511">
        <v>0</v>
      </c>
      <c r="AO25" s="512">
        <v>0</v>
      </c>
      <c r="AP25" s="594">
        <f>+[3]Report1!J30</f>
        <v>0.87102814498116943</v>
      </c>
      <c r="AQ25" s="514">
        <f>+[3]Report1!K30</f>
        <v>0.83578737525579461</v>
      </c>
      <c r="AR25" s="514">
        <f>+[3]Report1!BN30</f>
        <v>0.87102814498116943</v>
      </c>
      <c r="AS25" s="514">
        <f>+[3]Report1!BO30</f>
        <v>0.86059217099371466</v>
      </c>
      <c r="AT25" s="511">
        <f>+[3]Report1!R30</f>
        <v>47.966000000000001</v>
      </c>
      <c r="AU25" s="511">
        <f>+[3]Report1!S30</f>
        <v>1011.0589999999999</v>
      </c>
      <c r="AV25" s="515">
        <f>+[3]Report1!AF30</f>
        <v>123.59002960046891</v>
      </c>
      <c r="AW25" s="515">
        <f>+[3]Report1!AG30</f>
        <v>110.38992587928607</v>
      </c>
      <c r="AX25" s="511">
        <f>+[3]Report1!AL30</f>
        <v>1.4718759121044072</v>
      </c>
      <c r="AY25" s="511">
        <f>+[3]Report1!AM30</f>
        <v>1.4419534369408711</v>
      </c>
      <c r="AZ25" s="511">
        <f>+[7]Report1!AR30</f>
        <v>0</v>
      </c>
      <c r="BA25" s="511">
        <f>+[7]Report1!AS30</f>
        <v>0</v>
      </c>
      <c r="BB25" s="511">
        <f>+[3]Report1!AX30</f>
        <v>905.77075428428464</v>
      </c>
      <c r="BC25" s="511">
        <f>+[3]Report1!AY30</f>
        <v>881.11847083107909</v>
      </c>
      <c r="BD25" s="511">
        <f>+[3]Report1!BD30</f>
        <v>586.04136263185512</v>
      </c>
      <c r="BE25" s="576">
        <f>+[3]Report1!BE30</f>
        <v>433.9937352815225</v>
      </c>
      <c r="BF25" s="511">
        <f>+[3]Report1!BJ30</f>
        <v>0</v>
      </c>
      <c r="BG25" s="512">
        <f>+[3]Report1!BK30</f>
        <v>0</v>
      </c>
      <c r="BH25" s="513">
        <f>+[5]Report1!J30</f>
        <v>0.9557755589501622</v>
      </c>
      <c r="BI25" s="514">
        <f>+[5]Report1!K30</f>
        <v>0.88947195287323189</v>
      </c>
      <c r="BJ25" s="514">
        <f>+[5]Report1!AN30</f>
        <v>0.9557755589501622</v>
      </c>
      <c r="BK25" s="514">
        <f>+[5]Report1!AO30</f>
        <v>0.90002957703824993</v>
      </c>
      <c r="BL25" s="511">
        <f>+[5]Report1!R30</f>
        <v>48.822000000000003</v>
      </c>
      <c r="BM25" s="511">
        <f>+[5]Report1!S30</f>
        <v>1034.1070000000002</v>
      </c>
      <c r="BN25" s="511">
        <f>+[5]Report1!X30</f>
        <v>2.4456187784195649</v>
      </c>
      <c r="BO25" s="511">
        <f>+[5]Report1!Y30</f>
        <v>2.5771027562911759</v>
      </c>
      <c r="BP25" s="515">
        <v>0</v>
      </c>
      <c r="BQ25" s="515">
        <v>0</v>
      </c>
      <c r="BR25" s="515">
        <f>+[5]Report1!AD30</f>
        <v>910.26206867876704</v>
      </c>
      <c r="BS25" s="515">
        <f>+[5]Report1!AE30</f>
        <v>990.28503947916602</v>
      </c>
      <c r="BT25" s="515">
        <f>+[5]Report1!AJ30</f>
        <v>0</v>
      </c>
      <c r="BU25" s="516">
        <f>+[5]Report1!AK30</f>
        <v>0</v>
      </c>
      <c r="BV25" s="513">
        <f>+[6]Report1!J30</f>
        <v>1.0520749223121488</v>
      </c>
      <c r="BW25" s="514">
        <f>+[6]Report1!K30</f>
        <v>0.86137513337730565</v>
      </c>
      <c r="BX25" s="514">
        <f>+[6]Report1!BG30</f>
        <v>1.0520749223121488</v>
      </c>
      <c r="BY25" s="514">
        <f>+[6]Report1!BH30</f>
        <v>0.89969443902439283</v>
      </c>
      <c r="BZ25" s="511">
        <f>+[6]Report1!R30</f>
        <v>61.107999999999997</v>
      </c>
      <c r="CA25" s="511">
        <f>+[6]Report1!S30</f>
        <v>1028.28</v>
      </c>
      <c r="CB25" s="515">
        <f>+[6]Report1!X30</f>
        <v>55.770207617873091</v>
      </c>
      <c r="CC25" s="515">
        <f>+[6]Report1!Y30</f>
        <v>73.571989499028689</v>
      </c>
      <c r="CD25" s="511">
        <f>+[6]Report1!AD30</f>
        <v>1.6217189238724881</v>
      </c>
      <c r="CE25" s="511">
        <f>+[6]Report1!AE30</f>
        <v>1.9656124790912977</v>
      </c>
      <c r="CF25" s="515">
        <v>0</v>
      </c>
      <c r="CG25" s="515">
        <v>0</v>
      </c>
      <c r="CH25" s="515">
        <f>+[6]Report1!AP30</f>
        <v>551.6787537305396</v>
      </c>
      <c r="CI25" s="515">
        <f>+[6]Report1!AQ30</f>
        <v>814.5892081876201</v>
      </c>
      <c r="CJ25" s="515">
        <f>+[6]Report1!AV30</f>
        <v>562.22982260914239</v>
      </c>
      <c r="CK25" s="515">
        <f>+[6]Report1!AW30</f>
        <v>267.78652507099235</v>
      </c>
      <c r="CL25" s="515">
        <f>+[6]Report1!$BB30</f>
        <v>0</v>
      </c>
      <c r="CM25" s="516">
        <f>+[6]Report1!$BB30</f>
        <v>0</v>
      </c>
    </row>
    <row r="26" spans="1:91" ht="12.75" customHeight="1">
      <c r="A26" s="558">
        <f t="shared" si="0"/>
        <v>46135</v>
      </c>
      <c r="B26" s="513">
        <f>+Report1!J31</f>
        <v>0.83601893191862275</v>
      </c>
      <c r="C26" s="514">
        <f>+Report1!K31</f>
        <v>0.93263007925164543</v>
      </c>
      <c r="D26" s="514">
        <f>+Report1!AJ31</f>
        <v>0.83601893191862275</v>
      </c>
      <c r="E26" s="514">
        <f>+Report1!AK31</f>
        <v>0.94163193029327752</v>
      </c>
      <c r="F26" s="511">
        <f>+Report1!R31</f>
        <v>62.985999999999997</v>
      </c>
      <c r="G26" s="511">
        <f>+Report1!S31</f>
        <v>1552.941</v>
      </c>
      <c r="H26" s="511">
        <f>+Report1!X31</f>
        <v>2.1684025021433335</v>
      </c>
      <c r="I26" s="511">
        <f>+Report1!Y31</f>
        <v>2.0917214498168315</v>
      </c>
      <c r="J26" s="511">
        <f>+Report1!AD31</f>
        <v>856.70529959039027</v>
      </c>
      <c r="K26" s="512">
        <f>+Report1!AE31</f>
        <v>812.73351659850664</v>
      </c>
      <c r="L26" s="513">
        <f>+[1]Report1!J31</f>
        <v>0.93662607160204137</v>
      </c>
      <c r="M26" s="514">
        <f>+[1]Report1!K31</f>
        <v>0.81898628058354817</v>
      </c>
      <c r="N26" s="514">
        <f>+[1]Report1!BP31</f>
        <v>0.93662607160204137</v>
      </c>
      <c r="O26" s="514">
        <f>+[1]Report1!BQ31</f>
        <v>0.87106201944003248</v>
      </c>
      <c r="P26" s="511">
        <f>+[1]Report1!R31</f>
        <v>65.397999999999996</v>
      </c>
      <c r="Q26" s="511">
        <f>+[1]Report1!S31</f>
        <v>1245.2779999999998</v>
      </c>
      <c r="R26" s="511">
        <f>+[1]Report1!AL31</f>
        <v>2.1941190862105873</v>
      </c>
      <c r="S26" s="511">
        <f>+[1]Report1!AM31</f>
        <v>2.3298797537577962</v>
      </c>
      <c r="T26" s="511">
        <f>+[1]Report1!AR31</f>
        <v>0</v>
      </c>
      <c r="U26" s="511">
        <f>+[1]Report1!AS31</f>
        <v>0</v>
      </c>
      <c r="V26" s="511">
        <f>+[1]Report1!AX31</f>
        <v>577.95742989079622</v>
      </c>
      <c r="W26" s="511">
        <f>+[1]Report1!AY31</f>
        <v>605.16206019860374</v>
      </c>
      <c r="X26" s="511">
        <f>+[1]Report1!BD31</f>
        <v>351.46334750298183</v>
      </c>
      <c r="Y26" s="576">
        <f>+[1]Report1!BE31</f>
        <v>408.6493136472339</v>
      </c>
      <c r="Z26" s="511">
        <f>+[1]Report1!BJ31</f>
        <v>41.883543839261677</v>
      </c>
      <c r="AA26" s="576">
        <f>+[1]Report1!BK31</f>
        <v>14.575163136263582</v>
      </c>
      <c r="AB26" s="513">
        <f>+[2]Report1!J31</f>
        <v>0.91038940820557634</v>
      </c>
      <c r="AC26" s="514">
        <f>+[2]Report1!K31</f>
        <v>0.83004277405187643</v>
      </c>
      <c r="AD26" s="514">
        <f>+[2]Report1!BC31</f>
        <v>0.91038940820557634</v>
      </c>
      <c r="AE26" s="514">
        <f>+[2]Report1!BD31</f>
        <v>0.83550611576275569</v>
      </c>
      <c r="AF26" s="511">
        <f>+[2]Report1!R31</f>
        <v>41.984000000000002</v>
      </c>
      <c r="AG26" s="511">
        <f>+[2]Report1!S31</f>
        <v>871.91499999999996</v>
      </c>
      <c r="AH26" s="511">
        <f>+[2]Report1!X31</f>
        <v>139.68541142818248</v>
      </c>
      <c r="AI26" s="511">
        <f>+[2]Report1!Y31</f>
        <v>136.70853108589085</v>
      </c>
      <c r="AJ26" s="511">
        <f>+[2]Report1!AD31</f>
        <v>1.3528963414634145</v>
      </c>
      <c r="AK26" s="511">
        <f>+[2]Report1!AE31</f>
        <v>1.4441774714278339</v>
      </c>
      <c r="AL26" s="511">
        <f>+[2]Report1!AJ31</f>
        <v>829.46932164634154</v>
      </c>
      <c r="AM26" s="511">
        <f>+[2]Report1!AK31</f>
        <v>931.62429824008063</v>
      </c>
      <c r="AN26" s="511">
        <v>0</v>
      </c>
      <c r="AO26" s="512">
        <v>0</v>
      </c>
      <c r="AP26" s="594">
        <f>+[3]Report1!J31</f>
        <v>0.86447264399425772</v>
      </c>
      <c r="AQ26" s="514">
        <f>+[3]Report1!K31</f>
        <v>0.83703632913237969</v>
      </c>
      <c r="AR26" s="514">
        <f>+[3]Report1!BN31</f>
        <v>0.86447264399425772</v>
      </c>
      <c r="AS26" s="514">
        <f>+[3]Report1!BO31</f>
        <v>0.86076591622665399</v>
      </c>
      <c r="AT26" s="511">
        <f>+[3]Report1!R31</f>
        <v>47.604999999999997</v>
      </c>
      <c r="AU26" s="511">
        <f>+[3]Report1!S31</f>
        <v>1058.6639999999998</v>
      </c>
      <c r="AV26" s="515">
        <f>+[3]Report1!AF31</f>
        <v>121.11757283212896</v>
      </c>
      <c r="AW26" s="515">
        <f>+[3]Report1!AG31</f>
        <v>110.87231654638167</v>
      </c>
      <c r="AX26" s="511">
        <f>+[3]Report1!AL31</f>
        <v>1.4851381157441448</v>
      </c>
      <c r="AY26" s="511">
        <f>+[3]Report1!AM31</f>
        <v>1.4438953246733621</v>
      </c>
      <c r="AZ26" s="511">
        <f>+[7]Report1!AR31</f>
        <v>0</v>
      </c>
      <c r="BA26" s="511">
        <f>+[7]Report1!AS31</f>
        <v>0</v>
      </c>
      <c r="BB26" s="511">
        <f>+[3]Report1!AX31</f>
        <v>920.5848125196934</v>
      </c>
      <c r="BC26" s="511">
        <f>+[3]Report1!AY31</f>
        <v>882.89315590215608</v>
      </c>
      <c r="BD26" s="511">
        <f>+[3]Report1!BD31</f>
        <v>552.65707383678034</v>
      </c>
      <c r="BE26" s="576">
        <f>+[3]Report1!BE31</f>
        <v>439.32967589339097</v>
      </c>
      <c r="BF26" s="511">
        <f>+[3]Report1!BJ31</f>
        <v>0</v>
      </c>
      <c r="BG26" s="512">
        <f>+[3]Report1!BK31</f>
        <v>0</v>
      </c>
      <c r="BH26" s="513">
        <f>+[5]Report1!J31</f>
        <v>0.93962474914855865</v>
      </c>
      <c r="BI26" s="514">
        <f>+[5]Report1!K31</f>
        <v>0.89158275466994019</v>
      </c>
      <c r="BJ26" s="514">
        <f>+[5]Report1!AN31</f>
        <v>0.93962474914855865</v>
      </c>
      <c r="BK26" s="514">
        <f>+[5]Report1!AO31</f>
        <v>0.90171497381911048</v>
      </c>
      <c r="BL26" s="511">
        <f>+[5]Report1!R31</f>
        <v>47.997</v>
      </c>
      <c r="BM26" s="511">
        <f>+[5]Report1!S31</f>
        <v>1082.1040000000003</v>
      </c>
      <c r="BN26" s="511">
        <f>+[5]Report1!X31</f>
        <v>2.485572014917599</v>
      </c>
      <c r="BO26" s="511">
        <f>+[5]Report1!Y31</f>
        <v>2.5730428868204895</v>
      </c>
      <c r="BP26" s="515">
        <v>0</v>
      </c>
      <c r="BQ26" s="515">
        <v>0</v>
      </c>
      <c r="BR26" s="515">
        <f>+[5]Report1!AD31</f>
        <v>928.90121207658888</v>
      </c>
      <c r="BS26" s="515">
        <f>+[5]Report1!AE31</f>
        <v>987.56234409698334</v>
      </c>
      <c r="BT26" s="515">
        <f>+[5]Report1!AJ31</f>
        <v>0</v>
      </c>
      <c r="BU26" s="516">
        <f>+[5]Report1!AK31</f>
        <v>0</v>
      </c>
      <c r="BV26" s="513">
        <f>+[6]Report1!J31</f>
        <v>1.0008969980149847</v>
      </c>
      <c r="BW26" s="514">
        <f>+[6]Report1!K31</f>
        <v>0.86783843331033517</v>
      </c>
      <c r="BX26" s="514">
        <f>+[6]Report1!BG31</f>
        <v>1.0008969980149847</v>
      </c>
      <c r="BY26" s="514">
        <f>+[6]Report1!BH31</f>
        <v>0.904581099464558</v>
      </c>
      <c r="BZ26" s="511">
        <f>+[6]Report1!R31</f>
        <v>58.039000000000001</v>
      </c>
      <c r="CA26" s="511">
        <f>+[6]Report1!S31</f>
        <v>1086.319</v>
      </c>
      <c r="CB26" s="515">
        <f>+[6]Report1!X31</f>
        <v>58.368435567905856</v>
      </c>
      <c r="CC26" s="515">
        <f>+[6]Report1!Y31</f>
        <v>72.759705937194241</v>
      </c>
      <c r="CD26" s="511">
        <f>+[6]Report1!AD31</f>
        <v>1.7178104378090595</v>
      </c>
      <c r="CE26" s="511">
        <f>+[6]Report1!AE31</f>
        <v>1.952373105874057</v>
      </c>
      <c r="CF26" s="515">
        <v>0</v>
      </c>
      <c r="CG26" s="515">
        <v>0</v>
      </c>
      <c r="CH26" s="515">
        <f>+[6]Report1!AP31</f>
        <v>536.9983721973158</v>
      </c>
      <c r="CI26" s="515">
        <f>+[6]Report1!AQ31</f>
        <v>799.75830259723523</v>
      </c>
      <c r="CJ26" s="515">
        <f>+[6]Report1!AV31</f>
        <v>532.1380451075986</v>
      </c>
      <c r="CK26" s="515">
        <f>+[6]Report1!AW31</f>
        <v>281.91009086649501</v>
      </c>
      <c r="CL26" s="515">
        <f>+[6]Report1!$BB31</f>
        <v>0</v>
      </c>
      <c r="CM26" s="516">
        <f>+[6]Report1!$BB31</f>
        <v>0</v>
      </c>
    </row>
    <row r="27" spans="1:91" ht="12.75" customHeight="1">
      <c r="A27" s="558">
        <f t="shared" si="0"/>
        <v>46136</v>
      </c>
      <c r="B27" s="513">
        <f>+Report1!J32</f>
        <v>0.96942085537937561</v>
      </c>
      <c r="C27" s="514">
        <f>+Report1!K32</f>
        <v>0.93431424611065472</v>
      </c>
      <c r="D27" s="514">
        <f>+Report1!AJ32</f>
        <v>0.96942085537937561</v>
      </c>
      <c r="E27" s="514">
        <f>+Report1!AK32</f>
        <v>0.94291573163751063</v>
      </c>
      <c r="F27" s="511">
        <f>+Report1!R32</f>
        <v>77.438000000000002</v>
      </c>
      <c r="G27" s="511">
        <f>+Report1!S32</f>
        <v>1630.3790000000001</v>
      </c>
      <c r="H27" s="511">
        <f>+Report1!X32</f>
        <v>1.8427774477646632</v>
      </c>
      <c r="I27" s="511">
        <f>+Report1!Y32</f>
        <v>2.079897373555474</v>
      </c>
      <c r="J27" s="511">
        <f>+Report1!AD32</f>
        <v>620.20739171983143</v>
      </c>
      <c r="K27" s="512">
        <f>+Report1!AE32</f>
        <v>803.58911639563667</v>
      </c>
      <c r="L27" s="513">
        <f>+[1]Report1!J32</f>
        <v>0.91661539536372216</v>
      </c>
      <c r="M27" s="514">
        <f>+[1]Report1!K32</f>
        <v>0.82334137942807029</v>
      </c>
      <c r="N27" s="514">
        <f>+[1]Report1!BP32</f>
        <v>0.91661539536372216</v>
      </c>
      <c r="O27" s="514">
        <f>+[1]Report1!BQ32</f>
        <v>0.87321718960460937</v>
      </c>
      <c r="P27" s="511">
        <f>+[1]Report1!R32</f>
        <v>65.075000000000003</v>
      </c>
      <c r="Q27" s="511">
        <f>+[1]Report1!S32</f>
        <v>1310.3529999999998</v>
      </c>
      <c r="R27" s="511">
        <f>+[1]Report1!AL32</f>
        <v>2.2045332308874377</v>
      </c>
      <c r="S27" s="511">
        <f>+[1]Report1!AM32</f>
        <v>2.3236547708899824</v>
      </c>
      <c r="T27" s="511">
        <f>+[1]Report1!AR32</f>
        <v>0</v>
      </c>
      <c r="U27" s="511">
        <f>+[1]Report1!AS32</f>
        <v>0</v>
      </c>
      <c r="V27" s="511">
        <f>+[1]Report1!AX32</f>
        <v>572.75343834039268</v>
      </c>
      <c r="W27" s="511">
        <f>+[1]Report1!AY32</f>
        <v>603.55257705366262</v>
      </c>
      <c r="X27" s="511">
        <f>+[1]Report1!BD32</f>
        <v>368.45178640030736</v>
      </c>
      <c r="Y27" s="576">
        <f>+[1]Report1!BE32</f>
        <v>406.65301640092412</v>
      </c>
      <c r="Z27" s="511">
        <f>+[1]Report1!BJ32</f>
        <v>42.125240107568011</v>
      </c>
      <c r="AA27" s="576">
        <f>+[1]Report1!BK32</f>
        <v>15.943360300621306</v>
      </c>
      <c r="AB27" s="513">
        <f>+[2]Report1!J32</f>
        <v>0.85492535703840178</v>
      </c>
      <c r="AC27" s="514">
        <f>+[2]Report1!K32</f>
        <v>0.83106723166086804</v>
      </c>
      <c r="AD27" s="514">
        <f>+[2]Report1!BC32</f>
        <v>0.85492535703840178</v>
      </c>
      <c r="AE27" s="514">
        <f>+[2]Report1!BD32</f>
        <v>0.8363106828720368</v>
      </c>
      <c r="AF27" s="511">
        <f>+[2]Report1!R32</f>
        <v>38.561999999999998</v>
      </c>
      <c r="AG27" s="511">
        <f>+[2]Report1!S32</f>
        <v>910.47699999999998</v>
      </c>
      <c r="AH27" s="511">
        <f>+[2]Report1!X32</f>
        <v>138.42858748040663</v>
      </c>
      <c r="AI27" s="511">
        <f>+[2]Report1!Y32</f>
        <v>136.78138170670314</v>
      </c>
      <c r="AJ27" s="511">
        <f>+[2]Report1!AD32</f>
        <v>1.3432913230641563</v>
      </c>
      <c r="AK27" s="511">
        <f>+[2]Report1!AE32</f>
        <v>1.4399045774906998</v>
      </c>
      <c r="AL27" s="511">
        <f>+[2]Report1!AJ32</f>
        <v>922.86758985530753</v>
      </c>
      <c r="AM27" s="511">
        <f>+[2]Report1!AK32</f>
        <v>931.25341991066261</v>
      </c>
      <c r="AN27" s="511">
        <v>0</v>
      </c>
      <c r="AO27" s="512">
        <v>0</v>
      </c>
      <c r="AP27" s="594">
        <f>+[3]Report1!J32</f>
        <v>0.52850151054415917</v>
      </c>
      <c r="AQ27" s="514">
        <f>+[3]Report1!K32</f>
        <v>0.82416903365330396</v>
      </c>
      <c r="AR27" s="514">
        <f>+[3]Report1!BN32</f>
        <v>0.52850151054415917</v>
      </c>
      <c r="AS27" s="514">
        <f>+[3]Report1!BO32</f>
        <v>0.84653298007611777</v>
      </c>
      <c r="AT27" s="511">
        <f>+[3]Report1!R32</f>
        <v>29.09</v>
      </c>
      <c r="AU27" s="511">
        <f>+[3]Report1!S32</f>
        <v>1087.7539999999997</v>
      </c>
      <c r="AV27" s="515">
        <f>+[3]Report1!AF32</f>
        <v>157.22126904659387</v>
      </c>
      <c r="AW27" s="515">
        <f>+[3]Report1!AG32</f>
        <v>112.11183488254147</v>
      </c>
      <c r="AX27" s="511">
        <f>+[3]Report1!AL32</f>
        <v>2.1106909590924716</v>
      </c>
      <c r="AY27" s="511">
        <f>+[3]Report1!AM32</f>
        <v>1.4617275597239821</v>
      </c>
      <c r="AZ27" s="511">
        <f>+[7]Report1!AR32</f>
        <v>0</v>
      </c>
      <c r="BA27" s="511">
        <f>+[7]Report1!AS32</f>
        <v>0</v>
      </c>
      <c r="BB27" s="511">
        <f>+[3]Report1!AX32</f>
        <v>1185.5489859058098</v>
      </c>
      <c r="BC27" s="511">
        <f>+[3]Report1!AY32</f>
        <v>890.9871349588235</v>
      </c>
      <c r="BD27" s="511">
        <f>+[3]Report1!BD32</f>
        <v>687.60797524923623</v>
      </c>
      <c r="BE27" s="576">
        <f>+[3]Report1!BE32</f>
        <v>445.96942691086508</v>
      </c>
      <c r="BF27" s="511">
        <f>+[3]Report1!BJ32</f>
        <v>0</v>
      </c>
      <c r="BG27" s="512">
        <f>+[3]Report1!BK32</f>
        <v>0</v>
      </c>
      <c r="BH27" s="513">
        <f>+[5]Report1!J32</f>
        <v>1.0526608410206295</v>
      </c>
      <c r="BI27" s="514">
        <f>+[5]Report1!K32</f>
        <v>0.89808831354115959</v>
      </c>
      <c r="BJ27" s="514">
        <f>+[5]Report1!AN32</f>
        <v>1.0526608410206295</v>
      </c>
      <c r="BK27" s="514">
        <f>+[5]Report1!AO32</f>
        <v>0.90787776870055559</v>
      </c>
      <c r="BL27" s="511">
        <f>+[5]Report1!R32</f>
        <v>53.771000000000001</v>
      </c>
      <c r="BM27" s="511">
        <f>+[5]Report1!S32</f>
        <v>1135.8750000000002</v>
      </c>
      <c r="BN27" s="511">
        <f>+[5]Report1!X32</f>
        <v>2.2316862249167766</v>
      </c>
      <c r="BO27" s="511">
        <f>+[5]Report1!Y32</f>
        <v>2.556883459887751</v>
      </c>
      <c r="BP27" s="515">
        <v>0</v>
      </c>
      <c r="BQ27" s="515">
        <v>0</v>
      </c>
      <c r="BR27" s="515">
        <f>+[5]Report1!AD32</f>
        <v>865.71494277079182</v>
      </c>
      <c r="BS27" s="515">
        <f>+[5]Report1!AE32</f>
        <v>981.79422998520988</v>
      </c>
      <c r="BT27" s="515">
        <f>+[5]Report1!AJ32</f>
        <v>0</v>
      </c>
      <c r="BU27" s="516">
        <f>+[5]Report1!AK32</f>
        <v>0</v>
      </c>
      <c r="BV27" s="513">
        <f>+[6]Report1!J32</f>
        <v>0.97541657494037493</v>
      </c>
      <c r="BW27" s="514">
        <f>+[6]Report1!K32</f>
        <v>0.87266939613878414</v>
      </c>
      <c r="BX27" s="514">
        <f>+[6]Report1!BG32</f>
        <v>0.97541657494037493</v>
      </c>
      <c r="BY27" s="514">
        <f>+[6]Report1!BH32</f>
        <v>0.90789046072418533</v>
      </c>
      <c r="BZ27" s="511">
        <f>+[6]Report1!R32</f>
        <v>57.408000000000001</v>
      </c>
      <c r="CA27" s="511">
        <f>+[6]Report1!S32</f>
        <v>1143.7269999999999</v>
      </c>
      <c r="CB27" s="515">
        <f>+[6]Report1!X32</f>
        <v>60.711923303636155</v>
      </c>
      <c r="CC27" s="515">
        <f>+[6]Report1!Y32</f>
        <v>72.154981990459319</v>
      </c>
      <c r="CD27" s="511">
        <f>+[6]Report1!AD32</f>
        <v>1.7332079152731326</v>
      </c>
      <c r="CE27" s="511">
        <f>+[6]Report1!AE32</f>
        <v>1.9413723729526364</v>
      </c>
      <c r="CF27" s="515">
        <v>0</v>
      </c>
      <c r="CG27" s="515">
        <v>0</v>
      </c>
      <c r="CH27" s="515">
        <f>+[6]Report1!AP32</f>
        <v>586.99661740987153</v>
      </c>
      <c r="CI27" s="515">
        <f>+[6]Report1!AQ32</f>
        <v>789.07898592180834</v>
      </c>
      <c r="CJ27" s="515">
        <f>+[6]Report1!AV32</f>
        <v>568.48669175028681</v>
      </c>
      <c r="CK27" s="515">
        <f>+[6]Report1!AW32</f>
        <v>296.29445838036565</v>
      </c>
      <c r="CL27" s="515">
        <f>+[6]Report1!$BB32</f>
        <v>0</v>
      </c>
      <c r="CM27" s="516">
        <f>+[6]Report1!$BB32</f>
        <v>0</v>
      </c>
    </row>
    <row r="28" spans="1:91" ht="12.75" customHeight="1">
      <c r="A28" s="558">
        <f t="shared" si="0"/>
        <v>46137</v>
      </c>
      <c r="B28" s="513">
        <f>+Report1!J33</f>
        <v>0.93639340526767023</v>
      </c>
      <c r="C28" s="514">
        <f>+Report1!K33</f>
        <v>0.93438835769541484</v>
      </c>
      <c r="D28" s="514">
        <f>+Report1!AJ33</f>
        <v>0.93639340526767023</v>
      </c>
      <c r="E28" s="514">
        <f>+Report1!AK33</f>
        <v>0.94268118008623514</v>
      </c>
      <c r="F28" s="511">
        <f>+Report1!R33</f>
        <v>60.396999999999998</v>
      </c>
      <c r="G28" s="511">
        <f>+Report1!S33</f>
        <v>1690.7760000000001</v>
      </c>
      <c r="H28" s="511">
        <f>+Report1!X33</f>
        <v>2.2451777406162559</v>
      </c>
      <c r="I28" s="511">
        <f>+Report1!Y33</f>
        <v>2.085801430822297</v>
      </c>
      <c r="J28" s="511">
        <f>+Report1!AD33</f>
        <v>944.04357832342362</v>
      </c>
      <c r="K28" s="512">
        <f>+Report1!AE33</f>
        <v>808.60635589812125</v>
      </c>
      <c r="L28" s="513">
        <f>+[1]Report1!J33</f>
        <v>1.0079881816829608</v>
      </c>
      <c r="M28" s="514">
        <f>+[1]Report1!K33</f>
        <v>0.83122647307701736</v>
      </c>
      <c r="N28" s="514">
        <f>+[1]Report1!BP33</f>
        <v>1.0079881816829608</v>
      </c>
      <c r="O28" s="514">
        <f>+[1]Report1!BQ33</f>
        <v>0.87930529006024483</v>
      </c>
      <c r="P28" s="511">
        <f>+[1]Report1!R33</f>
        <v>71.561999999999998</v>
      </c>
      <c r="Q28" s="511">
        <f>+[1]Report1!S33</f>
        <v>1381.9149999999997</v>
      </c>
      <c r="R28" s="511">
        <f>+[1]Report1!AL33</f>
        <v>1.913319918392443</v>
      </c>
      <c r="S28" s="511">
        <f>+[1]Report1!AM33</f>
        <v>2.3024057195992524</v>
      </c>
      <c r="T28" s="511">
        <f>+[1]Report1!AR33</f>
        <v>0</v>
      </c>
      <c r="U28" s="511">
        <f>+[1]Report1!AS33</f>
        <v>0</v>
      </c>
      <c r="V28" s="511">
        <f>+[1]Report1!AX33</f>
        <v>513.96132025378984</v>
      </c>
      <c r="W28" s="511">
        <f>+[1]Report1!AY33</f>
        <v>598.91312417912798</v>
      </c>
      <c r="X28" s="511">
        <f>+[1]Report1!BD33</f>
        <v>314.5384421899891</v>
      </c>
      <c r="Y28" s="576">
        <f>+[1]Report1!BE33</f>
        <v>401.88289438930764</v>
      </c>
      <c r="Z28" s="511">
        <f>+[1]Report1!BJ33</f>
        <v>36.995891674351498</v>
      </c>
      <c r="AA28" s="576">
        <f>+[1]Report1!BK33</f>
        <v>17.033558503960066</v>
      </c>
      <c r="AB28" s="513">
        <f>+[2]Report1!J33</f>
        <v>0.88028283824555942</v>
      </c>
      <c r="AC28" s="514">
        <f>+[2]Report1!K33</f>
        <v>0.83297396903539256</v>
      </c>
      <c r="AD28" s="514">
        <f>+[2]Report1!BC33</f>
        <v>0.88028283824555942</v>
      </c>
      <c r="AE28" s="514">
        <f>+[2]Report1!BD33</f>
        <v>0.83802460518022071</v>
      </c>
      <c r="AF28" s="511">
        <f>+[2]Report1!R33</f>
        <v>38.869</v>
      </c>
      <c r="AG28" s="511">
        <f>+[2]Report1!S33</f>
        <v>949.346</v>
      </c>
      <c r="AH28" s="511">
        <f>+[2]Report1!X33</f>
        <v>146.78878523968905</v>
      </c>
      <c r="AI28" s="511">
        <f>+[2]Report1!Y33</f>
        <v>137.19111405710399</v>
      </c>
      <c r="AJ28" s="511">
        <f>+[2]Report1!AD33</f>
        <v>1.283799428850755</v>
      </c>
      <c r="AK28" s="511">
        <f>+[2]Report1!AE33</f>
        <v>1.4335131764393592</v>
      </c>
      <c r="AL28" s="511">
        <f>+[2]Report1!AJ33</f>
        <v>951.07669350897538</v>
      </c>
      <c r="AM28" s="511">
        <f>+[2]Report1!AK33</f>
        <v>932.06504267148193</v>
      </c>
      <c r="AN28" s="511">
        <v>0</v>
      </c>
      <c r="AO28" s="512">
        <v>0</v>
      </c>
      <c r="AP28" s="594">
        <f>+[3]Report1!J33</f>
        <v>0.81573888620120216</v>
      </c>
      <c r="AQ28" s="514">
        <f>+[3]Report1!K33</f>
        <v>0.82383447329748039</v>
      </c>
      <c r="AR28" s="514">
        <f>+[3]Report1!BN33</f>
        <v>0.81573888620120216</v>
      </c>
      <c r="AS28" s="514">
        <f>+[3]Report1!BO33</f>
        <v>0.84527906856427137</v>
      </c>
      <c r="AT28" s="511">
        <f>+[3]Report1!R33</f>
        <v>44.493000000000002</v>
      </c>
      <c r="AU28" s="511">
        <f>+[3]Report1!S33</f>
        <v>1132.2469999999996</v>
      </c>
      <c r="AV28" s="515">
        <f>+[3]Report1!AF33</f>
        <v>116.45676084716297</v>
      </c>
      <c r="AW28" s="515">
        <f>+[3]Report1!AG33</f>
        <v>112.28257394472836</v>
      </c>
      <c r="AX28" s="511">
        <f>+[3]Report1!AL33</f>
        <v>1.4878744971119053</v>
      </c>
      <c r="AY28" s="511">
        <f>+[3]Report1!AM33</f>
        <v>1.4627550348996294</v>
      </c>
      <c r="AZ28" s="511">
        <f>+[7]Report1!AR33</f>
        <v>0</v>
      </c>
      <c r="BA28" s="511">
        <f>+[7]Report1!AS33</f>
        <v>0</v>
      </c>
      <c r="BB28" s="511">
        <f>+[3]Report1!AX33</f>
        <v>918.51302452071116</v>
      </c>
      <c r="BC28" s="511">
        <f>+[3]Report1!AY33</f>
        <v>892.06879770933415</v>
      </c>
      <c r="BD28" s="511">
        <f>+[3]Report1!BD33</f>
        <v>472.52149776368759</v>
      </c>
      <c r="BE28" s="576">
        <f>+[3]Report1!BE33</f>
        <v>447.01282229054351</v>
      </c>
      <c r="BF28" s="511">
        <f>+[3]Report1!BJ33</f>
        <v>0</v>
      </c>
      <c r="BG28" s="512">
        <f>+[3]Report1!BK33</f>
        <v>0</v>
      </c>
      <c r="BH28" s="513">
        <f>+[5]Report1!J33</f>
        <v>0.86080879731673376</v>
      </c>
      <c r="BI28" s="514">
        <f>+[5]Report1!K33</f>
        <v>0.89664113122711309</v>
      </c>
      <c r="BJ28" s="514">
        <f>+[5]Report1!AN33</f>
        <v>0.86080879731673376</v>
      </c>
      <c r="BK28" s="514">
        <f>+[5]Report1!AO33</f>
        <v>0.90603142609873311</v>
      </c>
      <c r="BL28" s="511">
        <f>+[5]Report1!R33</f>
        <v>43.970999999999997</v>
      </c>
      <c r="BM28" s="511">
        <f>+[5]Report1!S33</f>
        <v>1179.8460000000002</v>
      </c>
      <c r="BN28" s="511">
        <f>+[5]Report1!X33</f>
        <v>2.7427167906119942</v>
      </c>
      <c r="BO28" s="511">
        <f>+[5]Report1!Y33</f>
        <v>2.5638091750957321</v>
      </c>
      <c r="BP28" s="515">
        <v>0</v>
      </c>
      <c r="BQ28" s="515">
        <v>0</v>
      </c>
      <c r="BR28" s="515">
        <f>+[5]Report1!AD33</f>
        <v>1072.1570328731118</v>
      </c>
      <c r="BS28" s="515">
        <f>+[5]Report1!AE33</f>
        <v>985.16190916180074</v>
      </c>
      <c r="BT28" s="515">
        <f>+[5]Report1!AJ33</f>
        <v>0</v>
      </c>
      <c r="BU28" s="516">
        <f>+[5]Report1!AK33</f>
        <v>0</v>
      </c>
      <c r="BV28" s="513">
        <f>+[6]Report1!J33</f>
        <v>0.94562310526503668</v>
      </c>
      <c r="BW28" s="514">
        <f>+[6]Report1!K33</f>
        <v>0.87555914972117055</v>
      </c>
      <c r="BX28" s="514">
        <f>+[6]Report1!BG33</f>
        <v>0.94562310526503668</v>
      </c>
      <c r="BY28" s="514">
        <f>+[6]Report1!BH33</f>
        <v>0.90944292149249795</v>
      </c>
      <c r="BZ28" s="511">
        <f>+[6]Report1!R33</f>
        <v>51.116</v>
      </c>
      <c r="CA28" s="511">
        <f>+[6]Report1!S33</f>
        <v>1194.8429999999998</v>
      </c>
      <c r="CB28" s="515">
        <f>+[6]Report1!X33</f>
        <v>66.573206943925726</v>
      </c>
      <c r="CC28" s="515">
        <f>+[6]Report1!Y33</f>
        <v>71.916190774141683</v>
      </c>
      <c r="CD28" s="511">
        <f>+[6]Report1!AD33</f>
        <v>1.8682995539557086</v>
      </c>
      <c r="CE28" s="511">
        <f>+[6]Report1!AE33</f>
        <v>1.9382462800552038</v>
      </c>
      <c r="CF28" s="515">
        <v>0</v>
      </c>
      <c r="CG28" s="515">
        <v>0</v>
      </c>
      <c r="CH28" s="515">
        <f>+[6]Report1!AP33</f>
        <v>704.39164072971562</v>
      </c>
      <c r="CI28" s="515">
        <f>+[6]Report1!AQ33</f>
        <v>785.45601760141892</v>
      </c>
      <c r="CJ28" s="515">
        <f>+[6]Report1!AV33</f>
        <v>463.80391658188677</v>
      </c>
      <c r="CK28" s="515">
        <f>+[6]Report1!AW33</f>
        <v>303.46059942603358</v>
      </c>
      <c r="CL28" s="515">
        <f>+[6]Report1!$BB33</f>
        <v>0</v>
      </c>
      <c r="CM28" s="516">
        <f>+[6]Report1!$BB33</f>
        <v>0</v>
      </c>
    </row>
    <row r="29" spans="1:91" ht="12.75" customHeight="1">
      <c r="A29" s="558">
        <f t="shared" si="0"/>
        <v>46138</v>
      </c>
      <c r="B29" s="513">
        <f>+Report1!J34</f>
        <v>1.0042279582866636</v>
      </c>
      <c r="C29" s="514">
        <f>+Report1!K34</f>
        <v>0.93684233332993194</v>
      </c>
      <c r="D29" s="514">
        <f>+Report1!AJ34</f>
        <v>1.0042279582866636</v>
      </c>
      <c r="E29" s="514">
        <f>+Report1!AK34</f>
        <v>0.94486228134511974</v>
      </c>
      <c r="F29" s="511">
        <f>+Report1!R34</f>
        <v>66.174999999999997</v>
      </c>
      <c r="G29" s="511">
        <f>+Report1!S34</f>
        <v>1756.951</v>
      </c>
      <c r="H29" s="511">
        <f>+Report1!X34</f>
        <v>2.1029240649792218</v>
      </c>
      <c r="I29" s="511">
        <f>+Report1!Y34</f>
        <v>2.0864463493859535</v>
      </c>
      <c r="J29" s="511">
        <f>+Report1!AD34</f>
        <v>889.52172270494157</v>
      </c>
      <c r="K29" s="512">
        <f>+Report1!AE34</f>
        <v>811.65400742536428</v>
      </c>
      <c r="L29" s="513">
        <f>+[1]Report1!J34</f>
        <v>0.70675519136027842</v>
      </c>
      <c r="M29" s="514">
        <f>+[1]Report1!K34</f>
        <v>0.82612878415470403</v>
      </c>
      <c r="N29" s="514">
        <f>+[1]Report1!BP34</f>
        <v>0.70675519136027842</v>
      </c>
      <c r="O29" s="514">
        <f>+[1]Report1!BQ34</f>
        <v>0.87184746596371554</v>
      </c>
      <c r="P29" s="511">
        <f>+[1]Report1!R34</f>
        <v>50.176000000000002</v>
      </c>
      <c r="Q29" s="511">
        <f>+[1]Report1!S34</f>
        <v>1432.0909999999997</v>
      </c>
      <c r="R29" s="511">
        <f>+[1]Report1!AL34</f>
        <v>2.7198262117346936</v>
      </c>
      <c r="S29" s="511">
        <f>+[1]Report1!AM34</f>
        <v>2.3170308311413179</v>
      </c>
      <c r="T29" s="511">
        <f>+[1]Report1!AR34</f>
        <v>0</v>
      </c>
      <c r="U29" s="511">
        <f>+[1]Report1!AS34</f>
        <v>0</v>
      </c>
      <c r="V29" s="511">
        <f>+[1]Report1!AX34</f>
        <v>722.83023756375439</v>
      </c>
      <c r="W29" s="511">
        <f>+[1]Report1!AY34</f>
        <v>603.25479316607573</v>
      </c>
      <c r="X29" s="511">
        <f>+[1]Report1!BD34</f>
        <v>458.96444515306121</v>
      </c>
      <c r="Y29" s="576">
        <f>+[1]Report1!BE34</f>
        <v>403.88285381306082</v>
      </c>
      <c r="Z29" s="511">
        <f>+[1]Report1!BJ34</f>
        <v>51.859454719388452</v>
      </c>
      <c r="AA29" s="576">
        <f>+[1]Report1!BK34</f>
        <v>18.253749238002339</v>
      </c>
      <c r="AB29" s="513">
        <f>+[2]Report1!J34</f>
        <v>0.83985882015978752</v>
      </c>
      <c r="AC29" s="514">
        <f>+[2]Report1!K34</f>
        <v>0.83325458228651816</v>
      </c>
      <c r="AD29" s="514">
        <f>+[2]Report1!BC34</f>
        <v>0.83985882015978752</v>
      </c>
      <c r="AE29" s="514">
        <f>+[2]Report1!BD34</f>
        <v>0.83809979895435183</v>
      </c>
      <c r="AF29" s="511">
        <f>+[2]Report1!R34</f>
        <v>40.670999999999999</v>
      </c>
      <c r="AG29" s="511">
        <f>+[2]Report1!S34</f>
        <v>990.01700000000005</v>
      </c>
      <c r="AH29" s="511">
        <f>+[2]Report1!X34</f>
        <v>136.17440340163782</v>
      </c>
      <c r="AI29" s="511">
        <f>+[2]Report1!Y34</f>
        <v>137.14934645203411</v>
      </c>
      <c r="AJ29" s="511">
        <f>+[2]Report1!AD34</f>
        <v>1.2220009343266702</v>
      </c>
      <c r="AK29" s="511">
        <f>+[2]Report1!AE34</f>
        <v>1.4248240181734251</v>
      </c>
      <c r="AL29" s="511">
        <f>+[2]Report1!AJ34</f>
        <v>879.72314425512047</v>
      </c>
      <c r="AM29" s="511">
        <f>+[2]Report1!AK34</f>
        <v>929.91477924116521</v>
      </c>
      <c r="AN29" s="511">
        <v>0</v>
      </c>
      <c r="AO29" s="512">
        <v>0</v>
      </c>
      <c r="AP29" s="594">
        <f>+[3]Report1!J34</f>
        <v>0.89391465562917349</v>
      </c>
      <c r="AQ29" s="514">
        <f>+[3]Report1!K34</f>
        <v>0.82648836009248983</v>
      </c>
      <c r="AR29" s="514">
        <f>+[3]Report1!BN34</f>
        <v>0.89391465562917349</v>
      </c>
      <c r="AS29" s="514">
        <f>+[3]Report1!BO34</f>
        <v>0.84716694512068214</v>
      </c>
      <c r="AT29" s="511">
        <f>+[3]Report1!R34</f>
        <v>48.356000000000002</v>
      </c>
      <c r="AU29" s="511">
        <f>+[3]Report1!S34</f>
        <v>1180.6029999999996</v>
      </c>
      <c r="AV29" s="515">
        <f>+[3]Report1!AF34</f>
        <v>111.92693439650921</v>
      </c>
      <c r="AW29" s="515">
        <f>+[3]Report1!AG34</f>
        <v>112.26800740034919</v>
      </c>
      <c r="AX29" s="511">
        <f>+[3]Report1!AL34</f>
        <v>1.4475969889982627</v>
      </c>
      <c r="AY29" s="511">
        <f>+[3]Report1!AM34</f>
        <v>1.4621341805839903</v>
      </c>
      <c r="AZ29" s="511">
        <f>+[7]Report1!AR34</f>
        <v>0</v>
      </c>
      <c r="BA29" s="511">
        <f>+[7]Report1!AS34</f>
        <v>0</v>
      </c>
      <c r="BB29" s="511">
        <f>+[3]Report1!AX34</f>
        <v>905.35238646703624</v>
      </c>
      <c r="BC29" s="511">
        <f>+[3]Report1!AY34</f>
        <v>892.61287664015788</v>
      </c>
      <c r="BD29" s="511">
        <f>+[3]Report1!BD34</f>
        <v>494.98982546116355</v>
      </c>
      <c r="BE29" s="576">
        <f>+[3]Report1!BE34</f>
        <v>448.97789942936026</v>
      </c>
      <c r="BF29" s="511">
        <f>+[3]Report1!BJ34</f>
        <v>0</v>
      </c>
      <c r="BG29" s="512">
        <f>+[3]Report1!BK34</f>
        <v>0</v>
      </c>
      <c r="BH29" s="513">
        <f>+[5]Report1!J34</f>
        <v>0.88373315886543413</v>
      </c>
      <c r="BI29" s="514">
        <f>+[5]Report1!K34</f>
        <v>0.89615877176924541</v>
      </c>
      <c r="BJ29" s="514">
        <f>+[5]Report1!AN34</f>
        <v>0.88373315886543413</v>
      </c>
      <c r="BK29" s="514">
        <f>+[5]Report1!AO34</f>
        <v>0.9051897624685713</v>
      </c>
      <c r="BL29" s="511">
        <f>+[5]Report1!R34</f>
        <v>45.142000000000003</v>
      </c>
      <c r="BM29" s="511">
        <f>+[5]Report1!S34</f>
        <v>1224.9880000000003</v>
      </c>
      <c r="BN29" s="511">
        <f>+[5]Report1!X34</f>
        <v>2.6848611049576889</v>
      </c>
      <c r="BO29" s="511">
        <f>+[5]Report1!Y34</f>
        <v>2.5682700565230014</v>
      </c>
      <c r="BP29" s="515">
        <v>0</v>
      </c>
      <c r="BQ29" s="515">
        <v>0</v>
      </c>
      <c r="BR29" s="515">
        <f>+[5]Report1!AD34</f>
        <v>1084.9948630853203</v>
      </c>
      <c r="BS29" s="515">
        <f>+[5]Report1!AE34</f>
        <v>988.84085067470983</v>
      </c>
      <c r="BT29" s="515">
        <f>+[5]Report1!AJ34</f>
        <v>0</v>
      </c>
      <c r="BU29" s="516">
        <f>+[5]Report1!AK34</f>
        <v>0</v>
      </c>
      <c r="BV29" s="513">
        <f>+[6]Report1!J34</f>
        <v>0.96121992656477828</v>
      </c>
      <c r="BW29" s="514">
        <f>+[6]Report1!K34</f>
        <v>0.87877113875862145</v>
      </c>
      <c r="BX29" s="514">
        <f>+[6]Report1!BG34</f>
        <v>0.96121992656477828</v>
      </c>
      <c r="BY29" s="514">
        <f>+[6]Report1!BH34</f>
        <v>0.91145659556682279</v>
      </c>
      <c r="BZ29" s="511">
        <f>+[6]Report1!R34</f>
        <v>51.101999999999997</v>
      </c>
      <c r="CA29" s="511">
        <f>+[6]Report1!S34</f>
        <v>1245.9449999999999</v>
      </c>
      <c r="CB29" s="515">
        <f>+[6]Report1!X34</f>
        <v>66.402723955508378</v>
      </c>
      <c r="CC29" s="515">
        <f>+[6]Report1!Y34</f>
        <v>71.690057853855635</v>
      </c>
      <c r="CD29" s="511">
        <f>+[6]Report1!AD34</f>
        <v>1.9373018668545263</v>
      </c>
      <c r="CE29" s="511">
        <f>+[6]Report1!AE34</f>
        <v>1.9382075452768781</v>
      </c>
      <c r="CF29" s="515">
        <v>0</v>
      </c>
      <c r="CG29" s="515">
        <v>0</v>
      </c>
      <c r="CH29" s="515">
        <f>+[6]Report1!AP34</f>
        <v>749.45641835161223</v>
      </c>
      <c r="CI29" s="515">
        <f>+[6]Report1!AQ34</f>
        <v>783.97950658298407</v>
      </c>
      <c r="CJ29" s="515">
        <f>+[6]Report1!AV34</f>
        <v>507.42381902861013</v>
      </c>
      <c r="CK29" s="515">
        <f>+[6]Report1!AW34</f>
        <v>311.82607980288071</v>
      </c>
      <c r="CL29" s="515">
        <f>+[6]Report1!$BB34</f>
        <v>0</v>
      </c>
      <c r="CM29" s="516">
        <f>+[6]Report1!$BB34</f>
        <v>0</v>
      </c>
    </row>
    <row r="30" spans="1:91" ht="12.75" customHeight="1">
      <c r="A30" s="558">
        <f t="shared" si="0"/>
        <v>46139</v>
      </c>
      <c r="B30" s="513">
        <f>+Report1!J35</f>
        <v>0.92521364439820597</v>
      </c>
      <c r="C30" s="514">
        <f>+Report1!K35</f>
        <v>0.93648162522631284</v>
      </c>
      <c r="D30" s="514">
        <f>+Report1!AJ35</f>
        <v>0.92521364439820597</v>
      </c>
      <c r="E30" s="514">
        <f>+Report1!AK35</f>
        <v>0.94424774967103353</v>
      </c>
      <c r="F30" s="511">
        <f>+Report1!R35</f>
        <v>55.545000000000002</v>
      </c>
      <c r="G30" s="511">
        <f>+Report1!S35</f>
        <v>1812.4960000000001</v>
      </c>
      <c r="H30" s="511">
        <f>+Report1!X35</f>
        <v>2.3363399045818709</v>
      </c>
      <c r="I30" s="511">
        <f>+Report1!Y35</f>
        <v>2.0941044835409293</v>
      </c>
      <c r="J30" s="511">
        <f>+Report1!AD35</f>
        <v>997.11837249077769</v>
      </c>
      <c r="K30" s="512">
        <f>+Report1!AE35</f>
        <v>817.3376713658962</v>
      </c>
      <c r="L30" s="513">
        <f>+[1]Report1!J35</f>
        <v>0.98123977391045669</v>
      </c>
      <c r="M30" s="514">
        <f>+[1]Report1!K35</f>
        <v>0.83223138395392349</v>
      </c>
      <c r="N30" s="514">
        <f>+[1]Report1!BP35</f>
        <v>0.98123977391045669</v>
      </c>
      <c r="O30" s="514">
        <f>+[1]Report1!BQ35</f>
        <v>0.87637964753387054</v>
      </c>
      <c r="P30" s="511">
        <f>+[1]Report1!R35</f>
        <v>69.662999999999997</v>
      </c>
      <c r="Q30" s="511">
        <f>+[1]Report1!S35</f>
        <v>1501.7539999999997</v>
      </c>
      <c r="R30" s="511">
        <f>+[1]Report1!AL35</f>
        <v>2.0563570331452854</v>
      </c>
      <c r="S30" s="511">
        <f>+[1]Report1!AM35</f>
        <v>2.3049387582786531</v>
      </c>
      <c r="T30" s="511">
        <f>+[1]Report1!AR35</f>
        <v>0</v>
      </c>
      <c r="U30" s="511">
        <f>+[1]Report1!AS35</f>
        <v>0</v>
      </c>
      <c r="V30" s="511">
        <f>+[1]Report1!AX35</f>
        <v>517.88682657938944</v>
      </c>
      <c r="W30" s="511">
        <f>+[1]Report1!AY35</f>
        <v>599.29476465519565</v>
      </c>
      <c r="X30" s="511">
        <f>+[1]Report1!BD35</f>
        <v>407.67695907440105</v>
      </c>
      <c r="Y30" s="576">
        <f>+[1]Report1!BE35</f>
        <v>404.05885384690174</v>
      </c>
      <c r="Z30" s="511">
        <f>+[1]Report1!BJ35</f>
        <v>37.32253850681137</v>
      </c>
      <c r="AA30" s="576">
        <f>+[1]Report1!BK35</f>
        <v>19.13830760563981</v>
      </c>
      <c r="AB30" s="513">
        <f>+[2]Report1!J35</f>
        <v>0.80918162988148223</v>
      </c>
      <c r="AC30" s="514">
        <f>+[2]Report1!K35</f>
        <v>0.83228093799443037</v>
      </c>
      <c r="AD30" s="514">
        <f>+[2]Report1!BC35</f>
        <v>0.80918162988148223</v>
      </c>
      <c r="AE30" s="514">
        <f>+[2]Report1!BD35</f>
        <v>0.83692366264778106</v>
      </c>
      <c r="AF30" s="511">
        <f>+[2]Report1!R35</f>
        <v>40.524000000000001</v>
      </c>
      <c r="AG30" s="511">
        <f>+[2]Report1!S35</f>
        <v>1030.5410000000002</v>
      </c>
      <c r="AH30" s="511">
        <f>+[2]Report1!X35</f>
        <v>141.84301797566684</v>
      </c>
      <c r="AI30" s="511">
        <f>+[2]Report1!Y35</f>
        <v>137.33391586249294</v>
      </c>
      <c r="AJ30" s="511">
        <f>+[2]Report1!AD35</f>
        <v>1.359688086072451</v>
      </c>
      <c r="AK30" s="511">
        <f>+[2]Report1!AE35</f>
        <v>1.422262675623774</v>
      </c>
      <c r="AL30" s="511">
        <f>+[2]Report1!AJ35</f>
        <v>880.26107985391366</v>
      </c>
      <c r="AM30" s="511">
        <f>+[2]Report1!AK35</f>
        <v>927.96224507321938</v>
      </c>
      <c r="AN30" s="511">
        <v>0</v>
      </c>
      <c r="AO30" s="512">
        <v>0</v>
      </c>
      <c r="AP30" s="594">
        <f>+[3]Report1!J35</f>
        <v>0.92818791585616678</v>
      </c>
      <c r="AQ30" s="514">
        <f>+[3]Report1!K35</f>
        <v>0.83019912605595303</v>
      </c>
      <c r="AR30" s="514">
        <f>+[3]Report1!BN35</f>
        <v>0.92818791585616678</v>
      </c>
      <c r="AS30" s="514">
        <f>+[3]Report1!BO35</f>
        <v>0.85019440167781013</v>
      </c>
      <c r="AT30" s="511">
        <f>+[3]Report1!R35</f>
        <v>50.21</v>
      </c>
      <c r="AU30" s="511">
        <f>+[3]Report1!S35</f>
        <v>1230.8129999999996</v>
      </c>
      <c r="AV30" s="515">
        <f>+[3]Report1!AF35</f>
        <v>113.04885101077762</v>
      </c>
      <c r="AW30" s="515">
        <f>+[3]Report1!AG35</f>
        <v>112.29986127066063</v>
      </c>
      <c r="AX30" s="511">
        <f>+[3]Report1!AL35</f>
        <v>1.3742282413861779</v>
      </c>
      <c r="AY30" s="511">
        <f>+[3]Report1!AM35</f>
        <v>1.4585481303821137</v>
      </c>
      <c r="AZ30" s="511">
        <f>+[7]Report1!AR35</f>
        <v>0</v>
      </c>
      <c r="BA30" s="511">
        <f>+[7]Report1!AS35</f>
        <v>0</v>
      </c>
      <c r="BB30" s="511">
        <f>+[3]Report1!AX35</f>
        <v>871.7725552678753</v>
      </c>
      <c r="BC30" s="511">
        <f>+[3]Report1!AY35</f>
        <v>891.76271293852142</v>
      </c>
      <c r="BD30" s="511">
        <f>+[3]Report1!BD35</f>
        <v>547.3013343955389</v>
      </c>
      <c r="BE30" s="576">
        <f>+[3]Report1!BE35</f>
        <v>452.98892276893486</v>
      </c>
      <c r="BF30" s="511">
        <f>+[3]Report1!BJ35</f>
        <v>0</v>
      </c>
      <c r="BG30" s="512">
        <f>+[3]Report1!BK35</f>
        <v>0</v>
      </c>
      <c r="BH30" s="513">
        <f>+[5]Report1!J35</f>
        <v>0.98523372841485601</v>
      </c>
      <c r="BI30" s="514">
        <f>+[5]Report1!K35</f>
        <v>0.89936439633157828</v>
      </c>
      <c r="BJ30" s="514">
        <f>+[5]Report1!AN35</f>
        <v>0.98523372841485601</v>
      </c>
      <c r="BK30" s="514">
        <f>+[5]Report1!AO35</f>
        <v>0.90809835466030409</v>
      </c>
      <c r="BL30" s="511">
        <f>+[5]Report1!R35</f>
        <v>50.276000000000003</v>
      </c>
      <c r="BM30" s="511">
        <f>+[5]Report1!S35</f>
        <v>1275.2640000000004</v>
      </c>
      <c r="BN30" s="511">
        <f>+[5]Report1!X35</f>
        <v>2.1242740074787174</v>
      </c>
      <c r="BO30" s="511">
        <f>+[5]Report1!Y35</f>
        <v>2.5507659590484786</v>
      </c>
      <c r="BP30" s="515">
        <v>0</v>
      </c>
      <c r="BQ30" s="515">
        <v>0</v>
      </c>
      <c r="BR30" s="515">
        <f>+[5]Report1!AD35</f>
        <v>836.51902930327037</v>
      </c>
      <c r="BS30" s="515">
        <f>+[5]Report1!AE35</f>
        <v>982.83571613686445</v>
      </c>
      <c r="BT30" s="515">
        <f>+[5]Report1!AJ35</f>
        <v>0</v>
      </c>
      <c r="BU30" s="516">
        <f>+[5]Report1!AK35</f>
        <v>0</v>
      </c>
      <c r="BV30" s="513">
        <f>+[6]Report1!J35</f>
        <v>0.92224922923067465</v>
      </c>
      <c r="BW30" s="514">
        <f>+[6]Report1!K35</f>
        <v>0.88031949865542503</v>
      </c>
      <c r="BX30" s="514">
        <f>+[6]Report1!BG35</f>
        <v>0.92224922923067465</v>
      </c>
      <c r="BY30" s="514">
        <f>+[6]Report1!BH35</f>
        <v>0.91185471576860677</v>
      </c>
      <c r="BZ30" s="511">
        <f>+[6]Report1!R35</f>
        <v>48.286000000000001</v>
      </c>
      <c r="CA30" s="511">
        <f>+[6]Report1!S35</f>
        <v>1294.231</v>
      </c>
      <c r="CB30" s="515">
        <f>+[6]Report1!X35</f>
        <v>71.113174218260653</v>
      </c>
      <c r="CC30" s="515">
        <f>+[6]Report1!Y35</f>
        <v>71.668535109285031</v>
      </c>
      <c r="CD30" s="511">
        <f>+[6]Report1!AD35</f>
        <v>2.0337157768297227</v>
      </c>
      <c r="CE30" s="511">
        <f>+[6]Report1!AE35</f>
        <v>1.9417708276188714</v>
      </c>
      <c r="CF30" s="515">
        <v>0</v>
      </c>
      <c r="CG30" s="515">
        <v>0</v>
      </c>
      <c r="CH30" s="515">
        <f>+[6]Report1!AP35</f>
        <v>774.92998555998247</v>
      </c>
      <c r="CI30" s="515">
        <f>+[6]Report1!AQ35</f>
        <v>783.64188125016744</v>
      </c>
      <c r="CJ30" s="515">
        <f>+[6]Report1!AV35</f>
        <v>569.10905852628105</v>
      </c>
      <c r="CK30" s="515">
        <f>+[6]Report1!AW35</f>
        <v>321.4249581411666</v>
      </c>
      <c r="CL30" s="515">
        <f>+[6]Report1!$BB35</f>
        <v>0</v>
      </c>
      <c r="CM30" s="516">
        <f>+[6]Report1!$BB35</f>
        <v>0</v>
      </c>
    </row>
    <row r="31" spans="1:91" ht="12.75" customHeight="1">
      <c r="A31" s="558">
        <f t="shared" si="0"/>
        <v>46140</v>
      </c>
      <c r="B31" s="513">
        <f>+Report1!J36</f>
        <v>0.84650162026193498</v>
      </c>
      <c r="C31" s="514">
        <f>+Report1!K36</f>
        <v>0.93384570229127561</v>
      </c>
      <c r="D31" s="514">
        <f>+Report1!AJ36</f>
        <v>0.8897517921061967</v>
      </c>
      <c r="E31" s="514">
        <f>+Report1!AK36</f>
        <v>0.94271449263702944</v>
      </c>
      <c r="F31" s="511">
        <f>+Report1!R36</f>
        <v>49.442999999999998</v>
      </c>
      <c r="G31" s="511">
        <f>+Report1!S36</f>
        <v>1861.9390000000001</v>
      </c>
      <c r="H31" s="511">
        <f>+Report1!X36</f>
        <v>2.4666990271625915</v>
      </c>
      <c r="I31" s="511">
        <f>+Report1!Y36</f>
        <v>2.1039985735300673</v>
      </c>
      <c r="J31" s="511">
        <f>+Report1!AD36</f>
        <v>1107.7240458710078</v>
      </c>
      <c r="K31" s="512">
        <f>+Report1!AE36</f>
        <v>825.04875831055779</v>
      </c>
      <c r="L31" s="513">
        <f>+[1]Report1!J36</f>
        <v>0.91831974362094848</v>
      </c>
      <c r="M31" s="514">
        <f>+[1]Report1!K36</f>
        <v>0.83549018371062744</v>
      </c>
      <c r="N31" s="514">
        <f>+[1]Report1!BP36</f>
        <v>1.0412444337119415</v>
      </c>
      <c r="O31" s="514">
        <f>+[1]Report1!BQ36</f>
        <v>0.88219135601041687</v>
      </c>
      <c r="P31" s="511">
        <f>+[1]Report1!R36</f>
        <v>65.195999999999998</v>
      </c>
      <c r="Q31" s="511">
        <f>+[1]Report1!S36</f>
        <v>1566.9499999999996</v>
      </c>
      <c r="R31" s="511">
        <f>+[1]Report1!AL36</f>
        <v>2.0437603533959141</v>
      </c>
      <c r="S31" s="511">
        <f>+[1]Report1!AM36</f>
        <v>2.2940719231628326</v>
      </c>
      <c r="T31" s="511">
        <f>+[1]Report1!AR36</f>
        <v>0</v>
      </c>
      <c r="U31" s="511">
        <f>+[1]Report1!AS36</f>
        <v>0</v>
      </c>
      <c r="V31" s="511">
        <f>+[1]Report1!AX36</f>
        <v>549.89846002822219</v>
      </c>
      <c r="W31" s="511">
        <f>+[1]Report1!AY36</f>
        <v>597.23953540317098</v>
      </c>
      <c r="X31" s="511">
        <f>+[1]Report1!BD36</f>
        <v>329.77483281182896</v>
      </c>
      <c r="Y31" s="576">
        <f>+[1]Report1!BE36</f>
        <v>400.96812278630472</v>
      </c>
      <c r="Z31" s="511">
        <f>+[1]Report1!BJ36</f>
        <v>38.192527148904844</v>
      </c>
      <c r="AA31" s="576">
        <f>+[1]Report1!BK36</f>
        <v>19.931095440186354</v>
      </c>
      <c r="AB31" s="513">
        <f>+[2]Report1!J36</f>
        <v>0.92749025110347572</v>
      </c>
      <c r="AC31" s="514">
        <f>+[2]Report1!K36</f>
        <v>0.83554845214370077</v>
      </c>
      <c r="AD31" s="514">
        <f>+[2]Report1!BC36</f>
        <v>0.93192478293372505</v>
      </c>
      <c r="AE31" s="514">
        <f>+[2]Report1!BD36</f>
        <v>0.84018652940375449</v>
      </c>
      <c r="AF31" s="511">
        <f>+[2]Report1!R36</f>
        <v>40.814</v>
      </c>
      <c r="AG31" s="511">
        <f>+[2]Report1!S36</f>
        <v>1071.3550000000002</v>
      </c>
      <c r="AH31" s="511">
        <f>+[2]Report1!X36</f>
        <v>131.74976495342827</v>
      </c>
      <c r="AI31" s="511">
        <f>+[2]Report1!Y36</f>
        <v>137.12118382203712</v>
      </c>
      <c r="AJ31" s="511">
        <f>+[2]Report1!AD36</f>
        <v>1.31327485666683</v>
      </c>
      <c r="AK31" s="511">
        <f>+[2]Report1!AE36</f>
        <v>1.4181107102687711</v>
      </c>
      <c r="AL31" s="511">
        <f>+[2]Report1!AJ36</f>
        <v>933.35914147108178</v>
      </c>
      <c r="AM31" s="511">
        <f>+[2]Report1!AK36</f>
        <v>928.16784352525633</v>
      </c>
      <c r="AN31" s="511">
        <v>0</v>
      </c>
      <c r="AO31" s="512">
        <v>0</v>
      </c>
      <c r="AP31" s="594">
        <f>+[3]Report1!J36</f>
        <v>0.76372011536425499</v>
      </c>
      <c r="AQ31" s="514">
        <f>+[3]Report1!K36</f>
        <v>0.82784439107594798</v>
      </c>
      <c r="AR31" s="514">
        <f>+[3]Report1!BN36</f>
        <v>0.7674985383702978</v>
      </c>
      <c r="AS31" s="514">
        <f>+[3]Report1!BO36</f>
        <v>0.84721148536353053</v>
      </c>
      <c r="AT31" s="511">
        <f>+[3]Report1!R36</f>
        <v>41.578000000000003</v>
      </c>
      <c r="AU31" s="511">
        <f>+[3]Report1!S36</f>
        <v>1272.3909999999996</v>
      </c>
      <c r="AV31" s="515">
        <f>+[3]Report1!AF36</f>
        <v>122.89175063683075</v>
      </c>
      <c r="AW31" s="515">
        <f>+[3]Report1!AG36</f>
        <v>112.64597309954547</v>
      </c>
      <c r="AX31" s="511">
        <f>+[3]Report1!AL36</f>
        <v>1.5753523498003752</v>
      </c>
      <c r="AY31" s="511">
        <f>+[3]Report1!AM36</f>
        <v>1.4623649491390622</v>
      </c>
      <c r="AZ31" s="511">
        <f>+[7]Report1!AR36</f>
        <v>0</v>
      </c>
      <c r="BA31" s="511">
        <f>+[7]Report1!AS36</f>
        <v>0</v>
      </c>
      <c r="BB31" s="511">
        <f>+[3]Report1!AX36</f>
        <v>1012.4132954928072</v>
      </c>
      <c r="BC31" s="511">
        <f>+[3]Report1!AY36</f>
        <v>895.7052195433638</v>
      </c>
      <c r="BD31" s="511">
        <f>+[3]Report1!BD36</f>
        <v>496.97676655923811</v>
      </c>
      <c r="BE31" s="576">
        <f>+[3]Report1!BE36</f>
        <v>454.42631628170989</v>
      </c>
      <c r="BF31" s="511">
        <f>+[3]Report1!BJ36</f>
        <v>0</v>
      </c>
      <c r="BG31" s="512">
        <f>+[3]Report1!BK36</f>
        <v>0</v>
      </c>
      <c r="BH31" s="513">
        <f>+[5]Report1!J36</f>
        <v>0.4267926946479671</v>
      </c>
      <c r="BI31" s="514">
        <f>+[5]Report1!K36</f>
        <v>0.88198630995041005</v>
      </c>
      <c r="BJ31" s="514">
        <f>+[5]Report1!AN36</f>
        <v>0.46980518040938829</v>
      </c>
      <c r="BK31" s="514">
        <f>+[5]Report1!AO36</f>
        <v>0.89326912463919084</v>
      </c>
      <c r="BL31" s="511">
        <f>+[5]Report1!R36</f>
        <v>23.103999999999999</v>
      </c>
      <c r="BM31" s="511">
        <f>+[5]Report1!S36</f>
        <v>1298.3680000000004</v>
      </c>
      <c r="BN31" s="511">
        <f>+[5]Report1!X36</f>
        <v>3.5621537396121883</v>
      </c>
      <c r="BO31" s="511">
        <f>+[5]Report1!Y36</f>
        <v>2.5687632473998119</v>
      </c>
      <c r="BP31" s="515">
        <v>0</v>
      </c>
      <c r="BQ31" s="515">
        <v>0</v>
      </c>
      <c r="BR31" s="515">
        <f>+[5]Report1!AD36</f>
        <v>1105.2046539048558</v>
      </c>
      <c r="BS31" s="515">
        <f>+[5]Report1!AE36</f>
        <v>985.01322816595928</v>
      </c>
      <c r="BT31" s="515">
        <f>+[5]Report1!AJ36</f>
        <v>0</v>
      </c>
      <c r="BU31" s="516">
        <f>+[5]Report1!AK36</f>
        <v>0</v>
      </c>
      <c r="BV31" s="513">
        <f>+[6]Report1!J36</f>
        <v>0.92037745636763757</v>
      </c>
      <c r="BW31" s="514">
        <f>+[6]Report1!K36</f>
        <v>0.88169700309473453</v>
      </c>
      <c r="BX31" s="514">
        <f>+[6]Report1!BG36</f>
        <v>0.9831925349921351</v>
      </c>
      <c r="BY31" s="514">
        <f>+[6]Report1!BH36</f>
        <v>0.91423588538281364</v>
      </c>
      <c r="BZ31" s="511">
        <f>+[6]Report1!R36</f>
        <v>48.188000000000002</v>
      </c>
      <c r="CA31" s="511">
        <f>+[6]Report1!S36</f>
        <v>1342.4190000000001</v>
      </c>
      <c r="CB31" s="515">
        <f>+[6]Report1!X36</f>
        <v>72.137708251278923</v>
      </c>
      <c r="CC31" s="515">
        <f>+[6]Report1!Y36</f>
        <v>71.685376732776945</v>
      </c>
      <c r="CD31" s="511">
        <f>+[6]Report1!AD36</f>
        <v>1.9569187349547603</v>
      </c>
      <c r="CE31" s="511">
        <f>+[6]Report1!AE36</f>
        <v>1.9423145828537882</v>
      </c>
      <c r="CF31" s="515">
        <v>0</v>
      </c>
      <c r="CG31" s="515">
        <v>0</v>
      </c>
      <c r="CH31" s="515">
        <f>+[6]Report1!AP36</f>
        <v>796.83140358972105</v>
      </c>
      <c r="CI31" s="515">
        <f>+[6]Report1!AQ36</f>
        <v>784.11533752760272</v>
      </c>
      <c r="CJ31" s="515">
        <f>+[6]Report1!AV36</f>
        <v>446.30820951274188</v>
      </c>
      <c r="CK31" s="515">
        <f>+[6]Report1!AW36</f>
        <v>325.9078164120146</v>
      </c>
      <c r="CL31" s="515">
        <f>+[6]Report1!$BB36</f>
        <v>0</v>
      </c>
      <c r="CM31" s="516">
        <f>+[6]Report1!$BB36</f>
        <v>0</v>
      </c>
    </row>
    <row r="32" spans="1:91" ht="12.75" customHeight="1">
      <c r="A32" s="558">
        <f t="shared" si="0"/>
        <v>46141</v>
      </c>
      <c r="B32" s="513">
        <f>+Report1!J37</f>
        <v>0.83942855577470965</v>
      </c>
      <c r="C32" s="514">
        <f>+Report1!K37</f>
        <v>0.93115861492112129</v>
      </c>
      <c r="D32" s="514">
        <f>+Report1!AJ37</f>
        <v>1.0200650804350901</v>
      </c>
      <c r="E32" s="514">
        <f>+Report1!AK37</f>
        <v>0.94455209967427123</v>
      </c>
      <c r="F32" s="511">
        <f>+Report1!R37</f>
        <v>49.027999999999999</v>
      </c>
      <c r="G32" s="511">
        <f>+Report1!S37</f>
        <v>1910.9670000000001</v>
      </c>
      <c r="H32" s="511">
        <f>+Report1!X37</f>
        <v>2.2109814799706293</v>
      </c>
      <c r="I32" s="511">
        <f>+Report1!Y37</f>
        <v>2.1067433398902229</v>
      </c>
      <c r="J32" s="511">
        <f>+Report1!AD37</f>
        <v>1076.5827690299304</v>
      </c>
      <c r="K32" s="512">
        <f>+Report1!AE37</f>
        <v>831.5021452489766</v>
      </c>
      <c r="L32" s="513">
        <f>+[1]Report1!J37</f>
        <v>0.61946834581195798</v>
      </c>
      <c r="M32" s="514">
        <f>+[1]Report1!K37</f>
        <v>0.82786883020637303</v>
      </c>
      <c r="N32" s="514">
        <f>+[1]Report1!BP37</f>
        <v>0.76387836536530906</v>
      </c>
      <c r="O32" s="514">
        <f>+[1]Report1!BQ37</f>
        <v>0.87859890448291422</v>
      </c>
      <c r="P32" s="511">
        <f>+[1]Report1!R37</f>
        <v>42.488</v>
      </c>
      <c r="Q32" s="511">
        <f>+[1]Report1!S37</f>
        <v>1609.4379999999996</v>
      </c>
      <c r="R32" s="511">
        <f>+[1]Report1!AL37</f>
        <v>2.8372717002447754</v>
      </c>
      <c r="S32" s="511">
        <f>+[1]Report1!AM37</f>
        <v>2.3084120046873511</v>
      </c>
      <c r="T32" s="511">
        <f>+[1]Report1!AR37</f>
        <v>0</v>
      </c>
      <c r="U32" s="511">
        <f>+[1]Report1!AS37</f>
        <v>0</v>
      </c>
      <c r="V32" s="511">
        <f>+[1]Report1!AX37</f>
        <v>724.71309546224938</v>
      </c>
      <c r="W32" s="511">
        <f>+[1]Report1!AY37</f>
        <v>600.60474525890334</v>
      </c>
      <c r="X32" s="511">
        <f>+[1]Report1!BD37</f>
        <v>477.78196196573151</v>
      </c>
      <c r="Y32" s="576">
        <f>+[1]Report1!BE37</f>
        <v>402.99595262445661</v>
      </c>
      <c r="Z32" s="511">
        <f>+[1]Report1!BJ37</f>
        <v>46.601393334588593</v>
      </c>
      <c r="AA32" s="576">
        <f>+[1]Report1!BK37</f>
        <v>20.635172028993978</v>
      </c>
      <c r="AB32" s="513">
        <f>+[2]Report1!J37</f>
        <v>0.65466171970423248</v>
      </c>
      <c r="AC32" s="514">
        <f>+[2]Report1!K37</f>
        <v>0.82959796080946202</v>
      </c>
      <c r="AD32" s="514">
        <f>+[2]Report1!BC37</f>
        <v>0.80989078726296804</v>
      </c>
      <c r="AE32" s="514">
        <f>+[2]Report1!BD37</f>
        <v>0.83937144100844263</v>
      </c>
      <c r="AF32" s="511">
        <f>+[2]Report1!R37</f>
        <v>28.553000000000001</v>
      </c>
      <c r="AG32" s="511">
        <f>+[2]Report1!S37</f>
        <v>1099.9080000000004</v>
      </c>
      <c r="AH32" s="511">
        <f>+[2]Report1!X37</f>
        <v>157.13491425056492</v>
      </c>
      <c r="AI32" s="511">
        <f>+[2]Report1!Y37</f>
        <v>137.64072913394114</v>
      </c>
      <c r="AJ32" s="511">
        <f>+[2]Report1!AD37</f>
        <v>1.7020978531152593</v>
      </c>
      <c r="AK32" s="511">
        <f>+[2]Report1!AE37</f>
        <v>1.4254828585663519</v>
      </c>
      <c r="AL32" s="511">
        <f>+[2]Report1!AJ37</f>
        <v>1149.0120127481841</v>
      </c>
      <c r="AM32" s="511">
        <f>+[2]Report1!AK37</f>
        <v>933.90083534259202</v>
      </c>
      <c r="AN32" s="511">
        <v>0</v>
      </c>
      <c r="AO32" s="512">
        <v>0</v>
      </c>
      <c r="AP32" s="594">
        <f>+[3]Report1!J37</f>
        <v>0.18780806126747157</v>
      </c>
      <c r="AQ32" s="514">
        <f>+[3]Report1!K37</f>
        <v>0.80567967171673827</v>
      </c>
      <c r="AR32" s="514">
        <f>+[3]Report1!BN37</f>
        <v>0.2282356993646994</v>
      </c>
      <c r="AS32" s="514">
        <f>+[3]Report1!BO37</f>
        <v>0.82906109154141816</v>
      </c>
      <c r="AT32" s="511">
        <f>+[3]Report1!R37</f>
        <v>10.355</v>
      </c>
      <c r="AU32" s="511">
        <f>+[3]Report1!S37</f>
        <v>1282.7459999999996</v>
      </c>
      <c r="AV32" s="515">
        <f>+[3]Report1!AF37</f>
        <v>211.80590358851873</v>
      </c>
      <c r="AW32" s="515">
        <f>+[3]Report1!AG37</f>
        <v>113.44644418284126</v>
      </c>
      <c r="AX32" s="511">
        <f>+[3]Report1!AL37</f>
        <v>3.9787542250120715</v>
      </c>
      <c r="AY32" s="511">
        <f>+[3]Report1!AM37</f>
        <v>1.4826785661385813</v>
      </c>
      <c r="AZ32" s="511">
        <f>+[7]Report1!AR37</f>
        <v>0</v>
      </c>
      <c r="BA32" s="511">
        <f>+[7]Report1!AS37</f>
        <v>0</v>
      </c>
      <c r="BB32" s="511">
        <f>+[3]Report1!AX37</f>
        <v>2424.6972477064223</v>
      </c>
      <c r="BC32" s="511">
        <f>+[3]Report1!AY37</f>
        <v>908.04804692433288</v>
      </c>
      <c r="BD32" s="511">
        <f>+[3]Report1!BD37</f>
        <v>1159.7295992274267</v>
      </c>
      <c r="BE32" s="576">
        <f>+[3]Report1!BE37</f>
        <v>460.11989513122717</v>
      </c>
      <c r="BF32" s="511">
        <f>+[3]Report1!BJ37</f>
        <v>0</v>
      </c>
      <c r="BG32" s="512">
        <f>+[3]Report1!BK37</f>
        <v>0</v>
      </c>
      <c r="BH32" s="513">
        <f>+[5]Report1!J37</f>
        <v>0.75217360140008027</v>
      </c>
      <c r="BI32" s="514">
        <f>+[5]Report1!K37</f>
        <v>0.8774005309236117</v>
      </c>
      <c r="BJ32" s="514">
        <f>+[5]Report1!AN37</f>
        <v>0.88705964012523331</v>
      </c>
      <c r="BK32" s="514">
        <f>+[5]Report1!AO37</f>
        <v>0.89307979914425772</v>
      </c>
      <c r="BL32" s="511">
        <f>+[5]Report1!R37</f>
        <v>40.548000000000002</v>
      </c>
      <c r="BM32" s="511">
        <f>+[5]Report1!S37</f>
        <v>1338.9160000000004</v>
      </c>
      <c r="BN32" s="511">
        <f>+[5]Report1!X37</f>
        <v>2.7374963006806747</v>
      </c>
      <c r="BO32" s="511">
        <f>+[5]Report1!Y37</f>
        <v>2.5738731929411545</v>
      </c>
      <c r="BP32" s="515">
        <v>0</v>
      </c>
      <c r="BQ32" s="515">
        <v>0</v>
      </c>
      <c r="BR32" s="515">
        <f>+[5]Report1!AD37</f>
        <v>972.93598346362501</v>
      </c>
      <c r="BS32" s="515">
        <f>+[5]Report1!AE37</f>
        <v>984.64747847128808</v>
      </c>
      <c r="BT32" s="515">
        <f>+[5]Report1!AJ37</f>
        <v>0</v>
      </c>
      <c r="BU32" s="516">
        <f>+[5]Report1!AK37</f>
        <v>0</v>
      </c>
      <c r="BV32" s="513">
        <f>+[6]Report1!J37</f>
        <v>0.57988669280272775</v>
      </c>
      <c r="BW32" s="514">
        <f>+[6]Report1!K37</f>
        <v>0.87166344679611563</v>
      </c>
      <c r="BX32" s="514">
        <f>+[6]Report1!BG37</f>
        <v>0.71554142042495972</v>
      </c>
      <c r="BY32" s="514">
        <f>+[6]Report1!BH37</f>
        <v>0.90865548485294279</v>
      </c>
      <c r="BZ32" s="511">
        <f>+[6]Report1!R37</f>
        <v>30.361000000000001</v>
      </c>
      <c r="CA32" s="511">
        <f>+[6]Report1!S37</f>
        <v>1372.7800000000002</v>
      </c>
      <c r="CB32" s="515">
        <f>+[6]Report1!X37</f>
        <v>86.03394689715455</v>
      </c>
      <c r="CC32" s="515">
        <f>+[6]Report1!Y37</f>
        <v>72.002715955930441</v>
      </c>
      <c r="CD32" s="511">
        <f>+[6]Report1!AD37</f>
        <v>2.3451137973057543</v>
      </c>
      <c r="CE32" s="511">
        <f>+[6]Report1!AE37</f>
        <v>1.9512230656041019</v>
      </c>
      <c r="CF32" s="515">
        <v>0</v>
      </c>
      <c r="CG32" s="515">
        <v>0</v>
      </c>
      <c r="CH32" s="515">
        <f>+[6]Report1!AP37</f>
        <v>924.29800541871066</v>
      </c>
      <c r="CI32" s="515">
        <f>+[6]Report1!AQ37</f>
        <v>787.21567842697607</v>
      </c>
      <c r="CJ32" s="515">
        <f>+[6]Report1!AV37</f>
        <v>922.92743980764828</v>
      </c>
      <c r="CK32" s="515">
        <f>+[6]Report1!AW37</f>
        <v>339.11176226343633</v>
      </c>
      <c r="CL32" s="515">
        <f>+[6]Report1!$BB37</f>
        <v>0</v>
      </c>
      <c r="CM32" s="516">
        <f>+[6]Report1!$BB37</f>
        <v>0</v>
      </c>
    </row>
    <row r="33" spans="1:91" ht="12.75" customHeight="1">
      <c r="A33" s="558">
        <f t="shared" si="0"/>
        <v>46142</v>
      </c>
      <c r="B33" s="513">
        <f>+Report1!J38</f>
        <v>0.87709566074950696</v>
      </c>
      <c r="C33" s="514">
        <f>+Report1!K38</f>
        <v>0.92966257426941035</v>
      </c>
      <c r="D33" s="514">
        <f>+Report1!AJ38</f>
        <v>0.99922290465133701</v>
      </c>
      <c r="E33" s="514">
        <f>+Report1!AK38</f>
        <v>0.94590325427289101</v>
      </c>
      <c r="F33" s="511">
        <f>+Report1!R38</f>
        <v>51.228000000000002</v>
      </c>
      <c r="G33" s="511">
        <f>+Report1!S38</f>
        <v>1962.1950000000002</v>
      </c>
      <c r="H33" s="511">
        <f>+Report1!X38</f>
        <v>2.3164089950808151</v>
      </c>
      <c r="I33" s="511">
        <f>+Report1!Y38</f>
        <v>2.1122171853460028</v>
      </c>
      <c r="J33" s="511">
        <f>+Report1!AD38</f>
        <v>1133.9255875693088</v>
      </c>
      <c r="K33" s="512">
        <f>+Report1!AE38</f>
        <v>839.39766435038382</v>
      </c>
      <c r="L33" s="513">
        <f>+[1]Report1!J38</f>
        <v>0.46463610272690969</v>
      </c>
      <c r="M33" s="514">
        <f>+[1]Report1!K38</f>
        <v>0.81724777582026975</v>
      </c>
      <c r="N33" s="514">
        <f>+[1]Report1!BP38</f>
        <v>0.52779905068411526</v>
      </c>
      <c r="O33" s="514">
        <f>+[1]Report1!BQ38</f>
        <v>0.86899714082165391</v>
      </c>
      <c r="P33" s="511">
        <f>+[1]Report1!R38</f>
        <v>27.207999999999998</v>
      </c>
      <c r="Q33" s="511">
        <f>+[1]Report1!S38</f>
        <v>1636.6459999999997</v>
      </c>
      <c r="R33" s="511">
        <f>+[1]Report1!AL38</f>
        <v>3.8064907380182302</v>
      </c>
      <c r="S33" s="511">
        <f>+[1]Report1!AM38</f>
        <v>2.33331642884289</v>
      </c>
      <c r="T33" s="511">
        <f>+[1]Report1!AR38</f>
        <v>0</v>
      </c>
      <c r="U33" s="511">
        <f>+[1]Report1!AS38</f>
        <v>0</v>
      </c>
      <c r="V33" s="511">
        <f>+[1]Report1!AX38</f>
        <v>1283.7867538959115</v>
      </c>
      <c r="W33" s="511">
        <f>+[1]Report1!AY38</f>
        <v>611.96212864602285</v>
      </c>
      <c r="X33" s="511">
        <f>+[1]Report1!BD38</f>
        <v>731.40252866803883</v>
      </c>
      <c r="Y33" s="576">
        <f>+[1]Report1!BE38</f>
        <v>408.4554631850749</v>
      </c>
      <c r="Z33" s="511">
        <f>+[1]Report1!BJ38</f>
        <v>57.339753013818608</v>
      </c>
      <c r="AA33" s="576">
        <f>+[1]Report1!BK38</f>
        <v>21.245357884356164</v>
      </c>
      <c r="AB33" s="513">
        <f>+[2]Report1!J38</f>
        <v>0.68385242043650274</v>
      </c>
      <c r="AC33" s="514">
        <f>+[2]Report1!K38</f>
        <v>0.82499207068408442</v>
      </c>
      <c r="AD33" s="514">
        <f>+[2]Report1!BC38</f>
        <v>0.79533679755904152</v>
      </c>
      <c r="AE33" s="514">
        <f>+[2]Report1!BD38</f>
        <v>0.83815581751591972</v>
      </c>
      <c r="AF33" s="511">
        <f>+[2]Report1!R38</f>
        <v>29.588000000000001</v>
      </c>
      <c r="AG33" s="511">
        <f>+[2]Report1!S38</f>
        <v>1129.4960000000003</v>
      </c>
      <c r="AH33" s="511">
        <f>+[2]Report1!X38</f>
        <v>160.28566934477141</v>
      </c>
      <c r="AI33" s="511">
        <f>+[2]Report1!Y38</f>
        <v>138.23393042988027</v>
      </c>
      <c r="AJ33" s="511">
        <f>+[2]Report1!AD38</f>
        <v>1.6121400567797757</v>
      </c>
      <c r="AK33" s="511">
        <f>+[2]Report1!AE38</f>
        <v>1.4303724847188473</v>
      </c>
      <c r="AL33" s="511">
        <f>+[2]Report1!AJ38</f>
        <v>1273.6981208598449</v>
      </c>
      <c r="AM33" s="511">
        <f>+[2]Report1!AK38</f>
        <v>942.80208163641225</v>
      </c>
      <c r="AN33" s="511">
        <v>0</v>
      </c>
      <c r="AO33" s="512">
        <v>0</v>
      </c>
      <c r="AP33" s="594">
        <f>+[3]Report1!J38</f>
        <v>0.72386922077845806</v>
      </c>
      <c r="AQ33" s="514">
        <f>+[3]Report1!K38</f>
        <v>0.80293641826956408</v>
      </c>
      <c r="AR33" s="514">
        <f>+[3]Report1!BN38</f>
        <v>0.84198035373261682</v>
      </c>
      <c r="AS33" s="514">
        <f>+[3]Report1!BO38</f>
        <v>0.82944582493292418</v>
      </c>
      <c r="AT33" s="511">
        <f>+[3]Report1!R38</f>
        <v>39.985999999999997</v>
      </c>
      <c r="AU33" s="511">
        <f>+[3]Report1!S38</f>
        <v>1322.7319999999997</v>
      </c>
      <c r="AV33" s="515">
        <f>+[3]Report1!AF38</f>
        <v>111.06931537194725</v>
      </c>
      <c r="AW33" s="515">
        <f>+[3]Report1!AG38</f>
        <v>113.37458391739639</v>
      </c>
      <c r="AX33" s="511">
        <f>+[3]Report1!AL38</f>
        <v>1.6480768268894115</v>
      </c>
      <c r="AY33" s="511">
        <f>+[3]Report1!AM38</f>
        <v>1.4876785320079959</v>
      </c>
      <c r="AZ33" s="511">
        <f>+[7]Report1!AR38</f>
        <v>0</v>
      </c>
      <c r="BA33" s="511">
        <f>+[7]Report1!AS38</f>
        <v>0</v>
      </c>
      <c r="BB33" s="511">
        <f>+[3]Report1!AX38</f>
        <v>1002.5053768819097</v>
      </c>
      <c r="BC33" s="511">
        <f>+[3]Report1!AY38</f>
        <v>910.90347855801463</v>
      </c>
      <c r="BD33" s="511">
        <f>+[3]Report1!BD38</f>
        <v>559.16320712249296</v>
      </c>
      <c r="BE33" s="576">
        <f>+[3]Report1!BE38</f>
        <v>463.11396034873349</v>
      </c>
      <c r="BF33" s="511">
        <f>+[3]Report1!BJ38</f>
        <v>0</v>
      </c>
      <c r="BG33" s="512">
        <f>+[3]Report1!BK38</f>
        <v>0</v>
      </c>
      <c r="BH33" s="513">
        <f>+[5]Report1!J38</f>
        <v>0.73780096681363549</v>
      </c>
      <c r="BI33" s="514">
        <f>+[5]Report1!K38</f>
        <v>0.87269494091770761</v>
      </c>
      <c r="BJ33" s="514">
        <f>+[5]Report1!AN38</f>
        <v>0.80465211067286135</v>
      </c>
      <c r="BK33" s="514">
        <f>+[5]Report1!AO38</f>
        <v>0.89029162951574892</v>
      </c>
      <c r="BL33" s="511">
        <f>+[5]Report1!R38</f>
        <v>39.274999999999999</v>
      </c>
      <c r="BM33" s="511">
        <f>+[5]Report1!S38</f>
        <v>1378.1910000000005</v>
      </c>
      <c r="BN33" s="511">
        <f>+[5]Report1!X38</f>
        <v>2.6734563971992364</v>
      </c>
      <c r="BO33" s="511">
        <f>+[5]Report1!Y38</f>
        <v>2.5767110654473862</v>
      </c>
      <c r="BP33" s="515">
        <v>0</v>
      </c>
      <c r="BQ33" s="515">
        <v>0</v>
      </c>
      <c r="BR33" s="515">
        <f>+[5]Report1!AD38</f>
        <v>1071.4267066801951</v>
      </c>
      <c r="BS33" s="515">
        <f>+[5]Report1!AE38</f>
        <v>987.12046965168679</v>
      </c>
      <c r="BT33" s="515">
        <f>+[5]Report1!AJ38</f>
        <v>0</v>
      </c>
      <c r="BU33" s="516">
        <f>+[5]Report1!AK38</f>
        <v>0</v>
      </c>
      <c r="BV33" s="513">
        <f>+[6]Report1!J38</f>
        <v>0.83708289183368101</v>
      </c>
      <c r="BW33" s="514">
        <f>+[6]Report1!K38</f>
        <v>0.87054860765188713</v>
      </c>
      <c r="BX33" s="514">
        <f>+[6]Report1!BG38</f>
        <v>0.93939138499331198</v>
      </c>
      <c r="BY33" s="514">
        <f>+[6]Report1!BH38</f>
        <v>0.90957804570983836</v>
      </c>
      <c r="BZ33" s="511">
        <f>+[6]Report1!R38</f>
        <v>43.917000000000002</v>
      </c>
      <c r="CA33" s="511">
        <f>+[6]Report1!S38</f>
        <v>1416.6970000000001</v>
      </c>
      <c r="CB33" s="515">
        <f>+[6]Report1!X38</f>
        <v>73.803993236428269</v>
      </c>
      <c r="CC33" s="515">
        <f>+[6]Report1!Y38</f>
        <v>72.058554779848066</v>
      </c>
      <c r="CD33" s="511">
        <f>+[6]Report1!AD38</f>
        <v>2.0470432861989662</v>
      </c>
      <c r="CE33" s="511">
        <f>+[6]Report1!AE38</f>
        <v>1.9541934513872756</v>
      </c>
      <c r="CF33" s="515">
        <v>0</v>
      </c>
      <c r="CG33" s="515">
        <v>0</v>
      </c>
      <c r="CH33" s="515">
        <f>+[6]Report1!AP38</f>
        <v>946.51857128527718</v>
      </c>
      <c r="CI33" s="515">
        <f>+[6]Report1!AQ38</f>
        <v>792.15399985044087</v>
      </c>
      <c r="CJ33" s="515">
        <f>+[6]Report1!AV38</f>
        <v>529.8927522371747</v>
      </c>
      <c r="CK33" s="515">
        <f>+[6]Report1!AW38</f>
        <v>345.02589121032952</v>
      </c>
      <c r="CL33" s="515">
        <f>+[6]Report1!$BB38</f>
        <v>0</v>
      </c>
      <c r="CM33" s="516">
        <f>+[6]Report1!$BB38</f>
        <v>0</v>
      </c>
    </row>
    <row r="34" spans="1:91" ht="12.75" hidden="1" customHeight="1">
      <c r="A34" s="558"/>
      <c r="B34" s="513"/>
      <c r="C34" s="514"/>
      <c r="D34" s="514"/>
      <c r="E34" s="514"/>
      <c r="F34" s="511"/>
      <c r="G34" s="511"/>
      <c r="H34" s="511"/>
      <c r="I34" s="511"/>
      <c r="J34" s="511"/>
      <c r="K34" s="512"/>
      <c r="L34" s="513"/>
      <c r="M34" s="514"/>
      <c r="N34" s="514"/>
      <c r="O34" s="514"/>
      <c r="P34" s="511"/>
      <c r="Q34" s="511"/>
      <c r="R34" s="511"/>
      <c r="S34" s="511"/>
      <c r="T34" s="511"/>
      <c r="U34" s="511"/>
      <c r="V34" s="511"/>
      <c r="W34" s="511"/>
      <c r="X34" s="511">
        <f>+[1]Report1!BD39</f>
        <v>0</v>
      </c>
      <c r="Y34" s="576">
        <f>+[1]Report1!BE39</f>
        <v>0</v>
      </c>
      <c r="Z34" s="511">
        <f>+[1]Report1!BJ39</f>
        <v>0</v>
      </c>
      <c r="AA34" s="576">
        <f>+[1]Report1!BK39</f>
        <v>0</v>
      </c>
      <c r="AB34" s="513"/>
      <c r="AC34" s="514"/>
      <c r="AD34" s="514"/>
      <c r="AE34" s="514"/>
      <c r="AF34" s="511"/>
      <c r="AG34" s="511"/>
      <c r="AH34" s="511"/>
      <c r="AI34" s="511"/>
      <c r="AJ34" s="511"/>
      <c r="AK34" s="511"/>
      <c r="AL34" s="511"/>
      <c r="AM34" s="511"/>
      <c r="AN34" s="511"/>
      <c r="AO34" s="512"/>
      <c r="AP34" s="594"/>
      <c r="AQ34" s="514"/>
      <c r="AR34" s="514"/>
      <c r="AS34" s="514"/>
      <c r="AT34" s="511"/>
      <c r="AU34" s="511"/>
      <c r="AV34" s="515"/>
      <c r="AW34" s="515"/>
      <c r="AX34" s="511"/>
      <c r="AY34" s="511"/>
      <c r="AZ34" s="511"/>
      <c r="BA34" s="511"/>
      <c r="BB34" s="511"/>
      <c r="BC34" s="511"/>
      <c r="BD34" s="511"/>
      <c r="BE34" s="576"/>
      <c r="BF34" s="511"/>
      <c r="BG34" s="512"/>
      <c r="BH34" s="513"/>
      <c r="BI34" s="514"/>
      <c r="BJ34" s="514"/>
      <c r="BK34" s="514"/>
      <c r="BL34" s="511"/>
      <c r="BM34" s="511"/>
      <c r="BN34" s="511"/>
      <c r="BO34" s="511"/>
      <c r="BP34" s="515"/>
      <c r="BQ34" s="515"/>
      <c r="BR34" s="515"/>
      <c r="BS34" s="515"/>
      <c r="BT34" s="515"/>
      <c r="BU34" s="516"/>
      <c r="BV34" s="513"/>
      <c r="BW34" s="514"/>
      <c r="BX34" s="514"/>
      <c r="BY34" s="514"/>
      <c r="BZ34" s="511"/>
      <c r="CA34" s="511"/>
      <c r="CB34" s="515"/>
      <c r="CC34" s="515"/>
      <c r="CD34" s="511"/>
      <c r="CE34" s="511"/>
      <c r="CF34" s="515"/>
      <c r="CG34" s="515"/>
      <c r="CH34" s="515"/>
      <c r="CI34" s="515"/>
      <c r="CJ34" s="515"/>
      <c r="CK34" s="515"/>
      <c r="CL34" s="515"/>
      <c r="CM34" s="516"/>
    </row>
    <row r="35" spans="1:91" ht="12.75" customHeight="1">
      <c r="A35" s="558"/>
      <c r="B35" s="513"/>
      <c r="C35" s="514"/>
      <c r="D35" s="514"/>
      <c r="E35" s="514"/>
      <c r="F35" s="511"/>
      <c r="G35" s="511"/>
      <c r="H35" s="511"/>
      <c r="I35" s="511"/>
      <c r="J35" s="511"/>
      <c r="K35" s="512"/>
      <c r="L35" s="513"/>
      <c r="M35" s="514"/>
      <c r="N35" s="514"/>
      <c r="O35" s="514"/>
      <c r="P35" s="511"/>
      <c r="Q35" s="511"/>
      <c r="R35" s="511"/>
      <c r="S35" s="511"/>
      <c r="T35" s="511"/>
      <c r="U35" s="511"/>
      <c r="V35" s="511"/>
      <c r="W35" s="511"/>
      <c r="X35" s="511"/>
      <c r="Y35" s="576"/>
      <c r="Z35" s="511"/>
      <c r="AA35" s="576"/>
      <c r="AB35" s="513"/>
      <c r="AC35" s="514"/>
      <c r="AD35" s="514"/>
      <c r="AE35" s="514"/>
      <c r="AF35" s="511"/>
      <c r="AG35" s="511"/>
      <c r="AH35" s="511"/>
      <c r="AI35" s="511"/>
      <c r="AJ35" s="511"/>
      <c r="AK35" s="511"/>
      <c r="AL35" s="511"/>
      <c r="AM35" s="576"/>
      <c r="AN35" s="513"/>
      <c r="AO35" s="514"/>
      <c r="AP35" s="514"/>
      <c r="AQ35" s="514"/>
      <c r="AR35" s="511"/>
      <c r="AS35" s="511"/>
      <c r="AT35" s="515"/>
      <c r="AU35" s="515"/>
      <c r="AV35" s="511"/>
      <c r="AW35" s="511"/>
      <c r="AX35" s="511"/>
      <c r="AY35" s="511"/>
      <c r="AZ35" s="511"/>
      <c r="BA35" s="511"/>
      <c r="BB35" s="511"/>
      <c r="BC35" s="576"/>
      <c r="BD35" s="513"/>
      <c r="BE35" s="514"/>
      <c r="BF35" s="514"/>
      <c r="BG35" s="514"/>
      <c r="BH35" s="511"/>
      <c r="BI35" s="511"/>
      <c r="BJ35" s="511"/>
      <c r="BK35" s="511"/>
      <c r="BL35" s="515"/>
      <c r="BM35" s="515"/>
      <c r="BN35" s="515"/>
      <c r="BO35" s="515"/>
      <c r="BP35" s="515"/>
      <c r="BQ35" s="515"/>
      <c r="BR35" s="513"/>
      <c r="BS35" s="514"/>
      <c r="BT35" s="514"/>
      <c r="BU35" s="514"/>
      <c r="BV35" s="511"/>
      <c r="BW35" s="511"/>
      <c r="BX35" s="511"/>
      <c r="BY35" s="511"/>
      <c r="BZ35" s="511"/>
      <c r="CA35" s="511"/>
      <c r="CB35" s="511"/>
      <c r="CC35" s="511"/>
      <c r="CD35" s="579"/>
      <c r="CE35" s="515"/>
      <c r="CF35" s="515"/>
      <c r="CG35" s="516"/>
      <c r="CH35" s="515"/>
      <c r="CI35" s="515"/>
      <c r="CJ35" s="515"/>
      <c r="CK35" s="515"/>
      <c r="CL35" s="515"/>
      <c r="CM35" s="516"/>
    </row>
    <row r="36" spans="1:91" ht="12.75" hidden="1" customHeight="1">
      <c r="A36" s="559" t="s">
        <v>323</v>
      </c>
      <c r="B36" s="667">
        <f>+C34</f>
        <v>0</v>
      </c>
      <c r="C36" s="668"/>
      <c r="D36" s="669">
        <f>+E34</f>
        <v>0</v>
      </c>
      <c r="E36" s="668"/>
      <c r="F36" s="656">
        <f>+G34</f>
        <v>0</v>
      </c>
      <c r="G36" s="657"/>
      <c r="H36" s="670">
        <f>+I34</f>
        <v>0</v>
      </c>
      <c r="I36" s="671"/>
      <c r="J36" s="670">
        <f>+K34</f>
        <v>0</v>
      </c>
      <c r="K36" s="672"/>
      <c r="L36" s="667">
        <f>+M34</f>
        <v>0</v>
      </c>
      <c r="M36" s="668"/>
      <c r="N36" s="669">
        <f>+O34</f>
        <v>0</v>
      </c>
      <c r="O36" s="668"/>
      <c r="P36" s="656">
        <f>+Q34</f>
        <v>0</v>
      </c>
      <c r="Q36" s="657"/>
      <c r="R36" s="656">
        <f>+S34</f>
        <v>0</v>
      </c>
      <c r="S36" s="657"/>
      <c r="T36" s="656">
        <f>+U34</f>
        <v>0</v>
      </c>
      <c r="U36" s="657"/>
      <c r="V36" s="658">
        <f>+W34</f>
        <v>0</v>
      </c>
      <c r="W36" s="659"/>
      <c r="X36" s="658">
        <f>+Y34</f>
        <v>0</v>
      </c>
      <c r="Y36" s="660"/>
      <c r="Z36" s="658">
        <f>+AA34</f>
        <v>0</v>
      </c>
      <c r="AA36" s="660"/>
      <c r="AB36" s="661">
        <f>+AC34</f>
        <v>0</v>
      </c>
      <c r="AC36" s="662"/>
      <c r="AD36" s="669">
        <f>+AE34</f>
        <v>0</v>
      </c>
      <c r="AE36" s="668"/>
      <c r="AF36" s="663">
        <f>+AG34</f>
        <v>0</v>
      </c>
      <c r="AG36" s="663"/>
      <c r="AH36" s="663">
        <f>+AI34</f>
        <v>0</v>
      </c>
      <c r="AI36" s="663"/>
      <c r="AJ36" s="663">
        <f>+AK34</f>
        <v>0</v>
      </c>
      <c r="AK36" s="663"/>
      <c r="AL36" s="664">
        <f>+AM34</f>
        <v>0</v>
      </c>
      <c r="AM36" s="665"/>
      <c r="AN36" s="661">
        <f>+AO34</f>
        <v>0</v>
      </c>
      <c r="AO36" s="662"/>
      <c r="AP36" s="662">
        <f>+AQ34</f>
        <v>0</v>
      </c>
      <c r="AQ36" s="662"/>
      <c r="AR36" s="664">
        <f>+AS34</f>
        <v>0</v>
      </c>
      <c r="AS36" s="664"/>
      <c r="AT36" s="664">
        <f>+AU34</f>
        <v>0</v>
      </c>
      <c r="AU36" s="664"/>
      <c r="AV36" s="664">
        <f>+AW34</f>
        <v>0</v>
      </c>
      <c r="AW36" s="664"/>
      <c r="AX36" s="664">
        <f>+AY34</f>
        <v>0</v>
      </c>
      <c r="AY36" s="664"/>
      <c r="AZ36" s="664">
        <f>+BA34</f>
        <v>0</v>
      </c>
      <c r="BA36" s="664"/>
      <c r="BB36" s="664">
        <f>+BC34</f>
        <v>0</v>
      </c>
      <c r="BC36" s="658"/>
      <c r="BD36" s="667">
        <f>+BE34</f>
        <v>0</v>
      </c>
      <c r="BE36" s="668"/>
      <c r="BF36" s="669">
        <f>+BG34</f>
        <v>0</v>
      </c>
      <c r="BG36" s="668"/>
      <c r="BH36" s="658">
        <f>+BI34</f>
        <v>0</v>
      </c>
      <c r="BI36" s="659"/>
      <c r="BJ36" s="658">
        <f>+BK34</f>
        <v>0</v>
      </c>
      <c r="BK36" s="659"/>
      <c r="BL36" s="658">
        <f>+BM34</f>
        <v>0</v>
      </c>
      <c r="BM36" s="659"/>
      <c r="BN36" s="658">
        <f>+BO34</f>
        <v>0</v>
      </c>
      <c r="BO36" s="659"/>
      <c r="BP36" s="658">
        <f>+BQ34</f>
        <v>0</v>
      </c>
      <c r="BQ36" s="673"/>
      <c r="BR36" s="667">
        <f>+BS34</f>
        <v>0</v>
      </c>
      <c r="BS36" s="668"/>
      <c r="BT36" s="669">
        <f>+BU34</f>
        <v>0</v>
      </c>
      <c r="BU36" s="668"/>
      <c r="BV36" s="658">
        <f>+BW34</f>
        <v>0</v>
      </c>
      <c r="BW36" s="659"/>
      <c r="BX36" s="658">
        <f>+BY34</f>
        <v>0</v>
      </c>
      <c r="BY36" s="659"/>
      <c r="BZ36" s="658">
        <f>+CA34</f>
        <v>0</v>
      </c>
      <c r="CA36" s="659"/>
      <c r="CB36" s="658">
        <f>+CC34</f>
        <v>0</v>
      </c>
      <c r="CC36" s="659"/>
      <c r="CD36" s="658">
        <f>+CE34</f>
        <v>0</v>
      </c>
      <c r="CE36" s="659"/>
      <c r="CF36" s="658">
        <f>+CG34</f>
        <v>0</v>
      </c>
      <c r="CG36" s="673"/>
    </row>
    <row r="37" spans="1:91" ht="12.75" hidden="1" customHeight="1">
      <c r="A37" s="560" t="s">
        <v>221</v>
      </c>
      <c r="B37" s="674">
        <f>+C34</f>
        <v>0</v>
      </c>
      <c r="C37" s="675"/>
      <c r="D37" s="676">
        <f>+E34</f>
        <v>0</v>
      </c>
      <c r="E37" s="675"/>
      <c r="F37" s="677">
        <f>+G34</f>
        <v>0</v>
      </c>
      <c r="G37" s="678"/>
      <c r="H37" s="679">
        <f>+I34</f>
        <v>0</v>
      </c>
      <c r="I37" s="680"/>
      <c r="J37" s="679">
        <f>+K34</f>
        <v>0</v>
      </c>
      <c r="K37" s="681"/>
      <c r="L37" s="674">
        <f>+M34</f>
        <v>0</v>
      </c>
      <c r="M37" s="675"/>
      <c r="N37" s="676">
        <f>+O34</f>
        <v>0</v>
      </c>
      <c r="O37" s="675"/>
      <c r="P37" s="677">
        <f>+Q34</f>
        <v>0</v>
      </c>
      <c r="Q37" s="678"/>
      <c r="R37" s="677">
        <f>+S34</f>
        <v>0</v>
      </c>
      <c r="S37" s="678"/>
      <c r="T37" s="677">
        <f>+U34</f>
        <v>0</v>
      </c>
      <c r="U37" s="678"/>
      <c r="V37" s="683">
        <f>+W34</f>
        <v>0</v>
      </c>
      <c r="W37" s="684"/>
      <c r="X37" s="683">
        <f>+Y34</f>
        <v>0</v>
      </c>
      <c r="Y37" s="685"/>
      <c r="Z37" s="683">
        <f>+AA34</f>
        <v>0</v>
      </c>
      <c r="AA37" s="685"/>
      <c r="AB37" s="697">
        <f>+AC34</f>
        <v>0</v>
      </c>
      <c r="AC37" s="698"/>
      <c r="AD37" s="676">
        <f>+AE34</f>
        <v>0</v>
      </c>
      <c r="AE37" s="675"/>
      <c r="AF37" s="682">
        <f>+AG34</f>
        <v>0</v>
      </c>
      <c r="AG37" s="682"/>
      <c r="AH37" s="682">
        <f>+AI34</f>
        <v>0</v>
      </c>
      <c r="AI37" s="682"/>
      <c r="AJ37" s="682">
        <f>+AK34</f>
        <v>0</v>
      </c>
      <c r="AK37" s="682"/>
      <c r="AL37" s="695">
        <f>+AM34</f>
        <v>0</v>
      </c>
      <c r="AM37" s="696"/>
      <c r="AN37" s="697">
        <f>+AO34</f>
        <v>0</v>
      </c>
      <c r="AO37" s="698"/>
      <c r="AP37" s="698">
        <f>+AQ34</f>
        <v>0</v>
      </c>
      <c r="AQ37" s="698"/>
      <c r="AR37" s="695">
        <f>+AS34</f>
        <v>0</v>
      </c>
      <c r="AS37" s="695"/>
      <c r="AT37" s="695">
        <f>+AU34</f>
        <v>0</v>
      </c>
      <c r="AU37" s="695"/>
      <c r="AV37" s="695">
        <f>+AW34</f>
        <v>0</v>
      </c>
      <c r="AW37" s="695"/>
      <c r="AX37" s="695">
        <f>+AY34</f>
        <v>0</v>
      </c>
      <c r="AY37" s="695"/>
      <c r="AZ37" s="695">
        <f>+BA34</f>
        <v>0</v>
      </c>
      <c r="BA37" s="695"/>
      <c r="BB37" s="695">
        <f>+BC34</f>
        <v>0</v>
      </c>
      <c r="BC37" s="683"/>
      <c r="BD37" s="674">
        <f>+BE34</f>
        <v>0</v>
      </c>
      <c r="BE37" s="675"/>
      <c r="BF37" s="676">
        <f>+BG34</f>
        <v>0</v>
      </c>
      <c r="BG37" s="675"/>
      <c r="BH37" s="683">
        <f>+BI34</f>
        <v>0</v>
      </c>
      <c r="BI37" s="684"/>
      <c r="BJ37" s="683">
        <f>+BK34</f>
        <v>0</v>
      </c>
      <c r="BK37" s="684"/>
      <c r="BL37" s="683">
        <f>+BM34</f>
        <v>0</v>
      </c>
      <c r="BM37" s="684"/>
      <c r="BN37" s="683">
        <f>+BO34</f>
        <v>0</v>
      </c>
      <c r="BO37" s="684"/>
      <c r="BP37" s="683">
        <f>+BQ34</f>
        <v>0</v>
      </c>
      <c r="BQ37" s="686"/>
      <c r="BR37" s="674">
        <f>+BS34</f>
        <v>0</v>
      </c>
      <c r="BS37" s="675"/>
      <c r="BT37" s="676">
        <f>+BU34</f>
        <v>0</v>
      </c>
      <c r="BU37" s="675"/>
      <c r="BV37" s="683">
        <f>+BW34</f>
        <v>0</v>
      </c>
      <c r="BW37" s="684"/>
      <c r="BX37" s="683">
        <f>+BY34</f>
        <v>0</v>
      </c>
      <c r="BY37" s="684"/>
      <c r="BZ37" s="683">
        <f>+CA34</f>
        <v>0</v>
      </c>
      <c r="CA37" s="684"/>
      <c r="CB37" s="683">
        <f>+CC34</f>
        <v>0</v>
      </c>
      <c r="CC37" s="684"/>
      <c r="CD37" s="683">
        <f>+CE34</f>
        <v>0</v>
      </c>
      <c r="CE37" s="684"/>
      <c r="CF37" s="683">
        <f>+CG34</f>
        <v>0</v>
      </c>
      <c r="CG37" s="686"/>
    </row>
    <row r="38" spans="1:91" ht="12.75" hidden="1" customHeight="1">
      <c r="A38" s="561" t="s">
        <v>222</v>
      </c>
      <c r="B38" s="687">
        <f>+C34</f>
        <v>0</v>
      </c>
      <c r="C38" s="688"/>
      <c r="D38" s="689">
        <f>+E34</f>
        <v>0</v>
      </c>
      <c r="E38" s="688"/>
      <c r="F38" s="690">
        <f>+G34</f>
        <v>0</v>
      </c>
      <c r="G38" s="691"/>
      <c r="H38" s="692">
        <f>+I34</f>
        <v>0</v>
      </c>
      <c r="I38" s="693"/>
      <c r="J38" s="692">
        <f>+K34</f>
        <v>0</v>
      </c>
      <c r="K38" s="694"/>
      <c r="L38" s="687">
        <f>+M34</f>
        <v>0</v>
      </c>
      <c r="M38" s="688"/>
      <c r="N38" s="689">
        <f>+O34</f>
        <v>0</v>
      </c>
      <c r="O38" s="688"/>
      <c r="P38" s="690">
        <f>+Q34</f>
        <v>0</v>
      </c>
      <c r="Q38" s="691"/>
      <c r="R38" s="690">
        <f>+S34</f>
        <v>0</v>
      </c>
      <c r="S38" s="691"/>
      <c r="T38" s="690">
        <f>+U34</f>
        <v>0</v>
      </c>
      <c r="U38" s="691"/>
      <c r="V38" s="700">
        <f>+W34</f>
        <v>0</v>
      </c>
      <c r="W38" s="701"/>
      <c r="X38" s="700">
        <f>+Y34</f>
        <v>0</v>
      </c>
      <c r="Y38" s="702"/>
      <c r="Z38" s="700">
        <f>+AA34</f>
        <v>0</v>
      </c>
      <c r="AA38" s="702"/>
      <c r="AB38" s="713">
        <f>+AC34</f>
        <v>0</v>
      </c>
      <c r="AC38" s="714"/>
      <c r="AD38" s="689">
        <f>+AE34</f>
        <v>0</v>
      </c>
      <c r="AE38" s="688"/>
      <c r="AF38" s="699">
        <f>+AG34</f>
        <v>0</v>
      </c>
      <c r="AG38" s="699"/>
      <c r="AH38" s="699">
        <f>+AI34</f>
        <v>0</v>
      </c>
      <c r="AI38" s="699"/>
      <c r="AJ38" s="699">
        <f>+AK34</f>
        <v>0</v>
      </c>
      <c r="AK38" s="699"/>
      <c r="AL38" s="711">
        <f>+AM34</f>
        <v>0</v>
      </c>
      <c r="AM38" s="712"/>
      <c r="AN38" s="713">
        <f>+AO34</f>
        <v>0</v>
      </c>
      <c r="AO38" s="714"/>
      <c r="AP38" s="714">
        <f>+AQ34</f>
        <v>0</v>
      </c>
      <c r="AQ38" s="714"/>
      <c r="AR38" s="711">
        <f>+AS34</f>
        <v>0</v>
      </c>
      <c r="AS38" s="711"/>
      <c r="AT38" s="711">
        <f>+AU34</f>
        <v>0</v>
      </c>
      <c r="AU38" s="711"/>
      <c r="AV38" s="711">
        <f>+AW34</f>
        <v>0</v>
      </c>
      <c r="AW38" s="711"/>
      <c r="AX38" s="711">
        <f>+AY34</f>
        <v>0</v>
      </c>
      <c r="AY38" s="711"/>
      <c r="AZ38" s="711">
        <f>+BA34</f>
        <v>0</v>
      </c>
      <c r="BA38" s="711"/>
      <c r="BB38" s="711">
        <f>+BC34</f>
        <v>0</v>
      </c>
      <c r="BC38" s="700"/>
      <c r="BD38" s="687">
        <f>+BE34</f>
        <v>0</v>
      </c>
      <c r="BE38" s="688"/>
      <c r="BF38" s="689">
        <f>+BG34</f>
        <v>0</v>
      </c>
      <c r="BG38" s="688"/>
      <c r="BH38" s="700">
        <f>+BI34</f>
        <v>0</v>
      </c>
      <c r="BI38" s="701"/>
      <c r="BJ38" s="700">
        <f>+BK34</f>
        <v>0</v>
      </c>
      <c r="BK38" s="701"/>
      <c r="BL38" s="700">
        <f>+BM34</f>
        <v>0</v>
      </c>
      <c r="BM38" s="701"/>
      <c r="BN38" s="700">
        <f>+BO34</f>
        <v>0</v>
      </c>
      <c r="BO38" s="701"/>
      <c r="BP38" s="700">
        <f>+BQ34</f>
        <v>0</v>
      </c>
      <c r="BQ38" s="703"/>
      <c r="BR38" s="687">
        <f>+BS34</f>
        <v>0</v>
      </c>
      <c r="BS38" s="688"/>
      <c r="BT38" s="689">
        <f>+BU34</f>
        <v>0</v>
      </c>
      <c r="BU38" s="688"/>
      <c r="BV38" s="700">
        <f>+BW34</f>
        <v>0</v>
      </c>
      <c r="BW38" s="701"/>
      <c r="BX38" s="700">
        <f>+BY34</f>
        <v>0</v>
      </c>
      <c r="BY38" s="701"/>
      <c r="BZ38" s="700">
        <f>+CA34</f>
        <v>0</v>
      </c>
      <c r="CA38" s="701"/>
      <c r="CB38" s="700">
        <f>+CC34</f>
        <v>0</v>
      </c>
      <c r="CC38" s="701"/>
      <c r="CD38" s="700">
        <f>+CE34</f>
        <v>0</v>
      </c>
      <c r="CE38" s="701"/>
      <c r="CF38" s="700">
        <f>+CG34</f>
        <v>0</v>
      </c>
      <c r="CG38" s="703"/>
    </row>
    <row r="39" spans="1:91" ht="12.75" hidden="1" customHeight="1">
      <c r="A39" s="562" t="s">
        <v>423</v>
      </c>
      <c r="B39" s="704">
        <f>+C34</f>
        <v>0</v>
      </c>
      <c r="C39" s="705"/>
      <c r="D39" s="706">
        <f>+E34</f>
        <v>0</v>
      </c>
      <c r="E39" s="705"/>
      <c r="F39" s="707">
        <f>+G34</f>
        <v>0</v>
      </c>
      <c r="G39" s="708"/>
      <c r="H39" s="709">
        <f>+I34</f>
        <v>0</v>
      </c>
      <c r="I39" s="710"/>
      <c r="J39" s="707">
        <f>+K34</f>
        <v>0</v>
      </c>
      <c r="K39" s="708"/>
      <c r="L39" s="704">
        <f>+M34</f>
        <v>0</v>
      </c>
      <c r="M39" s="705"/>
      <c r="N39" s="706">
        <f>+O34</f>
        <v>0</v>
      </c>
      <c r="O39" s="705"/>
      <c r="P39" s="707">
        <f>+Q34</f>
        <v>0</v>
      </c>
      <c r="Q39" s="708"/>
      <c r="R39" s="709">
        <f>+S34</f>
        <v>0</v>
      </c>
      <c r="S39" s="710"/>
      <c r="T39" s="709">
        <f>+U34</f>
        <v>0</v>
      </c>
      <c r="U39" s="710"/>
      <c r="V39" s="707">
        <f>+W34</f>
        <v>0</v>
      </c>
      <c r="W39" s="708"/>
      <c r="X39" s="709">
        <f>+Y34</f>
        <v>0</v>
      </c>
      <c r="Y39" s="718"/>
      <c r="Z39" s="709">
        <f>+AA34</f>
        <v>0</v>
      </c>
      <c r="AA39" s="718"/>
      <c r="AB39" s="729">
        <f>+AC34</f>
        <v>0</v>
      </c>
      <c r="AC39" s="727"/>
      <c r="AD39" s="706">
        <f>+AE34</f>
        <v>0</v>
      </c>
      <c r="AE39" s="705"/>
      <c r="AF39" s="715">
        <f>+AG34</f>
        <v>0</v>
      </c>
      <c r="AG39" s="715"/>
      <c r="AH39" s="716">
        <f>+AI34</f>
        <v>0</v>
      </c>
      <c r="AI39" s="716"/>
      <c r="AJ39" s="717">
        <f>+AK34</f>
        <v>0</v>
      </c>
      <c r="AK39" s="717"/>
      <c r="AL39" s="715">
        <f>+AM34</f>
        <v>0</v>
      </c>
      <c r="AM39" s="720"/>
      <c r="AN39" s="705">
        <f>+AO34</f>
        <v>0</v>
      </c>
      <c r="AO39" s="727"/>
      <c r="AP39" s="727">
        <f>+AQ34</f>
        <v>0</v>
      </c>
      <c r="AQ39" s="727"/>
      <c r="AR39" s="728">
        <f>+AS34</f>
        <v>0</v>
      </c>
      <c r="AS39" s="728"/>
      <c r="AT39" s="716">
        <f>+AU34</f>
        <v>0</v>
      </c>
      <c r="AU39" s="716"/>
      <c r="AV39" s="716">
        <f>+AW34</f>
        <v>0</v>
      </c>
      <c r="AW39" s="716"/>
      <c r="AX39" s="716">
        <f>+AY34</f>
        <v>0</v>
      </c>
      <c r="AY39" s="716"/>
      <c r="AZ39" s="715">
        <f>+BA34</f>
        <v>0</v>
      </c>
      <c r="BA39" s="715"/>
      <c r="BB39" s="715">
        <f>+BC34</f>
        <v>0</v>
      </c>
      <c r="BC39" s="726"/>
      <c r="BD39" s="704">
        <f>+BE34</f>
        <v>0</v>
      </c>
      <c r="BE39" s="705"/>
      <c r="BF39" s="706">
        <f>+BG34</f>
        <v>0</v>
      </c>
      <c r="BG39" s="705"/>
      <c r="BH39" s="715">
        <f>+BI34</f>
        <v>0</v>
      </c>
      <c r="BI39" s="715"/>
      <c r="BJ39" s="716">
        <f>+BK34</f>
        <v>0</v>
      </c>
      <c r="BK39" s="716"/>
      <c r="BL39" s="716">
        <f>+BM34</f>
        <v>0</v>
      </c>
      <c r="BM39" s="716"/>
      <c r="BN39" s="715">
        <f>+BO34</f>
        <v>0</v>
      </c>
      <c r="BO39" s="715"/>
      <c r="BP39" s="715">
        <f>+BQ34</f>
        <v>0</v>
      </c>
      <c r="BQ39" s="720"/>
      <c r="BR39" s="704">
        <f>+BS34</f>
        <v>0</v>
      </c>
      <c r="BS39" s="705"/>
      <c r="BT39" s="706">
        <f>+BU34</f>
        <v>0</v>
      </c>
      <c r="BU39" s="705"/>
      <c r="BV39" s="707">
        <f>+BW34</f>
        <v>0</v>
      </c>
      <c r="BW39" s="708"/>
      <c r="BX39" s="716">
        <f>+BY34</f>
        <v>0</v>
      </c>
      <c r="BY39" s="716"/>
      <c r="BZ39" s="716">
        <f>+CA34</f>
        <v>0</v>
      </c>
      <c r="CA39" s="716"/>
      <c r="CB39" s="716">
        <f>+CC34</f>
        <v>0</v>
      </c>
      <c r="CC39" s="716"/>
      <c r="CD39" s="707">
        <f>+CE34</f>
        <v>0</v>
      </c>
      <c r="CE39" s="708"/>
      <c r="CF39" s="707">
        <f>+CG34</f>
        <v>0</v>
      </c>
      <c r="CG39" s="719"/>
    </row>
    <row r="40" spans="1:91" ht="12.75" hidden="1" customHeight="1">
      <c r="A40" s="563" t="s">
        <v>422</v>
      </c>
      <c r="B40" s="721">
        <f>+C34</f>
        <v>0</v>
      </c>
      <c r="C40" s="722"/>
      <c r="D40" s="723">
        <f>+E34</f>
        <v>0</v>
      </c>
      <c r="E40" s="723"/>
      <c r="F40" s="724">
        <f>+G34</f>
        <v>0</v>
      </c>
      <c r="G40" s="725"/>
      <c r="H40" s="724">
        <f>+I34</f>
        <v>0</v>
      </c>
      <c r="I40" s="725"/>
      <c r="J40" s="724">
        <f>+K34</f>
        <v>0</v>
      </c>
      <c r="K40" s="725"/>
      <c r="L40" s="721">
        <f>+M34</f>
        <v>0</v>
      </c>
      <c r="M40" s="722"/>
      <c r="N40" s="723">
        <f>+O34</f>
        <v>0</v>
      </c>
      <c r="O40" s="723"/>
      <c r="P40" s="724">
        <f>+Q34</f>
        <v>0</v>
      </c>
      <c r="Q40" s="725"/>
      <c r="R40" s="724">
        <f>+S34</f>
        <v>0</v>
      </c>
      <c r="S40" s="725"/>
      <c r="T40" s="724">
        <f>+U34</f>
        <v>0</v>
      </c>
      <c r="U40" s="725"/>
      <c r="V40" s="724">
        <f>+W34</f>
        <v>0</v>
      </c>
      <c r="W40" s="725"/>
      <c r="X40" s="724">
        <f>+Y34</f>
        <v>0</v>
      </c>
      <c r="Y40" s="733"/>
      <c r="Z40" s="724">
        <f>+AA34</f>
        <v>0</v>
      </c>
      <c r="AA40" s="733"/>
      <c r="AB40" s="748">
        <f>+AC34</f>
        <v>0</v>
      </c>
      <c r="AC40" s="723"/>
      <c r="AD40" s="748">
        <f>+AE34</f>
        <v>0</v>
      </c>
      <c r="AE40" s="723"/>
      <c r="AF40" s="730">
        <f>+AG34</f>
        <v>0</v>
      </c>
      <c r="AG40" s="730"/>
      <c r="AH40" s="731">
        <f>+AI34</f>
        <v>0</v>
      </c>
      <c r="AI40" s="732"/>
      <c r="AJ40" s="731">
        <f>+AK34</f>
        <v>0</v>
      </c>
      <c r="AK40" s="732"/>
      <c r="AL40" s="730">
        <f>+AM34</f>
        <v>0</v>
      </c>
      <c r="AM40" s="735"/>
      <c r="AN40" s="736">
        <f>+AO34</f>
        <v>0</v>
      </c>
      <c r="AO40" s="723"/>
      <c r="AP40" s="723">
        <f>+AQ34</f>
        <v>0</v>
      </c>
      <c r="AQ40" s="723"/>
      <c r="AR40" s="747">
        <f>+AS34</f>
        <v>0</v>
      </c>
      <c r="AS40" s="747"/>
      <c r="AT40" s="731">
        <f>+AU34</f>
        <v>0</v>
      </c>
      <c r="AU40" s="732"/>
      <c r="AV40" s="731">
        <f>+AW34</f>
        <v>0</v>
      </c>
      <c r="AW40" s="732"/>
      <c r="AX40" s="731">
        <f>+AY34</f>
        <v>0</v>
      </c>
      <c r="AY40" s="732"/>
      <c r="AZ40" s="730">
        <f>+BA34</f>
        <v>0</v>
      </c>
      <c r="BA40" s="730"/>
      <c r="BB40" s="730">
        <f>+BC34</f>
        <v>0</v>
      </c>
      <c r="BC40" s="724"/>
      <c r="BD40" s="721">
        <f>+BE34</f>
        <v>0</v>
      </c>
      <c r="BE40" s="736"/>
      <c r="BF40" s="737">
        <f>+BG34</f>
        <v>0</v>
      </c>
      <c r="BG40" s="736"/>
      <c r="BH40" s="730">
        <f>+BI34</f>
        <v>0</v>
      </c>
      <c r="BI40" s="730"/>
      <c r="BJ40" s="730">
        <f>+BK34</f>
        <v>0</v>
      </c>
      <c r="BK40" s="730"/>
      <c r="BL40" s="730">
        <f>+BM34</f>
        <v>0</v>
      </c>
      <c r="BM40" s="730"/>
      <c r="BN40" s="730">
        <f>+BO34</f>
        <v>0</v>
      </c>
      <c r="BO40" s="730"/>
      <c r="BP40" s="730">
        <f>+BQ34</f>
        <v>0</v>
      </c>
      <c r="BQ40" s="735"/>
      <c r="BR40" s="721">
        <f>+BS34</f>
        <v>0</v>
      </c>
      <c r="BS40" s="736"/>
      <c r="BT40" s="737">
        <f>+BU34</f>
        <v>0</v>
      </c>
      <c r="BU40" s="736"/>
      <c r="BV40" s="724">
        <f>+BW34</f>
        <v>0</v>
      </c>
      <c r="BW40" s="725"/>
      <c r="BX40" s="724">
        <f>+BY34</f>
        <v>0</v>
      </c>
      <c r="BY40" s="725"/>
      <c r="BZ40" s="724">
        <f>+CA34</f>
        <v>0</v>
      </c>
      <c r="CA40" s="725"/>
      <c r="CB40" s="724">
        <f>+CC34</f>
        <v>0</v>
      </c>
      <c r="CC40" s="725"/>
      <c r="CD40" s="724">
        <f>+CE34</f>
        <v>0</v>
      </c>
      <c r="CE40" s="725"/>
      <c r="CF40" s="724">
        <f>+CG34</f>
        <v>0</v>
      </c>
      <c r="CG40" s="734"/>
    </row>
    <row r="41" spans="1:91" ht="12.75" hidden="1" customHeight="1">
      <c r="A41" s="564" t="s">
        <v>223</v>
      </c>
      <c r="B41" s="738">
        <f>+C34</f>
        <v>0</v>
      </c>
      <c r="C41" s="739"/>
      <c r="D41" s="740">
        <f>+E34</f>
        <v>0</v>
      </c>
      <c r="E41" s="739"/>
      <c r="F41" s="741">
        <f>+G34</f>
        <v>0</v>
      </c>
      <c r="G41" s="742"/>
      <c r="H41" s="743">
        <f>+I34</f>
        <v>0</v>
      </c>
      <c r="I41" s="744"/>
      <c r="J41" s="745">
        <f>+K34</f>
        <v>0</v>
      </c>
      <c r="K41" s="746"/>
      <c r="L41" s="738">
        <f>+M34</f>
        <v>0</v>
      </c>
      <c r="M41" s="739"/>
      <c r="N41" s="740">
        <f>+O34</f>
        <v>0</v>
      </c>
      <c r="O41" s="739"/>
      <c r="P41" s="745">
        <f>+Q34</f>
        <v>0</v>
      </c>
      <c r="Q41" s="752"/>
      <c r="R41" s="743">
        <f>+S34</f>
        <v>0</v>
      </c>
      <c r="S41" s="744"/>
      <c r="T41" s="743">
        <f>+U34</f>
        <v>0</v>
      </c>
      <c r="U41" s="744"/>
      <c r="V41" s="745">
        <f>+W34</f>
        <v>0</v>
      </c>
      <c r="W41" s="752"/>
      <c r="X41" s="745">
        <f>+Y34</f>
        <v>0</v>
      </c>
      <c r="Y41" s="753"/>
      <c r="Z41" s="745">
        <f>+AA34</f>
        <v>0</v>
      </c>
      <c r="AA41" s="753"/>
      <c r="AB41" s="767">
        <f>+AC34</f>
        <v>0</v>
      </c>
      <c r="AC41" s="765"/>
      <c r="AD41" s="765">
        <f>+AE34</f>
        <v>0</v>
      </c>
      <c r="AE41" s="765"/>
      <c r="AF41" s="749">
        <f>+AG34</f>
        <v>0</v>
      </c>
      <c r="AG41" s="749"/>
      <c r="AH41" s="750">
        <f>+AI34</f>
        <v>0</v>
      </c>
      <c r="AI41" s="750"/>
      <c r="AJ41" s="751">
        <f>+AK34</f>
        <v>0</v>
      </c>
      <c r="AK41" s="751"/>
      <c r="AL41" s="750">
        <f>+AM34</f>
        <v>0</v>
      </c>
      <c r="AM41" s="764"/>
      <c r="AN41" s="739">
        <f>+AO34</f>
        <v>0</v>
      </c>
      <c r="AO41" s="765"/>
      <c r="AP41" s="765">
        <f>+AQ34</f>
        <v>0</v>
      </c>
      <c r="AQ41" s="765"/>
      <c r="AR41" s="766">
        <f>+AS34</f>
        <v>0</v>
      </c>
      <c r="AS41" s="766"/>
      <c r="AT41" s="750">
        <f>+AU34</f>
        <v>0</v>
      </c>
      <c r="AU41" s="750"/>
      <c r="AV41" s="751">
        <f>+AW34</f>
        <v>0</v>
      </c>
      <c r="AW41" s="751"/>
      <c r="AX41" s="751">
        <f>+AY34</f>
        <v>0</v>
      </c>
      <c r="AY41" s="751"/>
      <c r="AZ41" s="750">
        <f>+BA34</f>
        <v>0</v>
      </c>
      <c r="BA41" s="750"/>
      <c r="BB41" s="750">
        <f>+BC34</f>
        <v>0</v>
      </c>
      <c r="BC41" s="745"/>
      <c r="BD41" s="738">
        <f>+BE34</f>
        <v>0</v>
      </c>
      <c r="BE41" s="739"/>
      <c r="BF41" s="762">
        <f>+BG34</f>
        <v>0</v>
      </c>
      <c r="BG41" s="763"/>
      <c r="BH41" s="741">
        <f>+BI34</f>
        <v>0</v>
      </c>
      <c r="BI41" s="742"/>
      <c r="BJ41" s="743">
        <f>+BK34</f>
        <v>0</v>
      </c>
      <c r="BK41" s="744"/>
      <c r="BL41" s="743">
        <f>+BM34</f>
        <v>0</v>
      </c>
      <c r="BM41" s="744"/>
      <c r="BN41" s="745">
        <f>+BO34</f>
        <v>0</v>
      </c>
      <c r="BO41" s="752"/>
      <c r="BP41" s="745">
        <f>+BQ34</f>
        <v>0</v>
      </c>
      <c r="BQ41" s="746"/>
      <c r="BR41" s="738">
        <f>+BS34</f>
        <v>0</v>
      </c>
      <c r="BS41" s="739"/>
      <c r="BT41" s="740">
        <f>+BU34</f>
        <v>0</v>
      </c>
      <c r="BU41" s="739"/>
      <c r="BV41" s="741">
        <f>+BW34</f>
        <v>0</v>
      </c>
      <c r="BW41" s="742"/>
      <c r="BX41" s="745">
        <f>+BY34</f>
        <v>0</v>
      </c>
      <c r="BY41" s="752"/>
      <c r="BZ41" s="743">
        <f>+CA34</f>
        <v>0</v>
      </c>
      <c r="CA41" s="744"/>
      <c r="CB41" s="743">
        <f>+CC34</f>
        <v>0</v>
      </c>
      <c r="CC41" s="744"/>
      <c r="CD41" s="745">
        <f>+CE34</f>
        <v>0</v>
      </c>
      <c r="CE41" s="752"/>
      <c r="CF41" s="745">
        <f>+CG34</f>
        <v>0</v>
      </c>
      <c r="CG41" s="746"/>
    </row>
    <row r="42" spans="1:91" ht="12.75" hidden="1" customHeight="1">
      <c r="A42" s="565" t="s">
        <v>224</v>
      </c>
      <c r="B42" s="754">
        <f>+C34</f>
        <v>0</v>
      </c>
      <c r="C42" s="755"/>
      <c r="D42" s="756">
        <f>+E34</f>
        <v>0</v>
      </c>
      <c r="E42" s="755"/>
      <c r="F42" s="757">
        <f>+G34</f>
        <v>0</v>
      </c>
      <c r="G42" s="758"/>
      <c r="H42" s="759">
        <f>+I34</f>
        <v>0</v>
      </c>
      <c r="I42" s="760"/>
      <c r="J42" s="757">
        <f>+K34</f>
        <v>0</v>
      </c>
      <c r="K42" s="761"/>
      <c r="L42" s="754">
        <f>+M34</f>
        <v>0</v>
      </c>
      <c r="M42" s="755"/>
      <c r="N42" s="756">
        <f>+O34</f>
        <v>0</v>
      </c>
      <c r="O42" s="755"/>
      <c r="P42" s="757">
        <f>+Q34</f>
        <v>0</v>
      </c>
      <c r="Q42" s="758"/>
      <c r="R42" s="759">
        <f>+S34</f>
        <v>0</v>
      </c>
      <c r="S42" s="760"/>
      <c r="T42" s="759">
        <f>+U34</f>
        <v>0</v>
      </c>
      <c r="U42" s="760"/>
      <c r="V42" s="757">
        <f>+W34</f>
        <v>0</v>
      </c>
      <c r="W42" s="758"/>
      <c r="X42" s="757">
        <f>+Y34</f>
        <v>0</v>
      </c>
      <c r="Y42" s="770"/>
      <c r="Z42" s="757">
        <f>+AA34</f>
        <v>0</v>
      </c>
      <c r="AA42" s="770"/>
      <c r="AB42" s="782">
        <f>+AC34</f>
        <v>0</v>
      </c>
      <c r="AC42" s="780"/>
      <c r="AD42" s="780">
        <f>+AE34</f>
        <v>0</v>
      </c>
      <c r="AE42" s="780"/>
      <c r="AF42" s="768">
        <f>+AG34</f>
        <v>0</v>
      </c>
      <c r="AG42" s="768"/>
      <c r="AH42" s="768">
        <f>+AI34</f>
        <v>0</v>
      </c>
      <c r="AI42" s="768"/>
      <c r="AJ42" s="769">
        <f>+AK34</f>
        <v>0</v>
      </c>
      <c r="AK42" s="769"/>
      <c r="AL42" s="768">
        <f>+AM34</f>
        <v>0</v>
      </c>
      <c r="AM42" s="779"/>
      <c r="AN42" s="755">
        <f>+AO34</f>
        <v>0</v>
      </c>
      <c r="AO42" s="780"/>
      <c r="AP42" s="780">
        <f>+AQ34</f>
        <v>0</v>
      </c>
      <c r="AQ42" s="780"/>
      <c r="AR42" s="781">
        <f>+AS34</f>
        <v>0</v>
      </c>
      <c r="AS42" s="781"/>
      <c r="AT42" s="768">
        <f>+AU34</f>
        <v>0</v>
      </c>
      <c r="AU42" s="768"/>
      <c r="AV42" s="769">
        <f>+AW34</f>
        <v>0</v>
      </c>
      <c r="AW42" s="769"/>
      <c r="AX42" s="769">
        <f>+AY34</f>
        <v>0</v>
      </c>
      <c r="AY42" s="769"/>
      <c r="AZ42" s="768">
        <f>+BA34</f>
        <v>0</v>
      </c>
      <c r="BA42" s="768"/>
      <c r="BB42" s="768">
        <f>+BC34</f>
        <v>0</v>
      </c>
      <c r="BC42" s="757"/>
      <c r="BD42" s="754">
        <f>+BE34</f>
        <v>0</v>
      </c>
      <c r="BE42" s="755"/>
      <c r="BF42" s="756">
        <f>+BG34</f>
        <v>0</v>
      </c>
      <c r="BG42" s="755"/>
      <c r="BH42" s="757">
        <f>+BI34</f>
        <v>0</v>
      </c>
      <c r="BI42" s="758"/>
      <c r="BJ42" s="759">
        <f>+BK34</f>
        <v>0</v>
      </c>
      <c r="BK42" s="760"/>
      <c r="BL42" s="759">
        <f>+BM34</f>
        <v>0</v>
      </c>
      <c r="BM42" s="760"/>
      <c r="BN42" s="757">
        <f>+BO34</f>
        <v>0</v>
      </c>
      <c r="BO42" s="758"/>
      <c r="BP42" s="757">
        <f>+BQ34</f>
        <v>0</v>
      </c>
      <c r="BQ42" s="761"/>
      <c r="BR42" s="754">
        <f>+BS34</f>
        <v>0</v>
      </c>
      <c r="BS42" s="755"/>
      <c r="BT42" s="756">
        <f>+BU34</f>
        <v>0</v>
      </c>
      <c r="BU42" s="755"/>
      <c r="BV42" s="757">
        <f>+BW34</f>
        <v>0</v>
      </c>
      <c r="BW42" s="758"/>
      <c r="BX42" s="757">
        <f>+BY34</f>
        <v>0</v>
      </c>
      <c r="BY42" s="758"/>
      <c r="BZ42" s="759">
        <f>+CA34</f>
        <v>0</v>
      </c>
      <c r="CA42" s="760"/>
      <c r="CB42" s="759">
        <f>+CC34</f>
        <v>0</v>
      </c>
      <c r="CC42" s="760"/>
      <c r="CD42" s="757">
        <f>+CE34</f>
        <v>0</v>
      </c>
      <c r="CE42" s="758"/>
      <c r="CF42" s="757">
        <f>+CG34</f>
        <v>0</v>
      </c>
      <c r="CG42" s="761"/>
    </row>
    <row r="43" spans="1:91" ht="12.75" hidden="1" customHeight="1">
      <c r="A43" s="566" t="s">
        <v>225</v>
      </c>
      <c r="B43" s="771">
        <f>+C34</f>
        <v>0</v>
      </c>
      <c r="C43" s="772"/>
      <c r="D43" s="773">
        <f>+E34</f>
        <v>0</v>
      </c>
      <c r="E43" s="772"/>
      <c r="F43" s="774">
        <f>+G34</f>
        <v>0</v>
      </c>
      <c r="G43" s="775"/>
      <c r="H43" s="776">
        <f>+I34</f>
        <v>0</v>
      </c>
      <c r="I43" s="777"/>
      <c r="J43" s="774">
        <f>+K34</f>
        <v>0</v>
      </c>
      <c r="K43" s="778"/>
      <c r="L43" s="771">
        <f>+M34</f>
        <v>0</v>
      </c>
      <c r="M43" s="772"/>
      <c r="N43" s="773">
        <f>+O34</f>
        <v>0</v>
      </c>
      <c r="O43" s="772"/>
      <c r="P43" s="774">
        <f>+Q34</f>
        <v>0</v>
      </c>
      <c r="Q43" s="775"/>
      <c r="R43" s="776">
        <f>+S34</f>
        <v>0</v>
      </c>
      <c r="S43" s="777"/>
      <c r="T43" s="776">
        <f>+U34</f>
        <v>0</v>
      </c>
      <c r="U43" s="777"/>
      <c r="V43" s="774">
        <f>+W34</f>
        <v>0</v>
      </c>
      <c r="W43" s="775"/>
      <c r="X43" s="774">
        <f>+Y34</f>
        <v>0</v>
      </c>
      <c r="Y43" s="783"/>
      <c r="Z43" s="774">
        <f>+AA34</f>
        <v>0</v>
      </c>
      <c r="AA43" s="783"/>
      <c r="AB43" s="784">
        <f>+AC34</f>
        <v>0</v>
      </c>
      <c r="AC43" s="785"/>
      <c r="AD43" s="785">
        <f>+AE34</f>
        <v>0</v>
      </c>
      <c r="AE43" s="785"/>
      <c r="AF43" s="786">
        <f>+AG34</f>
        <v>0</v>
      </c>
      <c r="AG43" s="786"/>
      <c r="AH43" s="786">
        <f>+AI34</f>
        <v>0</v>
      </c>
      <c r="AI43" s="786"/>
      <c r="AJ43" s="787">
        <f>+AK34</f>
        <v>0</v>
      </c>
      <c r="AK43" s="787"/>
      <c r="AL43" s="786">
        <f>+AM34</f>
        <v>0</v>
      </c>
      <c r="AM43" s="788"/>
      <c r="AN43" s="772">
        <f>+AO34</f>
        <v>0</v>
      </c>
      <c r="AO43" s="785"/>
      <c r="AP43" s="785">
        <f>+AQ34</f>
        <v>0</v>
      </c>
      <c r="AQ43" s="785"/>
      <c r="AR43" s="789">
        <f>+AS34</f>
        <v>0</v>
      </c>
      <c r="AS43" s="789"/>
      <c r="AT43" s="786">
        <f>+AU34</f>
        <v>0</v>
      </c>
      <c r="AU43" s="786"/>
      <c r="AV43" s="787">
        <f>+AW34</f>
        <v>0</v>
      </c>
      <c r="AW43" s="787"/>
      <c r="AX43" s="787">
        <f>+AY34</f>
        <v>0</v>
      </c>
      <c r="AY43" s="787"/>
      <c r="AZ43" s="786">
        <f>+BA34</f>
        <v>0</v>
      </c>
      <c r="BA43" s="786"/>
      <c r="BB43" s="786">
        <f>+BC34</f>
        <v>0</v>
      </c>
      <c r="BC43" s="774"/>
      <c r="BD43" s="771">
        <f>+BE34</f>
        <v>0</v>
      </c>
      <c r="BE43" s="772"/>
      <c r="BF43" s="773">
        <f>+BG34</f>
        <v>0</v>
      </c>
      <c r="BG43" s="772"/>
      <c r="BH43" s="774">
        <f>+BI34</f>
        <v>0</v>
      </c>
      <c r="BI43" s="775"/>
      <c r="BJ43" s="776">
        <f>+BK34</f>
        <v>0</v>
      </c>
      <c r="BK43" s="777"/>
      <c r="BL43" s="776">
        <f>+BM34</f>
        <v>0</v>
      </c>
      <c r="BM43" s="777"/>
      <c r="BN43" s="774">
        <f>+BO34</f>
        <v>0</v>
      </c>
      <c r="BO43" s="775"/>
      <c r="BP43" s="774">
        <f>+BQ34</f>
        <v>0</v>
      </c>
      <c r="BQ43" s="778"/>
      <c r="BR43" s="771">
        <f>+BS34</f>
        <v>0</v>
      </c>
      <c r="BS43" s="772"/>
      <c r="BT43" s="773">
        <f>+BU34</f>
        <v>0</v>
      </c>
      <c r="BU43" s="772"/>
      <c r="BV43" s="774">
        <f>+BW34</f>
        <v>0</v>
      </c>
      <c r="BW43" s="775"/>
      <c r="BX43" s="774">
        <f>+BY34</f>
        <v>0</v>
      </c>
      <c r="BY43" s="775"/>
      <c r="BZ43" s="776">
        <f>+CA34</f>
        <v>0</v>
      </c>
      <c r="CA43" s="777"/>
      <c r="CB43" s="776">
        <f>+CC34</f>
        <v>0</v>
      </c>
      <c r="CC43" s="777"/>
      <c r="CD43" s="774">
        <f>+CE34</f>
        <v>0</v>
      </c>
      <c r="CE43" s="775"/>
      <c r="CF43" s="774">
        <f>+CG34</f>
        <v>0</v>
      </c>
      <c r="CG43" s="778"/>
    </row>
    <row r="44" spans="1:91" s="613" customFormat="1">
      <c r="A44" s="612" t="s">
        <v>226</v>
      </c>
      <c r="B44" s="793">
        <f>+C33</f>
        <v>0.92966257426941035</v>
      </c>
      <c r="C44" s="794"/>
      <c r="D44" s="795">
        <f>+E33</f>
        <v>0.94590325427289101</v>
      </c>
      <c r="E44" s="794"/>
      <c r="F44" s="796">
        <f>+G33</f>
        <v>1962.1950000000002</v>
      </c>
      <c r="G44" s="797"/>
      <c r="H44" s="790">
        <f>+I33</f>
        <v>2.1122171853460028</v>
      </c>
      <c r="I44" s="791"/>
      <c r="J44" s="796">
        <f>+K33</f>
        <v>839.39766435038382</v>
      </c>
      <c r="K44" s="798"/>
      <c r="L44" s="793">
        <f>+M33</f>
        <v>0.81724777582026975</v>
      </c>
      <c r="M44" s="794"/>
      <c r="N44" s="795">
        <f>+O33</f>
        <v>0.86899714082165391</v>
      </c>
      <c r="O44" s="794"/>
      <c r="P44" s="796">
        <f>+Q33</f>
        <v>1636.6459999999997</v>
      </c>
      <c r="Q44" s="797"/>
      <c r="R44" s="790">
        <f>+S33</f>
        <v>2.33331642884289</v>
      </c>
      <c r="S44" s="791"/>
      <c r="T44" s="790">
        <f>+U33</f>
        <v>0</v>
      </c>
      <c r="U44" s="791"/>
      <c r="V44" s="790">
        <f>+W33</f>
        <v>611.96212864602285</v>
      </c>
      <c r="W44" s="791"/>
      <c r="X44" s="790">
        <f>+Y33</f>
        <v>408.4554631850749</v>
      </c>
      <c r="Y44" s="792"/>
      <c r="Z44" s="790">
        <f>+AA33</f>
        <v>21.245357884356164</v>
      </c>
      <c r="AA44" s="792"/>
      <c r="AB44" s="805">
        <f>+AC33</f>
        <v>0.82499207068408442</v>
      </c>
      <c r="AC44" s="803"/>
      <c r="AD44" s="803">
        <f>+AE33</f>
        <v>0.83815581751591972</v>
      </c>
      <c r="AE44" s="803"/>
      <c r="AF44" s="801">
        <f>+AG33</f>
        <v>1129.4960000000003</v>
      </c>
      <c r="AG44" s="801"/>
      <c r="AH44" s="800">
        <f>+AI33</f>
        <v>138.23393042988027</v>
      </c>
      <c r="AI44" s="800"/>
      <c r="AJ44" s="800">
        <f>+AK33</f>
        <v>1.4303724847188473</v>
      </c>
      <c r="AK44" s="800"/>
      <c r="AL44" s="800">
        <f>+AM33</f>
        <v>942.80208163641225</v>
      </c>
      <c r="AM44" s="800"/>
      <c r="AN44" s="800">
        <f>+AO33</f>
        <v>0</v>
      </c>
      <c r="AO44" s="802"/>
      <c r="AP44" s="794">
        <f>+AQ33</f>
        <v>0.80293641826956408</v>
      </c>
      <c r="AQ44" s="803"/>
      <c r="AR44" s="803">
        <f>+AS33</f>
        <v>0.82944582493292418</v>
      </c>
      <c r="AS44" s="803"/>
      <c r="AT44" s="804">
        <f>+AU33</f>
        <v>1322.7319999999997</v>
      </c>
      <c r="AU44" s="804"/>
      <c r="AV44" s="800">
        <f>+AW33</f>
        <v>113.37458391739639</v>
      </c>
      <c r="AW44" s="800"/>
      <c r="AX44" s="800">
        <f>+AY33</f>
        <v>1.4876785320079959</v>
      </c>
      <c r="AY44" s="800"/>
      <c r="AZ44" s="800">
        <f>+BA33</f>
        <v>0</v>
      </c>
      <c r="BA44" s="800"/>
      <c r="BB44" s="801">
        <f>+BC33</f>
        <v>910.90347855801463</v>
      </c>
      <c r="BC44" s="801"/>
      <c r="BD44" s="800">
        <f>+BE33</f>
        <v>463.11396034873349</v>
      </c>
      <c r="BE44" s="790"/>
      <c r="BF44" s="800">
        <f>+BG33</f>
        <v>0</v>
      </c>
      <c r="BG44" s="790"/>
      <c r="BH44" s="793">
        <f>+BI33</f>
        <v>0.87269494091770761</v>
      </c>
      <c r="BI44" s="794"/>
      <c r="BJ44" s="795">
        <f>+BK33</f>
        <v>0.89029162951574892</v>
      </c>
      <c r="BK44" s="794"/>
      <c r="BL44" s="796">
        <f>+BM33</f>
        <v>1378.1910000000005</v>
      </c>
      <c r="BM44" s="797"/>
      <c r="BN44" s="790">
        <f>+BO33</f>
        <v>2.5767110654473862</v>
      </c>
      <c r="BO44" s="791"/>
      <c r="BP44" s="790">
        <f>+BQ33</f>
        <v>0</v>
      </c>
      <c r="BQ44" s="791"/>
      <c r="BR44" s="796">
        <f>+BS33</f>
        <v>987.12046965168679</v>
      </c>
      <c r="BS44" s="797"/>
      <c r="BT44" s="790">
        <f>+BU33</f>
        <v>0</v>
      </c>
      <c r="BU44" s="799"/>
      <c r="BV44" s="793">
        <f>+BW33</f>
        <v>0.87054860765188713</v>
      </c>
      <c r="BW44" s="794"/>
      <c r="BX44" s="795">
        <f>+BY33</f>
        <v>0.90957804570983836</v>
      </c>
      <c r="BY44" s="794"/>
      <c r="BZ44" s="796">
        <f>+CA33</f>
        <v>1416.6970000000001</v>
      </c>
      <c r="CA44" s="797"/>
      <c r="CB44" s="790">
        <f>+CC33</f>
        <v>72.058554779848066</v>
      </c>
      <c r="CC44" s="791"/>
      <c r="CD44" s="790">
        <f>+CE33</f>
        <v>1.9541934513872756</v>
      </c>
      <c r="CE44" s="791"/>
      <c r="CF44" s="790">
        <f>+CG33</f>
        <v>0</v>
      </c>
      <c r="CG44" s="791"/>
      <c r="CH44" s="796">
        <f>+CI33</f>
        <v>792.15399985044087</v>
      </c>
      <c r="CI44" s="797"/>
      <c r="CJ44" s="790">
        <f>+CK33</f>
        <v>345.02589121032952</v>
      </c>
      <c r="CK44" s="791"/>
      <c r="CL44" s="792">
        <f>+CM33</f>
        <v>0</v>
      </c>
      <c r="CM44" s="799"/>
    </row>
    <row r="45" spans="1:91" s="602" customFormat="1" ht="12.75" hidden="1" customHeight="1" thickBot="1">
      <c r="A45" s="595"/>
      <c r="B45" s="596"/>
      <c r="C45" s="597"/>
      <c r="D45" s="597"/>
      <c r="E45" s="597"/>
      <c r="F45" s="598"/>
      <c r="G45" s="598"/>
      <c r="H45" s="599"/>
      <c r="I45" s="599"/>
      <c r="J45" s="598"/>
      <c r="K45" s="600"/>
      <c r="L45" s="596"/>
      <c r="M45" s="597"/>
      <c r="N45" s="597"/>
      <c r="O45" s="597"/>
      <c r="P45" s="598"/>
      <c r="Q45" s="598"/>
      <c r="R45" s="599"/>
      <c r="S45" s="599"/>
      <c r="T45" s="599"/>
      <c r="U45" s="599"/>
      <c r="V45" s="599"/>
      <c r="W45" s="599"/>
      <c r="X45" s="599"/>
      <c r="Y45" s="599"/>
      <c r="Z45" s="599"/>
      <c r="AA45" s="599"/>
      <c r="AB45" s="596"/>
      <c r="AC45" s="597"/>
      <c r="AD45" s="597"/>
      <c r="AE45" s="597"/>
      <c r="AF45" s="598"/>
      <c r="AG45" s="598"/>
      <c r="AH45" s="598"/>
      <c r="AI45" s="598"/>
      <c r="AJ45" s="599"/>
      <c r="AK45" s="599"/>
      <c r="AL45" s="598"/>
      <c r="AM45" s="598"/>
      <c r="AN45" s="597"/>
      <c r="AO45" s="597"/>
      <c r="AP45" s="597"/>
      <c r="AQ45" s="597"/>
      <c r="AR45" s="601"/>
      <c r="AS45" s="601"/>
      <c r="AT45" s="598"/>
      <c r="AU45" s="598"/>
      <c r="AV45" s="599"/>
      <c r="AW45" s="599"/>
      <c r="AX45" s="598"/>
      <c r="AY45" s="598"/>
      <c r="AZ45" s="598"/>
      <c r="BA45" s="598"/>
      <c r="BB45" s="598"/>
      <c r="BC45" s="598"/>
      <c r="BD45" s="597"/>
      <c r="BE45" s="597"/>
      <c r="BF45" s="597"/>
      <c r="BG45" s="597"/>
      <c r="BH45" s="598"/>
      <c r="BI45" s="598"/>
      <c r="BJ45" s="599"/>
      <c r="BK45" s="599"/>
      <c r="BL45" s="599"/>
      <c r="BM45" s="599"/>
      <c r="BN45" s="598"/>
      <c r="BO45" s="598"/>
      <c r="BP45" s="598"/>
      <c r="BQ45" s="598"/>
      <c r="BR45" s="597"/>
      <c r="BS45" s="597"/>
      <c r="BT45" s="597"/>
      <c r="BU45" s="597"/>
      <c r="BV45" s="598"/>
      <c r="BW45" s="598"/>
      <c r="BX45" s="599"/>
      <c r="BY45" s="599"/>
      <c r="BZ45" s="599"/>
      <c r="CA45" s="599"/>
      <c r="CB45" s="599"/>
      <c r="CC45" s="599"/>
      <c r="CD45" s="598"/>
      <c r="CE45" s="598"/>
      <c r="CF45" s="598"/>
      <c r="CG45" s="598"/>
    </row>
    <row r="46" spans="1:91" ht="13.5" hidden="1" thickBot="1">
      <c r="A46" s="629" t="s">
        <v>29</v>
      </c>
      <c r="B46" s="632" t="s">
        <v>149</v>
      </c>
      <c r="C46" s="633"/>
      <c r="D46" s="633"/>
      <c r="E46" s="633"/>
      <c r="F46" s="633"/>
      <c r="G46" s="633"/>
      <c r="H46" s="633"/>
      <c r="I46" s="633"/>
      <c r="J46" s="633"/>
      <c r="K46" s="634"/>
      <c r="L46" s="635" t="s">
        <v>212</v>
      </c>
      <c r="M46" s="636"/>
      <c r="N46" s="636"/>
      <c r="O46" s="636"/>
      <c r="P46" s="636"/>
      <c r="Q46" s="636"/>
      <c r="R46" s="636"/>
      <c r="S46" s="636"/>
      <c r="T46" s="636"/>
      <c r="U46" s="636"/>
      <c r="V46" s="636"/>
      <c r="W46" s="636"/>
      <c r="X46" s="636"/>
      <c r="Y46" s="636"/>
      <c r="Z46" s="636"/>
      <c r="AA46" s="637"/>
      <c r="AB46" s="638" t="s">
        <v>314</v>
      </c>
      <c r="AC46" s="639"/>
      <c r="AD46" s="639"/>
      <c r="AE46" s="639"/>
      <c r="AF46" s="639"/>
      <c r="AG46" s="639"/>
      <c r="AH46" s="639"/>
      <c r="AI46" s="639"/>
      <c r="AJ46" s="639"/>
      <c r="AK46" s="639"/>
      <c r="AL46" s="639"/>
      <c r="AM46" s="639"/>
      <c r="AN46" s="639"/>
      <c r="AO46" s="640"/>
      <c r="AP46" s="641" t="s">
        <v>315</v>
      </c>
      <c r="AQ46" s="642"/>
      <c r="AR46" s="642"/>
      <c r="AS46" s="642"/>
      <c r="AT46" s="642"/>
      <c r="AU46" s="642"/>
      <c r="AV46" s="642"/>
      <c r="AW46" s="642"/>
      <c r="AX46" s="642"/>
      <c r="AY46" s="642"/>
      <c r="AZ46" s="642"/>
      <c r="BA46" s="642"/>
      <c r="BB46" s="642"/>
      <c r="BC46" s="642"/>
      <c r="BD46" s="642"/>
      <c r="BE46" s="642"/>
      <c r="BF46" s="642"/>
      <c r="BG46" s="643"/>
      <c r="BH46" s="644" t="s">
        <v>213</v>
      </c>
      <c r="BI46" s="645"/>
      <c r="BJ46" s="645"/>
      <c r="BK46" s="645"/>
      <c r="BL46" s="645"/>
      <c r="BM46" s="645"/>
      <c r="BN46" s="645"/>
      <c r="BO46" s="645"/>
      <c r="BP46" s="645"/>
      <c r="BQ46" s="645"/>
      <c r="BR46" s="645"/>
      <c r="BS46" s="645"/>
      <c r="BT46" s="645"/>
      <c r="BU46" s="646"/>
      <c r="BV46" s="651" t="s">
        <v>316</v>
      </c>
      <c r="BW46" s="652"/>
      <c r="BX46" s="652"/>
      <c r="BY46" s="652"/>
      <c r="BZ46" s="652"/>
      <c r="CA46" s="652"/>
      <c r="CB46" s="652"/>
      <c r="CC46" s="652"/>
      <c r="CD46" s="652"/>
      <c r="CE46" s="652"/>
      <c r="CF46" s="652"/>
      <c r="CG46" s="652"/>
      <c r="CH46" s="652"/>
      <c r="CI46" s="652"/>
      <c r="CJ46" s="652"/>
      <c r="CK46" s="652"/>
      <c r="CL46" s="652"/>
      <c r="CM46" s="652"/>
    </row>
    <row r="47" spans="1:91" hidden="1">
      <c r="A47" s="630"/>
      <c r="B47" s="653" t="s">
        <v>404</v>
      </c>
      <c r="C47" s="648"/>
      <c r="D47" s="647" t="s">
        <v>405</v>
      </c>
      <c r="E47" s="648"/>
      <c r="F47" s="647" t="s">
        <v>214</v>
      </c>
      <c r="G47" s="648"/>
      <c r="H47" s="647" t="s">
        <v>215</v>
      </c>
      <c r="I47" s="648"/>
      <c r="J47" s="647" t="s">
        <v>216</v>
      </c>
      <c r="K47" s="650"/>
      <c r="L47" s="653" t="s">
        <v>404</v>
      </c>
      <c r="M47" s="648"/>
      <c r="N47" s="647" t="s">
        <v>405</v>
      </c>
      <c r="O47" s="648"/>
      <c r="P47" s="647" t="s">
        <v>214</v>
      </c>
      <c r="Q47" s="648"/>
      <c r="R47" s="647" t="s">
        <v>317</v>
      </c>
      <c r="S47" s="648"/>
      <c r="T47" s="647" t="s">
        <v>318</v>
      </c>
      <c r="U47" s="648"/>
      <c r="V47" s="647" t="s">
        <v>216</v>
      </c>
      <c r="W47" s="648"/>
      <c r="X47" s="647" t="s">
        <v>319</v>
      </c>
      <c r="Y47" s="650"/>
      <c r="Z47" s="649" t="s">
        <v>430</v>
      </c>
      <c r="AA47" s="650"/>
      <c r="AB47" s="653" t="s">
        <v>404</v>
      </c>
      <c r="AC47" s="648"/>
      <c r="AD47" s="647" t="s">
        <v>405</v>
      </c>
      <c r="AE47" s="648"/>
      <c r="AF47" s="647" t="s">
        <v>214</v>
      </c>
      <c r="AG47" s="648"/>
      <c r="AH47" s="647" t="s">
        <v>320</v>
      </c>
      <c r="AI47" s="648"/>
      <c r="AJ47" s="647" t="s">
        <v>217</v>
      </c>
      <c r="AK47" s="648"/>
      <c r="AL47" s="647" t="s">
        <v>218</v>
      </c>
      <c r="AM47" s="648"/>
      <c r="AN47" s="654" t="s">
        <v>428</v>
      </c>
      <c r="AO47" s="654"/>
      <c r="AP47" s="653" t="s">
        <v>404</v>
      </c>
      <c r="AQ47" s="648"/>
      <c r="AR47" s="647" t="s">
        <v>405</v>
      </c>
      <c r="AS47" s="648"/>
      <c r="AT47" s="647" t="s">
        <v>214</v>
      </c>
      <c r="AU47" s="648"/>
      <c r="AV47" s="647" t="s">
        <v>320</v>
      </c>
      <c r="AW47" s="648"/>
      <c r="AX47" s="647" t="s">
        <v>217</v>
      </c>
      <c r="AY47" s="648"/>
      <c r="AZ47" s="647" t="s">
        <v>321</v>
      </c>
      <c r="BA47" s="648"/>
      <c r="BB47" s="647" t="s">
        <v>218</v>
      </c>
      <c r="BC47" s="648"/>
      <c r="BD47" s="647" t="s">
        <v>322</v>
      </c>
      <c r="BE47" s="648"/>
      <c r="BF47" s="648" t="s">
        <v>428</v>
      </c>
      <c r="BG47" s="655"/>
      <c r="BH47" s="653" t="s">
        <v>404</v>
      </c>
      <c r="BI47" s="648"/>
      <c r="BJ47" s="647" t="s">
        <v>405</v>
      </c>
      <c r="BK47" s="648"/>
      <c r="BL47" s="647" t="s">
        <v>214</v>
      </c>
      <c r="BM47" s="648"/>
      <c r="BN47" s="647" t="s">
        <v>217</v>
      </c>
      <c r="BO47" s="648"/>
      <c r="BP47" s="647" t="s">
        <v>318</v>
      </c>
      <c r="BQ47" s="648"/>
      <c r="BR47" s="647" t="s">
        <v>218</v>
      </c>
      <c r="BS47" s="648"/>
      <c r="BT47" s="647" t="s">
        <v>430</v>
      </c>
      <c r="BU47" s="650"/>
      <c r="BV47" s="653" t="s">
        <v>404</v>
      </c>
      <c r="BW47" s="648"/>
      <c r="BX47" s="647" t="s">
        <v>405</v>
      </c>
      <c r="BY47" s="648"/>
      <c r="BZ47" s="647" t="s">
        <v>214</v>
      </c>
      <c r="CA47" s="648"/>
      <c r="CB47" s="647" t="s">
        <v>320</v>
      </c>
      <c r="CC47" s="648"/>
      <c r="CD47" s="647" t="s">
        <v>217</v>
      </c>
      <c r="CE47" s="648"/>
      <c r="CF47" s="647" t="s">
        <v>321</v>
      </c>
      <c r="CG47" s="648"/>
      <c r="CH47" s="647" t="s">
        <v>218</v>
      </c>
      <c r="CI47" s="648"/>
      <c r="CJ47" s="666" t="s">
        <v>322</v>
      </c>
      <c r="CK47" s="666"/>
      <c r="CL47" s="666" t="s">
        <v>431</v>
      </c>
      <c r="CM47" s="655"/>
    </row>
    <row r="48" spans="1:91" ht="13.5" hidden="1" thickBot="1">
      <c r="A48" s="631"/>
      <c r="B48" s="508" t="s">
        <v>219</v>
      </c>
      <c r="C48" s="509" t="s">
        <v>220</v>
      </c>
      <c r="D48" s="509" t="s">
        <v>219</v>
      </c>
      <c r="E48" s="509" t="s">
        <v>220</v>
      </c>
      <c r="F48" s="509" t="s">
        <v>219</v>
      </c>
      <c r="G48" s="509" t="s">
        <v>220</v>
      </c>
      <c r="H48" s="509" t="s">
        <v>219</v>
      </c>
      <c r="I48" s="509" t="s">
        <v>220</v>
      </c>
      <c r="J48" s="509" t="s">
        <v>219</v>
      </c>
      <c r="K48" s="510" t="s">
        <v>220</v>
      </c>
      <c r="L48" s="508" t="s">
        <v>219</v>
      </c>
      <c r="M48" s="509" t="s">
        <v>220</v>
      </c>
      <c r="N48" s="509" t="s">
        <v>219</v>
      </c>
      <c r="O48" s="509" t="s">
        <v>220</v>
      </c>
      <c r="P48" s="583" t="s">
        <v>219</v>
      </c>
      <c r="Q48" s="583" t="s">
        <v>220</v>
      </c>
      <c r="R48" s="583" t="s">
        <v>219</v>
      </c>
      <c r="S48" s="583" t="s">
        <v>220</v>
      </c>
      <c r="T48" s="583" t="s">
        <v>219</v>
      </c>
      <c r="U48" s="583" t="s">
        <v>220</v>
      </c>
      <c r="V48" s="583" t="s">
        <v>219</v>
      </c>
      <c r="W48" s="583" t="s">
        <v>220</v>
      </c>
      <c r="X48" s="583" t="s">
        <v>219</v>
      </c>
      <c r="Y48" s="584" t="s">
        <v>220</v>
      </c>
      <c r="Z48" s="592" t="s">
        <v>219</v>
      </c>
      <c r="AA48" s="584" t="s">
        <v>220</v>
      </c>
      <c r="AB48" s="581" t="s">
        <v>219</v>
      </c>
      <c r="AC48" s="583" t="s">
        <v>220</v>
      </c>
      <c r="AD48" s="583" t="s">
        <v>219</v>
      </c>
      <c r="AE48" s="583" t="s">
        <v>220</v>
      </c>
      <c r="AF48" s="583" t="s">
        <v>219</v>
      </c>
      <c r="AG48" s="583" t="s">
        <v>220</v>
      </c>
      <c r="AH48" s="583" t="s">
        <v>219</v>
      </c>
      <c r="AI48" s="583" t="s">
        <v>220</v>
      </c>
      <c r="AJ48" s="583" t="s">
        <v>219</v>
      </c>
      <c r="AK48" s="583" t="s">
        <v>220</v>
      </c>
      <c r="AL48" s="509" t="s">
        <v>219</v>
      </c>
      <c r="AM48" s="509" t="s">
        <v>220</v>
      </c>
      <c r="AN48" s="592" t="s">
        <v>219</v>
      </c>
      <c r="AO48" s="585" t="s">
        <v>220</v>
      </c>
      <c r="AP48" s="581" t="s">
        <v>219</v>
      </c>
      <c r="AQ48" s="583" t="s">
        <v>220</v>
      </c>
      <c r="AR48" s="583" t="s">
        <v>219</v>
      </c>
      <c r="AS48" s="583" t="s">
        <v>220</v>
      </c>
      <c r="AT48" s="583" t="s">
        <v>219</v>
      </c>
      <c r="AU48" s="583" t="s">
        <v>220</v>
      </c>
      <c r="AV48" s="583" t="s">
        <v>219</v>
      </c>
      <c r="AW48" s="583" t="s">
        <v>220</v>
      </c>
      <c r="AX48" s="583" t="s">
        <v>219</v>
      </c>
      <c r="AY48" s="583" t="s">
        <v>220</v>
      </c>
      <c r="AZ48" s="583" t="s">
        <v>219</v>
      </c>
      <c r="BA48" s="583" t="s">
        <v>220</v>
      </c>
      <c r="BB48" s="583" t="s">
        <v>219</v>
      </c>
      <c r="BC48" s="583" t="s">
        <v>220</v>
      </c>
      <c r="BD48" s="509" t="s">
        <v>219</v>
      </c>
      <c r="BE48" s="509" t="s">
        <v>220</v>
      </c>
      <c r="BF48" s="592" t="s">
        <v>219</v>
      </c>
      <c r="BG48" s="584" t="s">
        <v>220</v>
      </c>
      <c r="BH48" s="581" t="s">
        <v>219</v>
      </c>
      <c r="BI48" s="583" t="s">
        <v>220</v>
      </c>
      <c r="BJ48" s="583" t="s">
        <v>219</v>
      </c>
      <c r="BK48" s="583" t="s">
        <v>220</v>
      </c>
      <c r="BL48" s="583" t="s">
        <v>219</v>
      </c>
      <c r="BM48" s="583" t="s">
        <v>220</v>
      </c>
      <c r="BN48" s="583" t="s">
        <v>219</v>
      </c>
      <c r="BO48" s="583" t="s">
        <v>220</v>
      </c>
      <c r="BP48" s="583" t="s">
        <v>219</v>
      </c>
      <c r="BQ48" s="583" t="s">
        <v>220</v>
      </c>
      <c r="BR48" s="583" t="s">
        <v>219</v>
      </c>
      <c r="BS48" s="583" t="s">
        <v>220</v>
      </c>
      <c r="BT48" s="583" t="s">
        <v>219</v>
      </c>
      <c r="BU48" s="584" t="s">
        <v>220</v>
      </c>
      <c r="BV48" s="581" t="s">
        <v>219</v>
      </c>
      <c r="BW48" s="583" t="s">
        <v>220</v>
      </c>
      <c r="BX48" s="583" t="s">
        <v>219</v>
      </c>
      <c r="BY48" s="583" t="s">
        <v>220</v>
      </c>
      <c r="BZ48" s="583" t="s">
        <v>219</v>
      </c>
      <c r="CA48" s="583" t="s">
        <v>220</v>
      </c>
      <c r="CB48" s="583" t="s">
        <v>219</v>
      </c>
      <c r="CC48" s="583" t="s">
        <v>220</v>
      </c>
      <c r="CD48" s="583" t="s">
        <v>219</v>
      </c>
      <c r="CE48" s="583" t="s">
        <v>220</v>
      </c>
      <c r="CF48" s="583" t="s">
        <v>219</v>
      </c>
      <c r="CG48" s="583" t="s">
        <v>220</v>
      </c>
      <c r="CH48" s="509" t="s">
        <v>219</v>
      </c>
      <c r="CI48" s="509" t="s">
        <v>220</v>
      </c>
      <c r="CJ48" s="509" t="s">
        <v>219</v>
      </c>
      <c r="CK48" s="509" t="s">
        <v>220</v>
      </c>
      <c r="CL48" s="509" t="s">
        <v>219</v>
      </c>
      <c r="CM48" s="510" t="s">
        <v>220</v>
      </c>
    </row>
    <row r="49" spans="1:91" ht="14.25" hidden="1" customHeight="1" thickTop="1">
      <c r="A49" s="557">
        <v>46082</v>
      </c>
      <c r="B49" s="519">
        <v>0.48059063591155776</v>
      </c>
      <c r="C49" s="520">
        <v>0.48059063591155776</v>
      </c>
      <c r="D49" s="520">
        <v>0.48059063591155776</v>
      </c>
      <c r="E49" s="520">
        <v>0.48059063591155776</v>
      </c>
      <c r="F49" s="521">
        <v>29.422999999999998</v>
      </c>
      <c r="G49" s="521">
        <v>29.422999999999998</v>
      </c>
      <c r="H49" s="521">
        <v>2.1257519627502295</v>
      </c>
      <c r="I49" s="521">
        <v>2.1257519627502295</v>
      </c>
      <c r="J49" s="521">
        <v>1052.6085035517194</v>
      </c>
      <c r="K49" s="547">
        <v>1052.6085035517194</v>
      </c>
      <c r="L49" s="519">
        <v>0.96208145070260198</v>
      </c>
      <c r="M49" s="520">
        <v>0.96208145070260198</v>
      </c>
      <c r="N49" s="520">
        <v>0.96208145070260198</v>
      </c>
      <c r="O49" s="520">
        <v>0.96208145070260198</v>
      </c>
      <c r="P49" s="521">
        <v>71.718000000000004</v>
      </c>
      <c r="Q49" s="521">
        <v>71.718000000000004</v>
      </c>
      <c r="R49" s="521">
        <v>1.9626732479991074</v>
      </c>
      <c r="S49" s="521">
        <v>1.9626732479991074</v>
      </c>
      <c r="T49" s="521">
        <v>0</v>
      </c>
      <c r="U49" s="521">
        <v>0</v>
      </c>
      <c r="V49" s="521">
        <v>494.59898491311844</v>
      </c>
      <c r="W49" s="521">
        <v>494.59898491311844</v>
      </c>
      <c r="X49" s="521">
        <v>400.35974232410274</v>
      </c>
      <c r="Y49" s="555">
        <v>400.35974232410274</v>
      </c>
      <c r="Z49" s="521">
        <v>0</v>
      </c>
      <c r="AA49" s="521">
        <v>0</v>
      </c>
      <c r="AB49" s="519">
        <v>0.85092296657881161</v>
      </c>
      <c r="AC49" s="520">
        <v>0.85092296657881161</v>
      </c>
      <c r="AD49" s="520">
        <v>0.85092296657881161</v>
      </c>
      <c r="AE49" s="520">
        <v>0.85092296657881161</v>
      </c>
      <c r="AF49" s="521">
        <v>36.905999999999999</v>
      </c>
      <c r="AG49" s="521">
        <v>36.905999999999999</v>
      </c>
      <c r="AH49" s="521">
        <v>123.18074825680665</v>
      </c>
      <c r="AI49" s="521">
        <v>123.18074825680665</v>
      </c>
      <c r="AJ49" s="521">
        <v>1.2789248360700158</v>
      </c>
      <c r="AK49" s="521">
        <v>1.2789248360700158</v>
      </c>
      <c r="AL49" s="521">
        <v>989.83634097436732</v>
      </c>
      <c r="AM49" s="521">
        <v>989.83634097436732</v>
      </c>
      <c r="AN49" s="521">
        <v>0</v>
      </c>
      <c r="AO49" s="547">
        <v>0</v>
      </c>
      <c r="AP49" s="593">
        <v>0.65849772065240852</v>
      </c>
      <c r="AQ49" s="520">
        <v>0.65849772065240852</v>
      </c>
      <c r="AR49" s="520">
        <v>0.65849772065240852</v>
      </c>
      <c r="AS49" s="520">
        <v>0.65849772065240852</v>
      </c>
      <c r="AT49" s="521">
        <v>35.520000000000003</v>
      </c>
      <c r="AU49" s="521">
        <v>35.520000000000003</v>
      </c>
      <c r="AV49" s="522">
        <v>118.71730308924951</v>
      </c>
      <c r="AW49" s="522">
        <v>118.71730308924948</v>
      </c>
      <c r="AX49" s="521">
        <v>1.6610360360360359</v>
      </c>
      <c r="AY49" s="521">
        <v>1.6610360360360359</v>
      </c>
      <c r="AZ49" s="521">
        <v>0</v>
      </c>
      <c r="BA49" s="521">
        <v>0</v>
      </c>
      <c r="BB49" s="521">
        <v>1032.6829954954951</v>
      </c>
      <c r="BC49" s="521">
        <v>1032.6829954954951</v>
      </c>
      <c r="BD49" s="521">
        <v>429.40878378378386</v>
      </c>
      <c r="BE49" s="555">
        <v>429.40878378378386</v>
      </c>
      <c r="BF49" s="521">
        <v>0</v>
      </c>
      <c r="BG49" s="547">
        <v>0</v>
      </c>
      <c r="BH49" s="519">
        <v>1.0523572463514868</v>
      </c>
      <c r="BI49" s="520">
        <v>1.0523572463514868</v>
      </c>
      <c r="BJ49" s="520">
        <v>1.0523572463514868</v>
      </c>
      <c r="BK49" s="520">
        <v>1.0523572463514868</v>
      </c>
      <c r="BL49" s="521">
        <v>54.576999999999998</v>
      </c>
      <c r="BM49" s="521">
        <v>54.576999999999998</v>
      </c>
      <c r="BN49" s="521">
        <v>2.0411528665921543</v>
      </c>
      <c r="BO49" s="521">
        <v>2.0411528665921543</v>
      </c>
      <c r="BP49" s="522">
        <v>0</v>
      </c>
      <c r="BQ49" s="522">
        <v>0</v>
      </c>
      <c r="BR49" s="522">
        <v>895.64798128559005</v>
      </c>
      <c r="BS49" s="522">
        <v>895.64798128559005</v>
      </c>
      <c r="BT49" s="522">
        <v>34.446744965828103</v>
      </c>
      <c r="BU49" s="523">
        <v>34.446744965828103</v>
      </c>
      <c r="BV49" s="519">
        <v>1.0724314318509538</v>
      </c>
      <c r="BW49" s="520">
        <v>1.0724314318509538</v>
      </c>
      <c r="BX49" s="520">
        <v>1.0724314318509538</v>
      </c>
      <c r="BY49" s="520">
        <v>1.0724314318509538</v>
      </c>
      <c r="BZ49" s="521">
        <v>56.237000000000002</v>
      </c>
      <c r="CA49" s="521">
        <v>56.237000000000002</v>
      </c>
      <c r="CB49" s="522">
        <v>66.416286414711891</v>
      </c>
      <c r="CC49" s="522">
        <v>66.416286414711891</v>
      </c>
      <c r="CD49" s="521">
        <v>1.7924142468481603</v>
      </c>
      <c r="CE49" s="521">
        <v>1.7924142468481603</v>
      </c>
      <c r="CF49" s="522">
        <v>0</v>
      </c>
      <c r="CG49" s="522">
        <v>0</v>
      </c>
      <c r="CH49" s="522">
        <v>699.73362955663845</v>
      </c>
      <c r="CI49" s="522">
        <v>699.73362955663845</v>
      </c>
      <c r="CJ49" s="522">
        <v>550.6588189270409</v>
      </c>
      <c r="CK49" s="522">
        <v>550.6588189270409</v>
      </c>
      <c r="CL49" s="522">
        <v>0</v>
      </c>
      <c r="CM49" s="523">
        <v>0</v>
      </c>
    </row>
    <row r="50" spans="1:91" ht="14.25" hidden="1" customHeight="1">
      <c r="A50" s="558">
        <v>46083</v>
      </c>
      <c r="B50" s="513">
        <v>0.80979682702575617</v>
      </c>
      <c r="C50" s="514">
        <v>0.64345770849410489</v>
      </c>
      <c r="D50" s="514">
        <v>0.80979682702575617</v>
      </c>
      <c r="E50" s="514">
        <v>0.64345770849410489</v>
      </c>
      <c r="F50" s="511">
        <v>48.542999999999999</v>
      </c>
      <c r="G50" s="511">
        <v>77.965999999999994</v>
      </c>
      <c r="H50" s="511">
        <v>2.5361638135261519</v>
      </c>
      <c r="I50" s="511">
        <v>2.3812815842803272</v>
      </c>
      <c r="J50" s="511">
        <v>1143.9692643635794</v>
      </c>
      <c r="K50" s="512">
        <v>1109.4913167278489</v>
      </c>
      <c r="L50" s="513">
        <v>0.93431298389838502</v>
      </c>
      <c r="M50" s="514">
        <v>0.94887089364006716</v>
      </c>
      <c r="N50" s="514">
        <v>0.93431298389838502</v>
      </c>
      <c r="O50" s="514">
        <v>0.94887089364006716</v>
      </c>
      <c r="P50" s="511">
        <v>63.201999999999998</v>
      </c>
      <c r="Q50" s="511">
        <v>134.92000000000002</v>
      </c>
      <c r="R50" s="511">
        <v>2.1454067909243379</v>
      </c>
      <c r="S50" s="511">
        <v>2.0482730506967086</v>
      </c>
      <c r="T50" s="511">
        <v>0</v>
      </c>
      <c r="U50" s="511">
        <v>0</v>
      </c>
      <c r="V50" s="511">
        <v>547.35214075504837</v>
      </c>
      <c r="W50" s="511">
        <v>519.31070263859749</v>
      </c>
      <c r="X50" s="511">
        <v>354.03942913198949</v>
      </c>
      <c r="Y50" s="576">
        <v>378.66142899495992</v>
      </c>
      <c r="Z50" s="511">
        <v>0</v>
      </c>
      <c r="AA50" s="576">
        <v>0</v>
      </c>
      <c r="AB50" s="513">
        <v>0.89586170629365514</v>
      </c>
      <c r="AC50" s="514">
        <v>0.875864953031251</v>
      </c>
      <c r="AD50" s="514">
        <v>0.89586170629365514</v>
      </c>
      <c r="AE50" s="514">
        <v>0.875864953031251</v>
      </c>
      <c r="AF50" s="511">
        <v>48.463999999999999</v>
      </c>
      <c r="AG50" s="511">
        <v>85.37</v>
      </c>
      <c r="AH50" s="511">
        <v>102.49413482563688</v>
      </c>
      <c r="AI50" s="511">
        <v>111.43709084403622</v>
      </c>
      <c r="AJ50" s="511">
        <v>1.1204192802905248</v>
      </c>
      <c r="AK50" s="511">
        <v>1.1889422513763617</v>
      </c>
      <c r="AL50" s="511">
        <v>711.284664905932</v>
      </c>
      <c r="AM50" s="511">
        <v>831.70434578893151</v>
      </c>
      <c r="AN50" s="511">
        <v>0</v>
      </c>
      <c r="AO50" s="512">
        <v>0</v>
      </c>
      <c r="AP50" s="594">
        <v>0.5264962187422616</v>
      </c>
      <c r="AQ50" s="514">
        <v>0.59248734059710517</v>
      </c>
      <c r="AR50" s="514">
        <v>0.5264962187422616</v>
      </c>
      <c r="AS50" s="514">
        <v>0.59248734059710517</v>
      </c>
      <c r="AT50" s="511">
        <v>28.408000000000001</v>
      </c>
      <c r="AU50" s="511">
        <v>63.928000000000004</v>
      </c>
      <c r="AV50" s="515">
        <v>116.55367228415335</v>
      </c>
      <c r="AW50" s="515">
        <v>117.75583981945893</v>
      </c>
      <c r="AX50" s="511">
        <v>1.7776682624612785</v>
      </c>
      <c r="AY50" s="511">
        <v>1.712864472531598</v>
      </c>
      <c r="AZ50" s="511">
        <v>0</v>
      </c>
      <c r="BA50" s="511">
        <v>0</v>
      </c>
      <c r="BB50" s="511">
        <v>1005.7624612785123</v>
      </c>
      <c r="BC50" s="511">
        <v>1020.7201852083585</v>
      </c>
      <c r="BD50" s="511">
        <v>584.48324415657555</v>
      </c>
      <c r="BE50" s="576">
        <v>498.31998498310605</v>
      </c>
      <c r="BF50" s="511">
        <v>0</v>
      </c>
      <c r="BG50" s="512">
        <v>0</v>
      </c>
      <c r="BH50" s="513">
        <v>0.88755490688056482</v>
      </c>
      <c r="BI50" s="514">
        <v>0.96958635306814078</v>
      </c>
      <c r="BJ50" s="514">
        <v>0.88755490688056482</v>
      </c>
      <c r="BK50" s="514">
        <v>0.96958635306814078</v>
      </c>
      <c r="BL50" s="511">
        <v>46.445</v>
      </c>
      <c r="BM50" s="511">
        <v>101.02199999999999</v>
      </c>
      <c r="BN50" s="511">
        <v>2.3382495424695877</v>
      </c>
      <c r="BO50" s="511">
        <v>2.1777434618201976</v>
      </c>
      <c r="BP50" s="515">
        <v>0</v>
      </c>
      <c r="BQ50" s="515">
        <v>0</v>
      </c>
      <c r="BR50" s="515">
        <v>1045.7253775732913</v>
      </c>
      <c r="BS50" s="515">
        <v>964.64626552647121</v>
      </c>
      <c r="BT50" s="515">
        <v>0</v>
      </c>
      <c r="BU50" s="516">
        <v>18.609807764645328</v>
      </c>
      <c r="BV50" s="513">
        <v>0.98998156687122563</v>
      </c>
      <c r="BW50" s="514">
        <v>1.0310012286597281</v>
      </c>
      <c r="BX50" s="514">
        <v>0.98998156687122563</v>
      </c>
      <c r="BY50" s="514">
        <v>1.0310012286597281</v>
      </c>
      <c r="BZ50" s="511">
        <v>52.433</v>
      </c>
      <c r="CA50" s="511">
        <v>108.67</v>
      </c>
      <c r="CB50" s="515">
        <v>75.27067929666633</v>
      </c>
      <c r="CC50" s="515">
        <v>70.688508573352877</v>
      </c>
      <c r="CD50" s="511">
        <v>1.891938283142296</v>
      </c>
      <c r="CE50" s="511">
        <v>1.8404343425048311</v>
      </c>
      <c r="CF50" s="515">
        <v>0</v>
      </c>
      <c r="CG50" s="515">
        <v>0</v>
      </c>
      <c r="CH50" s="515">
        <v>705.78423585543601</v>
      </c>
      <c r="CI50" s="515">
        <v>702.65303178416082</v>
      </c>
      <c r="CJ50" s="515">
        <v>556.82490034901696</v>
      </c>
      <c r="CK50" s="515">
        <v>553.63393760927579</v>
      </c>
      <c r="CL50" s="515">
        <v>0</v>
      </c>
      <c r="CM50" s="516">
        <v>0</v>
      </c>
    </row>
    <row r="51" spans="1:91" ht="12.75" hidden="1" customHeight="1">
      <c r="A51" s="558">
        <v>46084</v>
      </c>
      <c r="B51" s="513">
        <v>0.89948132611444753</v>
      </c>
      <c r="C51" s="514">
        <v>0.72525556240267341</v>
      </c>
      <c r="D51" s="514">
        <v>0.92177614086447179</v>
      </c>
      <c r="E51" s="514">
        <v>0.73090363678835835</v>
      </c>
      <c r="F51" s="511">
        <v>51.168999999999997</v>
      </c>
      <c r="G51" s="511">
        <v>129.13499999999999</v>
      </c>
      <c r="H51" s="511">
        <v>2.6372217553596902</v>
      </c>
      <c r="I51" s="511">
        <v>2.4826964029891196</v>
      </c>
      <c r="J51" s="511">
        <v>1201.058844222073</v>
      </c>
      <c r="K51" s="512">
        <v>1145.774422116411</v>
      </c>
      <c r="L51" s="513">
        <v>0.75070904618851686</v>
      </c>
      <c r="M51" s="514">
        <v>0.89201337621215671</v>
      </c>
      <c r="N51" s="514">
        <v>0.82247980123432762</v>
      </c>
      <c r="O51" s="514">
        <v>0.91492065800168476</v>
      </c>
      <c r="P51" s="511">
        <v>42.951000000000001</v>
      </c>
      <c r="Q51" s="511">
        <v>177.87100000000001</v>
      </c>
      <c r="R51" s="511">
        <v>2.6100207212870479</v>
      </c>
      <c r="S51" s="511">
        <v>2.1839198070511774</v>
      </c>
      <c r="T51" s="511">
        <v>0</v>
      </c>
      <c r="U51" s="511">
        <v>0</v>
      </c>
      <c r="V51" s="511">
        <v>755.88624246234087</v>
      </c>
      <c r="W51" s="511">
        <v>576.43724946730833</v>
      </c>
      <c r="X51" s="511">
        <v>620.52105888105052</v>
      </c>
      <c r="Y51" s="576">
        <v>437.063939596674</v>
      </c>
      <c r="Z51" s="511">
        <v>0</v>
      </c>
      <c r="AA51" s="576">
        <v>0</v>
      </c>
      <c r="AB51" s="513">
        <v>0.78015275084134428</v>
      </c>
      <c r="AC51" s="514">
        <v>0.84258028221488179</v>
      </c>
      <c r="AD51" s="514">
        <v>0.78015275084134428</v>
      </c>
      <c r="AE51" s="514">
        <v>0.84258028221488179</v>
      </c>
      <c r="AF51" s="511">
        <v>40.542999999999999</v>
      </c>
      <c r="AG51" s="511">
        <v>125.91300000000001</v>
      </c>
      <c r="AH51" s="511">
        <v>113.71099164810555</v>
      </c>
      <c r="AI51" s="511">
        <v>112.16926909647545</v>
      </c>
      <c r="AJ51" s="511">
        <v>1.262856720025652</v>
      </c>
      <c r="AK51" s="511">
        <v>1.2127421314717304</v>
      </c>
      <c r="AL51" s="511">
        <v>837.5546950151512</v>
      </c>
      <c r="AM51" s="511">
        <v>833.58811242683714</v>
      </c>
      <c r="AN51" s="511">
        <v>0</v>
      </c>
      <c r="AO51" s="512">
        <v>0</v>
      </c>
      <c r="AP51" s="594">
        <v>0.74698095380945828</v>
      </c>
      <c r="AQ51" s="514">
        <v>0.64440541112937855</v>
      </c>
      <c r="AR51" s="514">
        <v>0.74698095380945828</v>
      </c>
      <c r="AS51" s="514">
        <v>0.64440541112937855</v>
      </c>
      <c r="AT51" s="511">
        <v>40.793999999999997</v>
      </c>
      <c r="AU51" s="511">
        <v>104.72200000000001</v>
      </c>
      <c r="AV51" s="515">
        <v>105.18130932900121</v>
      </c>
      <c r="AW51" s="515">
        <v>112.85748611319154</v>
      </c>
      <c r="AX51" s="511">
        <v>1.5198313477472178</v>
      </c>
      <c r="AY51" s="511">
        <v>1.6376692576535969</v>
      </c>
      <c r="AZ51" s="511">
        <v>0</v>
      </c>
      <c r="BA51" s="511">
        <v>0</v>
      </c>
      <c r="BB51" s="511">
        <v>959.38079129283778</v>
      </c>
      <c r="BC51" s="511">
        <v>996.82569087679735</v>
      </c>
      <c r="BD51" s="511">
        <v>465.7302544491838</v>
      </c>
      <c r="BE51" s="576">
        <v>485.62479708179751</v>
      </c>
      <c r="BF51" s="511">
        <v>0</v>
      </c>
      <c r="BG51" s="512">
        <v>0</v>
      </c>
      <c r="BH51" s="513">
        <v>0.9555215588126581</v>
      </c>
      <c r="BI51" s="514">
        <v>0.96488669278502104</v>
      </c>
      <c r="BJ51" s="514">
        <v>0.9555215588126581</v>
      </c>
      <c r="BK51" s="514">
        <v>0.96488669278502104</v>
      </c>
      <c r="BL51" s="511">
        <v>49.96</v>
      </c>
      <c r="BM51" s="511">
        <v>150.982</v>
      </c>
      <c r="BN51" s="511">
        <v>2.1236989591673336</v>
      </c>
      <c r="BO51" s="511">
        <v>2.1598601157753907</v>
      </c>
      <c r="BP51" s="515">
        <v>0</v>
      </c>
      <c r="BQ51" s="515">
        <v>0</v>
      </c>
      <c r="BR51" s="515">
        <v>941.14120300147169</v>
      </c>
      <c r="BS51" s="515">
        <v>956.86843158766396</v>
      </c>
      <c r="BT51" s="515">
        <v>0</v>
      </c>
      <c r="BU51" s="516">
        <v>12.451815448199124</v>
      </c>
      <c r="BV51" s="513">
        <v>0.94194858943105642</v>
      </c>
      <c r="BW51" s="514">
        <v>1.0012186414168203</v>
      </c>
      <c r="BX51" s="514">
        <v>0.94194858943105642</v>
      </c>
      <c r="BY51" s="514">
        <v>1.0012186414168203</v>
      </c>
      <c r="BZ51" s="511">
        <v>49.889000000000003</v>
      </c>
      <c r="CA51" s="511">
        <v>158.559</v>
      </c>
      <c r="CB51" s="515">
        <v>72.862733926187744</v>
      </c>
      <c r="CC51" s="515">
        <v>71.372606786810195</v>
      </c>
      <c r="CD51" s="511">
        <v>2.0116658982942131</v>
      </c>
      <c r="CE51" s="511">
        <v>1.8943106351578909</v>
      </c>
      <c r="CF51" s="515">
        <v>0</v>
      </c>
      <c r="CG51" s="515">
        <v>0</v>
      </c>
      <c r="CH51" s="515">
        <v>717.62363442935794</v>
      </c>
      <c r="CI51" s="515">
        <v>707.36338184543933</v>
      </c>
      <c r="CJ51" s="515">
        <v>433.18166329250948</v>
      </c>
      <c r="CK51" s="515">
        <v>515.73483687460202</v>
      </c>
      <c r="CL51" s="515">
        <v>0</v>
      </c>
      <c r="CM51" s="516">
        <v>0</v>
      </c>
    </row>
    <row r="52" spans="1:91" ht="12.75" hidden="1" customHeight="1">
      <c r="A52" s="558">
        <v>46085</v>
      </c>
      <c r="B52" s="513">
        <v>0.9372844876317098</v>
      </c>
      <c r="C52" s="514">
        <v>0.77640451245617392</v>
      </c>
      <c r="D52" s="514">
        <v>0.9372844876317098</v>
      </c>
      <c r="E52" s="514">
        <v>0.780983707452366</v>
      </c>
      <c r="F52" s="511">
        <v>53.058999999999997</v>
      </c>
      <c r="G52" s="511">
        <v>182.19399999999999</v>
      </c>
      <c r="H52" s="511">
        <v>2.5295237377259276</v>
      </c>
      <c r="I52" s="511">
        <v>2.4963335784932545</v>
      </c>
      <c r="J52" s="511">
        <v>1253.1966301663952</v>
      </c>
      <c r="K52" s="512">
        <v>1177.0581907197904</v>
      </c>
      <c r="L52" s="513">
        <v>0.84752985496772215</v>
      </c>
      <c r="M52" s="514">
        <v>0.88227750219694201</v>
      </c>
      <c r="N52" s="514">
        <v>0.84752985496772215</v>
      </c>
      <c r="O52" s="514">
        <v>0.89987696886201074</v>
      </c>
      <c r="P52" s="511">
        <v>47.351999999999997</v>
      </c>
      <c r="Q52" s="511">
        <v>225.22300000000001</v>
      </c>
      <c r="R52" s="511">
        <v>2.3212958269978041</v>
      </c>
      <c r="S52" s="511">
        <v>2.2128024224879339</v>
      </c>
      <c r="T52" s="511">
        <v>0</v>
      </c>
      <c r="U52" s="511">
        <v>0</v>
      </c>
      <c r="V52" s="511">
        <v>731.93824970432058</v>
      </c>
      <c r="W52" s="511">
        <v>609.13055060983368</v>
      </c>
      <c r="X52" s="511">
        <v>588.76077040040536</v>
      </c>
      <c r="Y52" s="576">
        <v>468.95743329944099</v>
      </c>
      <c r="Z52" s="511">
        <v>0</v>
      </c>
      <c r="AA52" s="576">
        <v>0</v>
      </c>
      <c r="AB52" s="513">
        <v>0.844992982445401</v>
      </c>
      <c r="AC52" s="514">
        <v>0.84315799549993586</v>
      </c>
      <c r="AD52" s="514">
        <v>0.844992982445401</v>
      </c>
      <c r="AE52" s="514">
        <v>0.84315799549993586</v>
      </c>
      <c r="AF52" s="511">
        <v>39.755000000000003</v>
      </c>
      <c r="AG52" s="511">
        <v>165.66800000000001</v>
      </c>
      <c r="AH52" s="511">
        <v>127.49952687067636</v>
      </c>
      <c r="AI52" s="511">
        <v>115.84803867064402</v>
      </c>
      <c r="AJ52" s="511">
        <v>1.3080115708715885</v>
      </c>
      <c r="AK52" s="511">
        <v>1.2356037375956732</v>
      </c>
      <c r="AL52" s="511">
        <v>920.72343101497586</v>
      </c>
      <c r="AM52" s="511">
        <v>854.49779076225173</v>
      </c>
      <c r="AN52" s="511">
        <v>0</v>
      </c>
      <c r="AO52" s="512">
        <v>0</v>
      </c>
      <c r="AP52" s="594">
        <v>0.70333871602328335</v>
      </c>
      <c r="AQ52" s="514">
        <v>0.65913649224691639</v>
      </c>
      <c r="AR52" s="514">
        <v>0.70333871602328335</v>
      </c>
      <c r="AS52" s="514">
        <v>0.65913649224691639</v>
      </c>
      <c r="AT52" s="511">
        <v>38.091999999999999</v>
      </c>
      <c r="AU52" s="511">
        <v>142.81400000000002</v>
      </c>
      <c r="AV52" s="515">
        <v>99.078445108543718</v>
      </c>
      <c r="AW52" s="515">
        <v>109.18227759057439</v>
      </c>
      <c r="AX52" s="511">
        <v>1.5567573243725716</v>
      </c>
      <c r="AY52" s="511">
        <v>1.6160880585936952</v>
      </c>
      <c r="AZ52" s="511">
        <v>0</v>
      </c>
      <c r="BA52" s="511">
        <v>0</v>
      </c>
      <c r="BB52" s="511">
        <v>909.99054919668094</v>
      </c>
      <c r="BC52" s="511">
        <v>973.66462671726811</v>
      </c>
      <c r="BD52" s="511">
        <v>542.84099023417934</v>
      </c>
      <c r="BE52" s="576">
        <v>500.88576049967338</v>
      </c>
      <c r="BF52" s="511">
        <v>0</v>
      </c>
      <c r="BG52" s="512">
        <v>0</v>
      </c>
      <c r="BH52" s="513">
        <v>0.86477276400326208</v>
      </c>
      <c r="BI52" s="514">
        <v>0.94010309226274935</v>
      </c>
      <c r="BJ52" s="514">
        <v>0.86477276400326208</v>
      </c>
      <c r="BK52" s="514">
        <v>0.94010309226274935</v>
      </c>
      <c r="BL52" s="511">
        <v>44.518999999999998</v>
      </c>
      <c r="BM52" s="511">
        <v>195.501</v>
      </c>
      <c r="BN52" s="511">
        <v>2.4079606460163077</v>
      </c>
      <c r="BO52" s="511">
        <v>2.2163569495808204</v>
      </c>
      <c r="BP52" s="515">
        <v>0</v>
      </c>
      <c r="BQ52" s="515">
        <v>0</v>
      </c>
      <c r="BR52" s="515">
        <v>1077.8486912007147</v>
      </c>
      <c r="BS52" s="515">
        <v>984.41775449503245</v>
      </c>
      <c r="BT52" s="515">
        <v>0</v>
      </c>
      <c r="BU52" s="516">
        <v>9.6163190981120312</v>
      </c>
      <c r="BV52" s="513">
        <v>0.70817378898891115</v>
      </c>
      <c r="BW52" s="514">
        <v>0.92463318745070011</v>
      </c>
      <c r="BX52" s="514">
        <v>0.80011505485109546</v>
      </c>
      <c r="BY52" s="514">
        <v>0.95326058486539389</v>
      </c>
      <c r="BZ52" s="511">
        <v>39.68</v>
      </c>
      <c r="CA52" s="511">
        <v>198.239</v>
      </c>
      <c r="CB52" s="515">
        <v>78.60786739368983</v>
      </c>
      <c r="CC52" s="515">
        <v>72.8208341329983</v>
      </c>
      <c r="CD52" s="511">
        <v>2.051411290322581</v>
      </c>
      <c r="CE52" s="511">
        <v>1.925756284081336</v>
      </c>
      <c r="CF52" s="515">
        <v>0</v>
      </c>
      <c r="CG52" s="515">
        <v>0</v>
      </c>
      <c r="CH52" s="515">
        <v>768.96507349887383</v>
      </c>
      <c r="CI52" s="515">
        <v>719.69372615109205</v>
      </c>
      <c r="CJ52" s="515">
        <v>461.81706149194468</v>
      </c>
      <c r="CK52" s="515">
        <v>504.94252392314507</v>
      </c>
      <c r="CL52" s="515">
        <v>0</v>
      </c>
      <c r="CM52" s="516">
        <v>0</v>
      </c>
    </row>
    <row r="53" spans="1:91" ht="12.75" hidden="1" customHeight="1">
      <c r="A53" s="558">
        <v>46086</v>
      </c>
      <c r="B53" s="513">
        <v>0.88514381221389715</v>
      </c>
      <c r="C53" s="514">
        <v>0.79753699205132877</v>
      </c>
      <c r="D53" s="514">
        <v>0.88514381221389715</v>
      </c>
      <c r="E53" s="514">
        <v>0.80132233994231805</v>
      </c>
      <c r="F53" s="511">
        <v>50.103999999999999</v>
      </c>
      <c r="G53" s="511">
        <v>232.298</v>
      </c>
      <c r="H53" s="511">
        <v>2.3426672521155996</v>
      </c>
      <c r="I53" s="511">
        <v>2.4631895238013239</v>
      </c>
      <c r="J53" s="511">
        <v>1340.1608653999458</v>
      </c>
      <c r="K53" s="512">
        <v>1212.2375569311848</v>
      </c>
      <c r="L53" s="513">
        <v>1.0321606862413693</v>
      </c>
      <c r="M53" s="514">
        <v>0.90885506693195361</v>
      </c>
      <c r="N53" s="514">
        <v>1.0321606862413693</v>
      </c>
      <c r="O53" s="514">
        <v>0.92371734655750903</v>
      </c>
      <c r="P53" s="511">
        <v>56.792000000000002</v>
      </c>
      <c r="Q53" s="511">
        <v>282.01499999999999</v>
      </c>
      <c r="R53" s="511">
        <v>1.9413121566417806</v>
      </c>
      <c r="S53" s="511">
        <v>2.1581298867081538</v>
      </c>
      <c r="T53" s="511">
        <v>0</v>
      </c>
      <c r="U53" s="511">
        <v>0</v>
      </c>
      <c r="V53" s="511">
        <v>664.72443301877877</v>
      </c>
      <c r="W53" s="511">
        <v>620.32601102778585</v>
      </c>
      <c r="X53" s="511">
        <v>409.77602479222423</v>
      </c>
      <c r="Y53" s="576">
        <v>457.03951917451201</v>
      </c>
      <c r="Z53" s="511">
        <v>0</v>
      </c>
      <c r="AA53" s="576">
        <v>0</v>
      </c>
      <c r="AB53" s="513">
        <v>0.82227366207082131</v>
      </c>
      <c r="AC53" s="514">
        <v>0.83910599334952851</v>
      </c>
      <c r="AD53" s="514">
        <v>0.82227366207082131</v>
      </c>
      <c r="AE53" s="514">
        <v>0.83910599334952851</v>
      </c>
      <c r="AF53" s="511">
        <v>38.893000000000001</v>
      </c>
      <c r="AG53" s="511">
        <v>204.56100000000001</v>
      </c>
      <c r="AH53" s="511">
        <v>128.41625909023719</v>
      </c>
      <c r="AI53" s="511">
        <v>118.23762317980871</v>
      </c>
      <c r="AJ53" s="511">
        <v>1.2984341655310725</v>
      </c>
      <c r="AK53" s="511">
        <v>1.2475496306725133</v>
      </c>
      <c r="AL53" s="511">
        <v>889.55390430152647</v>
      </c>
      <c r="AM53" s="511">
        <v>861.16297828031725</v>
      </c>
      <c r="AN53" s="511">
        <v>0</v>
      </c>
      <c r="AO53" s="512">
        <v>0</v>
      </c>
      <c r="AP53" s="594">
        <v>0.80272800570440528</v>
      </c>
      <c r="AQ53" s="514">
        <v>0.68776414189123547</v>
      </c>
      <c r="AR53" s="514">
        <v>0.80272800570440528</v>
      </c>
      <c r="AS53" s="514">
        <v>0.68776414189123547</v>
      </c>
      <c r="AT53" s="511">
        <v>43.31</v>
      </c>
      <c r="AU53" s="511">
        <v>186.12400000000002</v>
      </c>
      <c r="AV53" s="515">
        <v>94.468951496861649</v>
      </c>
      <c r="AW53" s="515">
        <v>105.75856999177628</v>
      </c>
      <c r="AX53" s="511">
        <v>1.4846455783883628</v>
      </c>
      <c r="AY53" s="511">
        <v>1.5855021383593733</v>
      </c>
      <c r="AZ53" s="511">
        <v>0</v>
      </c>
      <c r="BA53" s="511">
        <v>0</v>
      </c>
      <c r="BB53" s="511">
        <v>901.81066728238261</v>
      </c>
      <c r="BC53" s="511">
        <v>956.94461756678299</v>
      </c>
      <c r="BD53" s="511">
        <v>473.20445624566531</v>
      </c>
      <c r="BE53" s="576">
        <v>494.44447787496568</v>
      </c>
      <c r="BF53" s="511">
        <v>0</v>
      </c>
      <c r="BG53" s="512">
        <v>0</v>
      </c>
      <c r="BH53" s="513">
        <v>0.93235165045550383</v>
      </c>
      <c r="BI53" s="514">
        <v>0.93856496225895425</v>
      </c>
      <c r="BJ53" s="514">
        <v>0.93235165045550383</v>
      </c>
      <c r="BK53" s="514">
        <v>0.93856496225895425</v>
      </c>
      <c r="BL53" s="511">
        <v>47.997999999999998</v>
      </c>
      <c r="BM53" s="511">
        <v>243.499</v>
      </c>
      <c r="BN53" s="511">
        <v>2.2355098129088713</v>
      </c>
      <c r="BO53" s="511">
        <v>2.2201323208719543</v>
      </c>
      <c r="BP53" s="515">
        <v>0</v>
      </c>
      <c r="BQ53" s="515">
        <v>0</v>
      </c>
      <c r="BR53" s="515">
        <v>984.14806171383464</v>
      </c>
      <c r="BS53" s="515">
        <v>984.36459323313022</v>
      </c>
      <c r="BT53" s="515">
        <v>0</v>
      </c>
      <c r="BU53" s="516">
        <v>7.7207709271906664</v>
      </c>
      <c r="BV53" s="513">
        <v>0.96417212001050989</v>
      </c>
      <c r="BW53" s="514">
        <v>0.93284395468597381</v>
      </c>
      <c r="BX53" s="514">
        <v>0.96417212001050989</v>
      </c>
      <c r="BY53" s="514">
        <v>0.95558173640712374</v>
      </c>
      <c r="BZ53" s="511">
        <v>54.177999999999997</v>
      </c>
      <c r="CA53" s="511">
        <v>252.417</v>
      </c>
      <c r="CB53" s="515">
        <v>70.58319144070154</v>
      </c>
      <c r="CC53" s="515">
        <v>72.340553463379166</v>
      </c>
      <c r="CD53" s="511">
        <v>1.7756284838864484</v>
      </c>
      <c r="CE53" s="511">
        <v>1.8935333198635591</v>
      </c>
      <c r="CF53" s="515">
        <v>0</v>
      </c>
      <c r="CG53" s="515">
        <v>0</v>
      </c>
      <c r="CH53" s="515">
        <v>692.7945168491899</v>
      </c>
      <c r="CI53" s="515">
        <v>713.92016350848701</v>
      </c>
      <c r="CJ53" s="515">
        <v>432.7478865960295</v>
      </c>
      <c r="CK53" s="515">
        <v>489.44689145342852</v>
      </c>
      <c r="CL53" s="515">
        <v>0</v>
      </c>
      <c r="CM53" s="516">
        <v>0</v>
      </c>
    </row>
    <row r="54" spans="1:91" ht="12.75" hidden="1" customHeight="1">
      <c r="A54" s="558">
        <v>46087</v>
      </c>
      <c r="B54" s="513">
        <v>0.78728456842534977</v>
      </c>
      <c r="C54" s="514">
        <v>0.79582674476084792</v>
      </c>
      <c r="D54" s="514">
        <v>1.0051599951593975</v>
      </c>
      <c r="E54" s="514">
        <v>0.82906733163607471</v>
      </c>
      <c r="F54" s="511">
        <v>45.911000000000001</v>
      </c>
      <c r="G54" s="511">
        <v>278.209</v>
      </c>
      <c r="H54" s="511">
        <v>1.5996602121495935</v>
      </c>
      <c r="I54" s="511">
        <v>2.3206869655546729</v>
      </c>
      <c r="J54" s="511">
        <v>957.91901722896534</v>
      </c>
      <c r="K54" s="512">
        <v>1170.2690423386712</v>
      </c>
      <c r="L54" s="513">
        <v>0.58666063230620535</v>
      </c>
      <c r="M54" s="514">
        <v>0.85373387371685494</v>
      </c>
      <c r="N54" s="514">
        <v>0.75066590505309272</v>
      </c>
      <c r="O54" s="514">
        <v>0.899343769585907</v>
      </c>
      <c r="P54" s="511">
        <v>37.570999999999998</v>
      </c>
      <c r="Q54" s="511">
        <v>319.58600000000001</v>
      </c>
      <c r="R54" s="511">
        <v>2.0634798115567858</v>
      </c>
      <c r="S54" s="511">
        <v>2.1470026847233608</v>
      </c>
      <c r="T54" s="511">
        <v>0</v>
      </c>
      <c r="U54" s="511">
        <v>0</v>
      </c>
      <c r="V54" s="511">
        <v>633.13007372702873</v>
      </c>
      <c r="W54" s="511">
        <v>621.83127546262745</v>
      </c>
      <c r="X54" s="511">
        <v>541.69439195123903</v>
      </c>
      <c r="Y54" s="576">
        <v>466.9916704736753</v>
      </c>
      <c r="Z54" s="511">
        <v>0</v>
      </c>
      <c r="AA54" s="576">
        <v>0</v>
      </c>
      <c r="AB54" s="513">
        <v>0.58427889092409657</v>
      </c>
      <c r="AC54" s="514">
        <v>0.79699275049455498</v>
      </c>
      <c r="AD54" s="514">
        <v>0.73506060549825381</v>
      </c>
      <c r="AE54" s="514">
        <v>0.8249587823868878</v>
      </c>
      <c r="AF54" s="511">
        <v>28.2</v>
      </c>
      <c r="AG54" s="511">
        <v>232.761</v>
      </c>
      <c r="AH54" s="511">
        <v>107.56918086466703</v>
      </c>
      <c r="AI54" s="511">
        <v>116.94509533671216</v>
      </c>
      <c r="AJ54" s="511">
        <v>1.3652482269503547</v>
      </c>
      <c r="AK54" s="511">
        <v>1.261809323726913</v>
      </c>
      <c r="AL54" s="511">
        <v>874.07872340428128</v>
      </c>
      <c r="AM54" s="511">
        <v>862.72777656050926</v>
      </c>
      <c r="AN54" s="511">
        <v>0</v>
      </c>
      <c r="AO54" s="512">
        <v>0</v>
      </c>
      <c r="AP54" s="594">
        <v>0.49338247867454166</v>
      </c>
      <c r="AQ54" s="514">
        <v>0.65546938764746199</v>
      </c>
      <c r="AR54" s="514">
        <v>0.63612279976206931</v>
      </c>
      <c r="AS54" s="514">
        <v>0.68085192703567499</v>
      </c>
      <c r="AT54" s="511">
        <v>26.603000000000002</v>
      </c>
      <c r="AU54" s="511">
        <v>212.72700000000003</v>
      </c>
      <c r="AV54" s="515">
        <v>86.452220090718143</v>
      </c>
      <c r="AW54" s="515">
        <v>103.34417583204174</v>
      </c>
      <c r="AX54" s="511">
        <v>1.7479231665601622</v>
      </c>
      <c r="AY54" s="511">
        <v>1.6058140245478947</v>
      </c>
      <c r="AZ54" s="511">
        <v>0</v>
      </c>
      <c r="BA54" s="511">
        <v>0</v>
      </c>
      <c r="BB54" s="511">
        <v>1011.5032139232432</v>
      </c>
      <c r="BC54" s="511">
        <v>963.76755183874138</v>
      </c>
      <c r="BD54" s="511">
        <v>654.45596361313824</v>
      </c>
      <c r="BE54" s="576">
        <v>514.45503391671218</v>
      </c>
      <c r="BF54" s="511">
        <v>0</v>
      </c>
      <c r="BG54" s="512">
        <v>0</v>
      </c>
      <c r="BH54" s="513">
        <v>0.66324044237578073</v>
      </c>
      <c r="BI54" s="514">
        <v>0.89297783365637629</v>
      </c>
      <c r="BJ54" s="514">
        <v>0.84295343073356066</v>
      </c>
      <c r="BK54" s="514">
        <v>0.92565328363594257</v>
      </c>
      <c r="BL54" s="511">
        <v>34.143999999999998</v>
      </c>
      <c r="BM54" s="511">
        <v>277.64299999999997</v>
      </c>
      <c r="BN54" s="511">
        <v>1.9974226804123714</v>
      </c>
      <c r="BO54" s="511">
        <v>2.1927439193496689</v>
      </c>
      <c r="BP54" s="515">
        <v>0</v>
      </c>
      <c r="BQ54" s="515">
        <v>0</v>
      </c>
      <c r="BR54" s="515">
        <v>987.01010842349137</v>
      </c>
      <c r="BS54" s="515">
        <v>984.68993358264277</v>
      </c>
      <c r="BT54" s="515">
        <v>0</v>
      </c>
      <c r="BU54" s="516">
        <v>6.7712854276895147</v>
      </c>
      <c r="BV54" s="513">
        <v>0.62114023938527529</v>
      </c>
      <c r="BW54" s="514">
        <v>0.88166799109083738</v>
      </c>
      <c r="BX54" s="514">
        <v>0.97687922819688178</v>
      </c>
      <c r="BY54" s="514">
        <v>0.95799753440350288</v>
      </c>
      <c r="BZ54" s="511">
        <v>33.015000000000001</v>
      </c>
      <c r="CA54" s="511">
        <v>285.43200000000002</v>
      </c>
      <c r="CB54" s="515">
        <v>62.658206528638971</v>
      </c>
      <c r="CC54" s="515">
        <v>71.220627582432215</v>
      </c>
      <c r="CD54" s="511">
        <v>1.9263970922308042</v>
      </c>
      <c r="CE54" s="511">
        <v>1.8973345665517529</v>
      </c>
      <c r="CF54" s="515">
        <v>0</v>
      </c>
      <c r="CG54" s="515">
        <v>0</v>
      </c>
      <c r="CH54" s="515">
        <v>822.77106945293792</v>
      </c>
      <c r="CI54" s="515">
        <v>726.51059716608677</v>
      </c>
      <c r="CJ54" s="515">
        <v>623.72582159625631</v>
      </c>
      <c r="CK54" s="515">
        <v>504.97850276072921</v>
      </c>
      <c r="CL54" s="515">
        <v>0</v>
      </c>
      <c r="CM54" s="516">
        <v>0</v>
      </c>
    </row>
    <row r="55" spans="1:91" ht="12.75" hidden="1" customHeight="1">
      <c r="A55" s="558">
        <v>46088</v>
      </c>
      <c r="B55" s="513">
        <v>0.74684207947887227</v>
      </c>
      <c r="C55" s="514">
        <v>0.78714002897560464</v>
      </c>
      <c r="D55" s="514">
        <v>0.76739386306667412</v>
      </c>
      <c r="E55" s="514">
        <v>0.81800596539854209</v>
      </c>
      <c r="F55" s="511">
        <v>56.28</v>
      </c>
      <c r="G55" s="511">
        <v>334.48900000000003</v>
      </c>
      <c r="H55" s="511">
        <v>2.8687988628287133</v>
      </c>
      <c r="I55" s="511">
        <v>2.4129104395062315</v>
      </c>
      <c r="J55" s="511">
        <v>983.10270078183692</v>
      </c>
      <c r="K55" s="512">
        <v>1138.7770599332148</v>
      </c>
      <c r="L55" s="513">
        <v>0.64861867012329333</v>
      </c>
      <c r="M55" s="514">
        <v>0.82226486826233491</v>
      </c>
      <c r="N55" s="514">
        <v>0.72572718335473374</v>
      </c>
      <c r="O55" s="514">
        <v>0.87403848345617585</v>
      </c>
      <c r="P55" s="511">
        <v>44.002000000000002</v>
      </c>
      <c r="Q55" s="511">
        <v>363.58800000000002</v>
      </c>
      <c r="R55" s="511">
        <v>3.0249306849688651</v>
      </c>
      <c r="S55" s="511">
        <v>2.253250932374006</v>
      </c>
      <c r="T55" s="511">
        <v>0</v>
      </c>
      <c r="U55" s="511">
        <v>0</v>
      </c>
      <c r="V55" s="511">
        <v>767.6498795509774</v>
      </c>
      <c r="W55" s="511">
        <v>639.4784756372635</v>
      </c>
      <c r="X55" s="511">
        <v>579.65547020589975</v>
      </c>
      <c r="Y55" s="576">
        <v>480.62642331430078</v>
      </c>
      <c r="Z55" s="511">
        <v>0</v>
      </c>
      <c r="AA55" s="576">
        <v>0</v>
      </c>
      <c r="AB55" s="513">
        <v>0.37872761978284342</v>
      </c>
      <c r="AC55" s="514">
        <v>0.74031027437844177</v>
      </c>
      <c r="AD55" s="514">
        <v>0.53063462712150511</v>
      </c>
      <c r="AE55" s="514">
        <v>0.79441057766619672</v>
      </c>
      <c r="AF55" s="511">
        <v>17.338999999999999</v>
      </c>
      <c r="AG55" s="511">
        <v>250.1</v>
      </c>
      <c r="AH55" s="511">
        <v>211.18080855822464</v>
      </c>
      <c r="AI55" s="511">
        <v>123.47829418336472</v>
      </c>
      <c r="AJ55" s="511">
        <v>2.5549339638964184</v>
      </c>
      <c r="AK55" s="511">
        <v>1.3514594162335067</v>
      </c>
      <c r="AL55" s="511">
        <v>1414.0965453601079</v>
      </c>
      <c r="AM55" s="511">
        <v>900.95321871251349</v>
      </c>
      <c r="AN55" s="511">
        <v>0</v>
      </c>
      <c r="AO55" s="512">
        <v>0</v>
      </c>
      <c r="AP55" s="594">
        <v>0.59045441546237065</v>
      </c>
      <c r="AQ55" s="514">
        <v>0.64616853185505374</v>
      </c>
      <c r="AR55" s="514">
        <v>0.80595608957230203</v>
      </c>
      <c r="AS55" s="514">
        <v>0.69495345581228363</v>
      </c>
      <c r="AT55" s="511">
        <v>31.99</v>
      </c>
      <c r="AU55" s="511">
        <v>244.71700000000004</v>
      </c>
      <c r="AV55" s="515">
        <v>135.99458573242126</v>
      </c>
      <c r="AW55" s="515">
        <v>107.61231663432822</v>
      </c>
      <c r="AX55" s="511">
        <v>1.5692403876211318</v>
      </c>
      <c r="AY55" s="511">
        <v>1.6010330299897431</v>
      </c>
      <c r="AZ55" s="511">
        <v>0</v>
      </c>
      <c r="BA55" s="511">
        <v>0</v>
      </c>
      <c r="BB55" s="511">
        <v>901.81369177867987</v>
      </c>
      <c r="BC55" s="511">
        <v>955.66879293224383</v>
      </c>
      <c r="BD55" s="511">
        <v>518.33072835259429</v>
      </c>
      <c r="BE55" s="576">
        <v>514.96167409701786</v>
      </c>
      <c r="BF55" s="511">
        <v>0</v>
      </c>
      <c r="BG55" s="512">
        <v>0</v>
      </c>
      <c r="BH55" s="513">
        <v>0.65774322338584557</v>
      </c>
      <c r="BI55" s="514">
        <v>0.85956156322561905</v>
      </c>
      <c r="BJ55" s="514">
        <v>0.6888365394004492</v>
      </c>
      <c r="BK55" s="514">
        <v>0.89230705610664351</v>
      </c>
      <c r="BL55" s="511">
        <v>33.860999999999997</v>
      </c>
      <c r="BM55" s="511">
        <v>311.50399999999996</v>
      </c>
      <c r="BN55" s="511">
        <v>3.3991908094858392</v>
      </c>
      <c r="BO55" s="511">
        <v>2.3238866916636711</v>
      </c>
      <c r="BP55" s="515">
        <v>0</v>
      </c>
      <c r="BQ55" s="515">
        <v>0</v>
      </c>
      <c r="BR55" s="515">
        <v>1411.259722879734</v>
      </c>
      <c r="BS55" s="515">
        <v>1031.0587751878513</v>
      </c>
      <c r="BT55" s="515">
        <v>0</v>
      </c>
      <c r="BU55" s="516">
        <v>6.035235502593868</v>
      </c>
      <c r="BV55" s="513">
        <v>0.73353023272301254</v>
      </c>
      <c r="BW55" s="514">
        <v>0.86108322738256338</v>
      </c>
      <c r="BX55" s="514">
        <v>0.82137133368673254</v>
      </c>
      <c r="BY55" s="514">
        <v>0.93949873030241138</v>
      </c>
      <c r="BZ55" s="511">
        <v>38.323999999999998</v>
      </c>
      <c r="CA55" s="511">
        <v>323.75600000000003</v>
      </c>
      <c r="CB55" s="515">
        <v>104.31763810742062</v>
      </c>
      <c r="CC55" s="515">
        <v>75.138423179609276</v>
      </c>
      <c r="CD55" s="511">
        <v>2.4605991023901472</v>
      </c>
      <c r="CE55" s="511">
        <v>1.964009933406639</v>
      </c>
      <c r="CF55" s="515">
        <v>0</v>
      </c>
      <c r="CG55" s="515">
        <v>0</v>
      </c>
      <c r="CH55" s="515">
        <v>960.67984875201523</v>
      </c>
      <c r="CI55" s="515">
        <v>754.22993641471578</v>
      </c>
      <c r="CJ55" s="515">
        <v>508.47771631352003</v>
      </c>
      <c r="CK55" s="515">
        <v>505.39271550179711</v>
      </c>
      <c r="CL55" s="515">
        <v>0</v>
      </c>
      <c r="CM55" s="516">
        <v>0</v>
      </c>
    </row>
    <row r="56" spans="1:91" ht="12.75" hidden="1" customHeight="1">
      <c r="A56" s="558">
        <v>46089</v>
      </c>
      <c r="B56" s="513">
        <v>1.0814054614611346</v>
      </c>
      <c r="C56" s="514">
        <v>0.83452240634896879</v>
      </c>
      <c r="D56" s="514">
        <v>1.0814054614611346</v>
      </c>
      <c r="E56" s="514">
        <v>0.86180489464454668</v>
      </c>
      <c r="F56" s="511">
        <v>88.194999999999993</v>
      </c>
      <c r="G56" s="511">
        <v>422.68400000000003</v>
      </c>
      <c r="H56" s="511">
        <v>1.8529508475537162</v>
      </c>
      <c r="I56" s="511">
        <v>2.2960722430941316</v>
      </c>
      <c r="J56" s="511">
        <v>645.34792221779571</v>
      </c>
      <c r="K56" s="512">
        <v>1035.8207549848105</v>
      </c>
      <c r="L56" s="513">
        <v>0.87033298804803427</v>
      </c>
      <c r="M56" s="514">
        <v>0.82865859982122048</v>
      </c>
      <c r="N56" s="514">
        <v>0.87033298804803427</v>
      </c>
      <c r="O56" s="514">
        <v>0.87351891806282567</v>
      </c>
      <c r="P56" s="511">
        <v>59.042999999999999</v>
      </c>
      <c r="Q56" s="511">
        <v>422.63100000000003</v>
      </c>
      <c r="R56" s="511">
        <v>2.1224870009992718</v>
      </c>
      <c r="S56" s="511">
        <v>2.2349827627410201</v>
      </c>
      <c r="T56" s="511">
        <v>0</v>
      </c>
      <c r="U56" s="511">
        <v>0</v>
      </c>
      <c r="V56" s="511">
        <v>600.71625764269845</v>
      </c>
      <c r="W56" s="511">
        <v>634.06326085876151</v>
      </c>
      <c r="X56" s="511">
        <v>520.48507020307238</v>
      </c>
      <c r="Y56" s="576">
        <v>486.19481296923323</v>
      </c>
      <c r="Z56" s="511">
        <v>0</v>
      </c>
      <c r="AA56" s="576">
        <v>0</v>
      </c>
      <c r="AB56" s="513">
        <v>0.85678400945667033</v>
      </c>
      <c r="AC56" s="514">
        <v>0.75310882720560235</v>
      </c>
      <c r="AD56" s="514">
        <v>0.85678400945667033</v>
      </c>
      <c r="AE56" s="514">
        <v>0.80170666897802556</v>
      </c>
      <c r="AF56" s="511">
        <v>35.731999999999999</v>
      </c>
      <c r="AG56" s="511">
        <v>285.83199999999999</v>
      </c>
      <c r="AH56" s="511">
        <v>128.34673655620895</v>
      </c>
      <c r="AI56" s="511">
        <v>124.08690057756294</v>
      </c>
      <c r="AJ56" s="511">
        <v>1.4916601365722602</v>
      </c>
      <c r="AK56" s="511">
        <v>1.3689859777771558</v>
      </c>
      <c r="AL56" s="511">
        <v>1018.8755177432096</v>
      </c>
      <c r="AM56" s="511">
        <v>915.69474376556855</v>
      </c>
      <c r="AN56" s="511">
        <v>0</v>
      </c>
      <c r="AO56" s="512">
        <v>0</v>
      </c>
      <c r="AP56" s="594">
        <v>0.86277855736992093</v>
      </c>
      <c r="AQ56" s="514">
        <v>0.67250556514242266</v>
      </c>
      <c r="AR56" s="514">
        <v>0.86277855736992093</v>
      </c>
      <c r="AS56" s="514">
        <v>0.71669981864221055</v>
      </c>
      <c r="AT56" s="511">
        <v>45.228000000000002</v>
      </c>
      <c r="AU56" s="511">
        <v>289.94500000000005</v>
      </c>
      <c r="AV56" s="515">
        <v>87.491044553279821</v>
      </c>
      <c r="AW56" s="515">
        <v>104.47363552694006</v>
      </c>
      <c r="AX56" s="511">
        <v>1.3796763067126558</v>
      </c>
      <c r="AY56" s="511">
        <v>1.5665039921364394</v>
      </c>
      <c r="AZ56" s="511">
        <v>0</v>
      </c>
      <c r="BA56" s="511">
        <v>0</v>
      </c>
      <c r="BB56" s="511">
        <v>786.60254709472213</v>
      </c>
      <c r="BC56" s="511">
        <v>929.29645277552629</v>
      </c>
      <c r="BD56" s="511">
        <v>524.79340231715082</v>
      </c>
      <c r="BE56" s="576">
        <v>516.4953077307764</v>
      </c>
      <c r="BF56" s="511">
        <v>0</v>
      </c>
      <c r="BG56" s="512">
        <v>0</v>
      </c>
      <c r="BH56" s="513">
        <v>0.90086404627640537</v>
      </c>
      <c r="BI56" s="514">
        <v>0.86469899266372119</v>
      </c>
      <c r="BJ56" s="514">
        <v>0.90086404627640537</v>
      </c>
      <c r="BK56" s="514">
        <v>0.89340675812380388</v>
      </c>
      <c r="BL56" s="511">
        <v>46.377000000000002</v>
      </c>
      <c r="BM56" s="511">
        <v>357.88099999999997</v>
      </c>
      <c r="BN56" s="511">
        <v>2.378334088017767</v>
      </c>
      <c r="BO56" s="511">
        <v>2.3309424082306691</v>
      </c>
      <c r="BP56" s="515">
        <v>0</v>
      </c>
      <c r="BQ56" s="515">
        <v>0</v>
      </c>
      <c r="BR56" s="515">
        <v>1020.0902937291713</v>
      </c>
      <c r="BS56" s="515">
        <v>1029.6373941572595</v>
      </c>
      <c r="BT56" s="515">
        <v>0</v>
      </c>
      <c r="BU56" s="516">
        <v>5.253142804451759</v>
      </c>
      <c r="BV56" s="513">
        <v>0.88642240209446188</v>
      </c>
      <c r="BW56" s="514">
        <v>0.86417469921210288</v>
      </c>
      <c r="BX56" s="514">
        <v>0.88642240209446188</v>
      </c>
      <c r="BY56" s="514">
        <v>0.9325111600172491</v>
      </c>
      <c r="BZ56" s="511">
        <v>46.311999999999998</v>
      </c>
      <c r="CA56" s="511">
        <v>370.06800000000004</v>
      </c>
      <c r="CB56" s="515">
        <v>76.867106717865838</v>
      </c>
      <c r="CC56" s="515">
        <v>75.354758534256902</v>
      </c>
      <c r="CD56" s="511">
        <v>2.1506305061323201</v>
      </c>
      <c r="CE56" s="511">
        <v>1.9873644843650351</v>
      </c>
      <c r="CF56" s="515">
        <v>0</v>
      </c>
      <c r="CG56" s="515">
        <v>0</v>
      </c>
      <c r="CH56" s="515">
        <v>810.46494316213648</v>
      </c>
      <c r="CI56" s="515">
        <v>761.26744204202362</v>
      </c>
      <c r="CJ56" s="515">
        <v>567.19735705648975</v>
      </c>
      <c r="CK56" s="515">
        <v>513.12723067111972</v>
      </c>
      <c r="CL56" s="515">
        <v>0</v>
      </c>
      <c r="CM56" s="516">
        <v>0</v>
      </c>
    </row>
    <row r="57" spans="1:91" ht="12.75" hidden="1" customHeight="1">
      <c r="A57" s="558">
        <v>46090</v>
      </c>
      <c r="B57" s="513">
        <v>1.1740101901375339</v>
      </c>
      <c r="C57" s="514">
        <v>0.88002775760429131</v>
      </c>
      <c r="D57" s="514">
        <v>1.1740101901375339</v>
      </c>
      <c r="E57" s="514">
        <v>0.90483283587102736</v>
      </c>
      <c r="F57" s="511">
        <v>92.043000000000006</v>
      </c>
      <c r="G57" s="511">
        <v>514.72700000000009</v>
      </c>
      <c r="H57" s="511">
        <v>1.7714437817107218</v>
      </c>
      <c r="I57" s="511">
        <v>2.2022586730441569</v>
      </c>
      <c r="J57" s="511">
        <v>616.28912573472951</v>
      </c>
      <c r="K57" s="512">
        <v>960.80050201369124</v>
      </c>
      <c r="L57" s="513">
        <v>0.9331086238826809</v>
      </c>
      <c r="M57" s="514">
        <v>0.84001606861005362</v>
      </c>
      <c r="N57" s="514">
        <v>0.9331086238826809</v>
      </c>
      <c r="O57" s="514">
        <v>0.88030926443152235</v>
      </c>
      <c r="P57" s="511">
        <v>58.061</v>
      </c>
      <c r="Q57" s="511">
        <v>480.69200000000001</v>
      </c>
      <c r="R57" s="511">
        <v>2.0162759856013501</v>
      </c>
      <c r="S57" s="511">
        <v>2.2085659840396765</v>
      </c>
      <c r="T57" s="511">
        <v>0</v>
      </c>
      <c r="U57" s="511">
        <v>0</v>
      </c>
      <c r="V57" s="511">
        <v>691.81119856706687</v>
      </c>
      <c r="W57" s="511">
        <v>641.03841961172986</v>
      </c>
      <c r="X57" s="511">
        <v>449.99224953066602</v>
      </c>
      <c r="Y57" s="576">
        <v>481.82203989248836</v>
      </c>
      <c r="Z57" s="511">
        <v>0</v>
      </c>
      <c r="AA57" s="576">
        <v>0</v>
      </c>
      <c r="AB57" s="513">
        <v>0.98369527557503567</v>
      </c>
      <c r="AC57" s="514">
        <v>0.77625743255456203</v>
      </c>
      <c r="AD57" s="514">
        <v>0.98369527557503567</v>
      </c>
      <c r="AE57" s="514">
        <v>0.82103029671386041</v>
      </c>
      <c r="AF57" s="511">
        <v>41.662999999999997</v>
      </c>
      <c r="AG57" s="511">
        <v>327.495</v>
      </c>
      <c r="AH57" s="511">
        <v>116.67750987396005</v>
      </c>
      <c r="AI57" s="511">
        <v>123.14429856872553</v>
      </c>
      <c r="AJ57" s="511">
        <v>1.3393178599716775</v>
      </c>
      <c r="AK57" s="511">
        <v>1.3652116826211087</v>
      </c>
      <c r="AL57" s="511">
        <v>929.96423685284299</v>
      </c>
      <c r="AM57" s="511">
        <v>917.51006885601294</v>
      </c>
      <c r="AN57" s="511">
        <v>0</v>
      </c>
      <c r="AO57" s="512">
        <v>0</v>
      </c>
      <c r="AP57" s="594">
        <v>0.91365569597866092</v>
      </c>
      <c r="AQ57" s="514">
        <v>0.6984778007413589</v>
      </c>
      <c r="AR57" s="514">
        <v>0.91365569597866092</v>
      </c>
      <c r="AS57" s="514">
        <v>0.73914738232925237</v>
      </c>
      <c r="AT57" s="511">
        <v>47.545999999999999</v>
      </c>
      <c r="AU57" s="511">
        <v>337.49100000000004</v>
      </c>
      <c r="AV57" s="515">
        <v>93.978557245113507</v>
      </c>
      <c r="AW57" s="515">
        <v>102.99508056699233</v>
      </c>
      <c r="AX57" s="511">
        <v>1.4428132755647163</v>
      </c>
      <c r="AY57" s="511">
        <v>1.5490783457929245</v>
      </c>
      <c r="AZ57" s="511">
        <v>0</v>
      </c>
      <c r="BA57" s="511">
        <v>0</v>
      </c>
      <c r="BB57" s="511">
        <v>861.79909981912056</v>
      </c>
      <c r="BC57" s="511">
        <v>919.78737210770032</v>
      </c>
      <c r="BD57" s="511">
        <v>444.64505952130668</v>
      </c>
      <c r="BE57" s="576">
        <v>506.37298772411719</v>
      </c>
      <c r="BF57" s="511">
        <v>0</v>
      </c>
      <c r="BG57" s="512">
        <v>0</v>
      </c>
      <c r="BH57" s="513">
        <v>1.0301582005654091</v>
      </c>
      <c r="BI57" s="514">
        <v>0.88301796517257281</v>
      </c>
      <c r="BJ57" s="514">
        <v>1.0301582005654091</v>
      </c>
      <c r="BK57" s="514">
        <v>0.90899269596940835</v>
      </c>
      <c r="BL57" s="511">
        <v>53.082000000000001</v>
      </c>
      <c r="BM57" s="511">
        <v>410.96299999999997</v>
      </c>
      <c r="BN57" s="511">
        <v>2.3209374175803474</v>
      </c>
      <c r="BO57" s="511">
        <v>2.3296501144871926</v>
      </c>
      <c r="BP57" s="515">
        <v>0</v>
      </c>
      <c r="BQ57" s="515">
        <v>0</v>
      </c>
      <c r="BR57" s="515">
        <v>1041.1470116923772</v>
      </c>
      <c r="BS57" s="515">
        <v>1031.1240329008913</v>
      </c>
      <c r="BT57" s="515">
        <v>0</v>
      </c>
      <c r="BU57" s="516">
        <v>4.574621072943307</v>
      </c>
      <c r="BV57" s="513">
        <v>1.205168465653653</v>
      </c>
      <c r="BW57" s="514">
        <v>0.90333365328967252</v>
      </c>
      <c r="BX57" s="514">
        <v>1.205168465653653</v>
      </c>
      <c r="BY57" s="514">
        <v>0.96599445794167682</v>
      </c>
      <c r="BZ57" s="511">
        <v>66.956000000000003</v>
      </c>
      <c r="CA57" s="511">
        <v>437.02400000000006</v>
      </c>
      <c r="CB57" s="515">
        <v>57.523753261022705</v>
      </c>
      <c r="CC57" s="515">
        <v>72.622888456012532</v>
      </c>
      <c r="CD57" s="511">
        <v>1.44273851484557</v>
      </c>
      <c r="CE57" s="511">
        <v>1.9039228966830193</v>
      </c>
      <c r="CF57" s="515">
        <v>0</v>
      </c>
      <c r="CG57" s="515">
        <v>0</v>
      </c>
      <c r="CH57" s="515">
        <v>658.57181321081828</v>
      </c>
      <c r="CI57" s="515">
        <v>745.53354979806852</v>
      </c>
      <c r="CJ57" s="515">
        <v>346.82038950952892</v>
      </c>
      <c r="CK57" s="515">
        <v>487.64752965512184</v>
      </c>
      <c r="CL57" s="515">
        <v>0</v>
      </c>
      <c r="CM57" s="516">
        <v>0</v>
      </c>
    </row>
    <row r="58" spans="1:91" ht="12.75" hidden="1" customHeight="1">
      <c r="A58" s="558">
        <v>46091</v>
      </c>
      <c r="B58" s="513">
        <v>1.0457965254064436</v>
      </c>
      <c r="C58" s="514">
        <v>0.90136977407168128</v>
      </c>
      <c r="D58" s="514">
        <v>1.0457965254064436</v>
      </c>
      <c r="E58" s="514">
        <v>0.92342537977716366</v>
      </c>
      <c r="F58" s="511">
        <v>90.388999999999996</v>
      </c>
      <c r="G58" s="511">
        <v>605.1160000000001</v>
      </c>
      <c r="H58" s="511">
        <v>1.7223113431944153</v>
      </c>
      <c r="I58" s="511">
        <v>2.1305667012605842</v>
      </c>
      <c r="J58" s="511">
        <v>616.05195322442319</v>
      </c>
      <c r="K58" s="512">
        <v>909.30380290721723</v>
      </c>
      <c r="L58" s="513">
        <v>1.0116425335112071</v>
      </c>
      <c r="M58" s="514">
        <v>0.85567961179111507</v>
      </c>
      <c r="N58" s="514">
        <v>1.0116425335112071</v>
      </c>
      <c r="O58" s="514">
        <v>0.8928156296301869</v>
      </c>
      <c r="P58" s="511">
        <v>58.14</v>
      </c>
      <c r="Q58" s="511">
        <v>538.83199999999999</v>
      </c>
      <c r="R58" s="511">
        <v>1.9068627450980391</v>
      </c>
      <c r="S58" s="511">
        <v>2.1760121893280284</v>
      </c>
      <c r="T58" s="511">
        <v>0</v>
      </c>
      <c r="U58" s="511">
        <v>0</v>
      </c>
      <c r="V58" s="511">
        <v>679.68661850700028</v>
      </c>
      <c r="W58" s="511">
        <v>645.20856222347356</v>
      </c>
      <c r="X58" s="511">
        <v>372.15342277261783</v>
      </c>
      <c r="Y58" s="576">
        <v>469.98879056923118</v>
      </c>
      <c r="Z58" s="511">
        <v>0</v>
      </c>
      <c r="AA58" s="576">
        <v>0</v>
      </c>
      <c r="AB58" s="513">
        <v>0.92342264464643609</v>
      </c>
      <c r="AC58" s="514">
        <v>0.79027666658250262</v>
      </c>
      <c r="AD58" s="514">
        <v>0.92342264464643609</v>
      </c>
      <c r="AE58" s="514">
        <v>0.8312906033192099</v>
      </c>
      <c r="AF58" s="511">
        <v>41.02</v>
      </c>
      <c r="AG58" s="511">
        <v>368.51499999999999</v>
      </c>
      <c r="AH58" s="511">
        <v>117.54270935264961</v>
      </c>
      <c r="AI58" s="511">
        <v>122.52077662350368</v>
      </c>
      <c r="AJ58" s="511">
        <v>1.3603120429058995</v>
      </c>
      <c r="AK58" s="511">
        <v>1.3646662958088547</v>
      </c>
      <c r="AL58" s="511">
        <v>904.29839102879305</v>
      </c>
      <c r="AM58" s="511">
        <v>916.03945565309709</v>
      </c>
      <c r="AN58" s="511">
        <v>0</v>
      </c>
      <c r="AO58" s="512">
        <v>0</v>
      </c>
      <c r="AP58" s="594">
        <v>0.99665594562293292</v>
      </c>
      <c r="AQ58" s="514">
        <v>0.72739221166333679</v>
      </c>
      <c r="AR58" s="514">
        <v>0.99665594562293292</v>
      </c>
      <c r="AS58" s="514">
        <v>0.76542363553279691</v>
      </c>
      <c r="AT58" s="511">
        <v>51.712000000000003</v>
      </c>
      <c r="AU58" s="511">
        <v>389.20300000000003</v>
      </c>
      <c r="AV58" s="515">
        <v>85.785345267549587</v>
      </c>
      <c r="AW58" s="515">
        <v>100.70848505820955</v>
      </c>
      <c r="AX58" s="511">
        <v>1.3285117574257426</v>
      </c>
      <c r="AY58" s="511">
        <v>1.5197724580745779</v>
      </c>
      <c r="AZ58" s="511">
        <v>0</v>
      </c>
      <c r="BA58" s="511">
        <v>0</v>
      </c>
      <c r="BB58" s="511">
        <v>744.0114480198032</v>
      </c>
      <c r="BC58" s="511">
        <v>896.43265853551998</v>
      </c>
      <c r="BD58" s="511">
        <v>545.79302676361397</v>
      </c>
      <c r="BE58" s="576">
        <v>511.6105862493352</v>
      </c>
      <c r="BF58" s="511">
        <v>0</v>
      </c>
      <c r="BG58" s="512">
        <v>0</v>
      </c>
      <c r="BH58" s="513">
        <v>0.99565727730786102</v>
      </c>
      <c r="BI58" s="514">
        <v>0.89474301132595668</v>
      </c>
      <c r="BJ58" s="514">
        <v>0.99565727730786102</v>
      </c>
      <c r="BK58" s="514">
        <v>0.91825095415942048</v>
      </c>
      <c r="BL58" s="511">
        <v>53.84</v>
      </c>
      <c r="BM58" s="511">
        <v>464.803</v>
      </c>
      <c r="BN58" s="511">
        <v>2.4349925705794946</v>
      </c>
      <c r="BO58" s="511">
        <v>2.3418523546534771</v>
      </c>
      <c r="BP58" s="515">
        <v>0</v>
      </c>
      <c r="BQ58" s="515">
        <v>0</v>
      </c>
      <c r="BR58" s="515">
        <v>999.59860255794604</v>
      </c>
      <c r="BS58" s="515">
        <v>1027.4723155719062</v>
      </c>
      <c r="BT58" s="515">
        <v>0</v>
      </c>
      <c r="BU58" s="516">
        <v>4.0447243240684765</v>
      </c>
      <c r="BV58" s="513">
        <v>0.9875882457884142</v>
      </c>
      <c r="BW58" s="514">
        <v>0.9120788196204016</v>
      </c>
      <c r="BX58" s="514">
        <v>0.9875882457884142</v>
      </c>
      <c r="BY58" s="514">
        <v>0.96837411362458614</v>
      </c>
      <c r="BZ58" s="511">
        <v>55.335000000000001</v>
      </c>
      <c r="CA58" s="511">
        <v>492.35900000000004</v>
      </c>
      <c r="CB58" s="515">
        <v>68.008788070457911</v>
      </c>
      <c r="CC58" s="515">
        <v>72.104321221871047</v>
      </c>
      <c r="CD58" s="511">
        <v>1.769223818559682</v>
      </c>
      <c r="CE58" s="511">
        <v>1.8887844032504735</v>
      </c>
      <c r="CF58" s="515">
        <v>0</v>
      </c>
      <c r="CG58" s="515">
        <v>0</v>
      </c>
      <c r="CH58" s="515">
        <v>742.28917029510751</v>
      </c>
      <c r="CI58" s="515">
        <v>745.1689220776525</v>
      </c>
      <c r="CJ58" s="515">
        <v>501.05631155688081</v>
      </c>
      <c r="CK58" s="515">
        <v>489.15450920974325</v>
      </c>
      <c r="CL58" s="515">
        <v>0</v>
      </c>
      <c r="CM58" s="516">
        <v>0</v>
      </c>
    </row>
    <row r="59" spans="1:91" ht="12.75" hidden="1" customHeight="1">
      <c r="A59" s="558">
        <v>46092</v>
      </c>
      <c r="B59" s="513">
        <v>1.0354502819530842</v>
      </c>
      <c r="C59" s="514">
        <v>0.91563668371069962</v>
      </c>
      <c r="D59" s="514">
        <v>1.0354502819530842</v>
      </c>
      <c r="E59" s="514">
        <v>0.93560541034948419</v>
      </c>
      <c r="F59" s="511">
        <v>82.772999999999996</v>
      </c>
      <c r="G59" s="511">
        <v>687.88900000000012</v>
      </c>
      <c r="H59" s="511">
        <v>1.8217897140371859</v>
      </c>
      <c r="I59" s="511">
        <v>2.0934118731365086</v>
      </c>
      <c r="J59" s="511">
        <v>694.05409976680301</v>
      </c>
      <c r="K59" s="512">
        <v>883.40301996397864</v>
      </c>
      <c r="L59" s="513">
        <v>0.95441356390820808</v>
      </c>
      <c r="M59" s="514">
        <v>0.86393698514625994</v>
      </c>
      <c r="N59" s="514">
        <v>0.95441356390820808</v>
      </c>
      <c r="O59" s="514">
        <v>0.89817135974886553</v>
      </c>
      <c r="P59" s="511">
        <v>54.850999999999999</v>
      </c>
      <c r="Q59" s="511">
        <v>593.68299999999999</v>
      </c>
      <c r="R59" s="511">
        <v>2.0587591839711217</v>
      </c>
      <c r="S59" s="511">
        <v>2.1651790602055305</v>
      </c>
      <c r="T59" s="511">
        <v>0</v>
      </c>
      <c r="U59" s="511">
        <v>0</v>
      </c>
      <c r="V59" s="511">
        <v>745.42323749797333</v>
      </c>
      <c r="W59" s="511">
        <v>654.46750201706982</v>
      </c>
      <c r="X59" s="511">
        <v>429.25379664910395</v>
      </c>
      <c r="Y59" s="576">
        <v>466.22524141671568</v>
      </c>
      <c r="Z59" s="511">
        <v>0</v>
      </c>
      <c r="AA59" s="576">
        <v>0</v>
      </c>
      <c r="AB59" s="513">
        <v>0.87454587617296486</v>
      </c>
      <c r="AC59" s="514">
        <v>0.79758993153495805</v>
      </c>
      <c r="AD59" s="514">
        <v>0.87454587617296486</v>
      </c>
      <c r="AE59" s="514">
        <v>0.83522160746090846</v>
      </c>
      <c r="AF59" s="511">
        <v>38.755000000000003</v>
      </c>
      <c r="AG59" s="511">
        <v>407.27</v>
      </c>
      <c r="AH59" s="511">
        <v>124.03738110042055</v>
      </c>
      <c r="AI59" s="511">
        <v>122.66509367730808</v>
      </c>
      <c r="AJ59" s="511">
        <v>1.4578764030447684</v>
      </c>
      <c r="AK59" s="511">
        <v>1.3735359834998897</v>
      </c>
      <c r="AL59" s="511">
        <v>977.26074054959713</v>
      </c>
      <c r="AM59" s="511">
        <v>921.86515088270858</v>
      </c>
      <c r="AN59" s="511">
        <v>0</v>
      </c>
      <c r="AO59" s="512">
        <v>0</v>
      </c>
      <c r="AP59" s="594">
        <v>1.0109784536307025</v>
      </c>
      <c r="AQ59" s="514">
        <v>0.75242931227355714</v>
      </c>
      <c r="AR59" s="514">
        <v>1.0109784536307025</v>
      </c>
      <c r="AS59" s="514">
        <v>0.78813171660910608</v>
      </c>
      <c r="AT59" s="511">
        <v>52.383000000000003</v>
      </c>
      <c r="AU59" s="511">
        <v>441.58600000000001</v>
      </c>
      <c r="AV59" s="515">
        <v>84.433515005472429</v>
      </c>
      <c r="AW59" s="515">
        <v>98.777871867862657</v>
      </c>
      <c r="AX59" s="511">
        <v>1.3000400893419619</v>
      </c>
      <c r="AY59" s="511">
        <v>1.4937067751242115</v>
      </c>
      <c r="AZ59" s="511">
        <v>0</v>
      </c>
      <c r="BA59" s="511">
        <v>0</v>
      </c>
      <c r="BB59" s="511">
        <v>718.62512647232791</v>
      </c>
      <c r="BC59" s="511">
        <v>875.3402961144601</v>
      </c>
      <c r="BD59" s="511">
        <v>532.46188648989187</v>
      </c>
      <c r="BE59" s="576">
        <v>514.08406516510956</v>
      </c>
      <c r="BF59" s="511">
        <v>0</v>
      </c>
      <c r="BG59" s="512">
        <v>0</v>
      </c>
      <c r="BH59" s="513">
        <v>0.93104392759714638</v>
      </c>
      <c r="BI59" s="514">
        <v>0.89830675909472968</v>
      </c>
      <c r="BJ59" s="514">
        <v>0.93104392759714638</v>
      </c>
      <c r="BK59" s="514">
        <v>0.91953655219261954</v>
      </c>
      <c r="BL59" s="511">
        <v>52.651000000000003</v>
      </c>
      <c r="BM59" s="511">
        <v>517.45399999999995</v>
      </c>
      <c r="BN59" s="511">
        <v>2.5773489582344111</v>
      </c>
      <c r="BO59" s="511">
        <v>2.3658141593262401</v>
      </c>
      <c r="BP59" s="515">
        <v>0</v>
      </c>
      <c r="BQ59" s="515">
        <v>0</v>
      </c>
      <c r="BR59" s="515">
        <v>1043.6892854067112</v>
      </c>
      <c r="BS59" s="515">
        <v>1029.1223939919637</v>
      </c>
      <c r="BT59" s="515">
        <v>0</v>
      </c>
      <c r="BU59" s="516">
        <v>3.6331731902739186</v>
      </c>
      <c r="BV59" s="513">
        <v>0.87086174787931692</v>
      </c>
      <c r="BW59" s="514">
        <v>0.90820089772876988</v>
      </c>
      <c r="BX59" s="514">
        <v>0.87086174787931692</v>
      </c>
      <c r="BY59" s="514">
        <v>0.95868960240769385</v>
      </c>
      <c r="BZ59" s="511">
        <v>48.823999999999998</v>
      </c>
      <c r="CA59" s="511">
        <v>541.18299999999999</v>
      </c>
      <c r="CB59" s="515">
        <v>75.209947544681697</v>
      </c>
      <c r="CC59" s="515">
        <v>72.384502047183219</v>
      </c>
      <c r="CD59" s="511">
        <v>1.9723906275602163</v>
      </c>
      <c r="CE59" s="511">
        <v>1.8963271204010475</v>
      </c>
      <c r="CF59" s="515">
        <v>0</v>
      </c>
      <c r="CG59" s="515">
        <v>0</v>
      </c>
      <c r="CH59" s="515">
        <v>862.27952306346981</v>
      </c>
      <c r="CI59" s="515">
        <v>755.73430935428837</v>
      </c>
      <c r="CJ59" s="515">
        <v>514.87073980009836</v>
      </c>
      <c r="CK59" s="515">
        <v>491.47455481787125</v>
      </c>
      <c r="CL59" s="515">
        <v>0</v>
      </c>
      <c r="CM59" s="516">
        <v>0</v>
      </c>
    </row>
    <row r="60" spans="1:91" ht="12.75" hidden="1" customHeight="1">
      <c r="A60" s="558">
        <v>46093</v>
      </c>
      <c r="B60" s="513">
        <v>0.85428628770936732</v>
      </c>
      <c r="C60" s="514">
        <v>0.90968817387442413</v>
      </c>
      <c r="D60" s="514">
        <v>0.85428628770936732</v>
      </c>
      <c r="E60" s="514">
        <v>0.9275657875904737</v>
      </c>
      <c r="F60" s="511">
        <v>68.91</v>
      </c>
      <c r="G60" s="511">
        <v>756.79900000000009</v>
      </c>
      <c r="H60" s="511">
        <v>2.2011464228704107</v>
      </c>
      <c r="I60" s="511">
        <v>2.1032215951659552</v>
      </c>
      <c r="J60" s="511">
        <v>814.4330285880402</v>
      </c>
      <c r="K60" s="512">
        <v>877.12298774179555</v>
      </c>
      <c r="L60" s="513">
        <v>0.80639938990464022</v>
      </c>
      <c r="M60" s="514">
        <v>0.85882717344229775</v>
      </c>
      <c r="N60" s="514">
        <v>0.80639938990464022</v>
      </c>
      <c r="O60" s="514">
        <v>0.889728010959977</v>
      </c>
      <c r="P60" s="511">
        <v>54.009</v>
      </c>
      <c r="Q60" s="511">
        <v>647.69200000000001</v>
      </c>
      <c r="R60" s="511">
        <v>2.2442555870317911</v>
      </c>
      <c r="S60" s="511">
        <v>2.171773003217579</v>
      </c>
      <c r="T60" s="511">
        <v>0</v>
      </c>
      <c r="U60" s="511">
        <v>0</v>
      </c>
      <c r="V60" s="511">
        <v>604.52461626768115</v>
      </c>
      <c r="W60" s="511">
        <v>650.30292175910961</v>
      </c>
      <c r="X60" s="511">
        <v>536.00325871613984</v>
      </c>
      <c r="Y60" s="576">
        <v>472.0438109471786</v>
      </c>
      <c r="Z60" s="511">
        <v>0</v>
      </c>
      <c r="AA60" s="576">
        <v>0</v>
      </c>
      <c r="AB60" s="513">
        <v>0.87578769978631898</v>
      </c>
      <c r="AC60" s="514">
        <v>0.80410222043846813</v>
      </c>
      <c r="AD60" s="514">
        <v>0.87578769978631898</v>
      </c>
      <c r="AE60" s="514">
        <v>0.83874548990115816</v>
      </c>
      <c r="AF60" s="511">
        <v>40.625999999999998</v>
      </c>
      <c r="AG60" s="511">
        <v>447.89599999999996</v>
      </c>
      <c r="AH60" s="511">
        <v>126.18791150757036</v>
      </c>
      <c r="AI60" s="511">
        <v>122.98462766995868</v>
      </c>
      <c r="AJ60" s="511">
        <v>1.3833505636784327</v>
      </c>
      <c r="AK60" s="511">
        <v>1.3744262060835555</v>
      </c>
      <c r="AL60" s="511">
        <v>860.72416678974048</v>
      </c>
      <c r="AM60" s="511">
        <v>916.31941343526353</v>
      </c>
      <c r="AN60" s="511">
        <v>0</v>
      </c>
      <c r="AO60" s="512">
        <v>0</v>
      </c>
      <c r="AP60" s="594">
        <v>1.0062673505638271</v>
      </c>
      <c r="AQ60" s="514">
        <v>0.77302053469254062</v>
      </c>
      <c r="AR60" s="514">
        <v>1.0062673505638271</v>
      </c>
      <c r="AS60" s="514">
        <v>0.80659533077639156</v>
      </c>
      <c r="AT60" s="511">
        <v>52.134999999999998</v>
      </c>
      <c r="AU60" s="511">
        <v>493.721</v>
      </c>
      <c r="AV60" s="515">
        <v>83.291905215430916</v>
      </c>
      <c r="AW60" s="515">
        <v>97.142614563789039</v>
      </c>
      <c r="AX60" s="511">
        <v>1.3062242255682361</v>
      </c>
      <c r="AY60" s="511">
        <v>1.4739093536633039</v>
      </c>
      <c r="AZ60" s="511">
        <v>0</v>
      </c>
      <c r="BA60" s="511">
        <v>0</v>
      </c>
      <c r="BB60" s="511">
        <v>712.53054569866811</v>
      </c>
      <c r="BC60" s="511">
        <v>858.14822541475871</v>
      </c>
      <c r="BD60" s="511">
        <v>476.0698187398101</v>
      </c>
      <c r="BE60" s="576">
        <v>510.06990992888711</v>
      </c>
      <c r="BF60" s="511">
        <v>0</v>
      </c>
      <c r="BG60" s="512">
        <v>0</v>
      </c>
      <c r="BH60" s="513">
        <v>0.93124092099354272</v>
      </c>
      <c r="BI60" s="514">
        <v>0.90124034661131336</v>
      </c>
      <c r="BJ60" s="514">
        <v>0.93124092099354272</v>
      </c>
      <c r="BK60" s="514">
        <v>0.92060150775565874</v>
      </c>
      <c r="BL60" s="511">
        <v>52.454000000000001</v>
      </c>
      <c r="BM60" s="511">
        <v>569.9079999999999</v>
      </c>
      <c r="BN60" s="511">
        <v>2.4135432950775915</v>
      </c>
      <c r="BO60" s="511">
        <v>2.3702071211493787</v>
      </c>
      <c r="BP60" s="515">
        <v>0</v>
      </c>
      <c r="BQ60" s="515">
        <v>0</v>
      </c>
      <c r="BR60" s="515">
        <v>822.1228082166831</v>
      </c>
      <c r="BS60" s="515">
        <v>1010.0702728210789</v>
      </c>
      <c r="BT60" s="515">
        <v>0</v>
      </c>
      <c r="BU60" s="516">
        <v>3.2987780483867577</v>
      </c>
      <c r="BV60" s="513">
        <v>0.96265640403115471</v>
      </c>
      <c r="BW60" s="514">
        <v>0.9128016046797901</v>
      </c>
      <c r="BX60" s="514">
        <v>0.96265640403115471</v>
      </c>
      <c r="BY60" s="514">
        <v>0.95904171727057463</v>
      </c>
      <c r="BZ60" s="511">
        <v>52.936</v>
      </c>
      <c r="CA60" s="511">
        <v>594.11900000000003</v>
      </c>
      <c r="CB60" s="515">
        <v>69.708070664329682</v>
      </c>
      <c r="CC60" s="515">
        <v>72.146032024035094</v>
      </c>
      <c r="CD60" s="511">
        <v>1.8059543599818648</v>
      </c>
      <c r="CE60" s="511">
        <v>1.8882749078888235</v>
      </c>
      <c r="CF60" s="515">
        <v>0</v>
      </c>
      <c r="CG60" s="515">
        <v>0</v>
      </c>
      <c r="CH60" s="515">
        <v>762.04681535820714</v>
      </c>
      <c r="CI60" s="515">
        <v>756.29675360842509</v>
      </c>
      <c r="CJ60" s="515">
        <v>437.88914916125151</v>
      </c>
      <c r="CK60" s="515">
        <v>486.70009543542631</v>
      </c>
      <c r="CL60" s="515">
        <v>0</v>
      </c>
      <c r="CM60" s="516">
        <v>0</v>
      </c>
    </row>
    <row r="61" spans="1:91" ht="12.75" hidden="1" customHeight="1">
      <c r="A61" s="558">
        <v>46094</v>
      </c>
      <c r="B61" s="513">
        <v>0.86259505762028721</v>
      </c>
      <c r="C61" s="514">
        <v>0.90570164999995717</v>
      </c>
      <c r="D61" s="514">
        <v>0.86259505762028721</v>
      </c>
      <c r="E61" s="514">
        <v>0.92196711644707652</v>
      </c>
      <c r="F61" s="511">
        <v>66.366</v>
      </c>
      <c r="G61" s="511">
        <v>823.16500000000008</v>
      </c>
      <c r="H61" s="511">
        <v>2.2182593496669982</v>
      </c>
      <c r="I61" s="511">
        <v>2.1124962796037243</v>
      </c>
      <c r="J61" s="511">
        <v>933.54699695623879</v>
      </c>
      <c r="K61" s="512">
        <v>881.67205845729688</v>
      </c>
      <c r="L61" s="513">
        <v>0.9113267729126513</v>
      </c>
      <c r="M61" s="514">
        <v>0.86315996760838165</v>
      </c>
      <c r="N61" s="514">
        <v>0.9113267729126513</v>
      </c>
      <c r="O61" s="514">
        <v>0.89156922681406592</v>
      </c>
      <c r="P61" s="511">
        <v>61.823999999999998</v>
      </c>
      <c r="Q61" s="511">
        <v>709.51599999999996</v>
      </c>
      <c r="R61" s="511">
        <v>2.0599281832298137</v>
      </c>
      <c r="S61" s="511">
        <v>2.1620273538581234</v>
      </c>
      <c r="T61" s="511">
        <v>0</v>
      </c>
      <c r="U61" s="511">
        <v>0</v>
      </c>
      <c r="V61" s="511">
        <v>574.90893504139649</v>
      </c>
      <c r="W61" s="511">
        <v>643.73343236798121</v>
      </c>
      <c r="X61" s="511">
        <v>540.76086956521738</v>
      </c>
      <c r="Y61" s="576">
        <v>478.0315031655382</v>
      </c>
      <c r="Z61" s="511">
        <v>0</v>
      </c>
      <c r="AA61" s="576">
        <v>0</v>
      </c>
      <c r="AB61" s="513">
        <v>0.88488626416255767</v>
      </c>
      <c r="AC61" s="514">
        <v>0.81000484610582857</v>
      </c>
      <c r="AD61" s="514">
        <v>0.88488626416255767</v>
      </c>
      <c r="AE61" s="514">
        <v>0.84225105857875948</v>
      </c>
      <c r="AF61" s="511">
        <v>38.853000000000002</v>
      </c>
      <c r="AG61" s="511">
        <v>486.74899999999997</v>
      </c>
      <c r="AH61" s="511">
        <v>138.39341852410053</v>
      </c>
      <c r="AI61" s="511">
        <v>124.21457935153579</v>
      </c>
      <c r="AJ61" s="511">
        <v>1.4876586106606953</v>
      </c>
      <c r="AK61" s="511">
        <v>1.3834645782528574</v>
      </c>
      <c r="AL61" s="511">
        <v>972.53185082232096</v>
      </c>
      <c r="AM61" s="511">
        <v>920.80637042911314</v>
      </c>
      <c r="AN61" s="511">
        <v>0</v>
      </c>
      <c r="AO61" s="512">
        <v>0</v>
      </c>
      <c r="AP61" s="594">
        <v>0.93731013283192754</v>
      </c>
      <c r="AQ61" s="514">
        <v>0.78537880848135755</v>
      </c>
      <c r="AR61" s="514">
        <v>0.93731013283192754</v>
      </c>
      <c r="AS61" s="514">
        <v>0.81682167934940764</v>
      </c>
      <c r="AT61" s="511">
        <v>48.695</v>
      </c>
      <c r="AU61" s="511">
        <v>542.41600000000005</v>
      </c>
      <c r="AV61" s="515">
        <v>89.615825177690766</v>
      </c>
      <c r="AW61" s="515">
        <v>96.466902547262876</v>
      </c>
      <c r="AX61" s="511">
        <v>1.4293048567614743</v>
      </c>
      <c r="AY61" s="511">
        <v>1.4699050175511046</v>
      </c>
      <c r="AZ61" s="511">
        <v>0</v>
      </c>
      <c r="BA61" s="511">
        <v>0</v>
      </c>
      <c r="BB61" s="511">
        <v>857.90697196837425</v>
      </c>
      <c r="BC61" s="511">
        <v>858.12656706291853</v>
      </c>
      <c r="BD61" s="511">
        <v>508.66719375705935</v>
      </c>
      <c r="BE61" s="576">
        <v>509.94398210967239</v>
      </c>
      <c r="BF61" s="511">
        <v>0</v>
      </c>
      <c r="BG61" s="512">
        <v>0</v>
      </c>
      <c r="BH61" s="513">
        <v>0.85322563601152057</v>
      </c>
      <c r="BI61" s="514">
        <v>0.8975575346921989</v>
      </c>
      <c r="BJ61" s="514">
        <v>0.85322563601152057</v>
      </c>
      <c r="BK61" s="514">
        <v>0.91533132530810923</v>
      </c>
      <c r="BL61" s="511">
        <v>44.822000000000003</v>
      </c>
      <c r="BM61" s="511">
        <v>614.7299999999999</v>
      </c>
      <c r="BN61" s="511">
        <v>2.6482530900004462</v>
      </c>
      <c r="BO61" s="511">
        <v>2.3904803734973084</v>
      </c>
      <c r="BP61" s="515">
        <v>0</v>
      </c>
      <c r="BQ61" s="515">
        <v>0</v>
      </c>
      <c r="BR61" s="515">
        <v>979.8687648910236</v>
      </c>
      <c r="BS61" s="515">
        <v>1007.8681808645435</v>
      </c>
      <c r="BT61" s="515">
        <v>0</v>
      </c>
      <c r="BU61" s="516">
        <v>3.058253216859435</v>
      </c>
      <c r="BV61" s="513">
        <v>0.91209932484407741</v>
      </c>
      <c r="BW61" s="514">
        <v>0.91274687213313155</v>
      </c>
      <c r="BX61" s="514">
        <v>0.91209932484407741</v>
      </c>
      <c r="BY61" s="514">
        <v>0.95521302414241815</v>
      </c>
      <c r="BZ61" s="511">
        <v>50.177999999999997</v>
      </c>
      <c r="CA61" s="511">
        <v>644.29700000000003</v>
      </c>
      <c r="CB61" s="515">
        <v>69.077243075759682</v>
      </c>
      <c r="CC61" s="515">
        <v>71.907034028007544</v>
      </c>
      <c r="CD61" s="511">
        <v>1.9111961417354222</v>
      </c>
      <c r="CE61" s="511">
        <v>1.8900600189043251</v>
      </c>
      <c r="CF61" s="515">
        <v>0</v>
      </c>
      <c r="CG61" s="515">
        <v>0</v>
      </c>
      <c r="CH61" s="515">
        <v>805.88429630624353</v>
      </c>
      <c r="CI61" s="515">
        <v>760.1586429505935</v>
      </c>
      <c r="CJ61" s="515">
        <v>482.09276973972658</v>
      </c>
      <c r="CK61" s="515">
        <v>486.34127584017932</v>
      </c>
      <c r="CL61" s="515">
        <v>0</v>
      </c>
      <c r="CM61" s="516">
        <v>0</v>
      </c>
    </row>
    <row r="62" spans="1:91" ht="12.75" hidden="1" customHeight="1">
      <c r="A62" s="558">
        <v>46095</v>
      </c>
      <c r="B62" s="513">
        <v>0.89454912748863524</v>
      </c>
      <c r="C62" s="514">
        <v>0.90482446083414148</v>
      </c>
      <c r="D62" s="514">
        <v>0.89454912748863524</v>
      </c>
      <c r="E62" s="514">
        <v>0.91977495268797094</v>
      </c>
      <c r="F62" s="511">
        <v>69.406999999999996</v>
      </c>
      <c r="G62" s="511">
        <v>892.57200000000012</v>
      </c>
      <c r="H62" s="511">
        <v>2.1694209517771981</v>
      </c>
      <c r="I62" s="511">
        <v>2.1169227804591668</v>
      </c>
      <c r="J62" s="511">
        <v>738.32034232859144</v>
      </c>
      <c r="K62" s="512">
        <v>870.52493244242635</v>
      </c>
      <c r="L62" s="513">
        <v>0.90298355743858694</v>
      </c>
      <c r="M62" s="514">
        <v>0.86619604275229756</v>
      </c>
      <c r="N62" s="514">
        <v>0.90298355743858694</v>
      </c>
      <c r="O62" s="514">
        <v>0.89246582521031603</v>
      </c>
      <c r="P62" s="511">
        <v>61.258000000000003</v>
      </c>
      <c r="Q62" s="511">
        <v>770.774</v>
      </c>
      <c r="R62" s="511">
        <v>2.0710111332397401</v>
      </c>
      <c r="S62" s="511">
        <v>2.1547937527731866</v>
      </c>
      <c r="T62" s="511">
        <v>0</v>
      </c>
      <c r="U62" s="511">
        <v>0</v>
      </c>
      <c r="V62" s="511">
        <v>608.35156224489742</v>
      </c>
      <c r="W62" s="511">
        <v>640.92142443828993</v>
      </c>
      <c r="X62" s="511">
        <v>537.33389924581274</v>
      </c>
      <c r="Y62" s="576">
        <v>482.7446177478742</v>
      </c>
      <c r="Z62" s="511">
        <v>0</v>
      </c>
      <c r="AA62" s="576">
        <v>0</v>
      </c>
      <c r="AB62" s="513">
        <v>0.85030075694254925</v>
      </c>
      <c r="AC62" s="514">
        <v>0.81294585803529129</v>
      </c>
      <c r="AD62" s="514">
        <v>0.85030075694254925</v>
      </c>
      <c r="AE62" s="514">
        <v>0.84286018765964466</v>
      </c>
      <c r="AF62" s="511">
        <v>40.228999999999999</v>
      </c>
      <c r="AG62" s="511">
        <v>526.97799999999995</v>
      </c>
      <c r="AH62" s="511">
        <v>143.04638196984226</v>
      </c>
      <c r="AI62" s="511">
        <v>125.65218127710355</v>
      </c>
      <c r="AJ62" s="511">
        <v>1.4293171592632181</v>
      </c>
      <c r="AK62" s="511">
        <v>1.3869649207367294</v>
      </c>
      <c r="AL62" s="511">
        <v>915.37448109571778</v>
      </c>
      <c r="AM62" s="511">
        <v>920.39170515657202</v>
      </c>
      <c r="AN62" s="511">
        <v>0</v>
      </c>
      <c r="AO62" s="512">
        <v>0</v>
      </c>
      <c r="AP62" s="594">
        <v>0.99057481693450367</v>
      </c>
      <c r="AQ62" s="514">
        <v>0.79975889973573477</v>
      </c>
      <c r="AR62" s="514">
        <v>0.99057481693450367</v>
      </c>
      <c r="AS62" s="514">
        <v>0.829450322396311</v>
      </c>
      <c r="AT62" s="511">
        <v>51.557000000000002</v>
      </c>
      <c r="AU62" s="511">
        <v>593.97300000000007</v>
      </c>
      <c r="AV62" s="515">
        <v>85.138591429693122</v>
      </c>
      <c r="AW62" s="515">
        <v>95.483602403504591</v>
      </c>
      <c r="AX62" s="511">
        <v>1.349962177783812</v>
      </c>
      <c r="AY62" s="511">
        <v>1.459493950061703</v>
      </c>
      <c r="AZ62" s="511">
        <v>0</v>
      </c>
      <c r="BA62" s="511">
        <v>0</v>
      </c>
      <c r="BB62" s="511">
        <v>720.26300987256661</v>
      </c>
      <c r="BC62" s="511">
        <v>846.15997696864986</v>
      </c>
      <c r="BD62" s="511">
        <v>533.00230812498796</v>
      </c>
      <c r="BE62" s="576">
        <v>511.94545038242478</v>
      </c>
      <c r="BF62" s="511">
        <v>0</v>
      </c>
      <c r="BG62" s="512">
        <v>0</v>
      </c>
      <c r="BH62" s="513">
        <v>0.8578301342568494</v>
      </c>
      <c r="BI62" s="514">
        <v>0.89491474329805909</v>
      </c>
      <c r="BJ62" s="514">
        <v>0.8578301342568494</v>
      </c>
      <c r="BK62" s="514">
        <v>0.91143555020591083</v>
      </c>
      <c r="BL62" s="511">
        <v>41.869</v>
      </c>
      <c r="BM62" s="511">
        <v>656.59899999999993</v>
      </c>
      <c r="BN62" s="511">
        <v>2.6917289641500872</v>
      </c>
      <c r="BO62" s="511">
        <v>2.4096899325158891</v>
      </c>
      <c r="BP62" s="515">
        <v>0</v>
      </c>
      <c r="BQ62" s="515">
        <v>0</v>
      </c>
      <c r="BR62" s="515">
        <v>1190.9419176825525</v>
      </c>
      <c r="BS62" s="515">
        <v>1019.5421466897019</v>
      </c>
      <c r="BT62" s="515">
        <v>0</v>
      </c>
      <c r="BU62" s="516">
        <v>2.8632392068827404</v>
      </c>
      <c r="BV62" s="513">
        <v>0.91384274980184321</v>
      </c>
      <c r="BW62" s="514">
        <v>0.91282569107975708</v>
      </c>
      <c r="BX62" s="514">
        <v>0.91384274980184321</v>
      </c>
      <c r="BY62" s="514">
        <v>0.95210949383223564</v>
      </c>
      <c r="BZ62" s="511">
        <v>49.991</v>
      </c>
      <c r="CA62" s="511">
        <v>694.28800000000001</v>
      </c>
      <c r="CB62" s="515">
        <v>70.010536724500966</v>
      </c>
      <c r="CC62" s="515">
        <v>71.770480037877235</v>
      </c>
      <c r="CD62" s="511">
        <v>1.9123442219599527</v>
      </c>
      <c r="CE62" s="511">
        <v>1.891664554190768</v>
      </c>
      <c r="CF62" s="515">
        <v>0</v>
      </c>
      <c r="CG62" s="515">
        <v>0</v>
      </c>
      <c r="CH62" s="515">
        <v>865.16078591244752</v>
      </c>
      <c r="CI62" s="515">
        <v>767.71913964476948</v>
      </c>
      <c r="CJ62" s="515">
        <v>516.89304074733457</v>
      </c>
      <c r="CK62" s="515">
        <v>488.54110253958015</v>
      </c>
      <c r="CL62" s="515">
        <v>0</v>
      </c>
      <c r="CM62" s="516">
        <v>0</v>
      </c>
    </row>
    <row r="63" spans="1:91" ht="12.75" hidden="1" customHeight="1">
      <c r="A63" s="558">
        <v>46096</v>
      </c>
      <c r="B63" s="513">
        <v>0.89359553704383055</v>
      </c>
      <c r="C63" s="514">
        <v>0.90396756101469511</v>
      </c>
      <c r="D63" s="514">
        <v>1.0107531917595967</v>
      </c>
      <c r="E63" s="514">
        <v>0.92606295917051684</v>
      </c>
      <c r="F63" s="511">
        <v>72.825999999999993</v>
      </c>
      <c r="G63" s="511">
        <v>965.39800000000014</v>
      </c>
      <c r="H63" s="511">
        <v>2.0596764891659576</v>
      </c>
      <c r="I63" s="511">
        <v>2.112604335206826</v>
      </c>
      <c r="J63" s="511">
        <v>746.21289100046283</v>
      </c>
      <c r="K63" s="512">
        <v>861.14729883426435</v>
      </c>
      <c r="L63" s="513">
        <v>0.90350440326698234</v>
      </c>
      <c r="M63" s="514">
        <v>0.86829761841849806</v>
      </c>
      <c r="N63" s="514">
        <v>0.90350440326698234</v>
      </c>
      <c r="O63" s="514">
        <v>0.89310539228973829</v>
      </c>
      <c r="P63" s="511">
        <v>47.991</v>
      </c>
      <c r="Q63" s="511">
        <v>818.76499999999999</v>
      </c>
      <c r="R63" s="511">
        <v>2.3272488591610929</v>
      </c>
      <c r="S63" s="511">
        <v>2.1649020170622832</v>
      </c>
      <c r="T63" s="511">
        <v>0</v>
      </c>
      <c r="U63" s="511">
        <v>0</v>
      </c>
      <c r="V63" s="511">
        <v>850.25838177993114</v>
      </c>
      <c r="W63" s="511">
        <v>653.19147740804635</v>
      </c>
      <c r="X63" s="511">
        <v>420.97476610197742</v>
      </c>
      <c r="Y63" s="576">
        <v>479.12404658235272</v>
      </c>
      <c r="Z63" s="511">
        <v>0</v>
      </c>
      <c r="AA63" s="576">
        <v>0</v>
      </c>
      <c r="AB63" s="513">
        <v>0.8560378307769696</v>
      </c>
      <c r="AC63" s="514">
        <v>0.81589430868500057</v>
      </c>
      <c r="AD63" s="514">
        <v>0.8560378307769696</v>
      </c>
      <c r="AE63" s="514">
        <v>0.84379266238470674</v>
      </c>
      <c r="AF63" s="511">
        <v>40.756999999999998</v>
      </c>
      <c r="AG63" s="511">
        <v>567.7349999999999</v>
      </c>
      <c r="AH63" s="511">
        <v>134.37711715796863</v>
      </c>
      <c r="AI63" s="511">
        <v>126.27853373326077</v>
      </c>
      <c r="AJ63" s="511">
        <v>1.3936256348602694</v>
      </c>
      <c r="AK63" s="511">
        <v>1.3874430852422348</v>
      </c>
      <c r="AL63" s="511">
        <v>872.08823024266655</v>
      </c>
      <c r="AM63" s="511">
        <v>916.92405787911696</v>
      </c>
      <c r="AN63" s="511">
        <v>0</v>
      </c>
      <c r="AO63" s="512">
        <v>0</v>
      </c>
      <c r="AP63" s="594">
        <v>1.0104476710924306</v>
      </c>
      <c r="AQ63" s="514">
        <v>0.81347544197889277</v>
      </c>
      <c r="AR63" s="514">
        <v>1.0104476710924306</v>
      </c>
      <c r="AS63" s="514">
        <v>0.84164185619515353</v>
      </c>
      <c r="AT63" s="511">
        <v>52.259</v>
      </c>
      <c r="AU63" s="511">
        <v>646.23200000000008</v>
      </c>
      <c r="AV63" s="515">
        <v>83.706463718890362</v>
      </c>
      <c r="AW63" s="515">
        <v>94.531217670901967</v>
      </c>
      <c r="AX63" s="511">
        <v>1.3280009185020762</v>
      </c>
      <c r="AY63" s="511">
        <v>1.4488604711620594</v>
      </c>
      <c r="AZ63" s="511">
        <v>0</v>
      </c>
      <c r="BA63" s="511">
        <v>0</v>
      </c>
      <c r="BB63" s="511">
        <v>730.47130637784892</v>
      </c>
      <c r="BC63" s="511">
        <v>836.80455316356938</v>
      </c>
      <c r="BD63" s="511">
        <v>525.58219636808974</v>
      </c>
      <c r="BE63" s="576">
        <v>513.04821643001287</v>
      </c>
      <c r="BF63" s="511">
        <v>0</v>
      </c>
      <c r="BG63" s="512">
        <v>0</v>
      </c>
      <c r="BH63" s="513">
        <v>0.88039818474601084</v>
      </c>
      <c r="BI63" s="514">
        <v>0.89402654991539698</v>
      </c>
      <c r="BJ63" s="514">
        <v>0.88039818474601084</v>
      </c>
      <c r="BK63" s="514">
        <v>0.90950365863660532</v>
      </c>
      <c r="BL63" s="511">
        <v>42.097999999999999</v>
      </c>
      <c r="BM63" s="511">
        <v>698.69699999999989</v>
      </c>
      <c r="BN63" s="511">
        <v>2.6580835194070978</v>
      </c>
      <c r="BO63" s="511">
        <v>2.4246561814348713</v>
      </c>
      <c r="BP63" s="515">
        <v>0</v>
      </c>
      <c r="BQ63" s="515">
        <v>0</v>
      </c>
      <c r="BR63" s="515">
        <v>1135.1477484037459</v>
      </c>
      <c r="BS63" s="515">
        <v>1026.5076333326358</v>
      </c>
      <c r="BT63" s="515">
        <v>0</v>
      </c>
      <c r="BU63" s="516">
        <v>2.6907228741500253</v>
      </c>
      <c r="BV63" s="513">
        <v>0.92105049755528379</v>
      </c>
      <c r="BW63" s="514">
        <v>0.91336776940734021</v>
      </c>
      <c r="BX63" s="514">
        <v>0.92105049755528379</v>
      </c>
      <c r="BY63" s="514">
        <v>0.9499804101062449</v>
      </c>
      <c r="BZ63" s="511">
        <v>49.429000000000002</v>
      </c>
      <c r="CA63" s="511">
        <v>743.71699999999998</v>
      </c>
      <c r="CB63" s="515">
        <v>68.356142113074938</v>
      </c>
      <c r="CC63" s="515">
        <v>71.543555940021392</v>
      </c>
      <c r="CD63" s="511">
        <v>1.9522952113131966</v>
      </c>
      <c r="CE63" s="511">
        <v>1.895694195507162</v>
      </c>
      <c r="CF63" s="515">
        <v>0</v>
      </c>
      <c r="CG63" s="515">
        <v>0</v>
      </c>
      <c r="CH63" s="515">
        <v>829.74873227657974</v>
      </c>
      <c r="CI63" s="515">
        <v>771.84175716487152</v>
      </c>
      <c r="CJ63" s="515">
        <v>479.95306399077469</v>
      </c>
      <c r="CK63" s="515">
        <v>487.97032338913863</v>
      </c>
      <c r="CL63" s="515">
        <v>0</v>
      </c>
      <c r="CM63" s="516">
        <v>0</v>
      </c>
    </row>
    <row r="64" spans="1:91" ht="12.75" hidden="1" customHeight="1">
      <c r="A64" s="558">
        <v>46097</v>
      </c>
      <c r="B64" s="513">
        <v>0.86967004307852791</v>
      </c>
      <c r="C64" s="514">
        <v>0.9017678172796868</v>
      </c>
      <c r="D64" s="514">
        <v>0.86967004307852791</v>
      </c>
      <c r="E64" s="514">
        <v>0.922363473797297</v>
      </c>
      <c r="F64" s="511">
        <v>63.651000000000003</v>
      </c>
      <c r="G64" s="511">
        <v>1029.0490000000002</v>
      </c>
      <c r="H64" s="511">
        <v>2.4457746146957624</v>
      </c>
      <c r="I64" s="511">
        <v>2.1332123154485347</v>
      </c>
      <c r="J64" s="511">
        <v>854.76740349721797</v>
      </c>
      <c r="K64" s="512">
        <v>860.75267552857292</v>
      </c>
      <c r="L64" s="513">
        <v>0.8604943990126217</v>
      </c>
      <c r="M64" s="514">
        <v>0.86788407684922897</v>
      </c>
      <c r="N64" s="514">
        <v>0.8604943990126217</v>
      </c>
      <c r="O64" s="514">
        <v>0.89133044116544824</v>
      </c>
      <c r="P64" s="511">
        <v>45.408000000000001</v>
      </c>
      <c r="Q64" s="511">
        <v>864.173</v>
      </c>
      <c r="R64" s="511">
        <v>2.5069371035940806</v>
      </c>
      <c r="S64" s="511">
        <v>2.1828742624451358</v>
      </c>
      <c r="T64" s="511">
        <v>0</v>
      </c>
      <c r="U64" s="511">
        <v>0</v>
      </c>
      <c r="V64" s="511">
        <v>857.40838618749854</v>
      </c>
      <c r="W64" s="511">
        <v>663.92206190195839</v>
      </c>
      <c r="X64" s="511">
        <v>433.53594080338263</v>
      </c>
      <c r="Y64" s="576">
        <v>476.72861799662797</v>
      </c>
      <c r="Z64" s="511">
        <v>0</v>
      </c>
      <c r="AA64" s="576">
        <v>0</v>
      </c>
      <c r="AB64" s="513">
        <v>0.85259394685094025</v>
      </c>
      <c r="AC64" s="514">
        <v>0.81818540000803031</v>
      </c>
      <c r="AD64" s="514">
        <v>0.85259394685094025</v>
      </c>
      <c r="AE64" s="514">
        <v>0.84435968769018133</v>
      </c>
      <c r="AF64" s="511">
        <v>39.503</v>
      </c>
      <c r="AG64" s="511">
        <v>607.23799999999994</v>
      </c>
      <c r="AH64" s="511">
        <v>125.95426061144721</v>
      </c>
      <c r="AI64" s="511">
        <v>126.25743860889273</v>
      </c>
      <c r="AJ64" s="511">
        <v>1.4277396653418728</v>
      </c>
      <c r="AK64" s="511">
        <v>1.3900645216537835</v>
      </c>
      <c r="AL64" s="511">
        <v>962.12439561551378</v>
      </c>
      <c r="AM64" s="511">
        <v>919.86450123345367</v>
      </c>
      <c r="AN64" s="511">
        <v>0</v>
      </c>
      <c r="AO64" s="512">
        <v>0</v>
      </c>
      <c r="AP64" s="594">
        <v>1.0339152184855311</v>
      </c>
      <c r="AQ64" s="514">
        <v>0.82692363643200062</v>
      </c>
      <c r="AR64" s="514">
        <v>1.0339152184855311</v>
      </c>
      <c r="AS64" s="514">
        <v>0.8537522875840301</v>
      </c>
      <c r="AT64" s="511">
        <v>53.363</v>
      </c>
      <c r="AU64" s="511">
        <v>699.59500000000003</v>
      </c>
      <c r="AV64" s="515">
        <v>72.44548467717587</v>
      </c>
      <c r="AW64" s="515">
        <v>92.846584462053698</v>
      </c>
      <c r="AX64" s="511">
        <v>1.3230140734216591</v>
      </c>
      <c r="AY64" s="511">
        <v>1.4392612868874135</v>
      </c>
      <c r="AZ64" s="511">
        <v>0</v>
      </c>
      <c r="BA64" s="511">
        <v>0</v>
      </c>
      <c r="BB64" s="511">
        <v>811.5510747146908</v>
      </c>
      <c r="BC64" s="511">
        <v>834.87829387002466</v>
      </c>
      <c r="BD64" s="511">
        <v>429.11755336094302</v>
      </c>
      <c r="BE64" s="576">
        <v>506.64623818066178</v>
      </c>
      <c r="BF64" s="511">
        <v>0</v>
      </c>
      <c r="BG64" s="512">
        <v>0</v>
      </c>
      <c r="BH64" s="513">
        <v>0.78522020573024376</v>
      </c>
      <c r="BI64" s="514">
        <v>0.88755585208732191</v>
      </c>
      <c r="BJ64" s="514">
        <v>0.78522020573024376</v>
      </c>
      <c r="BK64" s="514">
        <v>0.90199231970173921</v>
      </c>
      <c r="BL64" s="511">
        <v>38.802</v>
      </c>
      <c r="BM64" s="511">
        <v>737.49899999999991</v>
      </c>
      <c r="BN64" s="511">
        <v>2.8581000979330966</v>
      </c>
      <c r="BO64" s="511">
        <v>2.4474609457097576</v>
      </c>
      <c r="BP64" s="515">
        <v>0</v>
      </c>
      <c r="BQ64" s="515">
        <v>0</v>
      </c>
      <c r="BR64" s="515">
        <v>1234.9901231953575</v>
      </c>
      <c r="BS64" s="515">
        <v>1037.4765127096293</v>
      </c>
      <c r="BT64" s="515">
        <v>0</v>
      </c>
      <c r="BU64" s="516">
        <v>2.5491559988555919</v>
      </c>
      <c r="BV64" s="513">
        <v>0.93446708034884973</v>
      </c>
      <c r="BW64" s="514">
        <v>0.91467939419791522</v>
      </c>
      <c r="BX64" s="514">
        <v>0.93446708034884973</v>
      </c>
      <c r="BY64" s="514">
        <v>0.94897987006646534</v>
      </c>
      <c r="BZ64" s="511">
        <v>50.436</v>
      </c>
      <c r="CA64" s="511">
        <v>794.15300000000002</v>
      </c>
      <c r="CB64" s="515">
        <v>59.789048382858795</v>
      </c>
      <c r="CC64" s="515">
        <v>70.797036889973029</v>
      </c>
      <c r="CD64" s="511">
        <v>1.8954714886192401</v>
      </c>
      <c r="CE64" s="511">
        <v>1.8956800515769627</v>
      </c>
      <c r="CF64" s="515">
        <v>0</v>
      </c>
      <c r="CG64" s="515">
        <v>0</v>
      </c>
      <c r="CH64" s="515">
        <v>788.5302807473679</v>
      </c>
      <c r="CI64" s="515">
        <v>772.90163149060822</v>
      </c>
      <c r="CJ64" s="515">
        <v>404.29455151082567</v>
      </c>
      <c r="CK64" s="515">
        <v>482.65614434498139</v>
      </c>
      <c r="CL64" s="515">
        <v>0</v>
      </c>
      <c r="CM64" s="516">
        <v>0</v>
      </c>
    </row>
    <row r="65" spans="1:91" ht="12.75" hidden="1" customHeight="1">
      <c r="A65" s="558">
        <v>46098</v>
      </c>
      <c r="B65" s="513">
        <v>0.7672032016448288</v>
      </c>
      <c r="C65" s="514">
        <v>0.89396442958808009</v>
      </c>
      <c r="D65" s="514">
        <v>0.7672032016448288</v>
      </c>
      <c r="E65" s="514">
        <v>0.91317241830070461</v>
      </c>
      <c r="F65" s="511">
        <v>53.895000000000003</v>
      </c>
      <c r="G65" s="511">
        <v>1082.9440000000002</v>
      </c>
      <c r="H65" s="511">
        <v>2.0912515075609979</v>
      </c>
      <c r="I65" s="511">
        <v>2.1311240470421366</v>
      </c>
      <c r="J65" s="511">
        <v>1053.8651080805384</v>
      </c>
      <c r="K65" s="512">
        <v>870.36332441936338</v>
      </c>
      <c r="L65" s="513">
        <v>0.72757983813167149</v>
      </c>
      <c r="M65" s="514">
        <v>0.86094230214255452</v>
      </c>
      <c r="N65" s="514">
        <v>0.72757983813167149</v>
      </c>
      <c r="O65" s="514">
        <v>0.88302085217639192</v>
      </c>
      <c r="P65" s="511">
        <v>37.71</v>
      </c>
      <c r="Q65" s="511">
        <v>901.88300000000004</v>
      </c>
      <c r="R65" s="511">
        <v>3.0222487403871652</v>
      </c>
      <c r="S65" s="511">
        <v>2.2179706236840038</v>
      </c>
      <c r="T65" s="511">
        <v>0</v>
      </c>
      <c r="U65" s="511">
        <v>0</v>
      </c>
      <c r="V65" s="511">
        <v>1075.7541766109734</v>
      </c>
      <c r="W65" s="511">
        <v>681.14179998957832</v>
      </c>
      <c r="X65" s="511">
        <v>487.5364624767966</v>
      </c>
      <c r="Y65" s="576">
        <v>477.18052119842599</v>
      </c>
      <c r="Z65" s="511">
        <v>0</v>
      </c>
      <c r="AA65" s="576">
        <v>0</v>
      </c>
      <c r="AB65" s="513">
        <v>0.13201344225354855</v>
      </c>
      <c r="AC65" s="514">
        <v>0.77946789620444568</v>
      </c>
      <c r="AD65" s="514">
        <v>1.0862820391149137</v>
      </c>
      <c r="AE65" s="514">
        <v>0.84616054986694533</v>
      </c>
      <c r="AF65" s="511">
        <v>5.859</v>
      </c>
      <c r="AG65" s="511">
        <v>613.09699999999998</v>
      </c>
      <c r="AH65" s="511">
        <v>85.789810414836097</v>
      </c>
      <c r="AI65" s="511">
        <v>125.87071377809275</v>
      </c>
      <c r="AJ65" s="511">
        <v>1.4678272742788872</v>
      </c>
      <c r="AK65" s="511">
        <v>1.3908076536013063</v>
      </c>
      <c r="AL65" s="511">
        <v>2001.7170165558503</v>
      </c>
      <c r="AM65" s="511">
        <v>930.2031163094922</v>
      </c>
      <c r="AN65" s="511">
        <v>0</v>
      </c>
      <c r="AO65" s="512">
        <v>0</v>
      </c>
      <c r="AP65" s="594">
        <v>1.0342833460111804</v>
      </c>
      <c r="AQ65" s="514">
        <v>0.83884649712773385</v>
      </c>
      <c r="AR65" s="514">
        <v>1.0342833460111804</v>
      </c>
      <c r="AS65" s="514">
        <v>0.86444936369405811</v>
      </c>
      <c r="AT65" s="511">
        <v>53.381999999999998</v>
      </c>
      <c r="AU65" s="511">
        <v>752.97699999999998</v>
      </c>
      <c r="AV65" s="515">
        <v>115.22337000231931</v>
      </c>
      <c r="AW65" s="515">
        <v>94.432977626400643</v>
      </c>
      <c r="AX65" s="511">
        <v>1.3356562137049941</v>
      </c>
      <c r="AY65" s="511">
        <v>1.4319162471098057</v>
      </c>
      <c r="AZ65" s="511">
        <v>0</v>
      </c>
      <c r="BA65" s="511">
        <v>0</v>
      </c>
      <c r="BB65" s="511">
        <v>791.05428796223316</v>
      </c>
      <c r="BC65" s="511">
        <v>831.77140868844583</v>
      </c>
      <c r="BD65" s="511">
        <v>448.35804203664179</v>
      </c>
      <c r="BE65" s="576">
        <v>502.51392007989637</v>
      </c>
      <c r="BF65" s="511">
        <v>0</v>
      </c>
      <c r="BG65" s="512">
        <v>0</v>
      </c>
      <c r="BH65" s="513">
        <v>0.39966019110013967</v>
      </c>
      <c r="BI65" s="514">
        <v>0.86043578695459</v>
      </c>
      <c r="BJ65" s="514">
        <v>7.1938834398025131</v>
      </c>
      <c r="BK65" s="514">
        <v>0.92283129278225906</v>
      </c>
      <c r="BL65" s="511">
        <v>19.545999999999999</v>
      </c>
      <c r="BM65" s="511">
        <v>757.04499999999996</v>
      </c>
      <c r="BN65" s="511">
        <v>0.29161976875063955</v>
      </c>
      <c r="BO65" s="511">
        <v>2.3917996948662239</v>
      </c>
      <c r="BP65" s="515">
        <v>0</v>
      </c>
      <c r="BQ65" s="515">
        <v>0</v>
      </c>
      <c r="BR65" s="515">
        <v>302.56577591158367</v>
      </c>
      <c r="BS65" s="515">
        <v>1018.5019930160115</v>
      </c>
      <c r="BT65" s="515">
        <v>0</v>
      </c>
      <c r="BU65" s="516">
        <v>2.4833398278834151</v>
      </c>
      <c r="BV65" s="513">
        <v>0.98181630272720355</v>
      </c>
      <c r="BW65" s="514">
        <v>0.91854474538141062</v>
      </c>
      <c r="BX65" s="514">
        <v>0.98181630272720355</v>
      </c>
      <c r="BY65" s="514">
        <v>0.9509370693490814</v>
      </c>
      <c r="BZ65" s="511">
        <v>52.076999999999998</v>
      </c>
      <c r="CA65" s="511">
        <v>846.23</v>
      </c>
      <c r="CB65" s="515">
        <v>91.508795885240417</v>
      </c>
      <c r="CC65" s="515">
        <v>72.071638680498708</v>
      </c>
      <c r="CD65" s="511">
        <v>1.8184611248727847</v>
      </c>
      <c r="CE65" s="511">
        <v>1.8909279982983347</v>
      </c>
      <c r="CF65" s="515">
        <v>0</v>
      </c>
      <c r="CG65" s="515">
        <v>0</v>
      </c>
      <c r="CH65" s="515">
        <v>822.63435574306448</v>
      </c>
      <c r="CI65" s="515">
        <v>775.9621836819689</v>
      </c>
      <c r="CJ65" s="515">
        <v>411.99859822954505</v>
      </c>
      <c r="CK65" s="515">
        <v>478.3078784727557</v>
      </c>
      <c r="CL65" s="515">
        <v>0</v>
      </c>
      <c r="CM65" s="516">
        <v>0</v>
      </c>
    </row>
    <row r="66" spans="1:91" ht="12.75" hidden="1" customHeight="1">
      <c r="A66" s="558">
        <v>46099</v>
      </c>
      <c r="B66" s="513">
        <v>1.0050708078537627</v>
      </c>
      <c r="C66" s="514">
        <v>0.89898527824635455</v>
      </c>
      <c r="D66" s="514">
        <v>1.0050708078537627</v>
      </c>
      <c r="E66" s="514">
        <v>0.91741038081196935</v>
      </c>
      <c r="F66" s="511">
        <v>57.624000000000002</v>
      </c>
      <c r="G66" s="511">
        <v>1140.5680000000002</v>
      </c>
      <c r="H66" s="511">
        <v>2.1364188532555879</v>
      </c>
      <c r="I66" s="511">
        <v>2.1313915522792146</v>
      </c>
      <c r="J66" s="511">
        <v>975.65736498679485</v>
      </c>
      <c r="K66" s="512">
        <v>875.68301057017391</v>
      </c>
      <c r="L66" s="513">
        <v>0.9683305590444593</v>
      </c>
      <c r="M66" s="514">
        <v>0.86601338631263181</v>
      </c>
      <c r="N66" s="514">
        <v>0.9683305590444593</v>
      </c>
      <c r="O66" s="514">
        <v>0.8871476555767267</v>
      </c>
      <c r="P66" s="511">
        <v>50.274999999999999</v>
      </c>
      <c r="Q66" s="511">
        <v>952.15800000000002</v>
      </c>
      <c r="R66" s="511">
        <v>2.3240179015415219</v>
      </c>
      <c r="S66" s="511">
        <v>2.2235700377458367</v>
      </c>
      <c r="T66" s="511">
        <v>0</v>
      </c>
      <c r="U66" s="511">
        <v>0</v>
      </c>
      <c r="V66" s="511">
        <v>712.66673296863803</v>
      </c>
      <c r="W66" s="511">
        <v>682.80635146687746</v>
      </c>
      <c r="X66" s="511">
        <v>374.79860765788163</v>
      </c>
      <c r="Y66" s="576">
        <v>471.7746424437961</v>
      </c>
      <c r="Z66" s="511">
        <v>0</v>
      </c>
      <c r="AA66" s="576">
        <v>0</v>
      </c>
      <c r="AB66" s="513">
        <v>0</v>
      </c>
      <c r="AC66" s="514">
        <v>0.73798864517640017</v>
      </c>
      <c r="AD66" s="514" t="e">
        <v>#DIV/0!</v>
      </c>
      <c r="AE66" s="514">
        <v>0.84616054986694533</v>
      </c>
      <c r="AF66" s="511">
        <v>0</v>
      </c>
      <c r="AG66" s="511">
        <v>613.09699999999998</v>
      </c>
      <c r="AH66" s="511">
        <v>0</v>
      </c>
      <c r="AI66" s="511">
        <v>125.87071377809275</v>
      </c>
      <c r="AJ66" s="511">
        <v>0</v>
      </c>
      <c r="AK66" s="511">
        <v>1.3942328864763653</v>
      </c>
      <c r="AL66" s="511">
        <v>0</v>
      </c>
      <c r="AM66" s="511">
        <v>939.84478801886087</v>
      </c>
      <c r="AN66" s="511">
        <v>0</v>
      </c>
      <c r="AO66" s="512">
        <v>0</v>
      </c>
      <c r="AP66" s="594">
        <v>0.88917135028025607</v>
      </c>
      <c r="AQ66" s="514">
        <v>0.84159418684621523</v>
      </c>
      <c r="AR66" s="514">
        <v>0.88917135028025607</v>
      </c>
      <c r="AS66" s="514">
        <v>0.86583804463954739</v>
      </c>
      <c r="AT66" s="511">
        <v>46.094999999999999</v>
      </c>
      <c r="AU66" s="511">
        <v>799.072</v>
      </c>
      <c r="AV66" s="515">
        <v>114.2866154015294</v>
      </c>
      <c r="AW66" s="515">
        <v>95.578247931510262</v>
      </c>
      <c r="AX66" s="511">
        <v>1.429656144918104</v>
      </c>
      <c r="AY66" s="511">
        <v>1.431785871611069</v>
      </c>
      <c r="AZ66" s="511">
        <v>0</v>
      </c>
      <c r="BA66" s="511">
        <v>0</v>
      </c>
      <c r="BB66" s="511">
        <v>949.58845861807265</v>
      </c>
      <c r="BC66" s="511">
        <v>838.5677636057826</v>
      </c>
      <c r="BD66" s="511">
        <v>453.56229525978932</v>
      </c>
      <c r="BE66" s="576">
        <v>499.6901130311162</v>
      </c>
      <c r="BF66" s="511">
        <v>0</v>
      </c>
      <c r="BG66" s="512">
        <v>0</v>
      </c>
      <c r="BH66" s="513">
        <v>0</v>
      </c>
      <c r="BI66" s="514">
        <v>0.81512634609431467</v>
      </c>
      <c r="BJ66" s="514" t="e">
        <v>#DIV/0!</v>
      </c>
      <c r="BK66" s="514">
        <v>0.92283129278225906</v>
      </c>
      <c r="BL66" s="511">
        <v>0</v>
      </c>
      <c r="BM66" s="511">
        <v>757.04499999999996</v>
      </c>
      <c r="BN66" s="511">
        <v>0</v>
      </c>
      <c r="BO66" s="511">
        <v>2.3917996948662239</v>
      </c>
      <c r="BP66" s="515">
        <v>0</v>
      </c>
      <c r="BQ66" s="515">
        <v>0</v>
      </c>
      <c r="BR66" s="515">
        <v>0</v>
      </c>
      <c r="BS66" s="515">
        <v>1021.5419444059563</v>
      </c>
      <c r="BT66" s="515">
        <v>0</v>
      </c>
      <c r="BU66" s="516">
        <v>2.4833398278834151</v>
      </c>
      <c r="BV66" s="513">
        <v>1.0212327727048958</v>
      </c>
      <c r="BW66" s="514">
        <v>0.92463516674645674</v>
      </c>
      <c r="BX66" s="514">
        <v>1.0212327727048958</v>
      </c>
      <c r="BY66" s="514">
        <v>0.95524432220891276</v>
      </c>
      <c r="BZ66" s="511">
        <v>59.319000000000003</v>
      </c>
      <c r="CA66" s="511">
        <v>905.54899999999998</v>
      </c>
      <c r="CB66" s="515">
        <v>66.318691533345159</v>
      </c>
      <c r="CC66" s="515">
        <v>71.694785443598221</v>
      </c>
      <c r="CD66" s="511">
        <v>1.6672566968424958</v>
      </c>
      <c r="CE66" s="511">
        <v>1.876276159545204</v>
      </c>
      <c r="CF66" s="515">
        <v>0</v>
      </c>
      <c r="CG66" s="515">
        <v>0</v>
      </c>
      <c r="CH66" s="515">
        <v>632.2183448810913</v>
      </c>
      <c r="CI66" s="515">
        <v>766.5460827599544</v>
      </c>
      <c r="CJ66" s="515">
        <v>387.44661912709228</v>
      </c>
      <c r="CK66" s="515">
        <v>472.35591006118943</v>
      </c>
      <c r="CL66" s="515">
        <v>0</v>
      </c>
      <c r="CM66" s="516">
        <v>0</v>
      </c>
    </row>
    <row r="67" spans="1:91" ht="12.75" hidden="1" customHeight="1">
      <c r="A67" s="558">
        <v>46100</v>
      </c>
      <c r="B67" s="513">
        <v>1.0356260485905409</v>
      </c>
      <c r="C67" s="514">
        <v>0.90505621388819713</v>
      </c>
      <c r="D67" s="514">
        <v>1.0356260485905409</v>
      </c>
      <c r="E67" s="514">
        <v>0.92276546304163642</v>
      </c>
      <c r="F67" s="511">
        <v>61.091999999999999</v>
      </c>
      <c r="G67" s="511">
        <v>1201.6600000000003</v>
      </c>
      <c r="H67" s="511">
        <v>2.0218195508413541</v>
      </c>
      <c r="I67" s="511">
        <v>2.1258209476890295</v>
      </c>
      <c r="J67" s="511">
        <v>893.65481568781104</v>
      </c>
      <c r="K67" s="512">
        <v>876.59669124378092</v>
      </c>
      <c r="L67" s="513">
        <v>0.92846575652092977</v>
      </c>
      <c r="M67" s="514">
        <v>0.86883051632995223</v>
      </c>
      <c r="N67" s="514">
        <v>0.92846575652092977</v>
      </c>
      <c r="O67" s="514">
        <v>0.88905483608838232</v>
      </c>
      <c r="P67" s="511">
        <v>48.222999999999999</v>
      </c>
      <c r="Q67" s="511">
        <v>1000.381</v>
      </c>
      <c r="R67" s="511">
        <v>2.4353109512058562</v>
      </c>
      <c r="S67" s="511">
        <v>2.2337769309892939</v>
      </c>
      <c r="T67" s="511">
        <v>0</v>
      </c>
      <c r="U67" s="511">
        <v>0</v>
      </c>
      <c r="V67" s="511">
        <v>693.48526636667725</v>
      </c>
      <c r="W67" s="511">
        <v>683.32112465150726</v>
      </c>
      <c r="X67" s="511">
        <v>365.53097069862929</v>
      </c>
      <c r="Y67" s="576">
        <v>466.65320512884591</v>
      </c>
      <c r="Z67" s="511">
        <v>0</v>
      </c>
      <c r="AA67" s="576">
        <v>0</v>
      </c>
      <c r="AB67" s="513">
        <v>0</v>
      </c>
      <c r="AC67" s="514">
        <v>0.70070096304934359</v>
      </c>
      <c r="AD67" s="514" t="e">
        <v>#DIV/0!</v>
      </c>
      <c r="AE67" s="514">
        <v>0.84616054986694533</v>
      </c>
      <c r="AF67" s="511">
        <v>0</v>
      </c>
      <c r="AG67" s="511">
        <v>613.09699999999998</v>
      </c>
      <c r="AH67" s="511">
        <v>0</v>
      </c>
      <c r="AI67" s="511">
        <v>125.87071377809275</v>
      </c>
      <c r="AJ67" s="511">
        <v>0</v>
      </c>
      <c r="AK67" s="511">
        <v>1.3994522889526455</v>
      </c>
      <c r="AL67" s="511">
        <v>0</v>
      </c>
      <c r="AM67" s="511">
        <v>945.8228958876</v>
      </c>
      <c r="AN67" s="511">
        <v>0</v>
      </c>
      <c r="AO67" s="512">
        <v>0</v>
      </c>
      <c r="AP67" s="594">
        <v>0.95454062845367194</v>
      </c>
      <c r="AQ67" s="514">
        <v>0.84721545222774441</v>
      </c>
      <c r="AR67" s="514">
        <v>0.95454062845367194</v>
      </c>
      <c r="AS67" s="514">
        <v>0.87037338138744047</v>
      </c>
      <c r="AT67" s="511">
        <v>47.469000000000001</v>
      </c>
      <c r="AU67" s="511">
        <v>846.54100000000005</v>
      </c>
      <c r="AV67" s="515">
        <v>111.59968938723385</v>
      </c>
      <c r="AW67" s="515">
        <v>96.476635374601315</v>
      </c>
      <c r="AX67" s="511">
        <v>1.3735279866860477</v>
      </c>
      <c r="AY67" s="511">
        <v>1.4285191148449987</v>
      </c>
      <c r="AZ67" s="511">
        <v>0</v>
      </c>
      <c r="BA67" s="511">
        <v>0</v>
      </c>
      <c r="BB67" s="511">
        <v>896.06185089216183</v>
      </c>
      <c r="BC67" s="511">
        <v>841.79169112895875</v>
      </c>
      <c r="BD67" s="511">
        <v>495.25559839052875</v>
      </c>
      <c r="BE67" s="576">
        <v>499.44145174303441</v>
      </c>
      <c r="BF67" s="511">
        <v>0</v>
      </c>
      <c r="BG67" s="512">
        <v>0</v>
      </c>
      <c r="BH67" s="513">
        <v>0</v>
      </c>
      <c r="BI67" s="514">
        <v>0.77435006835326137</v>
      </c>
      <c r="BJ67" s="514" t="e">
        <v>#DIV/0!</v>
      </c>
      <c r="BK67" s="514">
        <v>0.92283129278225906</v>
      </c>
      <c r="BL67" s="511">
        <v>0</v>
      </c>
      <c r="BM67" s="511">
        <v>757.04499999999996</v>
      </c>
      <c r="BN67" s="511">
        <v>0</v>
      </c>
      <c r="BO67" s="511">
        <v>2.3917996948662239</v>
      </c>
      <c r="BP67" s="515">
        <v>0</v>
      </c>
      <c r="BQ67" s="515">
        <v>0</v>
      </c>
      <c r="BR67" s="515">
        <v>0</v>
      </c>
      <c r="BS67" s="515">
        <v>1023.9393712431988</v>
      </c>
      <c r="BT67" s="515">
        <v>0</v>
      </c>
      <c r="BU67" s="516">
        <v>2.4833398278834151</v>
      </c>
      <c r="BV67" s="513">
        <v>0.98522386522341299</v>
      </c>
      <c r="BW67" s="514">
        <v>0.92806772098809753</v>
      </c>
      <c r="BX67" s="514">
        <v>0.98522386522341299</v>
      </c>
      <c r="BY67" s="514">
        <v>0.95699570514813836</v>
      </c>
      <c r="BZ67" s="511">
        <v>57.947000000000003</v>
      </c>
      <c r="CA67" s="511">
        <v>963.49599999999998</v>
      </c>
      <c r="CB67" s="515">
        <v>64.757008032812664</v>
      </c>
      <c r="CC67" s="515">
        <v>71.277530584602644</v>
      </c>
      <c r="CD67" s="511">
        <v>1.7274405922653457</v>
      </c>
      <c r="CE67" s="511">
        <v>1.8673248254274017</v>
      </c>
      <c r="CF67" s="515">
        <v>0</v>
      </c>
      <c r="CG67" s="515">
        <v>0</v>
      </c>
      <c r="CH67" s="515">
        <v>618.84687731890313</v>
      </c>
      <c r="CI67" s="515">
        <v>757.66309221542429</v>
      </c>
      <c r="CJ67" s="515">
        <v>487.87533435725766</v>
      </c>
      <c r="CK67" s="515">
        <v>473.28928609978664</v>
      </c>
      <c r="CL67" s="515">
        <v>0</v>
      </c>
      <c r="CM67" s="516">
        <v>0</v>
      </c>
    </row>
    <row r="68" spans="1:91" ht="12.75" hidden="1" customHeight="1">
      <c r="A68" s="558">
        <v>46101</v>
      </c>
      <c r="B68" s="513">
        <v>0.87069560796454792</v>
      </c>
      <c r="C68" s="514">
        <v>0.90349362250044818</v>
      </c>
      <c r="D68" s="514">
        <v>0.87069560796454792</v>
      </c>
      <c r="E68" s="514">
        <v>0.92035333431788813</v>
      </c>
      <c r="F68" s="511">
        <v>55.076999999999998</v>
      </c>
      <c r="G68" s="511">
        <v>1256.7370000000003</v>
      </c>
      <c r="H68" s="511">
        <v>2.2907202643571729</v>
      </c>
      <c r="I68" s="511">
        <v>2.1330477259760787</v>
      </c>
      <c r="J68" s="511">
        <v>1056.6112896490536</v>
      </c>
      <c r="K68" s="512">
        <v>884.48590277838775</v>
      </c>
      <c r="L68" s="513">
        <v>0.96115834832510083</v>
      </c>
      <c r="M68" s="514">
        <v>0.87281552473431512</v>
      </c>
      <c r="N68" s="514">
        <v>0.96115834832510083</v>
      </c>
      <c r="O68" s="514">
        <v>0.89223617831978508</v>
      </c>
      <c r="P68" s="511">
        <v>49.920999999999999</v>
      </c>
      <c r="Q68" s="511">
        <v>1050.3019999999999</v>
      </c>
      <c r="R68" s="511">
        <v>2.3459866589210954</v>
      </c>
      <c r="S68" s="511">
        <v>2.2391102749494913</v>
      </c>
      <c r="T68" s="511">
        <v>0</v>
      </c>
      <c r="U68" s="511">
        <v>0</v>
      </c>
      <c r="V68" s="511">
        <v>750.52522986321992</v>
      </c>
      <c r="W68" s="511">
        <v>686.51534511026478</v>
      </c>
      <c r="X68" s="511">
        <v>469.60197111436071</v>
      </c>
      <c r="Y68" s="576">
        <v>466.79336038587002</v>
      </c>
      <c r="Z68" s="511">
        <v>0</v>
      </c>
      <c r="AA68" s="576">
        <v>0</v>
      </c>
      <c r="AB68" s="513">
        <v>0</v>
      </c>
      <c r="AC68" s="514">
        <v>0.6670000568612463</v>
      </c>
      <c r="AD68" s="514" t="e">
        <v>#DIV/0!</v>
      </c>
      <c r="AE68" s="514">
        <v>0.84616054986694533</v>
      </c>
      <c r="AF68" s="511">
        <v>0</v>
      </c>
      <c r="AG68" s="511">
        <v>613.09699999999998</v>
      </c>
      <c r="AH68" s="511">
        <v>0</v>
      </c>
      <c r="AI68" s="511">
        <v>125.87071377809275</v>
      </c>
      <c r="AJ68" s="511">
        <v>0</v>
      </c>
      <c r="AK68" s="511">
        <v>1.4059765420479959</v>
      </c>
      <c r="AL68" s="511">
        <v>0</v>
      </c>
      <c r="AM68" s="511">
        <v>955.6337088584695</v>
      </c>
      <c r="AN68" s="511">
        <v>0</v>
      </c>
      <c r="AO68" s="512">
        <v>0</v>
      </c>
      <c r="AP68" s="594">
        <v>0.89580051050181619</v>
      </c>
      <c r="AQ68" s="514">
        <v>0.84957474997839977</v>
      </c>
      <c r="AR68" s="514">
        <v>0.89580051050181619</v>
      </c>
      <c r="AS68" s="514">
        <v>0.87164019583364472</v>
      </c>
      <c r="AT68" s="511">
        <v>45.683999999999997</v>
      </c>
      <c r="AU68" s="511">
        <v>892.22500000000002</v>
      </c>
      <c r="AV68" s="515">
        <v>122.13972504202306</v>
      </c>
      <c r="AW68" s="515">
        <v>97.790645392664587</v>
      </c>
      <c r="AX68" s="511">
        <v>1.4600297697224414</v>
      </c>
      <c r="AY68" s="511">
        <v>1.4301325338339546</v>
      </c>
      <c r="AZ68" s="511">
        <v>0</v>
      </c>
      <c r="BA68" s="511">
        <v>0</v>
      </c>
      <c r="BB68" s="511">
        <v>915.96576481919271</v>
      </c>
      <c r="BC68" s="511">
        <v>845.58957662024704</v>
      </c>
      <c r="BD68" s="511">
        <v>511.91784869976385</v>
      </c>
      <c r="BE68" s="576">
        <v>500.08027235282594</v>
      </c>
      <c r="BF68" s="511">
        <v>0</v>
      </c>
      <c r="BG68" s="512">
        <v>0</v>
      </c>
      <c r="BH68" s="513">
        <v>0</v>
      </c>
      <c r="BI68" s="514">
        <v>0.73745905695001823</v>
      </c>
      <c r="BJ68" s="514" t="e">
        <v>#DIV/0!</v>
      </c>
      <c r="BK68" s="514">
        <v>0.92283129278225906</v>
      </c>
      <c r="BL68" s="511">
        <v>0</v>
      </c>
      <c r="BM68" s="511">
        <v>757.04499999999996</v>
      </c>
      <c r="BN68" s="511">
        <v>0</v>
      </c>
      <c r="BO68" s="511">
        <v>2.3917996948662239</v>
      </c>
      <c r="BP68" s="515">
        <v>0</v>
      </c>
      <c r="BQ68" s="515">
        <v>0</v>
      </c>
      <c r="BR68" s="515">
        <v>0</v>
      </c>
      <c r="BS68" s="515">
        <v>1028.1730429535965</v>
      </c>
      <c r="BT68" s="515">
        <v>0</v>
      </c>
      <c r="BU68" s="516">
        <v>2.4833398278834151</v>
      </c>
      <c r="BV68" s="513">
        <v>0.95558910937609709</v>
      </c>
      <c r="BW68" s="514">
        <v>0.92954330377405603</v>
      </c>
      <c r="BX68" s="514">
        <v>0.95558910937609709</v>
      </c>
      <c r="BY68" s="514">
        <v>0.95691806833914228</v>
      </c>
      <c r="BZ68" s="511">
        <v>56.204000000000001</v>
      </c>
      <c r="CA68" s="511">
        <v>1019.6999999999999</v>
      </c>
      <c r="CB68" s="515">
        <v>70.282698761302015</v>
      </c>
      <c r="CC68" s="515">
        <v>71.222697273043579</v>
      </c>
      <c r="CD68" s="511">
        <v>1.7845704932033306</v>
      </c>
      <c r="CE68" s="511">
        <v>1.862763557909189</v>
      </c>
      <c r="CF68" s="515">
        <v>0</v>
      </c>
      <c r="CG68" s="515">
        <v>0</v>
      </c>
      <c r="CH68" s="515">
        <v>681.08960216355445</v>
      </c>
      <c r="CI68" s="515">
        <v>753.44250141923396</v>
      </c>
      <c r="CJ68" s="515">
        <v>480.45414917087783</v>
      </c>
      <c r="CK68" s="515">
        <v>473.68420025497704</v>
      </c>
      <c r="CL68" s="515">
        <v>0</v>
      </c>
      <c r="CM68" s="516">
        <v>0</v>
      </c>
    </row>
    <row r="69" spans="1:91" ht="12.75" hidden="1" customHeight="1">
      <c r="A69" s="558">
        <v>46102</v>
      </c>
      <c r="B69" s="513">
        <v>0.90343603952437113</v>
      </c>
      <c r="C69" s="514">
        <v>0.90349106987516958</v>
      </c>
      <c r="D69" s="514">
        <v>0.90343603952437113</v>
      </c>
      <c r="E69" s="514">
        <v>0.91959003606441891</v>
      </c>
      <c r="F69" s="511">
        <v>58.290999999999997</v>
      </c>
      <c r="G69" s="511">
        <v>1315.0280000000002</v>
      </c>
      <c r="H69" s="511">
        <v>2.1350294213514953</v>
      </c>
      <c r="I69" s="511">
        <v>2.1331355682160376</v>
      </c>
      <c r="J69" s="511">
        <v>1019.6520903741362</v>
      </c>
      <c r="K69" s="512">
        <v>890.47738907460655</v>
      </c>
      <c r="L69" s="513">
        <v>0.90988022943131863</v>
      </c>
      <c r="M69" s="514">
        <v>0.87452320898459002</v>
      </c>
      <c r="N69" s="514">
        <v>0.90988022943131863</v>
      </c>
      <c r="O69" s="514">
        <v>0.89306633049929929</v>
      </c>
      <c r="P69" s="511">
        <v>52.881999999999998</v>
      </c>
      <c r="Q69" s="511">
        <v>1103.184</v>
      </c>
      <c r="R69" s="511">
        <v>2.3127151015468401</v>
      </c>
      <c r="S69" s="511">
        <v>2.2426385806900759</v>
      </c>
      <c r="T69" s="511">
        <v>0</v>
      </c>
      <c r="U69" s="511">
        <v>0</v>
      </c>
      <c r="V69" s="511">
        <v>664.07492152333555</v>
      </c>
      <c r="W69" s="511">
        <v>685.43964560762163</v>
      </c>
      <c r="X69" s="511">
        <v>558.8480012102417</v>
      </c>
      <c r="Y69" s="576">
        <v>471.20607260438874</v>
      </c>
      <c r="Z69" s="511">
        <v>0</v>
      </c>
      <c r="AA69" s="576">
        <v>0</v>
      </c>
      <c r="AB69" s="513">
        <v>0</v>
      </c>
      <c r="AC69" s="514">
        <v>0.63639214682545531</v>
      </c>
      <c r="AD69" s="514" t="e">
        <v>#DIV/0!</v>
      </c>
      <c r="AE69" s="514">
        <v>0.84616054986694533</v>
      </c>
      <c r="AF69" s="511">
        <v>0</v>
      </c>
      <c r="AG69" s="511">
        <v>613.09699999999998</v>
      </c>
      <c r="AH69" s="511">
        <v>0</v>
      </c>
      <c r="AI69" s="511">
        <v>125.87071377809275</v>
      </c>
      <c r="AJ69" s="511">
        <v>0</v>
      </c>
      <c r="AK69" s="511">
        <v>1.4141318584171838</v>
      </c>
      <c r="AL69" s="511">
        <v>0</v>
      </c>
      <c r="AM69" s="511">
        <v>964.32163262909592</v>
      </c>
      <c r="AN69" s="511">
        <v>0</v>
      </c>
      <c r="AO69" s="512">
        <v>0</v>
      </c>
      <c r="AP69" s="594">
        <v>0.93349160117942476</v>
      </c>
      <c r="AQ69" s="514">
        <v>0.85345223422669003</v>
      </c>
      <c r="AR69" s="514">
        <v>0.93349160117942476</v>
      </c>
      <c r="AS69" s="514">
        <v>0.87456883057532397</v>
      </c>
      <c r="AT69" s="511">
        <v>47.493000000000002</v>
      </c>
      <c r="AU69" s="511">
        <v>939.71800000000007</v>
      </c>
      <c r="AV69" s="515">
        <v>120.05470260908129</v>
      </c>
      <c r="AW69" s="515">
        <v>98.91586260610444</v>
      </c>
      <c r="AX69" s="511">
        <v>1.425473227633546</v>
      </c>
      <c r="AY69" s="511">
        <v>1.4298970542226499</v>
      </c>
      <c r="AZ69" s="511">
        <v>0</v>
      </c>
      <c r="BA69" s="511">
        <v>0</v>
      </c>
      <c r="BB69" s="511">
        <v>904.27094519192258</v>
      </c>
      <c r="BC69" s="511">
        <v>848.55531127423319</v>
      </c>
      <c r="BD69" s="511">
        <v>530.32120523024435</v>
      </c>
      <c r="BE69" s="576">
        <v>501.60863791052213</v>
      </c>
      <c r="BF69" s="511">
        <v>0</v>
      </c>
      <c r="BG69" s="512">
        <v>0</v>
      </c>
      <c r="BH69" s="513">
        <v>0</v>
      </c>
      <c r="BI69" s="514">
        <v>0.70392326696323171</v>
      </c>
      <c r="BJ69" s="514" t="e">
        <v>#DIV/0!</v>
      </c>
      <c r="BK69" s="514">
        <v>0.92283129278225906</v>
      </c>
      <c r="BL69" s="511">
        <v>0</v>
      </c>
      <c r="BM69" s="511">
        <v>757.04499999999996</v>
      </c>
      <c r="BN69" s="511">
        <v>0</v>
      </c>
      <c r="BO69" s="511">
        <v>2.3917996948662239</v>
      </c>
      <c r="BP69" s="515">
        <v>0</v>
      </c>
      <c r="BQ69" s="515">
        <v>0</v>
      </c>
      <c r="BR69" s="515">
        <v>0</v>
      </c>
      <c r="BS69" s="515">
        <v>1031.5234910775532</v>
      </c>
      <c r="BT69" s="515">
        <v>0</v>
      </c>
      <c r="BU69" s="516">
        <v>2.4833398278834151</v>
      </c>
      <c r="BV69" s="513">
        <v>0.98466279411442759</v>
      </c>
      <c r="BW69" s="514">
        <v>0.93234819572739613</v>
      </c>
      <c r="BX69" s="514">
        <v>0.98466279411442759</v>
      </c>
      <c r="BY69" s="514">
        <v>0.95836933143846093</v>
      </c>
      <c r="BZ69" s="511">
        <v>57.914000000000001</v>
      </c>
      <c r="CA69" s="511">
        <v>1077.614</v>
      </c>
      <c r="CB69" s="515">
        <v>69.227509911021542</v>
      </c>
      <c r="CC69" s="515">
        <v>71.11547030598102</v>
      </c>
      <c r="CD69" s="511">
        <v>1.7042511309873261</v>
      </c>
      <c r="CE69" s="511">
        <v>1.8542446553218497</v>
      </c>
      <c r="CF69" s="515">
        <v>0</v>
      </c>
      <c r="CG69" s="515">
        <v>0</v>
      </c>
      <c r="CH69" s="515">
        <v>614.06706495836454</v>
      </c>
      <c r="CI69" s="515">
        <v>745.9520743950909</v>
      </c>
      <c r="CJ69" s="515">
        <v>502.18522291673838</v>
      </c>
      <c r="CK69" s="515">
        <v>475.21592518285769</v>
      </c>
      <c r="CL69" s="515">
        <v>0</v>
      </c>
      <c r="CM69" s="516">
        <v>0</v>
      </c>
    </row>
    <row r="70" spans="1:91" ht="12.75" hidden="1" customHeight="1">
      <c r="A70" s="558">
        <v>46103</v>
      </c>
      <c r="B70" s="513">
        <v>0.95793257339586935</v>
      </c>
      <c r="C70" s="514">
        <v>0.90586756465088791</v>
      </c>
      <c r="D70" s="514">
        <v>0.95793257339586935</v>
      </c>
      <c r="E70" s="514">
        <v>0.9212922742237456</v>
      </c>
      <c r="F70" s="511">
        <v>63.640999999999998</v>
      </c>
      <c r="G70" s="511">
        <v>1378.6690000000003</v>
      </c>
      <c r="H70" s="511">
        <v>2.0728932606338679</v>
      </c>
      <c r="I70" s="511">
        <v>2.1303547116820636</v>
      </c>
      <c r="J70" s="511">
        <v>887.79717477721942</v>
      </c>
      <c r="K70" s="512">
        <v>890.35366719640365</v>
      </c>
      <c r="L70" s="513">
        <v>0.81409662264155214</v>
      </c>
      <c r="M70" s="514">
        <v>0.87151374578977281</v>
      </c>
      <c r="N70" s="514">
        <v>0.81409662264155214</v>
      </c>
      <c r="O70" s="514">
        <v>0.88905419583077783</v>
      </c>
      <c r="P70" s="511">
        <v>53.826999999999998</v>
      </c>
      <c r="Q70" s="511">
        <v>1157.011</v>
      </c>
      <c r="R70" s="511">
        <v>2.6854924108718672</v>
      </c>
      <c r="S70" s="511">
        <v>2.2632412310686769</v>
      </c>
      <c r="T70" s="511">
        <v>0</v>
      </c>
      <c r="U70" s="511">
        <v>0</v>
      </c>
      <c r="V70" s="511">
        <v>603.23908075874181</v>
      </c>
      <c r="W70" s="511">
        <v>681.61547297303059</v>
      </c>
      <c r="X70" s="511">
        <v>553.03100674382745</v>
      </c>
      <c r="Y70" s="576">
        <v>475.01276997366494</v>
      </c>
      <c r="Z70" s="511">
        <v>0</v>
      </c>
      <c r="AA70" s="576">
        <v>0</v>
      </c>
      <c r="AB70" s="513">
        <v>0</v>
      </c>
      <c r="AC70" s="514">
        <v>0.60847011252851546</v>
      </c>
      <c r="AD70" s="514" t="e">
        <v>#DIV/0!</v>
      </c>
      <c r="AE70" s="514">
        <v>0.84616054986694533</v>
      </c>
      <c r="AF70" s="511">
        <v>0</v>
      </c>
      <c r="AG70" s="511">
        <v>613.09699999999998</v>
      </c>
      <c r="AH70" s="511">
        <v>0</v>
      </c>
      <c r="AI70" s="511">
        <v>125.87071377809275</v>
      </c>
      <c r="AJ70" s="511">
        <v>0</v>
      </c>
      <c r="AK70" s="511">
        <v>1.421471643149453</v>
      </c>
      <c r="AL70" s="511">
        <v>0</v>
      </c>
      <c r="AM70" s="511">
        <v>971.79239174225472</v>
      </c>
      <c r="AN70" s="511">
        <v>0</v>
      </c>
      <c r="AO70" s="512">
        <v>0</v>
      </c>
      <c r="AP70" s="594">
        <v>0.94194678766189488</v>
      </c>
      <c r="AQ70" s="514">
        <v>0.85735314632591308</v>
      </c>
      <c r="AR70" s="514">
        <v>0.94194678766189488</v>
      </c>
      <c r="AS70" s="514">
        <v>0.87760907724762938</v>
      </c>
      <c r="AT70" s="511">
        <v>47.826999999999998</v>
      </c>
      <c r="AU70" s="511">
        <v>987.54500000000007</v>
      </c>
      <c r="AV70" s="515">
        <v>119.06253518157189</v>
      </c>
      <c r="AW70" s="515">
        <v>99.891569950343836</v>
      </c>
      <c r="AX70" s="511">
        <v>1.4426997302778766</v>
      </c>
      <c r="AY70" s="511">
        <v>1.4305170903604394</v>
      </c>
      <c r="AZ70" s="511">
        <v>0</v>
      </c>
      <c r="BA70" s="511">
        <v>0</v>
      </c>
      <c r="BB70" s="511">
        <v>889.04384552658462</v>
      </c>
      <c r="BC70" s="511">
        <v>850.51617900956387</v>
      </c>
      <c r="BD70" s="511">
        <v>515.03654839316016</v>
      </c>
      <c r="BE70" s="576">
        <v>502.25895427550103</v>
      </c>
      <c r="BF70" s="511">
        <v>0</v>
      </c>
      <c r="BG70" s="512">
        <v>0</v>
      </c>
      <c r="BH70" s="513">
        <v>0</v>
      </c>
      <c r="BI70" s="514">
        <v>0.67330487445194365</v>
      </c>
      <c r="BJ70" s="514" t="e">
        <v>#DIV/0!</v>
      </c>
      <c r="BK70" s="514">
        <v>0.92283129278225906</v>
      </c>
      <c r="BL70" s="511">
        <v>0</v>
      </c>
      <c r="BM70" s="511">
        <v>757.04499999999996</v>
      </c>
      <c r="BN70" s="511">
        <v>0</v>
      </c>
      <c r="BO70" s="511">
        <v>2.3917996948662239</v>
      </c>
      <c r="BP70" s="515">
        <v>0</v>
      </c>
      <c r="BQ70" s="515">
        <v>0</v>
      </c>
      <c r="BR70" s="515">
        <v>0</v>
      </c>
      <c r="BS70" s="515">
        <v>1034.3243813813001</v>
      </c>
      <c r="BT70" s="515">
        <v>0</v>
      </c>
      <c r="BU70" s="516">
        <v>2.4833398278834151</v>
      </c>
      <c r="BV70" s="513">
        <v>0.95667195322302678</v>
      </c>
      <c r="BW70" s="514">
        <v>0.93349040917580839</v>
      </c>
      <c r="BX70" s="514">
        <v>0.95667195322302678</v>
      </c>
      <c r="BY70" s="514">
        <v>0.95828750734647072</v>
      </c>
      <c r="BZ70" s="511">
        <v>54.481999999999999</v>
      </c>
      <c r="CA70" s="511">
        <v>1132.096</v>
      </c>
      <c r="CB70" s="515">
        <v>73.796779300887621</v>
      </c>
      <c r="CC70" s="515">
        <v>71.244508017147297</v>
      </c>
      <c r="CD70" s="511">
        <v>1.8061010976102201</v>
      </c>
      <c r="CE70" s="511">
        <v>1.8519277517101023</v>
      </c>
      <c r="CF70" s="515">
        <v>0</v>
      </c>
      <c r="CG70" s="515">
        <v>0</v>
      </c>
      <c r="CH70" s="515">
        <v>683.35597077934278</v>
      </c>
      <c r="CI70" s="515">
        <v>742.93964354364971</v>
      </c>
      <c r="CJ70" s="515">
        <v>480.10805403618866</v>
      </c>
      <c r="CK70" s="515">
        <v>475.45135836536798</v>
      </c>
      <c r="CL70" s="515">
        <v>0</v>
      </c>
      <c r="CM70" s="516">
        <v>0</v>
      </c>
    </row>
    <row r="71" spans="1:91" ht="12.75" hidden="1" customHeight="1">
      <c r="A71" s="558">
        <v>46104</v>
      </c>
      <c r="B71" s="513">
        <v>0.88841773800937163</v>
      </c>
      <c r="C71" s="514">
        <v>0.90515674776233968</v>
      </c>
      <c r="D71" s="514">
        <v>0.88841773800937163</v>
      </c>
      <c r="E71" s="514">
        <v>0.91993127509788752</v>
      </c>
      <c r="F71" s="511">
        <v>57.417000000000002</v>
      </c>
      <c r="G71" s="511">
        <v>1436.0860000000002</v>
      </c>
      <c r="H71" s="511">
        <v>2.2720448647613076</v>
      </c>
      <c r="I71" s="511">
        <v>2.1360197091260544</v>
      </c>
      <c r="J71" s="511">
        <v>1000.6447567793923</v>
      </c>
      <c r="K71" s="512">
        <v>894.76328019352673</v>
      </c>
      <c r="L71" s="513">
        <v>0.79015851991475416</v>
      </c>
      <c r="M71" s="514">
        <v>0.86755861179950733</v>
      </c>
      <c r="N71" s="514">
        <v>0.79015851991475416</v>
      </c>
      <c r="O71" s="514">
        <v>0.88415435116645025</v>
      </c>
      <c r="P71" s="511">
        <v>53.603999999999999</v>
      </c>
      <c r="Q71" s="511">
        <v>1210.615</v>
      </c>
      <c r="R71" s="511">
        <v>2.7917692709499291</v>
      </c>
      <c r="S71" s="511">
        <v>2.286643565460531</v>
      </c>
      <c r="T71" s="511">
        <v>0</v>
      </c>
      <c r="U71" s="511">
        <v>0</v>
      </c>
      <c r="V71" s="511">
        <v>661.03145287668065</v>
      </c>
      <c r="W71" s="511">
        <v>680.70404711654874</v>
      </c>
      <c r="X71" s="511">
        <v>572.19610476830087</v>
      </c>
      <c r="Y71" s="576">
        <v>479.31588490147567</v>
      </c>
      <c r="Z71" s="511">
        <v>0</v>
      </c>
      <c r="AA71" s="576">
        <v>0</v>
      </c>
      <c r="AB71" s="513">
        <v>0</v>
      </c>
      <c r="AC71" s="514">
        <v>0.58289528086982811</v>
      </c>
      <c r="AD71" s="514" t="e">
        <v>#DIV/0!</v>
      </c>
      <c r="AE71" s="514">
        <v>0.84616054986694533</v>
      </c>
      <c r="AF71" s="511">
        <v>0</v>
      </c>
      <c r="AG71" s="511">
        <v>613.09699999999998</v>
      </c>
      <c r="AH71" s="511">
        <v>0</v>
      </c>
      <c r="AI71" s="511">
        <v>125.88437363486787</v>
      </c>
      <c r="AJ71" s="511">
        <v>0</v>
      </c>
      <c r="AK71" s="511">
        <v>1.4415337214176551</v>
      </c>
      <c r="AL71" s="511">
        <v>0</v>
      </c>
      <c r="AM71" s="511">
        <v>981.01445611379597</v>
      </c>
      <c r="AN71" s="511">
        <v>0</v>
      </c>
      <c r="AO71" s="512">
        <v>0</v>
      </c>
      <c r="AP71" s="594">
        <v>0.89619456962840449</v>
      </c>
      <c r="AQ71" s="514">
        <v>0.8590079279066769</v>
      </c>
      <c r="AR71" s="514">
        <v>0.89619456962840449</v>
      </c>
      <c r="AS71" s="514">
        <v>0.87841877708543237</v>
      </c>
      <c r="AT71" s="511">
        <v>45.936</v>
      </c>
      <c r="AU71" s="511">
        <v>1033.481</v>
      </c>
      <c r="AV71" s="515">
        <v>116.91276413527387</v>
      </c>
      <c r="AW71" s="515">
        <v>100.64812529686587</v>
      </c>
      <c r="AX71" s="511">
        <v>1.4933820968303726</v>
      </c>
      <c r="AY71" s="511">
        <v>1.4333113042232999</v>
      </c>
      <c r="AZ71" s="511">
        <v>0</v>
      </c>
      <c r="BA71" s="511">
        <v>0</v>
      </c>
      <c r="BB71" s="511">
        <v>948.36337513061676</v>
      </c>
      <c r="BC71" s="511">
        <v>854.86527570414933</v>
      </c>
      <c r="BD71" s="511">
        <v>595.45328282828882</v>
      </c>
      <c r="BE71" s="576">
        <v>506.40124104845665</v>
      </c>
      <c r="BF71" s="511">
        <v>0</v>
      </c>
      <c r="BG71" s="512">
        <v>0</v>
      </c>
      <c r="BH71" s="513">
        <v>0</v>
      </c>
      <c r="BI71" s="514">
        <v>0.64523905591078534</v>
      </c>
      <c r="BJ71" s="514" t="e">
        <v>#DIV/0!</v>
      </c>
      <c r="BK71" s="514">
        <v>0.92283129278225906</v>
      </c>
      <c r="BL71" s="511">
        <v>0</v>
      </c>
      <c r="BM71" s="511">
        <v>757.04499999999996</v>
      </c>
      <c r="BN71" s="511">
        <v>0</v>
      </c>
      <c r="BO71" s="511">
        <v>2.3917996948662239</v>
      </c>
      <c r="BP71" s="515">
        <v>0</v>
      </c>
      <c r="BQ71" s="515">
        <v>0</v>
      </c>
      <c r="BR71" s="515">
        <v>0</v>
      </c>
      <c r="BS71" s="515">
        <v>1037.0905577644751</v>
      </c>
      <c r="BT71" s="515">
        <v>0</v>
      </c>
      <c r="BU71" s="516">
        <v>2.4833398278834151</v>
      </c>
      <c r="BV71" s="513">
        <v>0.86348074388702756</v>
      </c>
      <c r="BW71" s="514">
        <v>0.93057739604898404</v>
      </c>
      <c r="BX71" s="514">
        <v>0.86348074388702756</v>
      </c>
      <c r="BY71" s="514">
        <v>0.95424240073733468</v>
      </c>
      <c r="BZ71" s="511">
        <v>45.463999999999999</v>
      </c>
      <c r="CA71" s="511">
        <v>1177.56</v>
      </c>
      <c r="CB71" s="515">
        <v>86.004760898134649</v>
      </c>
      <c r="CC71" s="515">
        <v>71.814381430800282</v>
      </c>
      <c r="CD71" s="511">
        <v>2.058771775470702</v>
      </c>
      <c r="CE71" s="511">
        <v>1.8599137198953768</v>
      </c>
      <c r="CF71" s="515">
        <v>0</v>
      </c>
      <c r="CG71" s="515">
        <v>0</v>
      </c>
      <c r="CH71" s="515">
        <v>914.08674995601734</v>
      </c>
      <c r="CI71" s="515">
        <v>749.54740199836283</v>
      </c>
      <c r="CJ71" s="515">
        <v>401.13404011965946</v>
      </c>
      <c r="CK71" s="515">
        <v>472.5820671558136</v>
      </c>
      <c r="CL71" s="515">
        <v>0</v>
      </c>
      <c r="CM71" s="516">
        <v>0</v>
      </c>
    </row>
    <row r="72" spans="1:91" ht="12.75" hidden="1" customHeight="1">
      <c r="A72" s="558">
        <v>46105</v>
      </c>
      <c r="B72" s="513">
        <v>0.88669386879510159</v>
      </c>
      <c r="C72" s="514">
        <v>0.90435712635282883</v>
      </c>
      <c r="D72" s="514">
        <v>0.88669386879510159</v>
      </c>
      <c r="E72" s="514">
        <v>0.9184693106842573</v>
      </c>
      <c r="F72" s="511">
        <v>63.686</v>
      </c>
      <c r="G72" s="511">
        <v>1499.7720000000002</v>
      </c>
      <c r="H72" s="511">
        <v>2.2177558647112399</v>
      </c>
      <c r="I72" s="511">
        <v>2.1394905358947889</v>
      </c>
      <c r="J72" s="511">
        <v>951.19272681594498</v>
      </c>
      <c r="K72" s="512">
        <v>897.15948824221368</v>
      </c>
      <c r="L72" s="513">
        <v>0.8611505937977677</v>
      </c>
      <c r="M72" s="514">
        <v>0.86725667005634599</v>
      </c>
      <c r="N72" s="514">
        <v>0.8657662174464007</v>
      </c>
      <c r="O72" s="514">
        <v>0.88327661369075949</v>
      </c>
      <c r="P72" s="511">
        <v>59.421999999999997</v>
      </c>
      <c r="Q72" s="511">
        <v>1270.037</v>
      </c>
      <c r="R72" s="511">
        <v>2.5072700346672949</v>
      </c>
      <c r="S72" s="511">
        <v>2.2969661513798423</v>
      </c>
      <c r="T72" s="511">
        <v>0</v>
      </c>
      <c r="U72" s="511">
        <v>0</v>
      </c>
      <c r="V72" s="511">
        <v>661.72444549158286</v>
      </c>
      <c r="W72" s="511">
        <v>679.81603685562038</v>
      </c>
      <c r="X72" s="511">
        <v>556.61202921476888</v>
      </c>
      <c r="Y72" s="576">
        <v>482.93238700919738</v>
      </c>
      <c r="Z72" s="511">
        <v>0</v>
      </c>
      <c r="AA72" s="576">
        <v>0</v>
      </c>
      <c r="AB72" s="513">
        <v>0.52438490082857836</v>
      </c>
      <c r="AC72" s="514">
        <v>0.58034258654627202</v>
      </c>
      <c r="AD72" s="514">
        <v>0.60618825648896502</v>
      </c>
      <c r="AE72" s="514">
        <v>0.83315847004589882</v>
      </c>
      <c r="AF72" s="511">
        <v>25.161000000000001</v>
      </c>
      <c r="AG72" s="511">
        <v>638.25800000000004</v>
      </c>
      <c r="AH72" s="511">
        <v>210.5193049062762</v>
      </c>
      <c r="AI72" s="511">
        <v>129.22079794246744</v>
      </c>
      <c r="AJ72" s="511">
        <v>2.3170780175668693</v>
      </c>
      <c r="AK72" s="511">
        <v>1.476048870519445</v>
      </c>
      <c r="AL72" s="511">
        <v>1372.2689877190892</v>
      </c>
      <c r="AM72" s="511">
        <v>996.43824284223626</v>
      </c>
      <c r="AN72" s="511">
        <v>0</v>
      </c>
      <c r="AO72" s="512">
        <v>0</v>
      </c>
      <c r="AP72" s="594">
        <v>0.95579908542762404</v>
      </c>
      <c r="AQ72" s="514">
        <v>0.86312291474230518</v>
      </c>
      <c r="AR72" s="514">
        <v>0.95579908542762404</v>
      </c>
      <c r="AS72" s="514">
        <v>0.88177963879001098</v>
      </c>
      <c r="AT72" s="511">
        <v>51.058999999999997</v>
      </c>
      <c r="AU72" s="511">
        <v>1084.54</v>
      </c>
      <c r="AV72" s="515">
        <v>98.744276198670093</v>
      </c>
      <c r="AW72" s="515">
        <v>100.55849408814626</v>
      </c>
      <c r="AX72" s="511">
        <v>1.3748800407371866</v>
      </c>
      <c r="AY72" s="511">
        <v>1.4305604219300352</v>
      </c>
      <c r="AZ72" s="511">
        <v>0</v>
      </c>
      <c r="BA72" s="511">
        <v>0</v>
      </c>
      <c r="BB72" s="511">
        <v>882.65849311580655</v>
      </c>
      <c r="BC72" s="511">
        <v>856.17375108340843</v>
      </c>
      <c r="BD72" s="511">
        <v>450.78050882312635</v>
      </c>
      <c r="BE72" s="576">
        <v>503.78267560440383</v>
      </c>
      <c r="BF72" s="511">
        <v>0</v>
      </c>
      <c r="BG72" s="512">
        <v>0</v>
      </c>
      <c r="BH72" s="513">
        <v>0.50410894056853628</v>
      </c>
      <c r="BI72" s="514">
        <v>0.63931583979026074</v>
      </c>
      <c r="BJ72" s="514">
        <v>0.57263321662749145</v>
      </c>
      <c r="BK72" s="514">
        <v>0.9045248261442892</v>
      </c>
      <c r="BL72" s="511">
        <v>25.911000000000001</v>
      </c>
      <c r="BM72" s="511">
        <v>782.9559999999999</v>
      </c>
      <c r="BN72" s="511">
        <v>4.5926440507892394</v>
      </c>
      <c r="BO72" s="511">
        <v>2.4646340279658121</v>
      </c>
      <c r="BP72" s="515">
        <v>0</v>
      </c>
      <c r="BQ72" s="515">
        <v>0</v>
      </c>
      <c r="BR72" s="515">
        <v>1512.346879703603</v>
      </c>
      <c r="BS72" s="515">
        <v>1052.8186019429027</v>
      </c>
      <c r="BT72" s="515">
        <v>0</v>
      </c>
      <c r="BU72" s="516">
        <v>2.4011566422634227</v>
      </c>
      <c r="BV72" s="513">
        <v>0.94213631974462397</v>
      </c>
      <c r="BW72" s="514">
        <v>0.93104652684873113</v>
      </c>
      <c r="BX72" s="514">
        <v>0.94213631974462397</v>
      </c>
      <c r="BY72" s="514">
        <v>0.95373908753511072</v>
      </c>
      <c r="BZ72" s="511">
        <v>50.433</v>
      </c>
      <c r="CA72" s="511">
        <v>1227.9929999999999</v>
      </c>
      <c r="CB72" s="515">
        <v>71.765307850520216</v>
      </c>
      <c r="CC72" s="515">
        <v>71.81236600573331</v>
      </c>
      <c r="CD72" s="511">
        <v>1.881704439553467</v>
      </c>
      <c r="CE72" s="511">
        <v>1.8608086528180536</v>
      </c>
      <c r="CF72" s="515">
        <v>0</v>
      </c>
      <c r="CG72" s="515">
        <v>0</v>
      </c>
      <c r="CH72" s="515">
        <v>849.96649019491304</v>
      </c>
      <c r="CI72" s="515">
        <v>753.67155895611143</v>
      </c>
      <c r="CJ72" s="515">
        <v>406.75347490730297</v>
      </c>
      <c r="CK72" s="515">
        <v>469.87852292317609</v>
      </c>
      <c r="CL72" s="515">
        <v>0</v>
      </c>
      <c r="CM72" s="516">
        <v>0</v>
      </c>
    </row>
    <row r="73" spans="1:91" ht="12.75" hidden="1" customHeight="1">
      <c r="A73" s="558">
        <v>46106</v>
      </c>
      <c r="B73" s="513">
        <v>0.89103019191114052</v>
      </c>
      <c r="C73" s="514">
        <v>0.90381702618148851</v>
      </c>
      <c r="D73" s="514">
        <v>0.89103019191114052</v>
      </c>
      <c r="E73" s="514">
        <v>0.91734064756884703</v>
      </c>
      <c r="F73" s="511">
        <v>62.414999999999999</v>
      </c>
      <c r="G73" s="511">
        <v>1562.1870000000001</v>
      </c>
      <c r="H73" s="511">
        <v>2.2133621725546746</v>
      </c>
      <c r="I73" s="511">
        <v>2.1424419739762266</v>
      </c>
      <c r="J73" s="511">
        <v>916.51077465354842</v>
      </c>
      <c r="K73" s="512">
        <v>897.9326418668204</v>
      </c>
      <c r="L73" s="513">
        <v>0.89771990219517861</v>
      </c>
      <c r="M73" s="514">
        <v>0.86858461927031894</v>
      </c>
      <c r="N73" s="514">
        <v>0.89771990219517861</v>
      </c>
      <c r="O73" s="514">
        <v>0.88391733783617732</v>
      </c>
      <c r="P73" s="511">
        <v>59.92</v>
      </c>
      <c r="Q73" s="511">
        <v>1329.9570000000001</v>
      </c>
      <c r="R73" s="511">
        <v>2.6181575433911886</v>
      </c>
      <c r="S73" s="511">
        <v>2.3114371366893822</v>
      </c>
      <c r="T73" s="511">
        <v>0</v>
      </c>
      <c r="U73" s="511">
        <v>0</v>
      </c>
      <c r="V73" s="511">
        <v>587.94776368485952</v>
      </c>
      <c r="W73" s="511">
        <v>675.67699557203605</v>
      </c>
      <c r="X73" s="511">
        <v>337.34979973297732</v>
      </c>
      <c r="Y73" s="576">
        <v>476.37329627950373</v>
      </c>
      <c r="Z73" s="511">
        <v>0</v>
      </c>
      <c r="AA73" s="576">
        <v>0</v>
      </c>
      <c r="AB73" s="513">
        <v>0.87757867375186271</v>
      </c>
      <c r="AC73" s="514">
        <v>0.59167440495896306</v>
      </c>
      <c r="AD73" s="514">
        <v>0.87757867375186271</v>
      </c>
      <c r="AE73" s="514">
        <v>0.83554995832070966</v>
      </c>
      <c r="AF73" s="511">
        <v>38.253999999999998</v>
      </c>
      <c r="AG73" s="511">
        <v>676.51200000000006</v>
      </c>
      <c r="AH73" s="511">
        <v>138.45548260665589</v>
      </c>
      <c r="AI73" s="511">
        <v>129.74298177238305</v>
      </c>
      <c r="AJ73" s="511">
        <v>1.534480054373399</v>
      </c>
      <c r="AK73" s="511">
        <v>1.4793529161345254</v>
      </c>
      <c r="AL73" s="511">
        <v>907.19976995871605</v>
      </c>
      <c r="AM73" s="511">
        <v>991.39217042713324</v>
      </c>
      <c r="AN73" s="511">
        <v>0</v>
      </c>
      <c r="AO73" s="512">
        <v>0</v>
      </c>
      <c r="AP73" s="594">
        <v>0.95963219442538172</v>
      </c>
      <c r="AQ73" s="514">
        <v>0.86719802872629703</v>
      </c>
      <c r="AR73" s="514">
        <v>0.95963219442538172</v>
      </c>
      <c r="AS73" s="514">
        <v>0.88513496519871182</v>
      </c>
      <c r="AT73" s="511">
        <v>53.16</v>
      </c>
      <c r="AU73" s="511">
        <v>1137.7</v>
      </c>
      <c r="AV73" s="515">
        <v>97.135456737868267</v>
      </c>
      <c r="AW73" s="515">
        <v>100.39854975700379</v>
      </c>
      <c r="AX73" s="511">
        <v>1.3393528969149737</v>
      </c>
      <c r="AY73" s="511">
        <v>1.4262986727608336</v>
      </c>
      <c r="AZ73" s="511">
        <v>0</v>
      </c>
      <c r="BA73" s="511">
        <v>0</v>
      </c>
      <c r="BB73" s="511">
        <v>800.11324303988113</v>
      </c>
      <c r="BC73" s="511">
        <v>853.55427617122257</v>
      </c>
      <c r="BD73" s="511">
        <v>577.61474793077502</v>
      </c>
      <c r="BE73" s="576">
        <v>507.23254197064261</v>
      </c>
      <c r="BF73" s="511">
        <v>0</v>
      </c>
      <c r="BG73" s="512">
        <v>0</v>
      </c>
      <c r="BH73" s="513">
        <v>1.0417024503472334</v>
      </c>
      <c r="BI73" s="514">
        <v>0.65464288286579775</v>
      </c>
      <c r="BJ73" s="514">
        <v>1.0417024503472334</v>
      </c>
      <c r="BK73" s="514">
        <v>0.91180253163454461</v>
      </c>
      <c r="BL73" s="511">
        <v>50.518000000000001</v>
      </c>
      <c r="BM73" s="511">
        <v>833.47399999999993</v>
      </c>
      <c r="BN73" s="511">
        <v>2.3140266835583359</v>
      </c>
      <c r="BO73" s="511">
        <v>2.4555055106697994</v>
      </c>
      <c r="BP73" s="515">
        <v>0</v>
      </c>
      <c r="BQ73" s="515">
        <v>0</v>
      </c>
      <c r="BR73" s="515">
        <v>773.03703265500349</v>
      </c>
      <c r="BS73" s="515">
        <v>1035.8606580630862</v>
      </c>
      <c r="BT73" s="515">
        <v>0</v>
      </c>
      <c r="BU73" s="516">
        <v>2.2556192514703524</v>
      </c>
      <c r="BV73" s="513">
        <v>1.0216305939044588</v>
      </c>
      <c r="BW73" s="514">
        <v>0.93452837188921678</v>
      </c>
      <c r="BX73" s="514">
        <v>1.0216305939044588</v>
      </c>
      <c r="BY73" s="514">
        <v>0.95640978434406299</v>
      </c>
      <c r="BZ73" s="511">
        <v>53.863999999999997</v>
      </c>
      <c r="CA73" s="511">
        <v>1281.857</v>
      </c>
      <c r="CB73" s="515">
        <v>67.202641619261698</v>
      </c>
      <c r="CC73" s="515">
        <v>71.618664060545257</v>
      </c>
      <c r="CD73" s="511">
        <v>1.7358532600623795</v>
      </c>
      <c r="CE73" s="511">
        <v>1.8555579912579951</v>
      </c>
      <c r="CF73" s="515">
        <v>0</v>
      </c>
      <c r="CG73" s="515">
        <v>0</v>
      </c>
      <c r="CH73" s="515">
        <v>698.42149087208418</v>
      </c>
      <c r="CI73" s="515">
        <v>751.34993519676993</v>
      </c>
      <c r="CJ73" s="515">
        <v>495.58146442893218</v>
      </c>
      <c r="CK73" s="515">
        <v>470.95856792138261</v>
      </c>
      <c r="CL73" s="515">
        <v>0</v>
      </c>
      <c r="CM73" s="516">
        <v>0</v>
      </c>
    </row>
    <row r="74" spans="1:91" ht="12.75" hidden="1" customHeight="1">
      <c r="A74" s="558">
        <v>46107</v>
      </c>
      <c r="B74" s="513">
        <v>0.78686780422934199</v>
      </c>
      <c r="C74" s="514">
        <v>0.89987215080794813</v>
      </c>
      <c r="D74" s="514">
        <v>0.78686780422934199</v>
      </c>
      <c r="E74" s="514">
        <v>0.91287600129619062</v>
      </c>
      <c r="F74" s="511">
        <v>47.478000000000002</v>
      </c>
      <c r="G74" s="511">
        <v>1609.6650000000002</v>
      </c>
      <c r="H74" s="511">
        <v>2.9097055478326808</v>
      </c>
      <c r="I74" s="511">
        <v>2.1650728567745459</v>
      </c>
      <c r="J74" s="511">
        <v>1180.5172922194959</v>
      </c>
      <c r="K74" s="512">
        <v>906.26763953990417</v>
      </c>
      <c r="L74" s="513">
        <v>0.81274051325982988</v>
      </c>
      <c r="M74" s="514">
        <v>0.86618039322782914</v>
      </c>
      <c r="N74" s="514">
        <v>0.81274051325982988</v>
      </c>
      <c r="O74" s="514">
        <v>0.88080127541384168</v>
      </c>
      <c r="P74" s="511">
        <v>55.987000000000002</v>
      </c>
      <c r="Q74" s="511">
        <v>1385.9440000000002</v>
      </c>
      <c r="R74" s="511">
        <v>2.9311447300266131</v>
      </c>
      <c r="S74" s="511">
        <v>2.3364710262463708</v>
      </c>
      <c r="T74" s="511">
        <v>0</v>
      </c>
      <c r="U74" s="511">
        <v>0</v>
      </c>
      <c r="V74" s="511">
        <v>662.46450068769605</v>
      </c>
      <c r="W74" s="511">
        <v>675.14325975652707</v>
      </c>
      <c r="X74" s="511">
        <v>449.72940146819798</v>
      </c>
      <c r="Y74" s="576">
        <v>475.29698169623009</v>
      </c>
      <c r="Z74" s="511">
        <v>0</v>
      </c>
      <c r="AA74" s="576">
        <v>0</v>
      </c>
      <c r="AB74" s="513">
        <v>0.88569892359711555</v>
      </c>
      <c r="AC74" s="514">
        <v>0.60300563632301551</v>
      </c>
      <c r="AD74" s="514">
        <v>0.88569892359711555</v>
      </c>
      <c r="AE74" s="514">
        <v>0.83823654437085338</v>
      </c>
      <c r="AF74" s="511">
        <v>40.591999999999999</v>
      </c>
      <c r="AG74" s="511">
        <v>717.10400000000004</v>
      </c>
      <c r="AH74" s="511">
        <v>135.05626348813308</v>
      </c>
      <c r="AI74" s="511">
        <v>130.04374251476594</v>
      </c>
      <c r="AJ74" s="511">
        <v>1.4904414662987782</v>
      </c>
      <c r="AK74" s="511">
        <v>1.4799805885896609</v>
      </c>
      <c r="AL74" s="511">
        <v>912.2142294047909</v>
      </c>
      <c r="AM74" s="511">
        <v>986.91026685111228</v>
      </c>
      <c r="AN74" s="511">
        <v>0</v>
      </c>
      <c r="AO74" s="512">
        <v>0</v>
      </c>
      <c r="AP74" s="594">
        <v>0.95343642810489382</v>
      </c>
      <c r="AQ74" s="514">
        <v>0.87065777622360041</v>
      </c>
      <c r="AR74" s="514">
        <v>0.95343642810489382</v>
      </c>
      <c r="AS74" s="514">
        <v>0.88792946902650227</v>
      </c>
      <c r="AT74" s="511">
        <v>52.279000000000003</v>
      </c>
      <c r="AU74" s="511">
        <v>1189.979</v>
      </c>
      <c r="AV74" s="515">
        <v>99.381303150897836</v>
      </c>
      <c r="AW74" s="515">
        <v>100.3538593588366</v>
      </c>
      <c r="AX74" s="511">
        <v>1.3638363396392432</v>
      </c>
      <c r="AY74" s="511">
        <v>1.4235545333152939</v>
      </c>
      <c r="AZ74" s="511">
        <v>0</v>
      </c>
      <c r="BA74" s="511">
        <v>0</v>
      </c>
      <c r="BB74" s="511">
        <v>807.94582910920246</v>
      </c>
      <c r="BC74" s="511">
        <v>851.55057358155045</v>
      </c>
      <c r="BD74" s="511">
        <v>583.33939057747853</v>
      </c>
      <c r="BE74" s="576">
        <v>510.57612193156365</v>
      </c>
      <c r="BF74" s="511">
        <v>0</v>
      </c>
      <c r="BG74" s="512">
        <v>0</v>
      </c>
      <c r="BH74" s="513">
        <v>0.72471879286694108</v>
      </c>
      <c r="BI74" s="514">
        <v>0.65729695787793463</v>
      </c>
      <c r="BJ74" s="514">
        <v>0.72471879286694108</v>
      </c>
      <c r="BK74" s="514">
        <v>0.9020781270885756</v>
      </c>
      <c r="BL74" s="511">
        <v>36.322000000000003</v>
      </c>
      <c r="BM74" s="511">
        <v>869.79599999999994</v>
      </c>
      <c r="BN74" s="511">
        <v>3.2046693464016296</v>
      </c>
      <c r="BO74" s="511">
        <v>2.4867900059324262</v>
      </c>
      <c r="BP74" s="515">
        <v>0</v>
      </c>
      <c r="BQ74" s="515">
        <v>0</v>
      </c>
      <c r="BR74" s="515">
        <v>1161.4393489356007</v>
      </c>
      <c r="BS74" s="515">
        <v>1041.1047258788401</v>
      </c>
      <c r="BT74" s="515">
        <v>0</v>
      </c>
      <c r="BU74" s="516">
        <v>2.1614263574447348</v>
      </c>
      <c r="BV74" s="513">
        <v>0.95212119614689827</v>
      </c>
      <c r="BW74" s="514">
        <v>0.93517520582194813</v>
      </c>
      <c r="BX74" s="514">
        <v>0.95212119614689827</v>
      </c>
      <c r="BY74" s="514">
        <v>0.95624855303372602</v>
      </c>
      <c r="BZ74" s="511">
        <v>49.85</v>
      </c>
      <c r="CA74" s="511">
        <v>1331.7069999999999</v>
      </c>
      <c r="CB74" s="515">
        <v>71.940642027360369</v>
      </c>
      <c r="CC74" s="515">
        <v>71.6307167130024</v>
      </c>
      <c r="CD74" s="511">
        <v>1.9037111334002006</v>
      </c>
      <c r="CE74" s="511">
        <v>1.8573605154887676</v>
      </c>
      <c r="CF74" s="515">
        <v>0</v>
      </c>
      <c r="CG74" s="515">
        <v>0</v>
      </c>
      <c r="CH74" s="515">
        <v>820.46138350975048</v>
      </c>
      <c r="CI74" s="515">
        <v>753.9369950368116</v>
      </c>
      <c r="CJ74" s="515">
        <v>410.50351053159488</v>
      </c>
      <c r="CK74" s="515">
        <v>468.69554413996462</v>
      </c>
      <c r="CL74" s="515">
        <v>0</v>
      </c>
      <c r="CM74" s="516">
        <v>0</v>
      </c>
    </row>
    <row r="75" spans="1:91" ht="12.75" hidden="1" customHeight="1">
      <c r="A75" s="558">
        <v>46108</v>
      </c>
      <c r="B75" s="513">
        <v>0.85811504293370733</v>
      </c>
      <c r="C75" s="514">
        <v>0.89851329641811573</v>
      </c>
      <c r="D75" s="514">
        <v>0.85811504293370733</v>
      </c>
      <c r="E75" s="514">
        <v>0.91106907537743009</v>
      </c>
      <c r="F75" s="511">
        <v>51.631</v>
      </c>
      <c r="G75" s="511">
        <v>1661.2960000000003</v>
      </c>
      <c r="H75" s="511">
        <v>2.4370049001568828</v>
      </c>
      <c r="I75" s="511">
        <v>2.173524164266933</v>
      </c>
      <c r="J75" s="511">
        <v>1077.8206891208924</v>
      </c>
      <c r="K75" s="512">
        <v>911.59929356357975</v>
      </c>
      <c r="L75" s="513">
        <v>0.68548749598557468</v>
      </c>
      <c r="M75" s="514">
        <v>0.85849416166744497</v>
      </c>
      <c r="N75" s="514">
        <v>0.68548749598557468</v>
      </c>
      <c r="O75" s="514">
        <v>0.87235892971769313</v>
      </c>
      <c r="P75" s="511">
        <v>48.728999999999999</v>
      </c>
      <c r="Q75" s="511">
        <v>1434.6730000000002</v>
      </c>
      <c r="R75" s="511">
        <v>2.9322785199778365</v>
      </c>
      <c r="S75" s="511">
        <v>2.3567077654629314</v>
      </c>
      <c r="T75" s="511">
        <v>0</v>
      </c>
      <c r="U75" s="511">
        <v>0</v>
      </c>
      <c r="V75" s="511">
        <v>622.09649284822308</v>
      </c>
      <c r="W75" s="511">
        <v>673.3415140593022</v>
      </c>
      <c r="X75" s="511">
        <v>452.420529869277</v>
      </c>
      <c r="Y75" s="576">
        <v>474.51997772314655</v>
      </c>
      <c r="Z75" s="511">
        <v>0</v>
      </c>
      <c r="AA75" s="576">
        <v>0</v>
      </c>
      <c r="AB75" s="513">
        <v>0.88500308894079116</v>
      </c>
      <c r="AC75" s="514">
        <v>0.61349911643623667</v>
      </c>
      <c r="AD75" s="514">
        <v>0.88500308894079116</v>
      </c>
      <c r="AE75" s="514">
        <v>0.84062103683172595</v>
      </c>
      <c r="AF75" s="511">
        <v>40.677</v>
      </c>
      <c r="AG75" s="511">
        <v>757.78100000000006</v>
      </c>
      <c r="AH75" s="511">
        <v>136.07282637155825</v>
      </c>
      <c r="AI75" s="511">
        <v>130.36737829349715</v>
      </c>
      <c r="AJ75" s="511">
        <v>1.4455343314403717</v>
      </c>
      <c r="AK75" s="511">
        <v>1.4781315446019365</v>
      </c>
      <c r="AL75" s="511">
        <v>873.19517171866164</v>
      </c>
      <c r="AM75" s="511">
        <v>980.80614319968413</v>
      </c>
      <c r="AN75" s="511">
        <v>0</v>
      </c>
      <c r="AO75" s="512">
        <v>0</v>
      </c>
      <c r="AP75" s="594">
        <v>1.0110415402807589</v>
      </c>
      <c r="AQ75" s="514">
        <v>0.87553667791784306</v>
      </c>
      <c r="AR75" s="514">
        <v>1.0110415402807589</v>
      </c>
      <c r="AS75" s="514">
        <v>0.89228998111820768</v>
      </c>
      <c r="AT75" s="511">
        <v>49.753999999999998</v>
      </c>
      <c r="AU75" s="511">
        <v>1239.7329999999999</v>
      </c>
      <c r="AV75" s="515">
        <v>97.641152189934175</v>
      </c>
      <c r="AW75" s="515">
        <v>100.24499072947724</v>
      </c>
      <c r="AX75" s="511">
        <v>1.4511396068657798</v>
      </c>
      <c r="AY75" s="511">
        <v>1.4246616005220483</v>
      </c>
      <c r="AZ75" s="511">
        <v>0</v>
      </c>
      <c r="BA75" s="511">
        <v>0</v>
      </c>
      <c r="BB75" s="511">
        <v>896.79141375567815</v>
      </c>
      <c r="BC75" s="511">
        <v>853.36621675796323</v>
      </c>
      <c r="BD75" s="511">
        <v>499.13574787957589</v>
      </c>
      <c r="BE75" s="576">
        <v>510.11698728677914</v>
      </c>
      <c r="BF75" s="511">
        <v>0</v>
      </c>
      <c r="BG75" s="512">
        <v>0</v>
      </c>
      <c r="BH75" s="513">
        <v>0.90922778353386324</v>
      </c>
      <c r="BI75" s="514">
        <v>0.66701313095130477</v>
      </c>
      <c r="BJ75" s="514">
        <v>0.77012049288573192</v>
      </c>
      <c r="BK75" s="514">
        <v>0.89402475745348886</v>
      </c>
      <c r="BL75" s="511">
        <v>48.264000000000003</v>
      </c>
      <c r="BM75" s="511">
        <v>918.06</v>
      </c>
      <c r="BN75" s="511">
        <v>2.7349577324714072</v>
      </c>
      <c r="BO75" s="511">
        <v>2.4998366119861455</v>
      </c>
      <c r="BP75" s="515">
        <v>0</v>
      </c>
      <c r="BQ75" s="515">
        <v>0</v>
      </c>
      <c r="BR75" s="515">
        <v>856.81818947945862</v>
      </c>
      <c r="BS75" s="515">
        <v>1031.4164643351721</v>
      </c>
      <c r="BT75" s="515">
        <v>0</v>
      </c>
      <c r="BU75" s="516">
        <v>2.0477964403198046</v>
      </c>
      <c r="BV75" s="513">
        <v>0.775792998581042</v>
      </c>
      <c r="BW75" s="514">
        <v>0.92931299477020568</v>
      </c>
      <c r="BX75" s="514">
        <v>0.775792998581042</v>
      </c>
      <c r="BY75" s="514">
        <v>0.94946730124929912</v>
      </c>
      <c r="BZ75" s="511">
        <v>42.185000000000002</v>
      </c>
      <c r="CA75" s="511">
        <v>1373.8919999999998</v>
      </c>
      <c r="CB75" s="515">
        <v>86.403407742708083</v>
      </c>
      <c r="CC75" s="515">
        <v>72.084308386211163</v>
      </c>
      <c r="CD75" s="511">
        <v>2.2590968353680214</v>
      </c>
      <c r="CE75" s="511">
        <v>1.8696957257193436</v>
      </c>
      <c r="CF75" s="515">
        <v>0</v>
      </c>
      <c r="CG75" s="515">
        <v>0</v>
      </c>
      <c r="CH75" s="515">
        <v>891.58485013546272</v>
      </c>
      <c r="CI75" s="515">
        <v>758.16343697499633</v>
      </c>
      <c r="CJ75" s="515">
        <v>550.43024771839316</v>
      </c>
      <c r="CK75" s="515">
        <v>471.20518716172762</v>
      </c>
      <c r="CL75" s="515">
        <v>0</v>
      </c>
      <c r="CM75" s="516">
        <v>0</v>
      </c>
    </row>
    <row r="76" spans="1:91" ht="12.75" hidden="1" customHeight="1">
      <c r="A76" s="558">
        <v>46109</v>
      </c>
      <c r="B76" s="513">
        <v>0.87121172232848487</v>
      </c>
      <c r="C76" s="514">
        <v>0.89765285258588012</v>
      </c>
      <c r="D76" s="514">
        <v>0.87121172232848487</v>
      </c>
      <c r="E76" s="514">
        <v>0.90979592745626581</v>
      </c>
      <c r="F76" s="511">
        <v>52.418999999999997</v>
      </c>
      <c r="G76" s="511">
        <v>1713.7150000000004</v>
      </c>
      <c r="H76" s="511">
        <v>2.2826646826532366</v>
      </c>
      <c r="I76" s="511">
        <v>2.1768625471563232</v>
      </c>
      <c r="J76" s="511">
        <v>1053.9895839295225</v>
      </c>
      <c r="K76" s="512">
        <v>915.95471825828815</v>
      </c>
      <c r="L76" s="513">
        <v>0.88491595904184206</v>
      </c>
      <c r="M76" s="514">
        <v>0.85958116625362646</v>
      </c>
      <c r="N76" s="514">
        <v>0.88491595904184206</v>
      </c>
      <c r="O76" s="514">
        <v>0.87288352615035159</v>
      </c>
      <c r="P76" s="511">
        <v>63.45</v>
      </c>
      <c r="Q76" s="511">
        <v>1498.1230000000003</v>
      </c>
      <c r="R76" s="511">
        <v>2.4175728920409774</v>
      </c>
      <c r="S76" s="511">
        <v>2.3592855860299857</v>
      </c>
      <c r="T76" s="511">
        <v>0</v>
      </c>
      <c r="U76" s="511">
        <v>0</v>
      </c>
      <c r="V76" s="511">
        <v>503.20914105595358</v>
      </c>
      <c r="W76" s="511">
        <v>666.13589805376557</v>
      </c>
      <c r="X76" s="511">
        <v>517.19464144996061</v>
      </c>
      <c r="Y76" s="576">
        <v>476.32737765857667</v>
      </c>
      <c r="Z76" s="511">
        <v>0</v>
      </c>
      <c r="AA76" s="576">
        <v>0</v>
      </c>
      <c r="AB76" s="513">
        <v>0.85609498839258669</v>
      </c>
      <c r="AC76" s="514">
        <v>0.62222167368707126</v>
      </c>
      <c r="AD76" s="514">
        <v>0.85609498839258669</v>
      </c>
      <c r="AE76" s="514">
        <v>0.84137336145818631</v>
      </c>
      <c r="AF76" s="511">
        <v>39.438000000000002</v>
      </c>
      <c r="AG76" s="511">
        <v>797.21900000000005</v>
      </c>
      <c r="AH76" s="511">
        <v>139.13589560194484</v>
      </c>
      <c r="AI76" s="511">
        <v>130.80115218199023</v>
      </c>
      <c r="AJ76" s="511">
        <v>1.5112328211369745</v>
      </c>
      <c r="AK76" s="511">
        <v>1.4797690471501557</v>
      </c>
      <c r="AL76" s="511">
        <v>898.09523809522898</v>
      </c>
      <c r="AM76" s="511">
        <v>976.71447870660336</v>
      </c>
      <c r="AN76" s="511">
        <v>0</v>
      </c>
      <c r="AO76" s="512">
        <v>0</v>
      </c>
      <c r="AP76" s="594">
        <v>0.98301850349108399</v>
      </c>
      <c r="AQ76" s="514">
        <v>0.87940799245740564</v>
      </c>
      <c r="AR76" s="514">
        <v>0.98301850349108399</v>
      </c>
      <c r="AS76" s="514">
        <v>0.89561810680494025</v>
      </c>
      <c r="AT76" s="511">
        <v>52.008000000000003</v>
      </c>
      <c r="AU76" s="511">
        <v>1291.741</v>
      </c>
      <c r="AV76" s="515">
        <v>95.178031199059447</v>
      </c>
      <c r="AW76" s="515">
        <v>100.04098510353677</v>
      </c>
      <c r="AX76" s="511">
        <v>1.3940163051838177</v>
      </c>
      <c r="AY76" s="511">
        <v>1.423427761447535</v>
      </c>
      <c r="AZ76" s="511">
        <v>0</v>
      </c>
      <c r="BA76" s="511">
        <v>0</v>
      </c>
      <c r="BB76" s="511">
        <v>800.62836486694141</v>
      </c>
      <c r="BC76" s="511">
        <v>851.24288847377284</v>
      </c>
      <c r="BD76" s="511">
        <v>476.25269189355276</v>
      </c>
      <c r="BE76" s="576">
        <v>508.75354502179647</v>
      </c>
      <c r="BF76" s="511">
        <v>0</v>
      </c>
      <c r="BG76" s="512">
        <v>0</v>
      </c>
      <c r="BH76" s="513">
        <v>0.79518674995405791</v>
      </c>
      <c r="BI76" s="514">
        <v>0.67179589052087196</v>
      </c>
      <c r="BJ76" s="514">
        <v>0.79518674995405791</v>
      </c>
      <c r="BK76" s="514">
        <v>0.88914342527394385</v>
      </c>
      <c r="BL76" s="511">
        <v>42.423000000000002</v>
      </c>
      <c r="BM76" s="511">
        <v>960.48299999999995</v>
      </c>
      <c r="BN76" s="511">
        <v>2.9276571671027507</v>
      </c>
      <c r="BO76" s="511">
        <v>2.5187327625788281</v>
      </c>
      <c r="BP76" s="515">
        <v>0</v>
      </c>
      <c r="BQ76" s="515">
        <v>0</v>
      </c>
      <c r="BR76" s="515">
        <v>1006.2597699311846</v>
      </c>
      <c r="BS76" s="515">
        <v>1030.3053333243158</v>
      </c>
      <c r="BT76" s="515">
        <v>0</v>
      </c>
      <c r="BU76" s="516">
        <v>1.9573485423479646</v>
      </c>
      <c r="BV76" s="513">
        <v>0.79692293968136974</v>
      </c>
      <c r="BW76" s="514">
        <v>0.92458904387177443</v>
      </c>
      <c r="BX76" s="514">
        <v>0.79692293968136974</v>
      </c>
      <c r="BY76" s="514">
        <v>0.94391045697658327</v>
      </c>
      <c r="BZ76" s="511">
        <v>43.594999999999999</v>
      </c>
      <c r="CA76" s="511">
        <v>1417.4869999999999</v>
      </c>
      <c r="CB76" s="515">
        <v>86.311262820273356</v>
      </c>
      <c r="CC76" s="515">
        <v>72.521860249863479</v>
      </c>
      <c r="CD76" s="511">
        <v>2.1562105746071798</v>
      </c>
      <c r="CE76" s="511">
        <v>1.8785075277586323</v>
      </c>
      <c r="CF76" s="515">
        <v>0</v>
      </c>
      <c r="CG76" s="515">
        <v>0</v>
      </c>
      <c r="CH76" s="515">
        <v>882.02045602031251</v>
      </c>
      <c r="CI76" s="515">
        <v>761.97267596292409</v>
      </c>
      <c r="CJ76" s="515">
        <v>532.69985090033026</v>
      </c>
      <c r="CK76" s="515">
        <v>473.09646367127192</v>
      </c>
      <c r="CL76" s="515">
        <v>0</v>
      </c>
      <c r="CM76" s="516">
        <v>0</v>
      </c>
    </row>
    <row r="77" spans="1:91" ht="12.75" hidden="1" customHeight="1">
      <c r="A77" s="558">
        <v>46110</v>
      </c>
      <c r="B77" s="513">
        <v>0.77360614418633589</v>
      </c>
      <c r="C77" s="514">
        <v>0.89390863366071616</v>
      </c>
      <c r="D77" s="514">
        <v>0.77360614418633589</v>
      </c>
      <c r="E77" s="514">
        <v>0.90563127468234683</v>
      </c>
      <c r="F77" s="511">
        <v>45.966000000000001</v>
      </c>
      <c r="G77" s="511">
        <v>1759.6810000000003</v>
      </c>
      <c r="H77" s="511">
        <v>2.6076447809250314</v>
      </c>
      <c r="I77" s="511">
        <v>2.1881153459064446</v>
      </c>
      <c r="J77" s="511">
        <v>1210.5147282774287</v>
      </c>
      <c r="K77" s="512">
        <v>923.64915004481077</v>
      </c>
      <c r="L77" s="513">
        <v>1.0268796633935873</v>
      </c>
      <c r="M77" s="514">
        <v>0.86621572577499373</v>
      </c>
      <c r="N77" s="514">
        <v>1.0268796633935873</v>
      </c>
      <c r="O77" s="514">
        <v>0.87908125882357957</v>
      </c>
      <c r="P77" s="511">
        <v>73.905000000000001</v>
      </c>
      <c r="Q77" s="511">
        <v>1572.0280000000002</v>
      </c>
      <c r="R77" s="511">
        <v>2.0673838035315608</v>
      </c>
      <c r="S77" s="511">
        <v>2.3455625472319834</v>
      </c>
      <c r="T77" s="511">
        <v>0</v>
      </c>
      <c r="U77" s="511">
        <v>0</v>
      </c>
      <c r="V77" s="511">
        <v>472.28847845203342</v>
      </c>
      <c r="W77" s="511">
        <v>657.02264209034377</v>
      </c>
      <c r="X77" s="511">
        <v>439.92963940193493</v>
      </c>
      <c r="Y77" s="576">
        <v>474.61622820967557</v>
      </c>
      <c r="Z77" s="511">
        <v>0</v>
      </c>
      <c r="AA77" s="576">
        <v>0</v>
      </c>
      <c r="AB77" s="513">
        <v>0.82548760633382234</v>
      </c>
      <c r="AC77" s="514">
        <v>0.62927646366108436</v>
      </c>
      <c r="AD77" s="514">
        <v>0.82548760633382234</v>
      </c>
      <c r="AE77" s="514">
        <v>0.84063682495085645</v>
      </c>
      <c r="AF77" s="511">
        <v>38.027999999999999</v>
      </c>
      <c r="AG77" s="511">
        <v>835.24700000000007</v>
      </c>
      <c r="AH77" s="511">
        <v>142.21221065663525</v>
      </c>
      <c r="AI77" s="511">
        <v>131.3206868007004</v>
      </c>
      <c r="AJ77" s="511">
        <v>1.4831177027453455</v>
      </c>
      <c r="AK77" s="511">
        <v>1.4799215082484583</v>
      </c>
      <c r="AL77" s="511">
        <v>967.51130745770092</v>
      </c>
      <c r="AM77" s="511">
        <v>976.2954670893771</v>
      </c>
      <c r="AN77" s="511">
        <v>0</v>
      </c>
      <c r="AO77" s="512">
        <v>0</v>
      </c>
      <c r="AP77" s="594">
        <v>0.93254401008358123</v>
      </c>
      <c r="AQ77" s="514">
        <v>0.88129069758705103</v>
      </c>
      <c r="AR77" s="514">
        <v>0.93254401008358123</v>
      </c>
      <c r="AS77" s="514">
        <v>0.89694970542666197</v>
      </c>
      <c r="AT77" s="511">
        <v>50.317</v>
      </c>
      <c r="AU77" s="511">
        <v>1342.058</v>
      </c>
      <c r="AV77" s="515">
        <v>99.812236541220301</v>
      </c>
      <c r="AW77" s="515">
        <v>100.03240876673904</v>
      </c>
      <c r="AX77" s="511">
        <v>1.4150287179283345</v>
      </c>
      <c r="AY77" s="511">
        <v>1.4231128609940855</v>
      </c>
      <c r="AZ77" s="511">
        <v>0</v>
      </c>
      <c r="BA77" s="511">
        <v>0</v>
      </c>
      <c r="BB77" s="511">
        <v>774.93729753363721</v>
      </c>
      <c r="BC77" s="511">
        <v>848.38200733500332</v>
      </c>
      <c r="BD77" s="511">
        <v>529.14843889738654</v>
      </c>
      <c r="BE77" s="576">
        <v>509.51819891539731</v>
      </c>
      <c r="BF77" s="511">
        <v>0</v>
      </c>
      <c r="BG77" s="512">
        <v>0</v>
      </c>
      <c r="BH77" s="513">
        <v>1.0633591481647138</v>
      </c>
      <c r="BI77" s="514">
        <v>0.68583972415844052</v>
      </c>
      <c r="BJ77" s="514">
        <v>1.0633591481647138</v>
      </c>
      <c r="BK77" s="514">
        <v>0.89731856354560835</v>
      </c>
      <c r="BL77" s="511">
        <v>56.555999999999997</v>
      </c>
      <c r="BM77" s="511">
        <v>1017.039</v>
      </c>
      <c r="BN77" s="511">
        <v>2.1518494943065281</v>
      </c>
      <c r="BO77" s="511">
        <v>2.4983309391281949</v>
      </c>
      <c r="BP77" s="515">
        <v>0</v>
      </c>
      <c r="BQ77" s="515">
        <v>0</v>
      </c>
      <c r="BR77" s="515">
        <v>539.70082828427019</v>
      </c>
      <c r="BS77" s="515">
        <v>1003.0235590884755</v>
      </c>
      <c r="BT77" s="515">
        <v>0</v>
      </c>
      <c r="BU77" s="516">
        <v>1.8485033513955709</v>
      </c>
      <c r="BV77" s="513">
        <v>0.82676058849117651</v>
      </c>
      <c r="BW77" s="514">
        <v>0.92123335782229543</v>
      </c>
      <c r="BX77" s="514">
        <v>0.82676058849117651</v>
      </c>
      <c r="BY77" s="514">
        <v>0.93981097681425851</v>
      </c>
      <c r="BZ77" s="511">
        <v>45.021999999999998</v>
      </c>
      <c r="CA77" s="511">
        <v>1462.5089999999998</v>
      </c>
      <c r="CB77" s="515">
        <v>83.552524257138572</v>
      </c>
      <c r="CC77" s="515">
        <v>72.861429137942494</v>
      </c>
      <c r="CD77" s="511">
        <v>2.0834258806805561</v>
      </c>
      <c r="CE77" s="511">
        <v>1.8848157515611874</v>
      </c>
      <c r="CF77" s="515">
        <v>0</v>
      </c>
      <c r="CG77" s="515">
        <v>0</v>
      </c>
      <c r="CH77" s="515">
        <v>884.1330895019164</v>
      </c>
      <c r="CI77" s="515">
        <v>765.73327240257163</v>
      </c>
      <c r="CJ77" s="515">
        <v>532.59824086002027</v>
      </c>
      <c r="CK77" s="515">
        <v>474.92817138219317</v>
      </c>
      <c r="CL77" s="515">
        <v>0</v>
      </c>
      <c r="CM77" s="516">
        <v>0</v>
      </c>
    </row>
    <row r="78" spans="1:91" ht="12.75" hidden="1" customHeight="1">
      <c r="A78" s="558">
        <v>46111</v>
      </c>
      <c r="B78" s="513">
        <v>0.94369560590786783</v>
      </c>
      <c r="C78" s="514">
        <v>0.89555536859725549</v>
      </c>
      <c r="D78" s="514">
        <v>0.94369560590786783</v>
      </c>
      <c r="E78" s="514">
        <v>0.9069062334289193</v>
      </c>
      <c r="F78" s="511">
        <v>63.545999999999999</v>
      </c>
      <c r="G78" s="511">
        <v>1823.2270000000003</v>
      </c>
      <c r="H78" s="511">
        <v>2.0597519906839143</v>
      </c>
      <c r="I78" s="511">
        <v>2.1836414225985017</v>
      </c>
      <c r="J78" s="511">
        <v>871.63755389790208</v>
      </c>
      <c r="K78" s="512">
        <v>921.83635937817871</v>
      </c>
      <c r="L78" s="513">
        <v>1.0253638554238209</v>
      </c>
      <c r="M78" s="514">
        <v>0.87230982785206446</v>
      </c>
      <c r="N78" s="514">
        <v>1.0253638554238209</v>
      </c>
      <c r="O78" s="514">
        <v>0.88476267855707424</v>
      </c>
      <c r="P78" s="511">
        <v>74.093000000000004</v>
      </c>
      <c r="Q78" s="511">
        <v>1646.1210000000003</v>
      </c>
      <c r="R78" s="511">
        <v>2.1606494540644863</v>
      </c>
      <c r="S78" s="511">
        <v>2.3372394860402124</v>
      </c>
      <c r="T78" s="511">
        <v>0</v>
      </c>
      <c r="U78" s="511">
        <v>0</v>
      </c>
      <c r="V78" s="511">
        <v>459.0638791788586</v>
      </c>
      <c r="W78" s="511">
        <v>648.1123866350033</v>
      </c>
      <c r="X78" s="511">
        <v>445.02179693088419</v>
      </c>
      <c r="Y78" s="576">
        <v>473.28416319334963</v>
      </c>
      <c r="Z78" s="511">
        <v>0</v>
      </c>
      <c r="AA78" s="576">
        <v>0</v>
      </c>
      <c r="AB78" s="513">
        <v>0.82396085974574729</v>
      </c>
      <c r="AC78" s="514">
        <v>0.63531988571789788</v>
      </c>
      <c r="AD78" s="514">
        <v>0.82396085974574729</v>
      </c>
      <c r="AE78" s="514">
        <v>0.83995243282453891</v>
      </c>
      <c r="AF78" s="511">
        <v>35.036999999999999</v>
      </c>
      <c r="AG78" s="511">
        <v>870.28400000000011</v>
      </c>
      <c r="AH78" s="511">
        <v>147.87267409720505</v>
      </c>
      <c r="AI78" s="511">
        <v>131.98705775421399</v>
      </c>
      <c r="AJ78" s="511">
        <v>1.5811856037902789</v>
      </c>
      <c r="AK78" s="511">
        <v>1.483998326982916</v>
      </c>
      <c r="AL78" s="511">
        <v>1078.2624083111725</v>
      </c>
      <c r="AM78" s="511">
        <v>980.4005818790182</v>
      </c>
      <c r="AN78" s="511">
        <v>0</v>
      </c>
      <c r="AO78" s="512">
        <v>0</v>
      </c>
      <c r="AP78" s="594">
        <v>0.84291867269039633</v>
      </c>
      <c r="AQ78" s="514">
        <v>0.87997557162838336</v>
      </c>
      <c r="AR78" s="514">
        <v>0.84291867269039633</v>
      </c>
      <c r="AS78" s="514">
        <v>0.8950661412851989</v>
      </c>
      <c r="AT78" s="511">
        <v>45.555</v>
      </c>
      <c r="AU78" s="511">
        <v>1387.6130000000001</v>
      </c>
      <c r="AV78" s="515">
        <v>103.22902996501776</v>
      </c>
      <c r="AW78" s="515">
        <v>100.13735306942833</v>
      </c>
      <c r="AX78" s="511">
        <v>1.5212380638788277</v>
      </c>
      <c r="AY78" s="511">
        <v>1.4263342877300804</v>
      </c>
      <c r="AZ78" s="511">
        <v>0</v>
      </c>
      <c r="BA78" s="511">
        <v>0</v>
      </c>
      <c r="BB78" s="511">
        <v>918.86905937877441</v>
      </c>
      <c r="BC78" s="511">
        <v>850.69608024715831</v>
      </c>
      <c r="BD78" s="511">
        <v>469.31998682910029</v>
      </c>
      <c r="BE78" s="576">
        <v>508.19850131124446</v>
      </c>
      <c r="BF78" s="511">
        <v>0</v>
      </c>
      <c r="BG78" s="512">
        <v>0</v>
      </c>
      <c r="BH78" s="513">
        <v>1.0488646939404689</v>
      </c>
      <c r="BI78" s="514">
        <v>0.69813574824767866</v>
      </c>
      <c r="BJ78" s="514">
        <v>1.0488646939404689</v>
      </c>
      <c r="BK78" s="514">
        <v>0.9039649374196046</v>
      </c>
      <c r="BL78" s="511">
        <v>54.529000000000003</v>
      </c>
      <c r="BM78" s="511">
        <v>1071.568</v>
      </c>
      <c r="BN78" s="511">
        <v>2.4830823965229509</v>
      </c>
      <c r="BO78" s="511">
        <v>2.4975549848446392</v>
      </c>
      <c r="BP78" s="515">
        <v>0</v>
      </c>
      <c r="BQ78" s="515">
        <v>0</v>
      </c>
      <c r="BR78" s="515">
        <v>972.65332966414303</v>
      </c>
      <c r="BS78" s="515">
        <v>1001.4781058458633</v>
      </c>
      <c r="BT78" s="515">
        <v>0</v>
      </c>
      <c r="BU78" s="516">
        <v>1.7544383557553045</v>
      </c>
      <c r="BV78" s="513">
        <v>1.0164980095839169</v>
      </c>
      <c r="BW78" s="514">
        <v>0.92435113991664331</v>
      </c>
      <c r="BX78" s="514">
        <v>1.0164980095839169</v>
      </c>
      <c r="BY78" s="514">
        <v>0.9423696819019779</v>
      </c>
      <c r="BZ78" s="511">
        <v>54.600999999999999</v>
      </c>
      <c r="CA78" s="511">
        <v>1517.1099999999997</v>
      </c>
      <c r="CB78" s="515">
        <v>67.972869683702513</v>
      </c>
      <c r="CC78" s="515">
        <v>72.685489202960227</v>
      </c>
      <c r="CD78" s="511">
        <v>1.6702990787714511</v>
      </c>
      <c r="CE78" s="511">
        <v>1.8770952666583181</v>
      </c>
      <c r="CF78" s="515">
        <v>0</v>
      </c>
      <c r="CG78" s="515">
        <v>0</v>
      </c>
      <c r="CH78" s="515">
        <v>768.4314680453956</v>
      </c>
      <c r="CI78" s="515">
        <v>765.83038083920042</v>
      </c>
      <c r="CJ78" s="515">
        <v>395.07386311605285</v>
      </c>
      <c r="CK78" s="515">
        <v>472.05420371627605</v>
      </c>
      <c r="CL78" s="515">
        <v>0</v>
      </c>
      <c r="CM78" s="516">
        <v>0</v>
      </c>
    </row>
    <row r="79" spans="1:91" ht="12.75" hidden="1" customHeight="1">
      <c r="A79" s="558">
        <v>46112</v>
      </c>
      <c r="B79" s="513">
        <v>0.58963572637486816</v>
      </c>
      <c r="C79" s="514">
        <v>0.88484970847047562</v>
      </c>
      <c r="D79" s="514">
        <v>0.58963572637486816</v>
      </c>
      <c r="E79" s="514">
        <v>0.89566760925739353</v>
      </c>
      <c r="F79" s="511">
        <v>43.531999999999996</v>
      </c>
      <c r="G79" s="511">
        <v>1866.7590000000002</v>
      </c>
      <c r="H79" s="511">
        <v>2.5428190756225306</v>
      </c>
      <c r="I79" s="511">
        <v>2.1920172877163036</v>
      </c>
      <c r="J79" s="511">
        <v>935.12358724620458</v>
      </c>
      <c r="K79" s="512">
        <v>922.14621169631459</v>
      </c>
      <c r="L79" s="513">
        <v>1.1302054195075768</v>
      </c>
      <c r="M79" s="514">
        <v>0.88170831799413629</v>
      </c>
      <c r="N79" s="514">
        <v>1.1302054195075768</v>
      </c>
      <c r="O79" s="514">
        <v>0.89383032357963155</v>
      </c>
      <c r="P79" s="511">
        <v>80.665000000000006</v>
      </c>
      <c r="Q79" s="511">
        <v>1726.7860000000003</v>
      </c>
      <c r="R79" s="511">
        <v>2.0086902621954996</v>
      </c>
      <c r="S79" s="511">
        <v>2.321891653047917</v>
      </c>
      <c r="T79" s="511">
        <v>0</v>
      </c>
      <c r="U79" s="511">
        <v>0</v>
      </c>
      <c r="V79" s="511">
        <v>442.27731977937344</v>
      </c>
      <c r="W79" s="511">
        <v>638.49701700152843</v>
      </c>
      <c r="X79" s="511">
        <v>409.96714808157191</v>
      </c>
      <c r="Y79" s="576">
        <v>470.32637512696994</v>
      </c>
      <c r="Z79" s="511">
        <v>0</v>
      </c>
      <c r="AA79" s="576">
        <v>0</v>
      </c>
      <c r="AB79" s="513">
        <v>0.87375246827604636</v>
      </c>
      <c r="AC79" s="514">
        <v>0.6422780569348121</v>
      </c>
      <c r="AD79" s="514">
        <v>0.87375246827604636</v>
      </c>
      <c r="AE79" s="514">
        <v>0.84124438297430615</v>
      </c>
      <c r="AF79" s="511">
        <v>35.978999999999999</v>
      </c>
      <c r="AG79" s="511">
        <v>906.26300000000015</v>
      </c>
      <c r="AH79" s="511">
        <v>134.28043151859094</v>
      </c>
      <c r="AI79" s="511">
        <v>132.078105600886</v>
      </c>
      <c r="AJ79" s="511">
        <v>1.4925373134328359</v>
      </c>
      <c r="AK79" s="511">
        <v>1.4843373281266035</v>
      </c>
      <c r="AL79" s="511">
        <v>1006.9151449456629</v>
      </c>
      <c r="AM79" s="511">
        <v>981.45322053311179</v>
      </c>
      <c r="AN79" s="511">
        <v>0</v>
      </c>
      <c r="AO79" s="512">
        <v>0</v>
      </c>
      <c r="AP79" s="594">
        <v>0.59600481596337884</v>
      </c>
      <c r="AQ79" s="514">
        <v>0.87015283921102526</v>
      </c>
      <c r="AR79" s="514">
        <v>0.59600481596337884</v>
      </c>
      <c r="AS79" s="514">
        <v>0.88455025406009358</v>
      </c>
      <c r="AT79" s="511">
        <v>33.673999999999999</v>
      </c>
      <c r="AU79" s="511">
        <v>1421.287</v>
      </c>
      <c r="AV79" s="515">
        <v>115.51119595399334</v>
      </c>
      <c r="AW79" s="515">
        <v>100.50159954835541</v>
      </c>
      <c r="AX79" s="511">
        <v>1.8382134584545939</v>
      </c>
      <c r="AY79" s="511">
        <v>1.4360927806980577</v>
      </c>
      <c r="AZ79" s="511">
        <v>0</v>
      </c>
      <c r="BA79" s="511">
        <v>0</v>
      </c>
      <c r="BB79" s="511">
        <v>987.3433509532573</v>
      </c>
      <c r="BC79" s="511">
        <v>853.93361087521384</v>
      </c>
      <c r="BD79" s="511">
        <v>662.30444853595861</v>
      </c>
      <c r="BE79" s="576">
        <v>511.84967357050317</v>
      </c>
      <c r="BF79" s="511">
        <v>0</v>
      </c>
      <c r="BG79" s="512">
        <v>0</v>
      </c>
      <c r="BH79" s="513">
        <v>0.84466904139704668</v>
      </c>
      <c r="BI79" s="514">
        <v>0.70325329215205501</v>
      </c>
      <c r="BJ79" s="514">
        <v>0.84466904139704668</v>
      </c>
      <c r="BK79" s="514">
        <v>0.90131086520160342</v>
      </c>
      <c r="BL79" s="511">
        <v>46.917000000000002</v>
      </c>
      <c r="BM79" s="511">
        <v>1118.4849999999999</v>
      </c>
      <c r="BN79" s="511">
        <v>2.8880789479293218</v>
      </c>
      <c r="BO79" s="511">
        <v>2.5139362619972556</v>
      </c>
      <c r="BP79" s="515">
        <v>0</v>
      </c>
      <c r="BQ79" s="515">
        <v>0</v>
      </c>
      <c r="BR79" s="515">
        <v>1167.5455355221463</v>
      </c>
      <c r="BS79" s="515">
        <v>1008.4441229119143</v>
      </c>
      <c r="BT79" s="515">
        <v>0</v>
      </c>
      <c r="BU79" s="516">
        <v>1.6808450716817838</v>
      </c>
      <c r="BV79" s="513">
        <v>0.74968323109251556</v>
      </c>
      <c r="BW79" s="514">
        <v>0.91895145671120926</v>
      </c>
      <c r="BX79" s="514">
        <v>0.74968323109251556</v>
      </c>
      <c r="BY79" s="514">
        <v>0.93630051571616235</v>
      </c>
      <c r="BZ79" s="511">
        <v>39.250999999999998</v>
      </c>
      <c r="CA79" s="511">
        <v>1556.3609999999996</v>
      </c>
      <c r="CB79" s="515">
        <v>98.774562223582706</v>
      </c>
      <c r="CC79" s="515">
        <v>73.343448510044155</v>
      </c>
      <c r="CD79" s="511">
        <v>2.3973911492700823</v>
      </c>
      <c r="CE79" s="511">
        <v>1.8902169869329808</v>
      </c>
      <c r="CF79" s="515">
        <v>0</v>
      </c>
      <c r="CG79" s="515">
        <v>0</v>
      </c>
      <c r="CH79" s="515">
        <v>1069.6916284911999</v>
      </c>
      <c r="CI79" s="515">
        <v>773.49367864195244</v>
      </c>
      <c r="CJ79" s="515">
        <v>812.55917046698903</v>
      </c>
      <c r="CK79" s="515">
        <v>480.64164612194691</v>
      </c>
      <c r="CL79" s="515">
        <v>0</v>
      </c>
      <c r="CM79" s="516">
        <v>0</v>
      </c>
    </row>
    <row r="80" spans="1:91" ht="12.75" hidden="1" customHeight="1">
      <c r="A80" s="558"/>
      <c r="B80" s="603"/>
      <c r="C80" s="594"/>
      <c r="D80" s="604"/>
      <c r="E80" s="594"/>
      <c r="F80" s="576"/>
      <c r="G80" s="605"/>
      <c r="H80" s="576"/>
      <c r="I80" s="605"/>
      <c r="J80" s="576"/>
      <c r="K80" s="606"/>
      <c r="L80" s="603"/>
      <c r="M80" s="594"/>
      <c r="N80" s="604"/>
      <c r="O80" s="594"/>
      <c r="P80" s="576"/>
      <c r="Q80" s="605"/>
      <c r="R80" s="576"/>
      <c r="S80" s="605"/>
      <c r="T80" s="576"/>
      <c r="U80" s="605"/>
      <c r="V80" s="576"/>
      <c r="W80" s="605"/>
      <c r="X80" s="576"/>
      <c r="Y80" s="607"/>
      <c r="Z80" s="576"/>
      <c r="AA80" s="607"/>
      <c r="AB80" s="513"/>
      <c r="AC80" s="514"/>
      <c r="AD80" s="514"/>
      <c r="AE80" s="514"/>
      <c r="AF80" s="511"/>
      <c r="AG80" s="511"/>
      <c r="AH80" s="511"/>
      <c r="AI80" s="511"/>
      <c r="AJ80" s="511"/>
      <c r="AK80" s="511"/>
      <c r="AL80" s="511"/>
      <c r="AM80" s="511"/>
      <c r="AN80" s="511"/>
      <c r="AO80" s="512"/>
      <c r="AP80" s="594"/>
      <c r="AQ80" s="514"/>
      <c r="AR80" s="514"/>
      <c r="AS80" s="514"/>
      <c r="AT80" s="511"/>
      <c r="AU80" s="511"/>
      <c r="AV80" s="515"/>
      <c r="AW80" s="515"/>
      <c r="AX80" s="511"/>
      <c r="AY80" s="511"/>
      <c r="AZ80" s="511"/>
      <c r="BA80" s="511"/>
      <c r="BB80" s="511"/>
      <c r="BC80" s="511"/>
      <c r="BD80" s="511"/>
      <c r="BE80" s="576"/>
      <c r="BF80" s="511"/>
      <c r="BG80" s="576"/>
      <c r="BH80" s="603"/>
      <c r="BI80" s="594"/>
      <c r="BJ80" s="604"/>
      <c r="BK80" s="594"/>
      <c r="BL80" s="576"/>
      <c r="BM80" s="605"/>
      <c r="BN80" s="576"/>
      <c r="BO80" s="605"/>
      <c r="BP80" s="608"/>
      <c r="BQ80" s="609"/>
      <c r="BR80" s="608"/>
      <c r="BS80" s="609"/>
      <c r="BT80" s="608"/>
      <c r="BU80" s="610"/>
      <c r="BV80" s="603"/>
      <c r="BW80" s="594"/>
      <c r="BX80" s="604"/>
      <c r="BY80" s="594"/>
      <c r="BZ80" s="576"/>
      <c r="CA80" s="605"/>
      <c r="CB80" s="608"/>
      <c r="CC80" s="609"/>
      <c r="CD80" s="576"/>
      <c r="CE80" s="605"/>
      <c r="CF80" s="608"/>
      <c r="CG80" s="609"/>
      <c r="CH80" s="608"/>
      <c r="CI80" s="609"/>
      <c r="CJ80" s="608"/>
      <c r="CK80" s="609"/>
      <c r="CL80" s="611"/>
      <c r="CM80" s="610"/>
    </row>
    <row r="81" spans="1:91">
      <c r="A81" s="559" t="s">
        <v>227</v>
      </c>
      <c r="B81" s="667">
        <f>+C79</f>
        <v>0.88484970847047562</v>
      </c>
      <c r="C81" s="668"/>
      <c r="D81" s="669">
        <f>+E79</f>
        <v>0.89566760925739353</v>
      </c>
      <c r="E81" s="668"/>
      <c r="F81" s="658">
        <f>+G79</f>
        <v>1866.7590000000002</v>
      </c>
      <c r="G81" s="659"/>
      <c r="H81" s="656">
        <f>+I79</f>
        <v>2.1920172877163036</v>
      </c>
      <c r="I81" s="657"/>
      <c r="J81" s="658">
        <f>+K79</f>
        <v>922.14621169631459</v>
      </c>
      <c r="K81" s="673"/>
      <c r="L81" s="667">
        <f>+M79</f>
        <v>0.88170831799413629</v>
      </c>
      <c r="M81" s="668"/>
      <c r="N81" s="669">
        <f>+O79</f>
        <v>0.89383032357963155</v>
      </c>
      <c r="O81" s="668"/>
      <c r="P81" s="658">
        <f>+Q79</f>
        <v>1726.7860000000003</v>
      </c>
      <c r="Q81" s="659"/>
      <c r="R81" s="656">
        <f>+S79</f>
        <v>2.321891653047917</v>
      </c>
      <c r="S81" s="657"/>
      <c r="T81" s="656">
        <f>+U79</f>
        <v>0</v>
      </c>
      <c r="U81" s="657"/>
      <c r="V81" s="656">
        <f>+W79</f>
        <v>638.49701700152843</v>
      </c>
      <c r="W81" s="657"/>
      <c r="X81" s="656">
        <f>+Y79</f>
        <v>470.32637512696994</v>
      </c>
      <c r="Y81" s="806"/>
      <c r="Z81" s="656">
        <v>0</v>
      </c>
      <c r="AA81" s="806"/>
      <c r="AB81" s="661">
        <f>+AC79</f>
        <v>0.6422780569348121</v>
      </c>
      <c r="AC81" s="662"/>
      <c r="AD81" s="662">
        <f>+AE79</f>
        <v>0.84124438297430615</v>
      </c>
      <c r="AE81" s="662"/>
      <c r="AF81" s="664">
        <f>+AG79</f>
        <v>906.26300000000015</v>
      </c>
      <c r="AG81" s="664"/>
      <c r="AH81" s="663">
        <f>+AI79</f>
        <v>132.078105600886</v>
      </c>
      <c r="AI81" s="663"/>
      <c r="AJ81" s="663">
        <f>+AK79</f>
        <v>1.4843373281266035</v>
      </c>
      <c r="AK81" s="663"/>
      <c r="AL81" s="663">
        <f>+AM79</f>
        <v>981.45322053311179</v>
      </c>
      <c r="AM81" s="663"/>
      <c r="AN81" s="663">
        <f>+AO79</f>
        <v>0</v>
      </c>
      <c r="AO81" s="807"/>
      <c r="AP81" s="668">
        <f>+AQ79</f>
        <v>0.87015283921102526</v>
      </c>
      <c r="AQ81" s="662"/>
      <c r="AR81" s="662">
        <f>+AS79</f>
        <v>0.88455025406009358</v>
      </c>
      <c r="AS81" s="662"/>
      <c r="AT81" s="808">
        <f>+AU79</f>
        <v>1421.287</v>
      </c>
      <c r="AU81" s="808"/>
      <c r="AV81" s="663">
        <f>+AW79</f>
        <v>100.50159954835541</v>
      </c>
      <c r="AW81" s="663"/>
      <c r="AX81" s="663">
        <f>+AY79</f>
        <v>1.4360927806980577</v>
      </c>
      <c r="AY81" s="663"/>
      <c r="AZ81" s="663">
        <f>+BA79</f>
        <v>0</v>
      </c>
      <c r="BA81" s="663"/>
      <c r="BB81" s="664">
        <f>+BC79</f>
        <v>853.93361087521384</v>
      </c>
      <c r="BC81" s="664"/>
      <c r="BD81" s="663">
        <f>+BE79</f>
        <v>511.84967357050317</v>
      </c>
      <c r="BE81" s="656"/>
      <c r="BF81" s="663">
        <f>+BG79</f>
        <v>0</v>
      </c>
      <c r="BG81" s="656"/>
      <c r="BH81" s="667">
        <f>+BI79</f>
        <v>0.70325329215205501</v>
      </c>
      <c r="BI81" s="668"/>
      <c r="BJ81" s="669">
        <f>+BK79</f>
        <v>0.90131086520160342</v>
      </c>
      <c r="BK81" s="668"/>
      <c r="BL81" s="658">
        <f>+BM79</f>
        <v>1118.4849999999999</v>
      </c>
      <c r="BM81" s="659"/>
      <c r="BN81" s="656">
        <f>+BO79</f>
        <v>2.5139362619972556</v>
      </c>
      <c r="BO81" s="657"/>
      <c r="BP81" s="656">
        <f>+BQ79</f>
        <v>0</v>
      </c>
      <c r="BQ81" s="657"/>
      <c r="BR81" s="658">
        <f>+BS79</f>
        <v>1008.4441229119143</v>
      </c>
      <c r="BS81" s="659"/>
      <c r="BT81" s="656">
        <f>+BU79</f>
        <v>1.6808450716817838</v>
      </c>
      <c r="BU81" s="809"/>
      <c r="BV81" s="667">
        <f>+BW79</f>
        <v>0.91895145671120926</v>
      </c>
      <c r="BW81" s="668"/>
      <c r="BX81" s="669">
        <f>+BY79</f>
        <v>0.93630051571616235</v>
      </c>
      <c r="BY81" s="668"/>
      <c r="BZ81" s="658">
        <f>+CA79</f>
        <v>1556.3609999999996</v>
      </c>
      <c r="CA81" s="659"/>
      <c r="CB81" s="656">
        <f>+CC79</f>
        <v>73.343448510044155</v>
      </c>
      <c r="CC81" s="657"/>
      <c r="CD81" s="656">
        <f>+CE79</f>
        <v>1.8902169869329808</v>
      </c>
      <c r="CE81" s="657"/>
      <c r="CF81" s="656">
        <f>+CG79</f>
        <v>0</v>
      </c>
      <c r="CG81" s="657"/>
      <c r="CH81" s="658">
        <f>+CI79</f>
        <v>773.49367864195244</v>
      </c>
      <c r="CI81" s="659"/>
      <c r="CJ81" s="656">
        <f>+CK79</f>
        <v>480.64164612194691</v>
      </c>
      <c r="CK81" s="657"/>
      <c r="CL81" s="806">
        <f>+CM79</f>
        <v>0</v>
      </c>
      <c r="CM81" s="809"/>
    </row>
    <row r="82" spans="1:91" ht="13.5" hidden="1" thickBot="1"/>
    <row r="83" spans="1:91" ht="13.5" hidden="1" thickBot="1">
      <c r="A83" s="629" t="s">
        <v>29</v>
      </c>
      <c r="B83" s="632" t="s">
        <v>149</v>
      </c>
      <c r="C83" s="633"/>
      <c r="D83" s="633"/>
      <c r="E83" s="633"/>
      <c r="F83" s="633"/>
      <c r="G83" s="633"/>
      <c r="H83" s="633"/>
      <c r="I83" s="633"/>
      <c r="J83" s="633"/>
      <c r="K83" s="634"/>
      <c r="L83" s="635" t="s">
        <v>212</v>
      </c>
      <c r="M83" s="636"/>
      <c r="N83" s="636"/>
      <c r="O83" s="636"/>
      <c r="P83" s="636"/>
      <c r="Q83" s="636"/>
      <c r="R83" s="636"/>
      <c r="S83" s="636"/>
      <c r="T83" s="636"/>
      <c r="U83" s="636"/>
      <c r="V83" s="636"/>
      <c r="W83" s="636"/>
      <c r="X83" s="636"/>
      <c r="Y83" s="636"/>
      <c r="Z83" s="636"/>
      <c r="AA83" s="637"/>
      <c r="AB83" s="638" t="s">
        <v>314</v>
      </c>
      <c r="AC83" s="639"/>
      <c r="AD83" s="639"/>
      <c r="AE83" s="639"/>
      <c r="AF83" s="639"/>
      <c r="AG83" s="639"/>
      <c r="AH83" s="639"/>
      <c r="AI83" s="639"/>
      <c r="AJ83" s="639"/>
      <c r="AK83" s="639"/>
      <c r="AL83" s="639"/>
      <c r="AM83" s="639"/>
      <c r="AN83" s="639"/>
      <c r="AO83" s="640"/>
      <c r="AP83" s="641" t="s">
        <v>315</v>
      </c>
      <c r="AQ83" s="642"/>
      <c r="AR83" s="642"/>
      <c r="AS83" s="642"/>
      <c r="AT83" s="642"/>
      <c r="AU83" s="642"/>
      <c r="AV83" s="642"/>
      <c r="AW83" s="642"/>
      <c r="AX83" s="642"/>
      <c r="AY83" s="642"/>
      <c r="AZ83" s="642"/>
      <c r="BA83" s="642"/>
      <c r="BB83" s="642"/>
      <c r="BC83" s="642"/>
      <c r="BD83" s="642"/>
      <c r="BE83" s="642"/>
      <c r="BF83" s="642"/>
      <c r="BG83" s="643"/>
      <c r="BH83" s="644" t="s">
        <v>213</v>
      </c>
      <c r="BI83" s="645"/>
      <c r="BJ83" s="645"/>
      <c r="BK83" s="645"/>
      <c r="BL83" s="645"/>
      <c r="BM83" s="645"/>
      <c r="BN83" s="645"/>
      <c r="BO83" s="645"/>
      <c r="BP83" s="645"/>
      <c r="BQ83" s="645"/>
      <c r="BR83" s="645"/>
      <c r="BS83" s="645"/>
      <c r="BT83" s="645"/>
      <c r="BU83" s="646"/>
      <c r="BV83" s="810" t="s">
        <v>316</v>
      </c>
      <c r="BW83" s="811"/>
      <c r="BX83" s="811"/>
      <c r="BY83" s="811"/>
      <c r="BZ83" s="811"/>
      <c r="CA83" s="811"/>
      <c r="CB83" s="811"/>
      <c r="CC83" s="811"/>
      <c r="CD83" s="811"/>
      <c r="CE83" s="811"/>
      <c r="CF83" s="811"/>
      <c r="CG83" s="811"/>
      <c r="CH83" s="811"/>
      <c r="CI83" s="811"/>
      <c r="CJ83" s="811"/>
      <c r="CK83" s="811"/>
      <c r="CL83" s="811"/>
      <c r="CM83" s="812"/>
    </row>
    <row r="84" spans="1:91" hidden="1">
      <c r="A84" s="630"/>
      <c r="B84" s="653" t="s">
        <v>404</v>
      </c>
      <c r="C84" s="648"/>
      <c r="D84" s="647" t="s">
        <v>405</v>
      </c>
      <c r="E84" s="648"/>
      <c r="F84" s="647" t="s">
        <v>214</v>
      </c>
      <c r="G84" s="648"/>
      <c r="H84" s="647" t="s">
        <v>215</v>
      </c>
      <c r="I84" s="648"/>
      <c r="J84" s="647" t="s">
        <v>216</v>
      </c>
      <c r="K84" s="650"/>
      <c r="L84" s="653" t="s">
        <v>404</v>
      </c>
      <c r="M84" s="648"/>
      <c r="N84" s="647" t="s">
        <v>405</v>
      </c>
      <c r="O84" s="648"/>
      <c r="P84" s="647" t="s">
        <v>214</v>
      </c>
      <c r="Q84" s="648"/>
      <c r="R84" s="647" t="s">
        <v>317</v>
      </c>
      <c r="S84" s="648"/>
      <c r="T84" s="647" t="s">
        <v>318</v>
      </c>
      <c r="U84" s="648"/>
      <c r="V84" s="647" t="s">
        <v>216</v>
      </c>
      <c r="W84" s="648"/>
      <c r="X84" s="647" t="s">
        <v>319</v>
      </c>
      <c r="Y84" s="650"/>
      <c r="Z84" s="649" t="s">
        <v>430</v>
      </c>
      <c r="AA84" s="650"/>
      <c r="AB84" s="653" t="s">
        <v>404</v>
      </c>
      <c r="AC84" s="648"/>
      <c r="AD84" s="647" t="s">
        <v>405</v>
      </c>
      <c r="AE84" s="648"/>
      <c r="AF84" s="647" t="s">
        <v>214</v>
      </c>
      <c r="AG84" s="648"/>
      <c r="AH84" s="647" t="s">
        <v>320</v>
      </c>
      <c r="AI84" s="648"/>
      <c r="AJ84" s="647" t="s">
        <v>217</v>
      </c>
      <c r="AK84" s="648"/>
      <c r="AL84" s="647" t="s">
        <v>218</v>
      </c>
      <c r="AM84" s="650"/>
      <c r="AN84" s="813" t="s">
        <v>428</v>
      </c>
      <c r="AO84" s="654"/>
      <c r="AP84" s="653" t="s">
        <v>404</v>
      </c>
      <c r="AQ84" s="648"/>
      <c r="AR84" s="647" t="s">
        <v>405</v>
      </c>
      <c r="AS84" s="648"/>
      <c r="AT84" s="647" t="s">
        <v>214</v>
      </c>
      <c r="AU84" s="648"/>
      <c r="AV84" s="647" t="s">
        <v>320</v>
      </c>
      <c r="AW84" s="648"/>
      <c r="AX84" s="647" t="s">
        <v>217</v>
      </c>
      <c r="AY84" s="648"/>
      <c r="AZ84" s="647" t="s">
        <v>321</v>
      </c>
      <c r="BA84" s="648"/>
      <c r="BB84" s="647" t="s">
        <v>218</v>
      </c>
      <c r="BC84" s="648"/>
      <c r="BD84" s="647" t="s">
        <v>322</v>
      </c>
      <c r="BE84" s="650"/>
      <c r="BF84" s="666" t="s">
        <v>428</v>
      </c>
      <c r="BG84" s="655"/>
      <c r="BH84" s="653" t="s">
        <v>404</v>
      </c>
      <c r="BI84" s="648"/>
      <c r="BJ84" s="647" t="s">
        <v>405</v>
      </c>
      <c r="BK84" s="648"/>
      <c r="BL84" s="647" t="s">
        <v>214</v>
      </c>
      <c r="BM84" s="648"/>
      <c r="BN84" s="647" t="s">
        <v>217</v>
      </c>
      <c r="BO84" s="648"/>
      <c r="BP84" s="647" t="s">
        <v>429</v>
      </c>
      <c r="BQ84" s="648"/>
      <c r="BR84" s="647" t="s">
        <v>218</v>
      </c>
      <c r="BS84" s="648"/>
      <c r="BT84" s="647" t="s">
        <v>430</v>
      </c>
      <c r="BU84" s="650"/>
      <c r="BV84" s="653" t="s">
        <v>404</v>
      </c>
      <c r="BW84" s="648"/>
      <c r="BX84" s="647" t="s">
        <v>405</v>
      </c>
      <c r="BY84" s="648"/>
      <c r="BZ84" s="647" t="s">
        <v>214</v>
      </c>
      <c r="CA84" s="648"/>
      <c r="CB84" s="647" t="s">
        <v>320</v>
      </c>
      <c r="CC84" s="648"/>
      <c r="CD84" s="647" t="s">
        <v>217</v>
      </c>
      <c r="CE84" s="648"/>
      <c r="CF84" s="647" t="s">
        <v>321</v>
      </c>
      <c r="CG84" s="648"/>
      <c r="CH84" s="647" t="s">
        <v>218</v>
      </c>
      <c r="CI84" s="648"/>
      <c r="CJ84" s="666" t="s">
        <v>322</v>
      </c>
      <c r="CK84" s="666"/>
      <c r="CL84" s="666" t="s">
        <v>431</v>
      </c>
      <c r="CM84" s="655"/>
    </row>
    <row r="85" spans="1:91" ht="13.5" hidden="1" thickBot="1">
      <c r="A85" s="631"/>
      <c r="B85" s="508" t="s">
        <v>219</v>
      </c>
      <c r="C85" s="509" t="s">
        <v>220</v>
      </c>
      <c r="D85" s="509" t="s">
        <v>219</v>
      </c>
      <c r="E85" s="509" t="s">
        <v>220</v>
      </c>
      <c r="F85" s="509" t="s">
        <v>219</v>
      </c>
      <c r="G85" s="509" t="s">
        <v>220</v>
      </c>
      <c r="H85" s="509" t="s">
        <v>219</v>
      </c>
      <c r="I85" s="509" t="s">
        <v>220</v>
      </c>
      <c r="J85" s="509" t="s">
        <v>219</v>
      </c>
      <c r="K85" s="510" t="s">
        <v>220</v>
      </c>
      <c r="L85" s="508" t="s">
        <v>219</v>
      </c>
      <c r="M85" s="509" t="s">
        <v>220</v>
      </c>
      <c r="N85" s="509" t="s">
        <v>219</v>
      </c>
      <c r="O85" s="509" t="s">
        <v>220</v>
      </c>
      <c r="P85" s="583" t="s">
        <v>219</v>
      </c>
      <c r="Q85" s="583" t="s">
        <v>220</v>
      </c>
      <c r="R85" s="583" t="s">
        <v>219</v>
      </c>
      <c r="S85" s="583" t="s">
        <v>220</v>
      </c>
      <c r="T85" s="583" t="s">
        <v>219</v>
      </c>
      <c r="U85" s="583" t="s">
        <v>220</v>
      </c>
      <c r="V85" s="583" t="s">
        <v>219</v>
      </c>
      <c r="W85" s="583" t="s">
        <v>220</v>
      </c>
      <c r="X85" s="583" t="s">
        <v>219</v>
      </c>
      <c r="Y85" s="584" t="s">
        <v>220</v>
      </c>
      <c r="Z85" s="592" t="s">
        <v>219</v>
      </c>
      <c r="AA85" s="584" t="s">
        <v>220</v>
      </c>
      <c r="AB85" s="581" t="s">
        <v>219</v>
      </c>
      <c r="AC85" s="583" t="s">
        <v>220</v>
      </c>
      <c r="AD85" s="583" t="s">
        <v>219</v>
      </c>
      <c r="AE85" s="583" t="s">
        <v>220</v>
      </c>
      <c r="AF85" s="583" t="s">
        <v>219</v>
      </c>
      <c r="AG85" s="583" t="s">
        <v>220</v>
      </c>
      <c r="AH85" s="583" t="s">
        <v>219</v>
      </c>
      <c r="AI85" s="583" t="s">
        <v>220</v>
      </c>
      <c r="AJ85" s="583" t="s">
        <v>219</v>
      </c>
      <c r="AK85" s="583" t="s">
        <v>220</v>
      </c>
      <c r="AL85" s="583" t="s">
        <v>219</v>
      </c>
      <c r="AM85" s="585" t="s">
        <v>220</v>
      </c>
      <c r="AN85" s="509" t="s">
        <v>219</v>
      </c>
      <c r="AO85" s="586" t="s">
        <v>220</v>
      </c>
      <c r="AP85" s="581" t="s">
        <v>219</v>
      </c>
      <c r="AQ85" s="583" t="s">
        <v>220</v>
      </c>
      <c r="AR85" s="583" t="s">
        <v>219</v>
      </c>
      <c r="AS85" s="583" t="s">
        <v>220</v>
      </c>
      <c r="AT85" s="583" t="s">
        <v>219</v>
      </c>
      <c r="AU85" s="583" t="s">
        <v>220</v>
      </c>
      <c r="AV85" s="583" t="s">
        <v>219</v>
      </c>
      <c r="AW85" s="583" t="s">
        <v>220</v>
      </c>
      <c r="AX85" s="583" t="s">
        <v>219</v>
      </c>
      <c r="AY85" s="583" t="s">
        <v>220</v>
      </c>
      <c r="AZ85" s="583" t="s">
        <v>219</v>
      </c>
      <c r="BA85" s="583" t="s">
        <v>220</v>
      </c>
      <c r="BB85" s="583" t="s">
        <v>219</v>
      </c>
      <c r="BC85" s="583" t="s">
        <v>220</v>
      </c>
      <c r="BD85" s="583" t="s">
        <v>219</v>
      </c>
      <c r="BE85" s="584" t="s">
        <v>220</v>
      </c>
      <c r="BF85" s="583" t="s">
        <v>219</v>
      </c>
      <c r="BG85" s="584" t="s">
        <v>220</v>
      </c>
      <c r="BH85" s="581" t="s">
        <v>219</v>
      </c>
      <c r="BI85" s="583" t="s">
        <v>220</v>
      </c>
      <c r="BJ85" s="583" t="s">
        <v>219</v>
      </c>
      <c r="BK85" s="583" t="s">
        <v>220</v>
      </c>
      <c r="BL85" s="583" t="s">
        <v>219</v>
      </c>
      <c r="BM85" s="583" t="s">
        <v>220</v>
      </c>
      <c r="BN85" s="583" t="s">
        <v>219</v>
      </c>
      <c r="BO85" s="583" t="s">
        <v>220</v>
      </c>
      <c r="BP85" s="583" t="s">
        <v>219</v>
      </c>
      <c r="BQ85" s="583" t="s">
        <v>220</v>
      </c>
      <c r="BR85" s="583" t="s">
        <v>219</v>
      </c>
      <c r="BS85" s="583" t="s">
        <v>220</v>
      </c>
      <c r="BT85" s="583" t="s">
        <v>219</v>
      </c>
      <c r="BU85" s="584" t="s">
        <v>220</v>
      </c>
      <c r="BV85" s="508" t="s">
        <v>219</v>
      </c>
      <c r="BW85" s="509" t="s">
        <v>220</v>
      </c>
      <c r="BX85" s="509" t="s">
        <v>219</v>
      </c>
      <c r="BY85" s="509" t="s">
        <v>220</v>
      </c>
      <c r="BZ85" s="509" t="s">
        <v>219</v>
      </c>
      <c r="CA85" s="509" t="s">
        <v>220</v>
      </c>
      <c r="CB85" s="509" t="s">
        <v>219</v>
      </c>
      <c r="CC85" s="509" t="s">
        <v>220</v>
      </c>
      <c r="CD85" s="509" t="s">
        <v>219</v>
      </c>
      <c r="CE85" s="509" t="s">
        <v>220</v>
      </c>
      <c r="CF85" s="509" t="s">
        <v>219</v>
      </c>
      <c r="CG85" s="509" t="s">
        <v>220</v>
      </c>
      <c r="CH85" s="509" t="s">
        <v>219</v>
      </c>
      <c r="CI85" s="509" t="s">
        <v>220</v>
      </c>
      <c r="CJ85" s="509" t="s">
        <v>219</v>
      </c>
      <c r="CK85" s="509" t="s">
        <v>220</v>
      </c>
      <c r="CL85" s="509" t="s">
        <v>219</v>
      </c>
      <c r="CM85" s="510" t="s">
        <v>220</v>
      </c>
    </row>
    <row r="86" spans="1:91" ht="14.25" hidden="1" customHeight="1" thickTop="1">
      <c r="A86" s="557">
        <v>46054</v>
      </c>
      <c r="B86" s="519">
        <v>0.88408408157797713</v>
      </c>
      <c r="C86" s="520">
        <v>0.88408408157797713</v>
      </c>
      <c r="D86" s="520">
        <v>0.88408408157797713</v>
      </c>
      <c r="E86" s="520">
        <v>0.88408408157797713</v>
      </c>
      <c r="F86" s="521">
        <v>70.173000000000002</v>
      </c>
      <c r="G86" s="521">
        <v>70.173000000000002</v>
      </c>
      <c r="H86" s="521">
        <v>2.1588645205420889</v>
      </c>
      <c r="I86" s="521">
        <v>2.1588645205420889</v>
      </c>
      <c r="J86" s="521">
        <v>727.10529690905594</v>
      </c>
      <c r="K86" s="547">
        <v>727.10529690905594</v>
      </c>
      <c r="L86" s="519">
        <v>0.70148554429205812</v>
      </c>
      <c r="M86" s="520">
        <v>0.70148554429205812</v>
      </c>
      <c r="N86" s="520">
        <v>0.70148554429205812</v>
      </c>
      <c r="O86" s="520">
        <v>0.70148554429205812</v>
      </c>
      <c r="P86" s="521">
        <v>47.631</v>
      </c>
      <c r="Q86" s="521">
        <v>47.631</v>
      </c>
      <c r="R86" s="521">
        <v>2.6005332661501961</v>
      </c>
      <c r="S86" s="521">
        <v>2.6005332661501961</v>
      </c>
      <c r="T86" s="521">
        <v>0.35271146942117532</v>
      </c>
      <c r="U86" s="521">
        <v>0.35271146942117532</v>
      </c>
      <c r="V86" s="521">
        <v>641.84963574142819</v>
      </c>
      <c r="W86" s="521">
        <v>641.84963574142819</v>
      </c>
      <c r="X86" s="521">
        <v>536.81425962083517</v>
      </c>
      <c r="Y86" s="555">
        <v>536.81425962083517</v>
      </c>
      <c r="Z86" s="521">
        <v>0</v>
      </c>
      <c r="AA86" s="555">
        <v>0</v>
      </c>
      <c r="AB86" s="519">
        <v>0.82870041179772935</v>
      </c>
      <c r="AC86" s="520">
        <v>0.82870041179772935</v>
      </c>
      <c r="AD86" s="520">
        <v>0.82870041179772935</v>
      </c>
      <c r="AE86" s="520">
        <v>0.82870041179772935</v>
      </c>
      <c r="AF86" s="521">
        <v>39.595999999999997</v>
      </c>
      <c r="AG86" s="521">
        <v>39.595999999999997</v>
      </c>
      <c r="AH86" s="521">
        <v>114.32055690727469</v>
      </c>
      <c r="AI86" s="521">
        <v>114.32055690727469</v>
      </c>
      <c r="AJ86" s="521">
        <v>1.2147691686028894</v>
      </c>
      <c r="AK86" s="521">
        <v>1.2147691686028894</v>
      </c>
      <c r="AL86" s="521">
        <v>978.96656227902736</v>
      </c>
      <c r="AM86" s="555">
        <v>978.96656227902736</v>
      </c>
      <c r="AN86" s="587"/>
      <c r="AO86" s="587"/>
      <c r="AP86" s="519">
        <v>0.55100094198629701</v>
      </c>
      <c r="AQ86" s="520">
        <v>0.55100094198629701</v>
      </c>
      <c r="AR86" s="520">
        <v>0.55100094198629701</v>
      </c>
      <c r="AS86" s="520">
        <v>0.55100094198629701</v>
      </c>
      <c r="AT86" s="521">
        <v>30.055</v>
      </c>
      <c r="AU86" s="521">
        <v>30.055</v>
      </c>
      <c r="AV86" s="522">
        <v>90.828995869306866</v>
      </c>
      <c r="AW86" s="522">
        <v>90.828995869306866</v>
      </c>
      <c r="AX86" s="521">
        <v>2.1726834137414741</v>
      </c>
      <c r="AY86" s="521">
        <v>2.1726834137414741</v>
      </c>
      <c r="AZ86" s="521">
        <v>0</v>
      </c>
      <c r="BA86" s="521">
        <v>0</v>
      </c>
      <c r="BB86" s="521">
        <v>1222.1979703876245</v>
      </c>
      <c r="BC86" s="521">
        <v>1222.1979703876245</v>
      </c>
      <c r="BD86" s="521">
        <v>796.40658792214265</v>
      </c>
      <c r="BE86" s="555">
        <v>796.40658792214265</v>
      </c>
      <c r="BF86" s="521">
        <v>50.909998336383488</v>
      </c>
      <c r="BG86" s="547">
        <v>50.909998336383488</v>
      </c>
      <c r="BH86" s="519">
        <v>0.76621146654930528</v>
      </c>
      <c r="BI86" s="520">
        <v>0.76621146654930528</v>
      </c>
      <c r="BJ86" s="520">
        <v>0.76621146654930528</v>
      </c>
      <c r="BK86" s="520">
        <v>0.76621146654930528</v>
      </c>
      <c r="BL86" s="521">
        <v>40.357999999999997</v>
      </c>
      <c r="BM86" s="521">
        <v>40.357999999999997</v>
      </c>
      <c r="BN86" s="521">
        <v>3.3004608751672531</v>
      </c>
      <c r="BO86" s="521">
        <v>3.3004608751672531</v>
      </c>
      <c r="BP86" s="522">
        <v>0</v>
      </c>
      <c r="BQ86" s="522">
        <v>0</v>
      </c>
      <c r="BR86" s="522">
        <v>1026.118526483803</v>
      </c>
      <c r="BS86" s="522">
        <v>1026.118526483803</v>
      </c>
      <c r="BT86" s="522">
        <v>0</v>
      </c>
      <c r="BU86" s="523">
        <v>0</v>
      </c>
      <c r="BV86" s="588">
        <v>0.80325800530119806</v>
      </c>
      <c r="BW86" s="589">
        <v>0.80325800530119806</v>
      </c>
      <c r="BX86" s="589">
        <v>0.80325800530119806</v>
      </c>
      <c r="BY86" s="589">
        <v>0.80325800530119806</v>
      </c>
      <c r="BZ86" s="587">
        <v>42.054000000000002</v>
      </c>
      <c r="CA86" s="587">
        <v>42.054000000000002</v>
      </c>
      <c r="CB86" s="590">
        <v>83.404616869918044</v>
      </c>
      <c r="CC86" s="590">
        <v>83.40461686991803</v>
      </c>
      <c r="CD86" s="587">
        <v>2.4135635135777807</v>
      </c>
      <c r="CE86" s="587">
        <v>2.4135635135777807</v>
      </c>
      <c r="CF86" s="590">
        <v>0</v>
      </c>
      <c r="CG86" s="590">
        <v>0</v>
      </c>
      <c r="CH86" s="590">
        <v>958.22962163330612</v>
      </c>
      <c r="CI86" s="590">
        <v>958.22962163330612</v>
      </c>
      <c r="CJ86" s="515">
        <v>724.401959385552</v>
      </c>
      <c r="CK86" s="590">
        <v>724.401959385552</v>
      </c>
      <c r="CL86" s="590">
        <v>0</v>
      </c>
      <c r="CM86" s="591">
        <v>0</v>
      </c>
    </row>
    <row r="87" spans="1:91" ht="14.25" hidden="1" customHeight="1">
      <c r="A87" s="558">
        <v>46055</v>
      </c>
      <c r="B87" s="513">
        <v>0.80077176792259652</v>
      </c>
      <c r="C87" s="514">
        <v>0.84287177366744404</v>
      </c>
      <c r="D87" s="514">
        <v>0.80077176792259652</v>
      </c>
      <c r="E87" s="514">
        <v>0.84287177366744404</v>
      </c>
      <c r="F87" s="511">
        <v>62.22</v>
      </c>
      <c r="G87" s="511">
        <v>132.393</v>
      </c>
      <c r="H87" s="511">
        <v>2.3171809707489555</v>
      </c>
      <c r="I87" s="511">
        <v>2.2332676198892689</v>
      </c>
      <c r="J87" s="511">
        <v>927.89263902282642</v>
      </c>
      <c r="K87" s="512">
        <v>821.46820451231883</v>
      </c>
      <c r="L87" s="513">
        <v>0.55265695150817018</v>
      </c>
      <c r="M87" s="514">
        <v>0.62710448908337491</v>
      </c>
      <c r="N87" s="514">
        <v>0.55265695150817018</v>
      </c>
      <c r="O87" s="514">
        <v>0.62710448908337491</v>
      </c>
      <c r="P87" s="511">
        <v>37.491999999999997</v>
      </c>
      <c r="Q87" s="511">
        <v>85.12299999999999</v>
      </c>
      <c r="R87" s="511">
        <v>2.9361997226074901</v>
      </c>
      <c r="S87" s="511">
        <v>2.7483758796095064</v>
      </c>
      <c r="T87" s="511">
        <v>0.4400938866958285</v>
      </c>
      <c r="U87" s="511">
        <v>0.3911986184697438</v>
      </c>
      <c r="V87" s="511">
        <v>871.86653152679264</v>
      </c>
      <c r="W87" s="511">
        <v>743.15942812168839</v>
      </c>
      <c r="X87" s="511">
        <v>765.2565880721221</v>
      </c>
      <c r="Y87" s="576">
        <v>637.43054168673575</v>
      </c>
      <c r="Z87" s="511">
        <v>0</v>
      </c>
      <c r="AA87" s="576">
        <v>0</v>
      </c>
      <c r="AB87" s="513">
        <v>0.80635728405491014</v>
      </c>
      <c r="AC87" s="514">
        <v>0.8173364169635573</v>
      </c>
      <c r="AD87" s="514">
        <v>0.82602854854752505</v>
      </c>
      <c r="AE87" s="514">
        <v>0.82735756602943256</v>
      </c>
      <c r="AF87" s="511">
        <v>39.878999999999998</v>
      </c>
      <c r="AG87" s="511">
        <v>79.474999999999994</v>
      </c>
      <c r="AH87" s="511">
        <v>126.64145320799075</v>
      </c>
      <c r="AI87" s="511">
        <v>120.50294160153398</v>
      </c>
      <c r="AJ87" s="511">
        <v>1.2412547957571656</v>
      </c>
      <c r="AK87" s="511">
        <v>1.2280591380937402</v>
      </c>
      <c r="AL87" s="511">
        <v>890.53085583889458</v>
      </c>
      <c r="AM87" s="576">
        <v>934.59125511166576</v>
      </c>
      <c r="AN87" s="587"/>
      <c r="AO87" s="587"/>
      <c r="AP87" s="513">
        <v>0.68050611430145569</v>
      </c>
      <c r="AQ87" s="514">
        <v>0.61608500262349397</v>
      </c>
      <c r="AR87" s="514">
        <v>0.86562922232549178</v>
      </c>
      <c r="AS87" s="514">
        <v>0.69027366781953725</v>
      </c>
      <c r="AT87" s="511">
        <v>37.500999999999998</v>
      </c>
      <c r="AU87" s="511">
        <v>67.555999999999997</v>
      </c>
      <c r="AV87" s="515">
        <v>79.31448941226455</v>
      </c>
      <c r="AW87" s="515">
        <v>84.437180092091765</v>
      </c>
      <c r="AX87" s="511">
        <v>1.7546198768032852</v>
      </c>
      <c r="AY87" s="511">
        <v>1.9406122328142579</v>
      </c>
      <c r="AZ87" s="511">
        <v>0</v>
      </c>
      <c r="BA87" s="511">
        <v>0</v>
      </c>
      <c r="BB87" s="511">
        <v>1006.1993013519634</v>
      </c>
      <c r="BC87" s="511">
        <v>1102.2949849014158</v>
      </c>
      <c r="BD87" s="511">
        <v>643.98282712460991</v>
      </c>
      <c r="BE87" s="576">
        <v>711.79465924566284</v>
      </c>
      <c r="BF87" s="511">
        <v>42.134876403295294</v>
      </c>
      <c r="BG87" s="512">
        <v>46.038841849724413</v>
      </c>
      <c r="BH87" s="513">
        <v>0.15212687106236769</v>
      </c>
      <c r="BI87" s="514">
        <v>0.46367644527143165</v>
      </c>
      <c r="BJ87" s="514">
        <v>0.15212687106236769</v>
      </c>
      <c r="BK87" s="514">
        <v>0.46367644527143165</v>
      </c>
      <c r="BL87" s="511">
        <v>7.7809999999999997</v>
      </c>
      <c r="BM87" s="511">
        <v>48.138999999999996</v>
      </c>
      <c r="BN87" s="511">
        <v>4.0354710191492096</v>
      </c>
      <c r="BO87" s="511">
        <v>3.4192650449739297</v>
      </c>
      <c r="BP87" s="515">
        <v>0</v>
      </c>
      <c r="BQ87" s="515">
        <v>0</v>
      </c>
      <c r="BR87" s="515">
        <v>1629.3678847255517</v>
      </c>
      <c r="BS87" s="515">
        <v>1123.6253973469088</v>
      </c>
      <c r="BT87" s="515">
        <v>0</v>
      </c>
      <c r="BU87" s="516">
        <v>0</v>
      </c>
      <c r="BV87" s="513">
        <v>0.99206775900839217</v>
      </c>
      <c r="BW87" s="514">
        <v>0.89766288215479506</v>
      </c>
      <c r="BX87" s="514">
        <v>0.99206775900839217</v>
      </c>
      <c r="BY87" s="514">
        <v>0.89766288215479506</v>
      </c>
      <c r="BZ87" s="511">
        <v>51.939</v>
      </c>
      <c r="CA87" s="511">
        <v>93.992999999999995</v>
      </c>
      <c r="CB87" s="515">
        <v>83.79623828085262</v>
      </c>
      <c r="CC87" s="515">
        <v>83.621020479362699</v>
      </c>
      <c r="CD87" s="511">
        <v>1.979244883420936</v>
      </c>
      <c r="CE87" s="511">
        <v>2.1735661166257065</v>
      </c>
      <c r="CF87" s="515">
        <v>0</v>
      </c>
      <c r="CG87" s="515">
        <v>0</v>
      </c>
      <c r="CH87" s="515">
        <v>829.47936019079964</v>
      </c>
      <c r="CI87" s="515">
        <v>887.08432539781688</v>
      </c>
      <c r="CJ87" s="515">
        <v>642.09938581797871</v>
      </c>
      <c r="CK87" s="515">
        <v>678.92289851371913</v>
      </c>
      <c r="CL87" s="515">
        <v>0</v>
      </c>
      <c r="CM87" s="516">
        <v>0</v>
      </c>
    </row>
    <row r="88" spans="1:91" ht="12.75" hidden="1" customHeight="1">
      <c r="A88" s="558">
        <v>46056</v>
      </c>
      <c r="B88" s="513">
        <v>1.0350290054522993</v>
      </c>
      <c r="C88" s="514">
        <v>0.90941927782648901</v>
      </c>
      <c r="D88" s="514">
        <v>1.0350290054522993</v>
      </c>
      <c r="E88" s="514">
        <v>0.90941927782648901</v>
      </c>
      <c r="F88" s="511">
        <v>86.132000000000005</v>
      </c>
      <c r="G88" s="511">
        <v>218.52500000000001</v>
      </c>
      <c r="H88" s="511">
        <v>1.8425207820554494</v>
      </c>
      <c r="I88" s="511">
        <v>2.0792540899210614</v>
      </c>
      <c r="J88" s="511">
        <v>635.67431384386953</v>
      </c>
      <c r="K88" s="512">
        <v>748.23722686191331</v>
      </c>
      <c r="L88" s="513">
        <v>0.52239436958545959</v>
      </c>
      <c r="M88" s="514">
        <v>0.59221151178903553</v>
      </c>
      <c r="N88" s="514">
        <v>0.52239436958545959</v>
      </c>
      <c r="O88" s="514">
        <v>0.59221151178903553</v>
      </c>
      <c r="P88" s="511">
        <v>35.439</v>
      </c>
      <c r="Q88" s="511">
        <v>120.56199999999998</v>
      </c>
      <c r="R88" s="511">
        <v>3.1174694545557156</v>
      </c>
      <c r="S88" s="511">
        <v>2.8568703239826814</v>
      </c>
      <c r="T88" s="511">
        <v>0.45430175795028083</v>
      </c>
      <c r="U88" s="511">
        <v>0.40974768169074838</v>
      </c>
      <c r="V88" s="511">
        <v>971.31549987294318</v>
      </c>
      <c r="W88" s="511">
        <v>810.22552711467733</v>
      </c>
      <c r="X88" s="511">
        <v>773.04664352831628</v>
      </c>
      <c r="Y88" s="576">
        <v>677.29466996234316</v>
      </c>
      <c r="Z88" s="511">
        <v>0</v>
      </c>
      <c r="AA88" s="576">
        <v>0</v>
      </c>
      <c r="AB88" s="513">
        <v>0.95864766738272789</v>
      </c>
      <c r="AC88" s="514">
        <v>0.85558971610694134</v>
      </c>
      <c r="AD88" s="514">
        <v>1.0923232620255665</v>
      </c>
      <c r="AE88" s="514">
        <v>0.89306380002127883</v>
      </c>
      <c r="AF88" s="511">
        <v>34.6</v>
      </c>
      <c r="AG88" s="511">
        <v>114.07499999999999</v>
      </c>
      <c r="AH88" s="511">
        <v>83.090327648195029</v>
      </c>
      <c r="AI88" s="511">
        <v>109.15535060626308</v>
      </c>
      <c r="AJ88" s="511">
        <v>1.5635838150289016</v>
      </c>
      <c r="AK88" s="511">
        <v>1.3298268682884067</v>
      </c>
      <c r="AL88" s="511">
        <v>1034.4479768786127</v>
      </c>
      <c r="AM88" s="576">
        <v>964.8787201402555</v>
      </c>
      <c r="AN88" s="587"/>
      <c r="AO88" s="587"/>
      <c r="AP88" s="513">
        <v>0.63513479388400862</v>
      </c>
      <c r="AQ88" s="514">
        <v>0.6224597523450115</v>
      </c>
      <c r="AR88" s="514">
        <v>0.92416189694962725</v>
      </c>
      <c r="AS88" s="514">
        <v>0.7555656838640753</v>
      </c>
      <c r="AT88" s="511">
        <v>35.027000000000001</v>
      </c>
      <c r="AU88" s="511">
        <v>102.583</v>
      </c>
      <c r="AV88" s="515">
        <v>41.438696378103302</v>
      </c>
      <c r="AW88" s="515">
        <v>69.755333304126168</v>
      </c>
      <c r="AX88" s="511">
        <v>2.1183658320724015</v>
      </c>
      <c r="AY88" s="511">
        <v>2.0013062593217201</v>
      </c>
      <c r="AZ88" s="511">
        <v>0</v>
      </c>
      <c r="BA88" s="511">
        <v>0</v>
      </c>
      <c r="BB88" s="511">
        <v>1100.6337967853367</v>
      </c>
      <c r="BC88" s="511">
        <v>1101.7277716580725</v>
      </c>
      <c r="BD88" s="511">
        <v>597.85308476318266</v>
      </c>
      <c r="BE88" s="576">
        <v>672.88927015197453</v>
      </c>
      <c r="BF88" s="511">
        <v>43.683444200188589</v>
      </c>
      <c r="BG88" s="512">
        <v>45.234590526695342</v>
      </c>
      <c r="BH88" s="513">
        <v>0.54065755500904011</v>
      </c>
      <c r="BI88" s="514">
        <v>0.4891891290099078</v>
      </c>
      <c r="BJ88" s="514">
        <v>0.54065755500904011</v>
      </c>
      <c r="BK88" s="514">
        <v>0.4891891290099078</v>
      </c>
      <c r="BL88" s="511">
        <v>27.824000000000002</v>
      </c>
      <c r="BM88" s="511">
        <v>75.962999999999994</v>
      </c>
      <c r="BN88" s="511">
        <v>4.3343875790684301</v>
      </c>
      <c r="BO88" s="511">
        <v>3.754459407869621</v>
      </c>
      <c r="BP88" s="515">
        <v>0</v>
      </c>
      <c r="BQ88" s="515">
        <v>0</v>
      </c>
      <c r="BR88" s="515">
        <v>1392.8447745341023</v>
      </c>
      <c r="BS88" s="515">
        <v>1222.2360360901978</v>
      </c>
      <c r="BT88" s="515">
        <v>0</v>
      </c>
      <c r="BU88" s="516">
        <v>0</v>
      </c>
      <c r="BV88" s="513">
        <v>0.92714399028433891</v>
      </c>
      <c r="BW88" s="514">
        <v>0.9079322861180289</v>
      </c>
      <c r="BX88" s="514">
        <v>0.92714399028433891</v>
      </c>
      <c r="BY88" s="514">
        <v>0.9079322861180289</v>
      </c>
      <c r="BZ88" s="511">
        <v>51.893000000000001</v>
      </c>
      <c r="CA88" s="511">
        <v>145.886</v>
      </c>
      <c r="CB88" s="515">
        <v>70.541334001438102</v>
      </c>
      <c r="CC88" s="515">
        <v>78.968454980281635</v>
      </c>
      <c r="CD88" s="511">
        <v>1.9887075328078931</v>
      </c>
      <c r="CE88" s="511">
        <v>2.1078102079706071</v>
      </c>
      <c r="CF88" s="515">
        <v>0</v>
      </c>
      <c r="CG88" s="515">
        <v>0</v>
      </c>
      <c r="CH88" s="515">
        <v>775.46464828325861</v>
      </c>
      <c r="CI88" s="515">
        <v>847.38017349492168</v>
      </c>
      <c r="CJ88" s="515">
        <v>534.92763956603005</v>
      </c>
      <c r="CK88" s="515">
        <v>627.70245259997535</v>
      </c>
      <c r="CL88" s="515">
        <v>0</v>
      </c>
      <c r="CM88" s="516">
        <v>0</v>
      </c>
    </row>
    <row r="89" spans="1:91" ht="12.75" hidden="1" customHeight="1">
      <c r="A89" s="558">
        <v>46057</v>
      </c>
      <c r="B89" s="513">
        <v>0.70506644644305416</v>
      </c>
      <c r="C89" s="514">
        <v>0.8595653386544615</v>
      </c>
      <c r="D89" s="514">
        <v>0.70506644644305416</v>
      </c>
      <c r="E89" s="514">
        <v>0.8595653386544615</v>
      </c>
      <c r="F89" s="511">
        <v>54.668999999999997</v>
      </c>
      <c r="G89" s="511">
        <v>273.19400000000002</v>
      </c>
      <c r="H89" s="511">
        <v>2.8366716054802543</v>
      </c>
      <c r="I89" s="511">
        <v>2.2308213211124692</v>
      </c>
      <c r="J89" s="511">
        <v>964.69662880244482</v>
      </c>
      <c r="K89" s="512">
        <v>791.55303557179309</v>
      </c>
      <c r="L89" s="513">
        <v>0.50613541787540117</v>
      </c>
      <c r="M89" s="514">
        <v>0.57069729570410621</v>
      </c>
      <c r="N89" s="514">
        <v>0.57844047757188699</v>
      </c>
      <c r="O89" s="514">
        <v>0.58910264050990258</v>
      </c>
      <c r="P89" s="511">
        <v>34.335999999999999</v>
      </c>
      <c r="Q89" s="511">
        <v>154.89799999999997</v>
      </c>
      <c r="R89" s="511">
        <v>2.699266076421249</v>
      </c>
      <c r="S89" s="511">
        <v>2.8219344342728769</v>
      </c>
      <c r="T89" s="511">
        <v>0.29706430568499531</v>
      </c>
      <c r="U89" s="511">
        <v>0.38476933207659236</v>
      </c>
      <c r="V89" s="511">
        <v>769.67031686866949</v>
      </c>
      <c r="W89" s="511">
        <v>801.23571640694126</v>
      </c>
      <c r="X89" s="511">
        <v>470.61393289841561</v>
      </c>
      <c r="Y89" s="576">
        <v>631.48007075623968</v>
      </c>
      <c r="Z89" s="511">
        <v>0</v>
      </c>
      <c r="AA89" s="576">
        <v>0</v>
      </c>
      <c r="AB89" s="513">
        <v>0.69237235441074407</v>
      </c>
      <c r="AC89" s="514">
        <v>0.80911457989889846</v>
      </c>
      <c r="AD89" s="514">
        <v>0.98290734503674348</v>
      </c>
      <c r="AE89" s="514">
        <v>0.91340716174192893</v>
      </c>
      <c r="AF89" s="511">
        <v>36.75</v>
      </c>
      <c r="AG89" s="511">
        <v>150.82499999999999</v>
      </c>
      <c r="AH89" s="511">
        <v>82.37334340802164</v>
      </c>
      <c r="AI89" s="511">
        <v>102.62965019495611</v>
      </c>
      <c r="AJ89" s="511">
        <v>1.3850340136054422</v>
      </c>
      <c r="AK89" s="511">
        <v>1.343278634178684</v>
      </c>
      <c r="AL89" s="511">
        <v>848.13605442178857</v>
      </c>
      <c r="AM89" s="576">
        <v>936.43321730482592</v>
      </c>
      <c r="AN89" s="587"/>
      <c r="AO89" s="587"/>
      <c r="AP89" s="513">
        <v>0.62006339173678837</v>
      </c>
      <c r="AQ89" s="514">
        <v>0.62185868166870384</v>
      </c>
      <c r="AR89" s="514">
        <v>0.96239222655728274</v>
      </c>
      <c r="AS89" s="514">
        <v>0.79848352674762968</v>
      </c>
      <c r="AT89" s="511">
        <v>34.213000000000001</v>
      </c>
      <c r="AU89" s="511">
        <v>136.79599999999999</v>
      </c>
      <c r="AV89" s="515">
        <v>13.00869537545128</v>
      </c>
      <c r="AW89" s="515">
        <v>55.562866247678954</v>
      </c>
      <c r="AX89" s="511">
        <v>2.2447607634524886</v>
      </c>
      <c r="AY89" s="511">
        <v>2.0621948010175739</v>
      </c>
      <c r="AZ89" s="511">
        <v>0</v>
      </c>
      <c r="BA89" s="511">
        <v>0</v>
      </c>
      <c r="BB89" s="511">
        <v>1037.588051325522</v>
      </c>
      <c r="BC89" s="511">
        <v>1085.6862773765324</v>
      </c>
      <c r="BD89" s="511">
        <v>576.73983573495457</v>
      </c>
      <c r="BE89" s="576">
        <v>648.8420714055967</v>
      </c>
      <c r="BF89" s="511">
        <v>45.877298103060411</v>
      </c>
      <c r="BG89" s="512">
        <v>45.395333196877061</v>
      </c>
      <c r="BH89" s="513">
        <v>0.48609112937816762</v>
      </c>
      <c r="BI89" s="514">
        <v>0.48838135172861413</v>
      </c>
      <c r="BJ89" s="514">
        <v>0.48609112937816762</v>
      </c>
      <c r="BK89" s="514">
        <v>0.48838135172861413</v>
      </c>
      <c r="BL89" s="511">
        <v>26.623000000000001</v>
      </c>
      <c r="BM89" s="511">
        <v>102.586</v>
      </c>
      <c r="BN89" s="511">
        <v>3.8951282725462946</v>
      </c>
      <c r="BO89" s="511">
        <v>3.7909656288382427</v>
      </c>
      <c r="BP89" s="515">
        <v>0</v>
      </c>
      <c r="BQ89" s="515">
        <v>0</v>
      </c>
      <c r="BR89" s="515">
        <v>1425.8597495355261</v>
      </c>
      <c r="BS89" s="515">
        <v>1275.0802265553195</v>
      </c>
      <c r="BT89" s="515">
        <v>0</v>
      </c>
      <c r="BU89" s="516">
        <v>0</v>
      </c>
      <c r="BV89" s="513">
        <v>0.83826639251296975</v>
      </c>
      <c r="BW89" s="514">
        <v>0.88983849466486065</v>
      </c>
      <c r="BX89" s="514">
        <v>0.83826639251296975</v>
      </c>
      <c r="BY89" s="514">
        <v>0.88983849466486065</v>
      </c>
      <c r="BZ89" s="511">
        <v>47.256</v>
      </c>
      <c r="CA89" s="511">
        <v>193.142</v>
      </c>
      <c r="CB89" s="515">
        <v>80.195385451051507</v>
      </c>
      <c r="CC89" s="515">
        <v>79.268647720994167</v>
      </c>
      <c r="CD89" s="511">
        <v>2.1457592686642966</v>
      </c>
      <c r="CE89" s="511">
        <v>2.1170951942094418</v>
      </c>
      <c r="CF89" s="515">
        <v>0</v>
      </c>
      <c r="CG89" s="515">
        <v>0</v>
      </c>
      <c r="CH89" s="515">
        <v>762.57694024283717</v>
      </c>
      <c r="CI89" s="515">
        <v>826.63138974741719</v>
      </c>
      <c r="CJ89" s="515">
        <v>626.33316404266122</v>
      </c>
      <c r="CK89" s="515">
        <v>627.36742914539559</v>
      </c>
      <c r="CL89" s="515">
        <v>0</v>
      </c>
      <c r="CM89" s="516">
        <v>0</v>
      </c>
    </row>
    <row r="90" spans="1:91" ht="12.75" hidden="1" customHeight="1">
      <c r="A90" s="558">
        <v>46058</v>
      </c>
      <c r="B90" s="513">
        <v>0.47415373852422166</v>
      </c>
      <c r="C90" s="514">
        <v>0.78418785196297291</v>
      </c>
      <c r="D90" s="514">
        <v>0.47415373852422166</v>
      </c>
      <c r="E90" s="514">
        <v>0.78418785196297291</v>
      </c>
      <c r="F90" s="511">
        <v>36.639000000000003</v>
      </c>
      <c r="G90" s="511">
        <v>309.83300000000003</v>
      </c>
      <c r="H90" s="511">
        <v>4.0550506291110553</v>
      </c>
      <c r="I90" s="511">
        <v>2.4465437832638872</v>
      </c>
      <c r="J90" s="511">
        <v>1592.9774284232701</v>
      </c>
      <c r="K90" s="512">
        <v>886.32469749833183</v>
      </c>
      <c r="L90" s="513">
        <v>3.8487872089721362E-2</v>
      </c>
      <c r="M90" s="514">
        <v>0.46427443529754736</v>
      </c>
      <c r="N90" s="514" t="e">
        <v>#DIV/0!</v>
      </c>
      <c r="O90" s="514">
        <v>0.59903270412835696</v>
      </c>
      <c r="P90" s="511">
        <v>2.6110000000000002</v>
      </c>
      <c r="Q90" s="511">
        <v>157.50899999999996</v>
      </c>
      <c r="R90" s="511">
        <v>5.2853312906932209E-2</v>
      </c>
      <c r="S90" s="511">
        <v>2.7760318457992885</v>
      </c>
      <c r="T90" s="511">
        <v>0</v>
      </c>
      <c r="U90" s="511">
        <v>0.37839107606549471</v>
      </c>
      <c r="V90" s="511">
        <v>2328.3607813097187</v>
      </c>
      <c r="W90" s="511">
        <v>826.5506098064368</v>
      </c>
      <c r="X90" s="511">
        <v>654.92148602068164</v>
      </c>
      <c r="Y90" s="576">
        <v>631.86865512446923</v>
      </c>
      <c r="Z90" s="511">
        <v>0</v>
      </c>
      <c r="AA90" s="576">
        <v>0</v>
      </c>
      <c r="AB90" s="513">
        <v>0.56937986598510748</v>
      </c>
      <c r="AC90" s="514">
        <v>0.75716782895593859</v>
      </c>
      <c r="AD90" s="514">
        <v>0.84979825799004793</v>
      </c>
      <c r="AE90" s="514">
        <v>0.90240092066279154</v>
      </c>
      <c r="AF90" s="511">
        <v>29.36</v>
      </c>
      <c r="AG90" s="511">
        <v>180.185</v>
      </c>
      <c r="AH90" s="511">
        <v>82.304900659251189</v>
      </c>
      <c r="AI90" s="511">
        <v>99.317861497959711</v>
      </c>
      <c r="AJ90" s="511">
        <v>1.6893732970027249</v>
      </c>
      <c r="AK90" s="511">
        <v>1.3996725587590531</v>
      </c>
      <c r="AL90" s="511">
        <v>1124.1519073569607</v>
      </c>
      <c r="AM90" s="576">
        <v>967.02078419402687</v>
      </c>
      <c r="AN90" s="587"/>
      <c r="AO90" s="587"/>
      <c r="AP90" s="513">
        <v>0.62446290194620946</v>
      </c>
      <c r="AQ90" s="514">
        <v>0.62238178948651479</v>
      </c>
      <c r="AR90" s="514">
        <v>0.94303220007989286</v>
      </c>
      <c r="AS90" s="514">
        <v>0.82393686706429858</v>
      </c>
      <c r="AT90" s="511">
        <v>34.529000000000003</v>
      </c>
      <c r="AU90" s="511">
        <v>171.32499999999999</v>
      </c>
      <c r="AV90" s="515">
        <v>31.372959109160817</v>
      </c>
      <c r="AW90" s="515">
        <v>50.687609842683237</v>
      </c>
      <c r="AX90" s="511">
        <v>2.1662949984071358</v>
      </c>
      <c r="AY90" s="511">
        <v>2.0831752517145778</v>
      </c>
      <c r="AZ90" s="511">
        <v>0</v>
      </c>
      <c r="BA90" s="511">
        <v>0</v>
      </c>
      <c r="BB90" s="511">
        <v>1054.0444264241621</v>
      </c>
      <c r="BC90" s="511">
        <v>1079.3091492776887</v>
      </c>
      <c r="BD90" s="511">
        <v>640.25022444901379</v>
      </c>
      <c r="BE90" s="576">
        <v>647.11046257113674</v>
      </c>
      <c r="BF90" s="511">
        <v>45.761533783196903</v>
      </c>
      <c r="BG90" s="512">
        <v>45.46913760396906</v>
      </c>
      <c r="BH90" s="513">
        <v>0.80504245297611998</v>
      </c>
      <c r="BI90" s="514">
        <v>0.55449852820100043</v>
      </c>
      <c r="BJ90" s="514">
        <v>0.80504245297611998</v>
      </c>
      <c r="BK90" s="514">
        <v>0.55449852820100043</v>
      </c>
      <c r="BL90" s="511">
        <v>44.625</v>
      </c>
      <c r="BM90" s="511">
        <v>147.21100000000001</v>
      </c>
      <c r="BN90" s="511">
        <v>2.7585434173669467</v>
      </c>
      <c r="BO90" s="511">
        <v>3.4780009646018297</v>
      </c>
      <c r="BP90" s="515">
        <v>0</v>
      </c>
      <c r="BQ90" s="515">
        <v>0</v>
      </c>
      <c r="BR90" s="515">
        <v>1039.6707553662595</v>
      </c>
      <c r="BS90" s="515">
        <v>1203.7190670508544</v>
      </c>
      <c r="BT90" s="515">
        <v>0</v>
      </c>
      <c r="BU90" s="516">
        <v>0</v>
      </c>
      <c r="BV90" s="513">
        <v>0.86072548009870886</v>
      </c>
      <c r="BW90" s="514">
        <v>0.88413072212780064</v>
      </c>
      <c r="BX90" s="514">
        <v>0.86072548009870886</v>
      </c>
      <c r="BY90" s="514">
        <v>0.88413072212780064</v>
      </c>
      <c r="BZ90" s="511">
        <v>45.56</v>
      </c>
      <c r="CA90" s="511">
        <v>238.702</v>
      </c>
      <c r="CB90" s="515">
        <v>80.053801834156531</v>
      </c>
      <c r="CC90" s="515">
        <v>79.418506630411244</v>
      </c>
      <c r="CD90" s="511">
        <v>2.2805092186128184</v>
      </c>
      <c r="CE90" s="511">
        <v>2.1482853097167176</v>
      </c>
      <c r="CF90" s="515">
        <v>0</v>
      </c>
      <c r="CG90" s="515">
        <v>0</v>
      </c>
      <c r="CH90" s="515">
        <v>917.91028406017131</v>
      </c>
      <c r="CI90" s="515">
        <v>844.05339050522014</v>
      </c>
      <c r="CJ90" s="515">
        <v>698.26163301141355</v>
      </c>
      <c r="CK90" s="515">
        <v>640.89869376879949</v>
      </c>
      <c r="CL90" s="515">
        <v>0</v>
      </c>
      <c r="CM90" s="516">
        <v>0</v>
      </c>
    </row>
    <row r="91" spans="1:91" ht="12.75" hidden="1" customHeight="1">
      <c r="A91" s="558">
        <v>46059</v>
      </c>
      <c r="B91" s="513">
        <v>0.37015315157820111</v>
      </c>
      <c r="C91" s="514">
        <v>0.71517329622975556</v>
      </c>
      <c r="D91" s="514">
        <v>0.37015315157820111</v>
      </c>
      <c r="E91" s="514">
        <v>0.71517329622975556</v>
      </c>
      <c r="F91" s="511">
        <v>29.254000000000001</v>
      </c>
      <c r="G91" s="511">
        <v>339.08700000000005</v>
      </c>
      <c r="H91" s="511">
        <v>3.7477951733096329</v>
      </c>
      <c r="I91" s="511">
        <v>2.5588064420045589</v>
      </c>
      <c r="J91" s="511">
        <v>1317.3904423326617</v>
      </c>
      <c r="K91" s="512">
        <v>923.51396544249781</v>
      </c>
      <c r="L91" s="513">
        <v>0.54863256381427972</v>
      </c>
      <c r="M91" s="514">
        <v>0.47517532209134339</v>
      </c>
      <c r="N91" s="514">
        <v>0.82294884572141969</v>
      </c>
      <c r="O91" s="514">
        <v>0.62437954420214747</v>
      </c>
      <c r="P91" s="511">
        <v>27.620999999999999</v>
      </c>
      <c r="Q91" s="511">
        <v>185.12999999999997</v>
      </c>
      <c r="R91" s="511">
        <v>4.3992614315194967</v>
      </c>
      <c r="S91" s="511">
        <v>3.0182142278398967</v>
      </c>
      <c r="T91" s="511">
        <v>0.55030592665001266</v>
      </c>
      <c r="U91" s="511">
        <v>0.40404040404040409</v>
      </c>
      <c r="V91" s="511">
        <v>1043.0545599362697</v>
      </c>
      <c r="W91" s="511">
        <v>858.85253605575417</v>
      </c>
      <c r="X91" s="511">
        <v>854.27754244958544</v>
      </c>
      <c r="Y91" s="576">
        <v>665.05158537244108</v>
      </c>
      <c r="Z91" s="511">
        <v>0</v>
      </c>
      <c r="AA91" s="576">
        <v>0</v>
      </c>
      <c r="AB91" s="513">
        <v>0.68023941023559709</v>
      </c>
      <c r="AC91" s="514">
        <v>0.74435818742821458</v>
      </c>
      <c r="AD91" s="514">
        <v>0.68023941023559709</v>
      </c>
      <c r="AE91" s="514">
        <v>0.85967688488013472</v>
      </c>
      <c r="AF91" s="511">
        <v>32.340000000000003</v>
      </c>
      <c r="AG91" s="511">
        <v>212.52500000000001</v>
      </c>
      <c r="AH91" s="511">
        <v>138.11653029316227</v>
      </c>
      <c r="AI91" s="511">
        <v>105.22186784468056</v>
      </c>
      <c r="AJ91" s="511">
        <v>1.2646876932591216</v>
      </c>
      <c r="AK91" s="511">
        <v>1.3791318668391952</v>
      </c>
      <c r="AL91" s="511">
        <v>952.6573902287962</v>
      </c>
      <c r="AM91" s="576">
        <v>964.83510175273489</v>
      </c>
      <c r="AN91" s="587"/>
      <c r="AO91" s="587"/>
      <c r="AP91" s="513">
        <v>0.87529209899229876</v>
      </c>
      <c r="AQ91" s="514">
        <v>0.6630522694212535</v>
      </c>
      <c r="AR91" s="514">
        <v>0.87529209899229876</v>
      </c>
      <c r="AS91" s="514">
        <v>0.83432857207327793</v>
      </c>
      <c r="AT91" s="511">
        <v>46.170999999999999</v>
      </c>
      <c r="AU91" s="511">
        <v>217.49599999999998</v>
      </c>
      <c r="AV91" s="515">
        <v>113.47999904818734</v>
      </c>
      <c r="AW91" s="515">
        <v>64.017452239818496</v>
      </c>
      <c r="AX91" s="511">
        <v>1.5161031816508197</v>
      </c>
      <c r="AY91" s="511">
        <v>1.9627947180637808</v>
      </c>
      <c r="AZ91" s="511">
        <v>0</v>
      </c>
      <c r="BA91" s="511">
        <v>0</v>
      </c>
      <c r="BB91" s="511">
        <v>948.40787507309972</v>
      </c>
      <c r="BC91" s="511">
        <v>1051.520855555965</v>
      </c>
      <c r="BD91" s="511">
        <v>519.37363279980946</v>
      </c>
      <c r="BE91" s="576">
        <v>619.99393092286766</v>
      </c>
      <c r="BF91" s="511">
        <v>34.22278053323528</v>
      </c>
      <c r="BG91" s="512">
        <v>43.08171184757424</v>
      </c>
      <c r="BH91" s="513">
        <v>0.93469282967063283</v>
      </c>
      <c r="BI91" s="514">
        <v>0.61867677145240085</v>
      </c>
      <c r="BJ91" s="514">
        <v>0.93469282967063283</v>
      </c>
      <c r="BK91" s="514">
        <v>0.61867677145240085</v>
      </c>
      <c r="BL91" s="511">
        <v>50.395000000000003</v>
      </c>
      <c r="BM91" s="511">
        <v>197.60600000000002</v>
      </c>
      <c r="BN91" s="511">
        <v>2.3811886099811486</v>
      </c>
      <c r="BO91" s="511">
        <v>3.1982834529315909</v>
      </c>
      <c r="BP91" s="515">
        <v>0</v>
      </c>
      <c r="BQ91" s="515">
        <v>0</v>
      </c>
      <c r="BR91" s="515">
        <v>955.20909244501297</v>
      </c>
      <c r="BS91" s="515">
        <v>1140.3421444358457</v>
      </c>
      <c r="BT91" s="515">
        <v>0</v>
      </c>
      <c r="BU91" s="516">
        <v>0</v>
      </c>
      <c r="BV91" s="513">
        <v>0.94023287616185969</v>
      </c>
      <c r="BW91" s="514">
        <v>0.89324217001527162</v>
      </c>
      <c r="BX91" s="514">
        <v>0.94023287616185969</v>
      </c>
      <c r="BY91" s="514">
        <v>0.89324217001527162</v>
      </c>
      <c r="BZ91" s="511">
        <v>49.220999999999997</v>
      </c>
      <c r="CA91" s="511">
        <v>287.923</v>
      </c>
      <c r="CB91" s="515">
        <v>77.849421471836692</v>
      </c>
      <c r="CC91" s="515">
        <v>79.150268453571613</v>
      </c>
      <c r="CD91" s="511">
        <v>2.0946344040145468</v>
      </c>
      <c r="CE91" s="511">
        <v>2.1391135824508636</v>
      </c>
      <c r="CF91" s="515">
        <v>0</v>
      </c>
      <c r="CG91" s="515">
        <v>0</v>
      </c>
      <c r="CH91" s="515">
        <v>852.46252181453087</v>
      </c>
      <c r="CI91" s="515">
        <v>845.49094795000781</v>
      </c>
      <c r="CJ91" s="515">
        <v>730.78564027549214</v>
      </c>
      <c r="CK91" s="515">
        <v>656.26504308443577</v>
      </c>
      <c r="CL91" s="515">
        <v>0</v>
      </c>
      <c r="CM91" s="516">
        <v>0</v>
      </c>
    </row>
    <row r="92" spans="1:91" ht="12.75" hidden="1" customHeight="1">
      <c r="A92" s="558">
        <v>46060</v>
      </c>
      <c r="B92" s="513">
        <v>0.90229960478262095</v>
      </c>
      <c r="C92" s="514">
        <v>0.74224086788915089</v>
      </c>
      <c r="D92" s="514">
        <v>0.90229960478262095</v>
      </c>
      <c r="E92" s="514">
        <v>0.74224086788915089</v>
      </c>
      <c r="F92" s="511">
        <v>72.346999999999994</v>
      </c>
      <c r="G92" s="511">
        <v>411.43400000000003</v>
      </c>
      <c r="H92" s="511">
        <v>2.4171700277827695</v>
      </c>
      <c r="I92" s="511">
        <v>2.5339009415847982</v>
      </c>
      <c r="J92" s="511">
        <v>710.42005888289123</v>
      </c>
      <c r="K92" s="512">
        <v>886.04330220643124</v>
      </c>
      <c r="L92" s="513">
        <v>0.80876647946046798</v>
      </c>
      <c r="M92" s="514">
        <v>0.51507999044468677</v>
      </c>
      <c r="N92" s="514">
        <v>0.80876647946046798</v>
      </c>
      <c r="O92" s="514">
        <v>0.6523127317730717</v>
      </c>
      <c r="P92" s="511">
        <v>42.814</v>
      </c>
      <c r="Q92" s="511">
        <v>227.94399999999996</v>
      </c>
      <c r="R92" s="511">
        <v>2.8589012939692622</v>
      </c>
      <c r="S92" s="511">
        <v>2.988290983750395</v>
      </c>
      <c r="T92" s="511">
        <v>0.36670248049703369</v>
      </c>
      <c r="U92" s="511">
        <v>0.39702734004843304</v>
      </c>
      <c r="V92" s="511">
        <v>743.86509085809723</v>
      </c>
      <c r="W92" s="511">
        <v>837.25480819850634</v>
      </c>
      <c r="X92" s="511">
        <v>540.8044097725043</v>
      </c>
      <c r="Y92" s="576">
        <v>641.71463166391754</v>
      </c>
      <c r="Z92" s="511">
        <v>0</v>
      </c>
      <c r="AA92" s="576">
        <v>0</v>
      </c>
      <c r="AB92" s="513">
        <v>0.88781412929602788</v>
      </c>
      <c r="AC92" s="514">
        <v>0.76433989018721804</v>
      </c>
      <c r="AD92" s="514">
        <v>0.88781412929602788</v>
      </c>
      <c r="AE92" s="514">
        <v>0.86410763064312679</v>
      </c>
      <c r="AF92" s="511">
        <v>41.021000000000001</v>
      </c>
      <c r="AG92" s="511">
        <v>253.54599999999999</v>
      </c>
      <c r="AH92" s="511">
        <v>126.1357749906048</v>
      </c>
      <c r="AI92" s="511">
        <v>108.60551177924455</v>
      </c>
      <c r="AJ92" s="511">
        <v>1.218887886692182</v>
      </c>
      <c r="AK92" s="511">
        <v>1.3532061243324682</v>
      </c>
      <c r="AL92" s="511">
        <v>922.13159113627398</v>
      </c>
      <c r="AM92" s="576">
        <v>957.92613569135813</v>
      </c>
      <c r="AN92" s="587"/>
      <c r="AO92" s="587"/>
      <c r="AP92" s="513">
        <v>0.94236199958281563</v>
      </c>
      <c r="AQ92" s="514">
        <v>0.70228775586375036</v>
      </c>
      <c r="AR92" s="514">
        <v>0.94236199958281563</v>
      </c>
      <c r="AS92" s="514">
        <v>0.85275583072908545</v>
      </c>
      <c r="AT92" s="511">
        <v>50.518999999999998</v>
      </c>
      <c r="AU92" s="511">
        <v>268.01499999999999</v>
      </c>
      <c r="AV92" s="515">
        <v>107.36429493492341</v>
      </c>
      <c r="AW92" s="515">
        <v>72.188036520974421</v>
      </c>
      <c r="AX92" s="511">
        <v>1.361863853203745</v>
      </c>
      <c r="AY92" s="511">
        <v>1.8495233475738302</v>
      </c>
      <c r="AZ92" s="511">
        <v>0</v>
      </c>
      <c r="BA92" s="511">
        <v>0</v>
      </c>
      <c r="BB92" s="511">
        <v>809.53225519111641</v>
      </c>
      <c r="BC92" s="511">
        <v>1005.9076544223274</v>
      </c>
      <c r="BD92" s="511">
        <v>616.93580633028478</v>
      </c>
      <c r="BE92" s="576">
        <v>619.4174952894416</v>
      </c>
      <c r="BF92" s="511">
        <v>31.148676735485196</v>
      </c>
      <c r="BG92" s="512">
        <v>40.83241609611396</v>
      </c>
      <c r="BH92" s="513">
        <v>1.045126624558161</v>
      </c>
      <c r="BI92" s="514">
        <v>0.68174074623444447</v>
      </c>
      <c r="BJ92" s="514">
        <v>1.045126624558161</v>
      </c>
      <c r="BK92" s="514">
        <v>0.68174074623444447</v>
      </c>
      <c r="BL92" s="511">
        <v>57.932000000000002</v>
      </c>
      <c r="BM92" s="511">
        <v>255.53800000000001</v>
      </c>
      <c r="BN92" s="511">
        <v>2.1680591037768417</v>
      </c>
      <c r="BO92" s="511">
        <v>2.9647254028755019</v>
      </c>
      <c r="BP92" s="515">
        <v>0</v>
      </c>
      <c r="BQ92" s="515">
        <v>0</v>
      </c>
      <c r="BR92" s="515">
        <v>777.9932267112348</v>
      </c>
      <c r="BS92" s="515">
        <v>1058.195467614308</v>
      </c>
      <c r="BT92" s="515">
        <v>0</v>
      </c>
      <c r="BU92" s="516">
        <v>0</v>
      </c>
      <c r="BV92" s="513">
        <v>1.0233736959154323</v>
      </c>
      <c r="BW92" s="514">
        <v>0.91142509609537414</v>
      </c>
      <c r="BX92" s="514">
        <v>1.0233736959154323</v>
      </c>
      <c r="BY92" s="514">
        <v>0.91142509609537414</v>
      </c>
      <c r="BZ92" s="511">
        <v>53.578000000000003</v>
      </c>
      <c r="CA92" s="511">
        <v>341.50099999999998</v>
      </c>
      <c r="CB92" s="515">
        <v>70.100555420004568</v>
      </c>
      <c r="CC92" s="515">
        <v>77.730461410803201</v>
      </c>
      <c r="CD92" s="511">
        <v>1.9112322221807458</v>
      </c>
      <c r="CE92" s="511">
        <v>2.1033613371556745</v>
      </c>
      <c r="CF92" s="515">
        <v>0</v>
      </c>
      <c r="CG92" s="515">
        <v>0</v>
      </c>
      <c r="CH92" s="515">
        <v>765.74482791749904</v>
      </c>
      <c r="CI92" s="515">
        <v>832.97960063593916</v>
      </c>
      <c r="CJ92" s="515">
        <v>536.96517227219533</v>
      </c>
      <c r="CK92" s="515">
        <v>637.54811845353208</v>
      </c>
      <c r="CL92" s="515">
        <v>0</v>
      </c>
      <c r="CM92" s="516">
        <v>0</v>
      </c>
    </row>
    <row r="93" spans="1:91" ht="12.75" hidden="1" customHeight="1">
      <c r="A93" s="558">
        <v>46061</v>
      </c>
      <c r="B93" s="513">
        <v>0.95243049252166312</v>
      </c>
      <c r="C93" s="514">
        <v>0.7678631029470151</v>
      </c>
      <c r="D93" s="514">
        <v>0.95243049252166312</v>
      </c>
      <c r="E93" s="514">
        <v>0.7678631029470151</v>
      </c>
      <c r="F93" s="511">
        <v>73.290999999999997</v>
      </c>
      <c r="G93" s="511">
        <v>484.72500000000002</v>
      </c>
      <c r="H93" s="511">
        <v>2.4821738003301905</v>
      </c>
      <c r="I93" s="511">
        <v>2.5260797359327452</v>
      </c>
      <c r="J93" s="511">
        <v>765.67000040930759</v>
      </c>
      <c r="K93" s="512">
        <v>867.84271494146049</v>
      </c>
      <c r="L93" s="513">
        <v>0.99815173700832605</v>
      </c>
      <c r="M93" s="514">
        <v>0.5720818326663959</v>
      </c>
      <c r="N93" s="514">
        <v>0.99815173700832605</v>
      </c>
      <c r="O93" s="514">
        <v>0.70241865992162822</v>
      </c>
      <c r="P93" s="511">
        <v>59.095999999999997</v>
      </c>
      <c r="Q93" s="511">
        <v>287.03999999999996</v>
      </c>
      <c r="R93" s="511">
        <v>1.8921754433464193</v>
      </c>
      <c r="S93" s="511">
        <v>2.7626219342251952</v>
      </c>
      <c r="T93" s="511">
        <v>0.2741302287802897</v>
      </c>
      <c r="U93" s="511">
        <v>0.37172519509476037</v>
      </c>
      <c r="V93" s="511">
        <v>558.33186679304617</v>
      </c>
      <c r="W93" s="511">
        <v>779.82995401338565</v>
      </c>
      <c r="X93" s="511">
        <v>429.08149451739541</v>
      </c>
      <c r="Y93" s="576">
        <v>597.93756967670015</v>
      </c>
      <c r="Z93" s="511">
        <v>0</v>
      </c>
      <c r="AA93" s="576">
        <v>0</v>
      </c>
      <c r="AB93" s="513">
        <v>0.90668302073671281</v>
      </c>
      <c r="AC93" s="514">
        <v>0.78005831055957964</v>
      </c>
      <c r="AD93" s="514">
        <v>0.90668302073671281</v>
      </c>
      <c r="AE93" s="514">
        <v>0.86934721966557682</v>
      </c>
      <c r="AF93" s="511">
        <v>37.335000000000001</v>
      </c>
      <c r="AG93" s="511">
        <v>290.88099999999997</v>
      </c>
      <c r="AH93" s="511">
        <v>135.36683566935923</v>
      </c>
      <c r="AI93" s="511">
        <v>112.04036667673677</v>
      </c>
      <c r="AJ93" s="511">
        <v>1.3204767644301592</v>
      </c>
      <c r="AK93" s="511">
        <v>1.3490052633207394</v>
      </c>
      <c r="AL93" s="511">
        <v>1026.0270523637046</v>
      </c>
      <c r="AM93" s="576">
        <v>966.66698753098342</v>
      </c>
      <c r="AN93" s="587"/>
      <c r="AO93" s="587"/>
      <c r="AP93" s="513">
        <v>0.93115117668946312</v>
      </c>
      <c r="AQ93" s="514">
        <v>0.73047705891064563</v>
      </c>
      <c r="AR93" s="514">
        <v>0.93115117668946312</v>
      </c>
      <c r="AS93" s="514">
        <v>0.86417923322062806</v>
      </c>
      <c r="AT93" s="511">
        <v>49.917999999999999</v>
      </c>
      <c r="AU93" s="511">
        <v>317.93299999999999</v>
      </c>
      <c r="AV93" s="515">
        <v>114.64104277701874</v>
      </c>
      <c r="AW93" s="515">
        <v>78.853494860590686</v>
      </c>
      <c r="AX93" s="511">
        <v>1.3662406346408109</v>
      </c>
      <c r="AY93" s="511">
        <v>1.7736441325688119</v>
      </c>
      <c r="AZ93" s="511">
        <v>0</v>
      </c>
      <c r="BA93" s="511">
        <v>0</v>
      </c>
      <c r="BB93" s="511">
        <v>851.33058215473341</v>
      </c>
      <c r="BC93" s="511">
        <v>981.63782935398353</v>
      </c>
      <c r="BD93" s="511">
        <v>600.20782082615585</v>
      </c>
      <c r="BE93" s="576">
        <v>616.40142419943743</v>
      </c>
      <c r="BF93" s="511">
        <v>31.802155535077528</v>
      </c>
      <c r="BG93" s="512">
        <v>39.414593640798479</v>
      </c>
      <c r="BH93" s="513">
        <v>1.045153605586949</v>
      </c>
      <c r="BI93" s="514">
        <v>0.72884649438935423</v>
      </c>
      <c r="BJ93" s="514">
        <v>1.045153605586949</v>
      </c>
      <c r="BK93" s="514">
        <v>0.72884649438935423</v>
      </c>
      <c r="BL93" s="511">
        <v>58.341999999999999</v>
      </c>
      <c r="BM93" s="511">
        <v>313.88</v>
      </c>
      <c r="BN93" s="511">
        <v>2.1339686675122556</v>
      </c>
      <c r="BO93" s="511">
        <v>2.8103096724863006</v>
      </c>
      <c r="BP93" s="515">
        <v>0</v>
      </c>
      <c r="BQ93" s="515">
        <v>0</v>
      </c>
      <c r="BR93" s="515">
        <v>766.29779888933149</v>
      </c>
      <c r="BS93" s="515">
        <v>1003.9394022748387</v>
      </c>
      <c r="BT93" s="515">
        <v>0</v>
      </c>
      <c r="BU93" s="516">
        <v>0</v>
      </c>
      <c r="BV93" s="513">
        <v>0.94443993686179317</v>
      </c>
      <c r="BW93" s="514">
        <v>0.91549404551910085</v>
      </c>
      <c r="BX93" s="514">
        <v>0.94443993686179317</v>
      </c>
      <c r="BY93" s="514">
        <v>0.91549404551910085</v>
      </c>
      <c r="BZ93" s="511">
        <v>49.744</v>
      </c>
      <c r="CA93" s="511">
        <v>391.245</v>
      </c>
      <c r="CB93" s="515">
        <v>79.173922823682275</v>
      </c>
      <c r="CC93" s="515">
        <v>77.913987192659221</v>
      </c>
      <c r="CD93" s="511">
        <v>2.0806529430685106</v>
      </c>
      <c r="CE93" s="511">
        <v>2.1004741274648877</v>
      </c>
      <c r="CF93" s="515">
        <v>0</v>
      </c>
      <c r="CG93" s="515">
        <v>0</v>
      </c>
      <c r="CH93" s="515">
        <v>849.65852800742732</v>
      </c>
      <c r="CI93" s="515">
        <v>835.10020681152548</v>
      </c>
      <c r="CJ93" s="515">
        <v>578.68739948536597</v>
      </c>
      <c r="CK93" s="515">
        <v>630.0643995450414</v>
      </c>
      <c r="CL93" s="515">
        <v>0</v>
      </c>
      <c r="CM93" s="516">
        <v>0</v>
      </c>
    </row>
    <row r="94" spans="1:91" ht="12.75" hidden="1" customHeight="1">
      <c r="A94" s="558">
        <v>46062</v>
      </c>
      <c r="B94" s="513">
        <v>0.82019564409333545</v>
      </c>
      <c r="C94" s="514">
        <v>0.77353201918052961</v>
      </c>
      <c r="D94" s="514">
        <v>0.82019564409333545</v>
      </c>
      <c r="E94" s="514">
        <v>0.77353201918052961</v>
      </c>
      <c r="F94" s="511">
        <v>62.9</v>
      </c>
      <c r="G94" s="511">
        <v>547.625</v>
      </c>
      <c r="H94" s="511">
        <v>2.6940063593004773</v>
      </c>
      <c r="I94" s="511">
        <v>2.5453677242638664</v>
      </c>
      <c r="J94" s="511">
        <v>964.75071542132662</v>
      </c>
      <c r="K94" s="512">
        <v>878.97353115727162</v>
      </c>
      <c r="L94" s="513">
        <v>0.7623551751237081</v>
      </c>
      <c r="M94" s="514">
        <v>0.59450092958777279</v>
      </c>
      <c r="N94" s="514">
        <v>0.7623551751237081</v>
      </c>
      <c r="O94" s="514">
        <v>0.7108629864756556</v>
      </c>
      <c r="P94" s="511">
        <v>51.088999999999999</v>
      </c>
      <c r="Q94" s="511">
        <v>338.12899999999996</v>
      </c>
      <c r="R94" s="511">
        <v>2.4134549511636556</v>
      </c>
      <c r="S94" s="511">
        <v>2.7098651698020579</v>
      </c>
      <c r="T94" s="511">
        <v>0.31317896220321401</v>
      </c>
      <c r="U94" s="511">
        <v>0.36287925614188671</v>
      </c>
      <c r="V94" s="511">
        <v>784.86229912500244</v>
      </c>
      <c r="W94" s="511">
        <v>780.59030724959837</v>
      </c>
      <c r="X94" s="511">
        <v>543.79612049560569</v>
      </c>
      <c r="Y94" s="576">
        <v>589.7571636860489</v>
      </c>
      <c r="Z94" s="511">
        <v>0</v>
      </c>
      <c r="AA94" s="576">
        <v>0</v>
      </c>
      <c r="AB94" s="513">
        <v>0.40857534827768016</v>
      </c>
      <c r="AC94" s="514">
        <v>0.73899551837626087</v>
      </c>
      <c r="AD94" s="514">
        <v>0.40857534827768016</v>
      </c>
      <c r="AE94" s="514">
        <v>0.81329391107003379</v>
      </c>
      <c r="AF94" s="511">
        <v>18.934000000000001</v>
      </c>
      <c r="AG94" s="511">
        <v>309.815</v>
      </c>
      <c r="AH94" s="511">
        <v>142.4123491517698</v>
      </c>
      <c r="AI94" s="511">
        <v>113.89651668942908</v>
      </c>
      <c r="AJ94" s="511">
        <v>1.7428963768881376</v>
      </c>
      <c r="AK94" s="511">
        <v>1.3730774817229636</v>
      </c>
      <c r="AL94" s="511">
        <v>1140.4256892362753</v>
      </c>
      <c r="AM94" s="576">
        <v>977.28605780869111</v>
      </c>
      <c r="AN94" s="587"/>
      <c r="AO94" s="587"/>
      <c r="AP94" s="513">
        <v>0.88207351440591864</v>
      </c>
      <c r="AQ94" s="514">
        <v>0.74710165778830329</v>
      </c>
      <c r="AR94" s="514">
        <v>0.88207351440591864</v>
      </c>
      <c r="AS94" s="514">
        <v>0.86645507851795855</v>
      </c>
      <c r="AT94" s="511">
        <v>47.286999999999999</v>
      </c>
      <c r="AU94" s="511">
        <v>365.21999999999997</v>
      </c>
      <c r="AV94" s="515">
        <v>125.14515415166444</v>
      </c>
      <c r="AW94" s="515">
        <v>84.847125255686805</v>
      </c>
      <c r="AX94" s="511">
        <v>1.4359126186901263</v>
      </c>
      <c r="AY94" s="511">
        <v>1.7299162148841798</v>
      </c>
      <c r="AZ94" s="511">
        <v>0</v>
      </c>
      <c r="BA94" s="511">
        <v>0</v>
      </c>
      <c r="BB94" s="511">
        <v>920.18567470974961</v>
      </c>
      <c r="BC94" s="511">
        <v>973.68128799080023</v>
      </c>
      <c r="BD94" s="511">
        <v>595.30420623004045</v>
      </c>
      <c r="BE94" s="576">
        <v>613.66985378675781</v>
      </c>
      <c r="BF94" s="511">
        <v>33.821134772770279</v>
      </c>
      <c r="BG94" s="512">
        <v>38.690378402058961</v>
      </c>
      <c r="BH94" s="513">
        <v>0.91882047375147269</v>
      </c>
      <c r="BI94" s="514">
        <v>0.75010570509581909</v>
      </c>
      <c r="BJ94" s="514">
        <v>0.91882047375147269</v>
      </c>
      <c r="BK94" s="514">
        <v>0.75010570509581909</v>
      </c>
      <c r="BL94" s="511">
        <v>49.86</v>
      </c>
      <c r="BM94" s="511">
        <v>363.74</v>
      </c>
      <c r="BN94" s="511">
        <v>2.4749298034496592</v>
      </c>
      <c r="BO94" s="511">
        <v>2.7643371639082859</v>
      </c>
      <c r="BP94" s="515">
        <v>0</v>
      </c>
      <c r="BQ94" s="515">
        <v>0</v>
      </c>
      <c r="BR94" s="515">
        <v>988.27419311714289</v>
      </c>
      <c r="BS94" s="515">
        <v>1001.7920791082837</v>
      </c>
      <c r="BT94" s="515">
        <v>0</v>
      </c>
      <c r="BU94" s="516">
        <v>0</v>
      </c>
      <c r="BV94" s="513">
        <v>0.88170074433810708</v>
      </c>
      <c r="BW94" s="514">
        <v>0.91176891131374282</v>
      </c>
      <c r="BX94" s="514">
        <v>0.88170074433810708</v>
      </c>
      <c r="BY94" s="514">
        <v>0.91176891131374282</v>
      </c>
      <c r="BZ94" s="511">
        <v>46.682000000000002</v>
      </c>
      <c r="CA94" s="511">
        <v>437.92700000000002</v>
      </c>
      <c r="CB94" s="515">
        <v>88.017344518029091</v>
      </c>
      <c r="CC94" s="515">
        <v>78.990981592782788</v>
      </c>
      <c r="CD94" s="511">
        <v>2.2107021978492782</v>
      </c>
      <c r="CE94" s="511">
        <v>2.1122241834826352</v>
      </c>
      <c r="CF94" s="515">
        <v>0</v>
      </c>
      <c r="CG94" s="515">
        <v>0</v>
      </c>
      <c r="CH94" s="515">
        <v>963.47218909163166</v>
      </c>
      <c r="CI94" s="515">
        <v>848.78436165194398</v>
      </c>
      <c r="CJ94" s="515">
        <v>603.01936506576237</v>
      </c>
      <c r="CK94" s="515">
        <v>627.18146175047366</v>
      </c>
      <c r="CL94" s="515">
        <v>0</v>
      </c>
      <c r="CM94" s="516">
        <v>0</v>
      </c>
    </row>
    <row r="95" spans="1:91" ht="12.75" hidden="1" customHeight="1">
      <c r="A95" s="558">
        <v>46063</v>
      </c>
      <c r="B95" s="513">
        <v>0.78535907240323855</v>
      </c>
      <c r="C95" s="514">
        <v>0.77465636565175644</v>
      </c>
      <c r="D95" s="514">
        <v>0.84705618189900955</v>
      </c>
      <c r="E95" s="514">
        <v>0.78005772352344804</v>
      </c>
      <c r="F95" s="511">
        <v>58.408999999999999</v>
      </c>
      <c r="G95" s="511">
        <v>606.03399999999999</v>
      </c>
      <c r="H95" s="511">
        <v>2.5051447550891131</v>
      </c>
      <c r="I95" s="511">
        <v>2.541491071458037</v>
      </c>
      <c r="J95" s="511">
        <v>885.52517591467529</v>
      </c>
      <c r="K95" s="512">
        <v>879.60497265830168</v>
      </c>
      <c r="L95" s="513">
        <v>0.96755612812932568</v>
      </c>
      <c r="M95" s="514">
        <v>0.63547919739195446</v>
      </c>
      <c r="N95" s="514">
        <v>0.96755612812932568</v>
      </c>
      <c r="O95" s="514">
        <v>0.74386874662815883</v>
      </c>
      <c r="P95" s="511">
        <v>67.908000000000001</v>
      </c>
      <c r="Q95" s="511">
        <v>406.03699999999998</v>
      </c>
      <c r="R95" s="511">
        <v>1.8984213936502328</v>
      </c>
      <c r="S95" s="511">
        <v>2.5741545721202743</v>
      </c>
      <c r="T95" s="511">
        <v>0.22972256582435058</v>
      </c>
      <c r="U95" s="511">
        <v>0.34060935333479464</v>
      </c>
      <c r="V95" s="511">
        <v>528.79572362610622</v>
      </c>
      <c r="W95" s="511">
        <v>738.47871006829666</v>
      </c>
      <c r="X95" s="511">
        <v>367.33521823643753</v>
      </c>
      <c r="Y95" s="576">
        <v>552.55801811164997</v>
      </c>
      <c r="Z95" s="511">
        <v>0</v>
      </c>
      <c r="AA95" s="576">
        <v>0</v>
      </c>
      <c r="AB95" s="513">
        <v>0.38157958157508265</v>
      </c>
      <c r="AC95" s="514">
        <v>0.70640581760612942</v>
      </c>
      <c r="AD95" s="514">
        <v>0.48514339769162595</v>
      </c>
      <c r="AE95" s="514">
        <v>0.78707256065056075</v>
      </c>
      <c r="AF95" s="511">
        <v>16.05</v>
      </c>
      <c r="AG95" s="511">
        <v>325.86500000000001</v>
      </c>
      <c r="AH95" s="511">
        <v>129.6489730925976</v>
      </c>
      <c r="AI95" s="511">
        <v>114.67238069836178</v>
      </c>
      <c r="AJ95" s="511">
        <v>1.838006230529595</v>
      </c>
      <c r="AK95" s="511">
        <v>1.3959768615837846</v>
      </c>
      <c r="AL95" s="511">
        <v>1241.9090342679808</v>
      </c>
      <c r="AM95" s="576">
        <v>990.31967225691847</v>
      </c>
      <c r="AN95" s="587"/>
      <c r="AO95" s="587"/>
      <c r="AP95" s="513">
        <v>0.70903427774348671</v>
      </c>
      <c r="AQ95" s="514">
        <v>0.74346939282761482</v>
      </c>
      <c r="AR95" s="514">
        <v>0.77880195267019137</v>
      </c>
      <c r="AS95" s="514">
        <v>0.85767112886072083</v>
      </c>
      <c r="AT95" s="511">
        <v>36.561</v>
      </c>
      <c r="AU95" s="511">
        <v>401.78099999999995</v>
      </c>
      <c r="AV95" s="515">
        <v>113.17305540831639</v>
      </c>
      <c r="AW95" s="515">
        <v>87.424709393090751</v>
      </c>
      <c r="AX95" s="511">
        <v>1.6192117283444107</v>
      </c>
      <c r="AY95" s="511">
        <v>1.7198424017064027</v>
      </c>
      <c r="AZ95" s="511">
        <v>0</v>
      </c>
      <c r="BA95" s="511">
        <v>0</v>
      </c>
      <c r="BB95" s="511">
        <v>966.12893520418083</v>
      </c>
      <c r="BC95" s="511">
        <v>972.99404401900574</v>
      </c>
      <c r="BD95" s="511">
        <v>619.31771559859203</v>
      </c>
      <c r="BE95" s="576">
        <v>614.18379415651771</v>
      </c>
      <c r="BF95" s="511">
        <v>41.894368315966211</v>
      </c>
      <c r="BG95" s="512">
        <v>38.981932943568793</v>
      </c>
      <c r="BH95" s="513">
        <v>0.9404774330147464</v>
      </c>
      <c r="BI95" s="514">
        <v>0.76992047419747189</v>
      </c>
      <c r="BJ95" s="514">
        <v>0.9404774330147464</v>
      </c>
      <c r="BK95" s="514">
        <v>0.76992047419747189</v>
      </c>
      <c r="BL95" s="511">
        <v>52.982999999999997</v>
      </c>
      <c r="BM95" s="511">
        <v>416.72300000000001</v>
      </c>
      <c r="BN95" s="511">
        <v>2.202593284638469</v>
      </c>
      <c r="BO95" s="511">
        <v>2.6929159177679178</v>
      </c>
      <c r="BP95" s="515">
        <v>0</v>
      </c>
      <c r="BQ95" s="515">
        <v>0</v>
      </c>
      <c r="BR95" s="515">
        <v>812.47577644009277</v>
      </c>
      <c r="BS95" s="515">
        <v>977.72202378551833</v>
      </c>
      <c r="BT95" s="515">
        <v>0</v>
      </c>
      <c r="BU95" s="516">
        <v>0</v>
      </c>
      <c r="BV95" s="513">
        <v>0.78724680190124652</v>
      </c>
      <c r="BW95" s="514">
        <v>0.89893790936383311</v>
      </c>
      <c r="BX95" s="514">
        <v>0.78724680190124652</v>
      </c>
      <c r="BY95" s="514">
        <v>0.89893790936383311</v>
      </c>
      <c r="BZ95" s="511">
        <v>43.438000000000002</v>
      </c>
      <c r="CA95" s="511">
        <v>481.36500000000001</v>
      </c>
      <c r="CB95" s="515">
        <v>92.117820872976495</v>
      </c>
      <c r="CC95" s="515">
        <v>80.175537272263142</v>
      </c>
      <c r="CD95" s="511">
        <v>2.1271697591970162</v>
      </c>
      <c r="CE95" s="511">
        <v>2.1135728605112543</v>
      </c>
      <c r="CF95" s="515">
        <v>0</v>
      </c>
      <c r="CG95" s="515">
        <v>0</v>
      </c>
      <c r="CH95" s="515">
        <v>949.65274499002362</v>
      </c>
      <c r="CI95" s="515">
        <v>857.88664543958851</v>
      </c>
      <c r="CJ95" s="515">
        <v>637.10633546664565</v>
      </c>
      <c r="CK95" s="515">
        <v>628.07707456919343</v>
      </c>
      <c r="CL95" s="515">
        <v>0</v>
      </c>
      <c r="CM95" s="516">
        <v>0</v>
      </c>
    </row>
    <row r="96" spans="1:91" ht="12.75" hidden="1" customHeight="1">
      <c r="A96" s="558">
        <v>46064</v>
      </c>
      <c r="B96" s="513">
        <v>0.97735228438650479</v>
      </c>
      <c r="C96" s="514">
        <v>0.79106890709569611</v>
      </c>
      <c r="D96" s="514">
        <v>0.97735228438650479</v>
      </c>
      <c r="E96" s="514">
        <v>0.79613522162226946</v>
      </c>
      <c r="F96" s="511">
        <v>67.366</v>
      </c>
      <c r="G96" s="511">
        <v>673.4</v>
      </c>
      <c r="H96" s="511">
        <v>2.146038060742808</v>
      </c>
      <c r="I96" s="511">
        <v>2.5019305019305018</v>
      </c>
      <c r="J96" s="511">
        <v>842.62239111714428</v>
      </c>
      <c r="K96" s="512">
        <v>875.90528660528469</v>
      </c>
      <c r="L96" s="513">
        <v>0.97464322099370149</v>
      </c>
      <c r="M96" s="514">
        <v>0.66904632291148725</v>
      </c>
      <c r="N96" s="514">
        <v>0.97464322099370149</v>
      </c>
      <c r="O96" s="514">
        <v>0.77016035252152892</v>
      </c>
      <c r="P96" s="511">
        <v>68.403000000000006</v>
      </c>
      <c r="Q96" s="511">
        <v>474.44</v>
      </c>
      <c r="R96" s="511">
        <v>1.9841527418388079</v>
      </c>
      <c r="S96" s="511">
        <v>2.4890902959278303</v>
      </c>
      <c r="T96" s="511">
        <v>0.25729865649167433</v>
      </c>
      <c r="U96" s="511">
        <v>0.32859792597588738</v>
      </c>
      <c r="V96" s="511">
        <v>538.23881993480461</v>
      </c>
      <c r="W96" s="511">
        <v>709.60886518843574</v>
      </c>
      <c r="X96" s="511">
        <v>432.51027001739692</v>
      </c>
      <c r="Y96" s="576">
        <v>535.24997892251918</v>
      </c>
      <c r="Z96" s="511">
        <v>0</v>
      </c>
      <c r="AA96" s="576">
        <v>0</v>
      </c>
      <c r="AB96" s="513">
        <v>0.65511399939449744</v>
      </c>
      <c r="AC96" s="514">
        <v>0.70220250108388538</v>
      </c>
      <c r="AD96" s="514">
        <v>0.83631574390786922</v>
      </c>
      <c r="AE96" s="514">
        <v>0.79063172952709748</v>
      </c>
      <c r="AF96" s="511">
        <v>26.975999999999999</v>
      </c>
      <c r="AG96" s="511">
        <v>352.84100000000001</v>
      </c>
      <c r="AH96" s="511">
        <v>161.07817058906105</v>
      </c>
      <c r="AI96" s="511">
        <v>118.22027504196556</v>
      </c>
      <c r="AJ96" s="511">
        <v>1.7015124555160142</v>
      </c>
      <c r="AK96" s="511">
        <v>1.4193361882547662</v>
      </c>
      <c r="AL96" s="511">
        <v>1067.767645314367</v>
      </c>
      <c r="AM96" s="576">
        <v>996.24085636306745</v>
      </c>
      <c r="AN96" s="587"/>
      <c r="AO96" s="587"/>
      <c r="AP96" s="513">
        <v>0.88977958657940759</v>
      </c>
      <c r="AQ96" s="514">
        <v>0.75684121986493735</v>
      </c>
      <c r="AR96" s="514">
        <v>0.97705312093584651</v>
      </c>
      <c r="AS96" s="514">
        <v>0.86908083992044149</v>
      </c>
      <c r="AT96" s="511">
        <v>48.366999999999997</v>
      </c>
      <c r="AU96" s="511">
        <v>450.14799999999997</v>
      </c>
      <c r="AV96" s="515">
        <v>102.25146914212772</v>
      </c>
      <c r="AW96" s="515">
        <v>89.01779852995611</v>
      </c>
      <c r="AX96" s="511">
        <v>1.3149461409638805</v>
      </c>
      <c r="AY96" s="511">
        <v>1.6763375600913482</v>
      </c>
      <c r="AZ96" s="511">
        <v>0</v>
      </c>
      <c r="BA96" s="511">
        <v>0</v>
      </c>
      <c r="BB96" s="511">
        <v>764.86240618603517</v>
      </c>
      <c r="BC96" s="511">
        <v>950.63094804375464</v>
      </c>
      <c r="BD96" s="511">
        <v>545.37019041909593</v>
      </c>
      <c r="BE96" s="576">
        <v>606.78998684877013</v>
      </c>
      <c r="BF96" s="511">
        <v>34.490458370376132</v>
      </c>
      <c r="BG96" s="512">
        <v>38.499337995503694</v>
      </c>
      <c r="BH96" s="513">
        <v>0.62139965413774934</v>
      </c>
      <c r="BI96" s="514">
        <v>0.75602106649022738</v>
      </c>
      <c r="BJ96" s="514">
        <v>0.62139965413774934</v>
      </c>
      <c r="BK96" s="514">
        <v>0.75602106649022738</v>
      </c>
      <c r="BL96" s="511">
        <v>34.725999999999999</v>
      </c>
      <c r="BM96" s="511">
        <v>451.44900000000001</v>
      </c>
      <c r="BN96" s="511">
        <v>3.9365317053504576</v>
      </c>
      <c r="BO96" s="511">
        <v>2.7885763397415877</v>
      </c>
      <c r="BP96" s="515">
        <v>0</v>
      </c>
      <c r="BQ96" s="515">
        <v>0</v>
      </c>
      <c r="BR96" s="515">
        <v>1326.0430263854269</v>
      </c>
      <c r="BS96" s="515">
        <v>1004.5152942020757</v>
      </c>
      <c r="BT96" s="515">
        <v>0</v>
      </c>
      <c r="BU96" s="516">
        <v>0</v>
      </c>
      <c r="BV96" s="513">
        <v>0.76104334124790718</v>
      </c>
      <c r="BW96" s="514">
        <v>0.88665605033362027</v>
      </c>
      <c r="BX96" s="514">
        <v>0.76104334124790718</v>
      </c>
      <c r="BY96" s="514">
        <v>0.88665605033362027</v>
      </c>
      <c r="BZ96" s="511">
        <v>39.845999999999997</v>
      </c>
      <c r="CA96" s="511">
        <v>521.21100000000001</v>
      </c>
      <c r="CB96" s="515">
        <v>103.00051353190274</v>
      </c>
      <c r="CC96" s="515">
        <v>81.920481266234091</v>
      </c>
      <c r="CD96" s="511">
        <v>2.6150680118456058</v>
      </c>
      <c r="CE96" s="511">
        <v>2.1519116058563612</v>
      </c>
      <c r="CF96" s="515">
        <v>0</v>
      </c>
      <c r="CG96" s="515">
        <v>0</v>
      </c>
      <c r="CH96" s="515">
        <v>1111.6581304456533</v>
      </c>
      <c r="CI96" s="515">
        <v>877.28719261060303</v>
      </c>
      <c r="CJ96" s="515">
        <v>717.16307784973287</v>
      </c>
      <c r="CK96" s="515">
        <v>634.88760022332667</v>
      </c>
      <c r="CL96" s="515">
        <v>0</v>
      </c>
      <c r="CM96" s="516">
        <v>0</v>
      </c>
    </row>
    <row r="97" spans="1:91" ht="12.75" hidden="1" customHeight="1">
      <c r="A97" s="558">
        <v>46065</v>
      </c>
      <c r="B97" s="513">
        <v>0.94384796186543363</v>
      </c>
      <c r="C97" s="514">
        <v>0.80277519781305318</v>
      </c>
      <c r="D97" s="514">
        <v>0.94384796186543363</v>
      </c>
      <c r="E97" s="514">
        <v>0.80752021808066732</v>
      </c>
      <c r="F97" s="511">
        <v>66.671000000000006</v>
      </c>
      <c r="G97" s="511">
        <v>740.07100000000003</v>
      </c>
      <c r="H97" s="511">
        <v>2.1805432646877949</v>
      </c>
      <c r="I97" s="511">
        <v>2.4729775926904307</v>
      </c>
      <c r="J97" s="511">
        <v>871.83183093102139</v>
      </c>
      <c r="K97" s="512">
        <v>875.53831997200382</v>
      </c>
      <c r="L97" s="513">
        <v>0.95726469714185458</v>
      </c>
      <c r="M97" s="514">
        <v>0.69546908397105178</v>
      </c>
      <c r="N97" s="514">
        <v>0.95726469714185458</v>
      </c>
      <c r="O97" s="514">
        <v>0.78963589018174829</v>
      </c>
      <c r="P97" s="511">
        <v>68.513000000000005</v>
      </c>
      <c r="Q97" s="511">
        <v>542.95299999999997</v>
      </c>
      <c r="R97" s="511">
        <v>1.9191686249324944</v>
      </c>
      <c r="S97" s="511">
        <v>2.4171742305503421</v>
      </c>
      <c r="T97" s="511">
        <v>0.23499189934756909</v>
      </c>
      <c r="U97" s="511">
        <v>0.31678616749516075</v>
      </c>
      <c r="V97" s="511">
        <v>592.06209040617205</v>
      </c>
      <c r="W97" s="511">
        <v>694.77612242680209</v>
      </c>
      <c r="X97" s="511">
        <v>394.69881628304114</v>
      </c>
      <c r="Y97" s="576">
        <v>517.51440732439096</v>
      </c>
      <c r="Z97" s="511">
        <v>0</v>
      </c>
      <c r="AA97" s="576">
        <v>0</v>
      </c>
      <c r="AB97" s="513">
        <v>0.90057400754538286</v>
      </c>
      <c r="AC97" s="514">
        <v>0.71825480804805963</v>
      </c>
      <c r="AD97" s="514">
        <v>0.90057400754538286</v>
      </c>
      <c r="AE97" s="514">
        <v>0.80054761546295006</v>
      </c>
      <c r="AF97" s="511">
        <v>39.841999999999999</v>
      </c>
      <c r="AG97" s="511">
        <v>392.68299999999999</v>
      </c>
      <c r="AH97" s="511">
        <v>144.781704618362</v>
      </c>
      <c r="AI97" s="511">
        <v>120.91522358107419</v>
      </c>
      <c r="AJ97" s="511">
        <v>1.2825661362381406</v>
      </c>
      <c r="AK97" s="511">
        <v>1.4054593654423542</v>
      </c>
      <c r="AL97" s="511">
        <v>1045.7783243812696</v>
      </c>
      <c r="AM97" s="576">
        <v>1001.2669761614321</v>
      </c>
      <c r="AN97" s="587"/>
      <c r="AO97" s="587"/>
      <c r="AP97" s="513">
        <v>0.95582792182708742</v>
      </c>
      <c r="AQ97" s="514">
        <v>0.77423020756497851</v>
      </c>
      <c r="AR97" s="514">
        <v>0.95582792182708742</v>
      </c>
      <c r="AS97" s="514">
        <v>0.87767430652623424</v>
      </c>
      <c r="AT97" s="511">
        <v>54.436999999999998</v>
      </c>
      <c r="AU97" s="511">
        <v>504.58499999999998</v>
      </c>
      <c r="AV97" s="515">
        <v>109.77125645117358</v>
      </c>
      <c r="AW97" s="515">
        <v>91.256779056244667</v>
      </c>
      <c r="AX97" s="511">
        <v>1.2344545070448409</v>
      </c>
      <c r="AY97" s="511">
        <v>1.6286651406601469</v>
      </c>
      <c r="AZ97" s="511">
        <v>0</v>
      </c>
      <c r="BA97" s="511">
        <v>0</v>
      </c>
      <c r="BB97" s="511">
        <v>751.06820728548701</v>
      </c>
      <c r="BC97" s="511">
        <v>929.10118215959676</v>
      </c>
      <c r="BD97" s="511">
        <v>972.39561327772458</v>
      </c>
      <c r="BE97" s="576">
        <v>646.23323919656684</v>
      </c>
      <c r="BF97" s="511">
        <v>26.757536234545931</v>
      </c>
      <c r="BG97" s="512">
        <v>37.232577266466443</v>
      </c>
      <c r="BH97" s="513">
        <v>1.1079319819670372</v>
      </c>
      <c r="BI97" s="514">
        <v>0.7854808285313567</v>
      </c>
      <c r="BJ97" s="514">
        <v>1.1079319819670372</v>
      </c>
      <c r="BK97" s="514">
        <v>0.7854808285313567</v>
      </c>
      <c r="BL97" s="511">
        <v>60.444000000000003</v>
      </c>
      <c r="BM97" s="511">
        <v>511.89300000000003</v>
      </c>
      <c r="BN97" s="511">
        <v>2.197074978492489</v>
      </c>
      <c r="BO97" s="511">
        <v>2.7187322350569358</v>
      </c>
      <c r="BP97" s="515">
        <v>0</v>
      </c>
      <c r="BQ97" s="515">
        <v>0</v>
      </c>
      <c r="BR97" s="515">
        <v>855.22359872394122</v>
      </c>
      <c r="BS97" s="515">
        <v>986.88702571338695</v>
      </c>
      <c r="BT97" s="515">
        <v>0</v>
      </c>
      <c r="BU97" s="516">
        <v>0</v>
      </c>
      <c r="BV97" s="513">
        <v>0.24326674284903194</v>
      </c>
      <c r="BW97" s="514">
        <v>0.83458736537765199</v>
      </c>
      <c r="BX97" s="514">
        <v>0.36490011427354785</v>
      </c>
      <c r="BY97" s="514">
        <v>0.85772558178733282</v>
      </c>
      <c r="BZ97" s="511">
        <v>12.592000000000001</v>
      </c>
      <c r="CA97" s="511">
        <v>533.803</v>
      </c>
      <c r="CB97" s="515">
        <v>110.06904678865017</v>
      </c>
      <c r="CC97" s="515">
        <v>82.584484160669419</v>
      </c>
      <c r="CD97" s="511">
        <v>2.5095298602287168</v>
      </c>
      <c r="CE97" s="511">
        <v>2.160347543944114</v>
      </c>
      <c r="CF97" s="515">
        <v>0</v>
      </c>
      <c r="CG97" s="515">
        <v>0</v>
      </c>
      <c r="CH97" s="515">
        <v>1211.2662641942402</v>
      </c>
      <c r="CI97" s="515">
        <v>885.16550065567048</v>
      </c>
      <c r="CJ97" s="515">
        <v>0</v>
      </c>
      <c r="CK97" s="515">
        <v>619.9110926690189</v>
      </c>
      <c r="CL97" s="515">
        <v>0</v>
      </c>
      <c r="CM97" s="516">
        <v>0</v>
      </c>
    </row>
    <row r="98" spans="1:91" ht="12.75" hidden="1" customHeight="1">
      <c r="A98" s="558">
        <v>46066</v>
      </c>
      <c r="B98" s="513">
        <v>0.87447049960998036</v>
      </c>
      <c r="C98" s="514">
        <v>0.8084695906495124</v>
      </c>
      <c r="D98" s="514">
        <v>0.87447049960998036</v>
      </c>
      <c r="E98" s="514">
        <v>0.81286665880262543</v>
      </c>
      <c r="F98" s="511">
        <v>69.554000000000002</v>
      </c>
      <c r="G98" s="511">
        <v>809.625</v>
      </c>
      <c r="H98" s="511">
        <v>2.2085573798775053</v>
      </c>
      <c r="I98" s="511">
        <v>2.4502615408368071</v>
      </c>
      <c r="J98" s="511">
        <v>769.47407769501228</v>
      </c>
      <c r="K98" s="512">
        <v>866.42645669291301</v>
      </c>
      <c r="L98" s="513">
        <v>0.51929826642556698</v>
      </c>
      <c r="M98" s="514">
        <v>0.68109695950217686</v>
      </c>
      <c r="N98" s="514">
        <v>0.51929826642556698</v>
      </c>
      <c r="O98" s="514">
        <v>0.76486899273910791</v>
      </c>
      <c r="P98" s="511">
        <v>36.012</v>
      </c>
      <c r="Q98" s="511">
        <v>578.96499999999992</v>
      </c>
      <c r="R98" s="511">
        <v>2.8235310452071531</v>
      </c>
      <c r="S98" s="511">
        <v>2.4424498890261068</v>
      </c>
      <c r="T98" s="511">
        <v>0.23603243363323337</v>
      </c>
      <c r="U98" s="511">
        <v>0.31176323266518707</v>
      </c>
      <c r="V98" s="511">
        <v>800.1249583472096</v>
      </c>
      <c r="W98" s="511">
        <v>701.32888862020889</v>
      </c>
      <c r="X98" s="511">
        <v>409.19693435521492</v>
      </c>
      <c r="Y98" s="576">
        <v>510.77698997348733</v>
      </c>
      <c r="Z98" s="511">
        <v>0</v>
      </c>
      <c r="AA98" s="576">
        <v>0</v>
      </c>
      <c r="AB98" s="513">
        <v>0.91705370539972397</v>
      </c>
      <c r="AC98" s="514">
        <v>0.73314347806238112</v>
      </c>
      <c r="AD98" s="514">
        <v>0.91705370539972397</v>
      </c>
      <c r="AE98" s="514">
        <v>0.81019009024597199</v>
      </c>
      <c r="AF98" s="511">
        <v>40.588999999999999</v>
      </c>
      <c r="AG98" s="511">
        <v>433.27199999999999</v>
      </c>
      <c r="AH98" s="511">
        <v>124.50847715734028</v>
      </c>
      <c r="AI98" s="511">
        <v>121.25184023160102</v>
      </c>
      <c r="AJ98" s="511">
        <v>1.2096873537165242</v>
      </c>
      <c r="AK98" s="511">
        <v>1.3871194076700086</v>
      </c>
      <c r="AL98" s="511">
        <v>789.62280420803665</v>
      </c>
      <c r="AM98" s="576">
        <v>981.44011152347639</v>
      </c>
      <c r="AN98" s="587"/>
      <c r="AO98" s="587"/>
      <c r="AP98" s="513">
        <v>0.96516423532143614</v>
      </c>
      <c r="AQ98" s="514">
        <v>0.78939425303007604</v>
      </c>
      <c r="AR98" s="514">
        <v>0.96516423532143614</v>
      </c>
      <c r="AS98" s="514">
        <v>0.88546845981473543</v>
      </c>
      <c r="AT98" s="511">
        <v>54.267000000000003</v>
      </c>
      <c r="AU98" s="511">
        <v>558.85199999999998</v>
      </c>
      <c r="AV98" s="515">
        <v>96.975751823445265</v>
      </c>
      <c r="AW98" s="515">
        <v>91.812116596698445</v>
      </c>
      <c r="AX98" s="511">
        <v>1.181196675696095</v>
      </c>
      <c r="AY98" s="511">
        <v>1.5852139743617277</v>
      </c>
      <c r="AZ98" s="511">
        <v>0</v>
      </c>
      <c r="BA98" s="511">
        <v>0</v>
      </c>
      <c r="BB98" s="511">
        <v>726.40831444524315</v>
      </c>
      <c r="BC98" s="511">
        <v>909.41880855754323</v>
      </c>
      <c r="BD98" s="511">
        <v>552.45360900731805</v>
      </c>
      <c r="BE98" s="576">
        <v>637.12682248609622</v>
      </c>
      <c r="BF98" s="511">
        <v>26.77317706893735</v>
      </c>
      <c r="BG98" s="512">
        <v>36.216923264120005</v>
      </c>
      <c r="BH98" s="513">
        <v>0.96611556273929888</v>
      </c>
      <c r="BI98" s="514">
        <v>0.79973447911501938</v>
      </c>
      <c r="BJ98" s="514">
        <v>0.96611556273929888</v>
      </c>
      <c r="BK98" s="514">
        <v>0.79973447911501938</v>
      </c>
      <c r="BL98" s="511">
        <v>53.938000000000002</v>
      </c>
      <c r="BM98" s="511">
        <v>565.83100000000002</v>
      </c>
      <c r="BN98" s="511">
        <v>2.4175905669472355</v>
      </c>
      <c r="BO98" s="511">
        <v>2.6900258204304821</v>
      </c>
      <c r="BP98" s="515">
        <v>0</v>
      </c>
      <c r="BQ98" s="515">
        <v>0</v>
      </c>
      <c r="BR98" s="515">
        <v>801.01885097884281</v>
      </c>
      <c r="BS98" s="515">
        <v>969.16908942351972</v>
      </c>
      <c r="BT98" s="515">
        <v>0</v>
      </c>
      <c r="BU98" s="516">
        <v>0</v>
      </c>
      <c r="BV98" s="513">
        <v>0.88718108072014057</v>
      </c>
      <c r="BW98" s="514">
        <v>0.83864339244183816</v>
      </c>
      <c r="BX98" s="514">
        <v>0.88718108072014057</v>
      </c>
      <c r="BY98" s="514">
        <v>0.86005518719699281</v>
      </c>
      <c r="BZ98" s="511">
        <v>47.417999999999999</v>
      </c>
      <c r="CA98" s="511">
        <v>581.221</v>
      </c>
      <c r="CB98" s="515">
        <v>76.50559484705829</v>
      </c>
      <c r="CC98" s="515">
        <v>82.088547548825019</v>
      </c>
      <c r="CD98" s="511">
        <v>1.9760428529250496</v>
      </c>
      <c r="CE98" s="511">
        <v>2.1453113359634286</v>
      </c>
      <c r="CF98" s="515">
        <v>0</v>
      </c>
      <c r="CG98" s="515">
        <v>0</v>
      </c>
      <c r="CH98" s="515">
        <v>803.3161503205805</v>
      </c>
      <c r="CI98" s="515">
        <v>878.48795030186488</v>
      </c>
      <c r="CJ98" s="515">
        <v>0</v>
      </c>
      <c r="CK98" s="515">
        <v>569.33662238632178</v>
      </c>
      <c r="CL98" s="515">
        <v>0</v>
      </c>
      <c r="CM98" s="516">
        <v>0</v>
      </c>
    </row>
    <row r="99" spans="1:91" ht="12.75" hidden="1" customHeight="1">
      <c r="A99" s="558">
        <v>46067</v>
      </c>
      <c r="B99" s="513">
        <v>1.2036503264491898</v>
      </c>
      <c r="C99" s="514">
        <v>0.83815197318040702</v>
      </c>
      <c r="D99" s="514">
        <v>1.2036503264491898</v>
      </c>
      <c r="E99" s="514">
        <v>0.84236636161431955</v>
      </c>
      <c r="F99" s="511">
        <v>97.888999999999996</v>
      </c>
      <c r="G99" s="511">
        <v>907.51400000000001</v>
      </c>
      <c r="H99" s="511">
        <v>1.6676848266914566</v>
      </c>
      <c r="I99" s="511">
        <v>2.3658489015045494</v>
      </c>
      <c r="J99" s="511">
        <v>598.74408769116792</v>
      </c>
      <c r="K99" s="512">
        <v>837.55289725557998</v>
      </c>
      <c r="L99" s="513">
        <v>0.86041745271557901</v>
      </c>
      <c r="M99" s="514">
        <v>0.69433776565517002</v>
      </c>
      <c r="N99" s="514">
        <v>0.86041745271557901</v>
      </c>
      <c r="O99" s="514">
        <v>0.77272062427618537</v>
      </c>
      <c r="P99" s="511">
        <v>58.311</v>
      </c>
      <c r="Q99" s="511">
        <v>637.27599999999995</v>
      </c>
      <c r="R99" s="511">
        <v>2.334207953902351</v>
      </c>
      <c r="S99" s="511">
        <v>2.4325457101789487</v>
      </c>
      <c r="T99" s="511">
        <v>0</v>
      </c>
      <c r="U99" s="511">
        <v>0.28323677653010626</v>
      </c>
      <c r="V99" s="511">
        <v>762.99823360944208</v>
      </c>
      <c r="W99" s="511">
        <v>706.97165749220017</v>
      </c>
      <c r="X99" s="511">
        <v>387.16537188523608</v>
      </c>
      <c r="Y99" s="576">
        <v>499.46647920210398</v>
      </c>
      <c r="Z99" s="511">
        <v>0</v>
      </c>
      <c r="AA99" s="576">
        <v>0</v>
      </c>
      <c r="AB99" s="513">
        <v>0.86801873281822983</v>
      </c>
      <c r="AC99" s="514">
        <v>0.74316478989019286</v>
      </c>
      <c r="AD99" s="514">
        <v>0.86801873281822983</v>
      </c>
      <c r="AE99" s="514">
        <v>0.81490154813579474</v>
      </c>
      <c r="AF99" s="511">
        <v>41.173999999999999</v>
      </c>
      <c r="AG99" s="511">
        <v>474.44599999999997</v>
      </c>
      <c r="AH99" s="511">
        <v>155.93351860453973</v>
      </c>
      <c r="AI99" s="511">
        <v>124.26163149409956</v>
      </c>
      <c r="AJ99" s="511">
        <v>1.1925001214358577</v>
      </c>
      <c r="AK99" s="511">
        <v>1.3702296994810792</v>
      </c>
      <c r="AL99" s="511">
        <v>1012.0576091708535</v>
      </c>
      <c r="AM99" s="576">
        <v>984.09719968131344</v>
      </c>
      <c r="AN99" s="587"/>
      <c r="AO99" s="587"/>
      <c r="AP99" s="513">
        <v>0.11972402054051487</v>
      </c>
      <c r="AQ99" s="514">
        <v>0.7423102480681435</v>
      </c>
      <c r="AR99" s="514">
        <v>0.17958603081077235</v>
      </c>
      <c r="AS99" s="514">
        <v>0.84768493061537864</v>
      </c>
      <c r="AT99" s="511">
        <v>6.41</v>
      </c>
      <c r="AU99" s="511">
        <v>565.26199999999994</v>
      </c>
      <c r="AV99" s="515">
        <v>284.30337641530593</v>
      </c>
      <c r="AW99" s="515">
        <v>93.994943277843248</v>
      </c>
      <c r="AX99" s="511">
        <v>4.180967238689548</v>
      </c>
      <c r="AY99" s="511">
        <v>1.6146494899710226</v>
      </c>
      <c r="AZ99" s="511">
        <v>0</v>
      </c>
      <c r="BA99" s="511">
        <v>0</v>
      </c>
      <c r="BB99" s="511">
        <v>3502.4118564742616</v>
      </c>
      <c r="BC99" s="511">
        <v>938.82302365982514</v>
      </c>
      <c r="BD99" s="511">
        <v>533.54134165365906</v>
      </c>
      <c r="BE99" s="576">
        <v>635.9521761590197</v>
      </c>
      <c r="BF99" s="511">
        <v>166.94227769110856</v>
      </c>
      <c r="BG99" s="512">
        <v>37.699332345001075</v>
      </c>
      <c r="BH99" s="513">
        <v>0.88422758623651476</v>
      </c>
      <c r="BI99" s="514">
        <v>0.80629991073063745</v>
      </c>
      <c r="BJ99" s="514">
        <v>0.88422758623651476</v>
      </c>
      <c r="BK99" s="514">
        <v>0.80629991073063745</v>
      </c>
      <c r="BL99" s="511">
        <v>52.707999999999998</v>
      </c>
      <c r="BM99" s="511">
        <v>618.53899999999999</v>
      </c>
      <c r="BN99" s="511">
        <v>2.5309250967595052</v>
      </c>
      <c r="BO99" s="511">
        <v>2.6764682582666577</v>
      </c>
      <c r="BP99" s="515">
        <v>0</v>
      </c>
      <c r="BQ99" s="515">
        <v>0</v>
      </c>
      <c r="BR99" s="515">
        <v>914.08680922654105</v>
      </c>
      <c r="BS99" s="515">
        <v>964.47532423713324</v>
      </c>
      <c r="BT99" s="515">
        <v>0</v>
      </c>
      <c r="BU99" s="516">
        <v>0</v>
      </c>
      <c r="BV99" s="513">
        <v>0.89010411687826718</v>
      </c>
      <c r="BW99" s="514">
        <v>0.84237485583429605</v>
      </c>
      <c r="BX99" s="514">
        <v>0.89010411687826718</v>
      </c>
      <c r="BY99" s="514">
        <v>0.86228556285597946</v>
      </c>
      <c r="BZ99" s="511">
        <v>48.228000000000002</v>
      </c>
      <c r="CA99" s="511">
        <v>629.44899999999996</v>
      </c>
      <c r="CB99" s="515">
        <v>101.89534424306568</v>
      </c>
      <c r="CC99" s="515">
        <v>83.606132279231829</v>
      </c>
      <c r="CD99" s="511">
        <v>2.0009123330845151</v>
      </c>
      <c r="CE99" s="511">
        <v>2.1342475720828853</v>
      </c>
      <c r="CF99" s="515">
        <v>0</v>
      </c>
      <c r="CG99" s="515">
        <v>0</v>
      </c>
      <c r="CH99" s="515">
        <v>971.04778260114199</v>
      </c>
      <c r="CI99" s="515">
        <v>885.57982842404715</v>
      </c>
      <c r="CJ99" s="515">
        <v>0</v>
      </c>
      <c r="CK99" s="515">
        <v>525.714396241793</v>
      </c>
      <c r="CL99" s="515">
        <v>0</v>
      </c>
      <c r="CM99" s="516">
        <v>0</v>
      </c>
    </row>
    <row r="100" spans="1:91" ht="12.75" hidden="1" customHeight="1">
      <c r="A100" s="558">
        <v>46068</v>
      </c>
      <c r="B100" s="513">
        <v>0.96046578365461688</v>
      </c>
      <c r="C100" s="514">
        <v>0.84639558648992963</v>
      </c>
      <c r="D100" s="514">
        <v>0.96046578365461688</v>
      </c>
      <c r="E100" s="514">
        <v>0.85036324900411453</v>
      </c>
      <c r="F100" s="511">
        <v>75.155000000000001</v>
      </c>
      <c r="G100" s="511">
        <v>982.66899999999998</v>
      </c>
      <c r="H100" s="511">
        <v>2.1253143503426251</v>
      </c>
      <c r="I100" s="511">
        <v>2.3474527027920895</v>
      </c>
      <c r="J100" s="511">
        <v>728.69642738342577</v>
      </c>
      <c r="K100" s="512">
        <v>829.22750183429196</v>
      </c>
      <c r="L100" s="513">
        <v>0.96281323908243588</v>
      </c>
      <c r="M100" s="514">
        <v>0.71309264445024589</v>
      </c>
      <c r="N100" s="514">
        <v>0.96281323908243588</v>
      </c>
      <c r="O100" s="514">
        <v>0.78738336544511811</v>
      </c>
      <c r="P100" s="511">
        <v>66.367999999999995</v>
      </c>
      <c r="Q100" s="511">
        <v>703.64400000000001</v>
      </c>
      <c r="R100" s="511">
        <v>2.0087240838958533</v>
      </c>
      <c r="S100" s="511">
        <v>2.3925706749435793</v>
      </c>
      <c r="T100" s="511">
        <v>0</v>
      </c>
      <c r="U100" s="511">
        <v>0.25652176384649056</v>
      </c>
      <c r="V100" s="511">
        <v>580.7734148987721</v>
      </c>
      <c r="W100" s="511">
        <v>695.06858581896677</v>
      </c>
      <c r="X100" s="511">
        <v>411.70443587270972</v>
      </c>
      <c r="Y100" s="576">
        <v>491.18872611718427</v>
      </c>
      <c r="Z100" s="511">
        <v>0</v>
      </c>
      <c r="AA100" s="576">
        <v>0</v>
      </c>
      <c r="AB100" s="513">
        <v>1.032746938470241</v>
      </c>
      <c r="AC100" s="514">
        <v>0.76309582203505333</v>
      </c>
      <c r="AD100" s="514">
        <v>1.032746938470241</v>
      </c>
      <c r="AE100" s="514">
        <v>0.8312339698596185</v>
      </c>
      <c r="AF100" s="511">
        <v>48.732999999999997</v>
      </c>
      <c r="AG100" s="511">
        <v>523.17899999999997</v>
      </c>
      <c r="AH100" s="511">
        <v>100.18960457736866</v>
      </c>
      <c r="AI100" s="511">
        <v>122.01937389634993</v>
      </c>
      <c r="AJ100" s="511">
        <v>0.98701085506740827</v>
      </c>
      <c r="AK100" s="511">
        <v>1.3345336873230769</v>
      </c>
      <c r="AL100" s="511">
        <v>745.59702870744673</v>
      </c>
      <c r="AM100" s="576">
        <v>961.88142108150441</v>
      </c>
      <c r="AN100" s="587"/>
      <c r="AO100" s="587"/>
      <c r="AP100" s="513">
        <v>0.83904886157200032</v>
      </c>
      <c r="AQ100" s="514">
        <v>0.74800142945203485</v>
      </c>
      <c r="AR100" s="514">
        <v>0.83904886157200032</v>
      </c>
      <c r="AS100" s="514">
        <v>0.84710954920821901</v>
      </c>
      <c r="AT100" s="511">
        <v>39.938000000000002</v>
      </c>
      <c r="AU100" s="511">
        <v>605.19999999999993</v>
      </c>
      <c r="AV100" s="515">
        <v>121.11124418671386</v>
      </c>
      <c r="AW100" s="515">
        <v>95.784386149122952</v>
      </c>
      <c r="AX100" s="511">
        <v>1.5649256347338374</v>
      </c>
      <c r="AY100" s="511">
        <v>1.6113681427627236</v>
      </c>
      <c r="AZ100" s="511">
        <v>0</v>
      </c>
      <c r="BA100" s="511">
        <v>0</v>
      </c>
      <c r="BB100" s="511">
        <v>1016.2046171565928</v>
      </c>
      <c r="BC100" s="511">
        <v>943.92954395241293</v>
      </c>
      <c r="BD100" s="511">
        <v>55.836546647302185</v>
      </c>
      <c r="BE100" s="576">
        <v>597.66952908129497</v>
      </c>
      <c r="BF100" s="511">
        <v>26.794030747659018</v>
      </c>
      <c r="BG100" s="512">
        <v>36.97967614011899</v>
      </c>
      <c r="BH100" s="513">
        <v>1.0269504211851539</v>
      </c>
      <c r="BI100" s="514">
        <v>0.82216166578776828</v>
      </c>
      <c r="BJ100" s="514">
        <v>1.0269504211851539</v>
      </c>
      <c r="BK100" s="514">
        <v>0.82216166578776828</v>
      </c>
      <c r="BL100" s="511">
        <v>61.018999999999998</v>
      </c>
      <c r="BM100" s="511">
        <v>679.55799999999999</v>
      </c>
      <c r="BN100" s="511">
        <v>2.1501499532932362</v>
      </c>
      <c r="BO100" s="511">
        <v>2.6292089858407968</v>
      </c>
      <c r="BP100" s="515">
        <v>0</v>
      </c>
      <c r="BQ100" s="515">
        <v>0</v>
      </c>
      <c r="BR100" s="515">
        <v>734.31367663727769</v>
      </c>
      <c r="BS100" s="515">
        <v>943.80860620144597</v>
      </c>
      <c r="BT100" s="515">
        <v>0</v>
      </c>
      <c r="BU100" s="516">
        <v>0</v>
      </c>
      <c r="BV100" s="513">
        <v>0.96349455376529058</v>
      </c>
      <c r="BW100" s="514">
        <v>0.85019978192155032</v>
      </c>
      <c r="BX100" s="514">
        <v>0.96349455376529058</v>
      </c>
      <c r="BY100" s="514">
        <v>0.86896850353115707</v>
      </c>
      <c r="BZ100" s="511">
        <v>49.725000000000001</v>
      </c>
      <c r="CA100" s="511">
        <v>679.17399999999998</v>
      </c>
      <c r="CB100" s="515">
        <v>74.620796979429159</v>
      </c>
      <c r="CC100" s="515">
        <v>82.948280539055247</v>
      </c>
      <c r="CD100" s="511">
        <v>1.8280542986425341</v>
      </c>
      <c r="CE100" s="511">
        <v>2.1118299581550533</v>
      </c>
      <c r="CF100" s="515">
        <v>0</v>
      </c>
      <c r="CG100" s="515">
        <v>0</v>
      </c>
      <c r="CH100" s="515">
        <v>920.83366043780813</v>
      </c>
      <c r="CI100" s="515">
        <v>888.1609001330412</v>
      </c>
      <c r="CJ100" s="515">
        <v>0</v>
      </c>
      <c r="CK100" s="515">
        <v>487.22477745025623</v>
      </c>
      <c r="CL100" s="515">
        <v>0</v>
      </c>
      <c r="CM100" s="516">
        <v>0</v>
      </c>
    </row>
    <row r="101" spans="1:91" ht="12.75" hidden="1" customHeight="1">
      <c r="A101" s="558">
        <v>46069</v>
      </c>
      <c r="B101" s="513">
        <v>0.89454488040655133</v>
      </c>
      <c r="C101" s="514">
        <v>0.8488914735599814</v>
      </c>
      <c r="D101" s="514">
        <v>0.89454488040655133</v>
      </c>
      <c r="E101" s="514">
        <v>0.85266364355755453</v>
      </c>
      <c r="F101" s="511">
        <v>56.779000000000003</v>
      </c>
      <c r="G101" s="511">
        <v>1039.4480000000001</v>
      </c>
      <c r="H101" s="511">
        <v>2.0874090772997058</v>
      </c>
      <c r="I101" s="511">
        <v>2.3332480316475666</v>
      </c>
      <c r="J101" s="511">
        <v>953.33943887703015</v>
      </c>
      <c r="K101" s="512">
        <v>836.00701526194723</v>
      </c>
      <c r="L101" s="513">
        <v>0.95610800393119844</v>
      </c>
      <c r="M101" s="514">
        <v>0.72921903034612756</v>
      </c>
      <c r="N101" s="514">
        <v>0.95610800393119844</v>
      </c>
      <c r="O101" s="514">
        <v>0.79966143211655694</v>
      </c>
      <c r="P101" s="511">
        <v>67.055999999999997</v>
      </c>
      <c r="Q101" s="511">
        <v>770.7</v>
      </c>
      <c r="R101" s="511">
        <v>2.0726109520400864</v>
      </c>
      <c r="S101" s="511">
        <v>2.3647320617620342</v>
      </c>
      <c r="T101" s="511">
        <v>0</v>
      </c>
      <c r="U101" s="511">
        <v>0.23420267289477098</v>
      </c>
      <c r="V101" s="511">
        <v>599.84177403962462</v>
      </c>
      <c r="W101" s="511">
        <v>686.78322304398876</v>
      </c>
      <c r="X101" s="511">
        <v>345.0697924123121</v>
      </c>
      <c r="Y101" s="576">
        <v>478.47541196315041</v>
      </c>
      <c r="Z101" s="511">
        <v>0</v>
      </c>
      <c r="AA101" s="576">
        <v>0</v>
      </c>
      <c r="AB101" s="513">
        <v>0.94015972834620154</v>
      </c>
      <c r="AC101" s="514">
        <v>0.77411918262179036</v>
      </c>
      <c r="AD101" s="514">
        <v>0.94015972834620154</v>
      </c>
      <c r="AE101" s="514">
        <v>0.83857997492422054</v>
      </c>
      <c r="AF101" s="511">
        <v>42.792999999999999</v>
      </c>
      <c r="AG101" s="511">
        <v>565.97199999999998</v>
      </c>
      <c r="AH101" s="511">
        <v>117.93699100020849</v>
      </c>
      <c r="AI101" s="511">
        <v>121.71070595646142</v>
      </c>
      <c r="AJ101" s="511">
        <v>1.1590680718809152</v>
      </c>
      <c r="AK101" s="511">
        <v>1.321266776448305</v>
      </c>
      <c r="AL101" s="511">
        <v>898.03612740401468</v>
      </c>
      <c r="AM101" s="576">
        <v>957.05409454884773</v>
      </c>
      <c r="AN101" s="587"/>
      <c r="AO101" s="587"/>
      <c r="AP101" s="513">
        <v>0.90328231287792793</v>
      </c>
      <c r="AQ101" s="514">
        <v>0.75697690669916062</v>
      </c>
      <c r="AR101" s="514">
        <v>0.90328231287792793</v>
      </c>
      <c r="AS101" s="514">
        <v>0.85075867727598742</v>
      </c>
      <c r="AT101" s="511">
        <v>44.835000000000001</v>
      </c>
      <c r="AU101" s="511">
        <v>650.03499999999997</v>
      </c>
      <c r="AV101" s="515">
        <v>122.48442616796132</v>
      </c>
      <c r="AW101" s="515">
        <v>97.625973593252297</v>
      </c>
      <c r="AX101" s="511">
        <v>1.3806178208988513</v>
      </c>
      <c r="AY101" s="511">
        <v>1.5954525525548626</v>
      </c>
      <c r="AZ101" s="511">
        <v>0</v>
      </c>
      <c r="BA101" s="511">
        <v>0</v>
      </c>
      <c r="BB101" s="511">
        <v>1042.0354633656734</v>
      </c>
      <c r="BC101" s="511">
        <v>950.69622404947438</v>
      </c>
      <c r="BD101" s="511">
        <v>57.767369242779083</v>
      </c>
      <c r="BE101" s="576">
        <v>560.43074449837275</v>
      </c>
      <c r="BF101" s="511">
        <v>24.090554254488161</v>
      </c>
      <c r="BG101" s="512">
        <v>36.090672040736237</v>
      </c>
      <c r="BH101" s="513">
        <v>0.91596551996633868</v>
      </c>
      <c r="BI101" s="514">
        <v>0.82828717387248918</v>
      </c>
      <c r="BJ101" s="514">
        <v>0.91596551996633868</v>
      </c>
      <c r="BK101" s="514">
        <v>0.82828717387248918</v>
      </c>
      <c r="BL101" s="511">
        <v>52.893000000000001</v>
      </c>
      <c r="BM101" s="511">
        <v>732.45100000000002</v>
      </c>
      <c r="BN101" s="511">
        <v>2.5239634734274858</v>
      </c>
      <c r="BO101" s="511">
        <v>2.6216088175181689</v>
      </c>
      <c r="BP101" s="515">
        <v>0</v>
      </c>
      <c r="BQ101" s="515">
        <v>0</v>
      </c>
      <c r="BR101" s="515">
        <v>868.26573021701597</v>
      </c>
      <c r="BS101" s="515">
        <v>938.35337528573359</v>
      </c>
      <c r="BT101" s="515">
        <v>0</v>
      </c>
      <c r="BU101" s="516">
        <v>0</v>
      </c>
      <c r="BV101" s="513">
        <v>0.87863688058774869</v>
      </c>
      <c r="BW101" s="514">
        <v>0.85187426891106088</v>
      </c>
      <c r="BX101" s="514">
        <v>0.87863688058774869</v>
      </c>
      <c r="BY101" s="514">
        <v>0.86954962770902333</v>
      </c>
      <c r="BZ101" s="511">
        <v>43.915999999999997</v>
      </c>
      <c r="CA101" s="511">
        <v>723.08999999999992</v>
      </c>
      <c r="CB101" s="515">
        <v>86.563737519071267</v>
      </c>
      <c r="CC101" s="515">
        <v>83.167860962978125</v>
      </c>
      <c r="CD101" s="511">
        <v>2.0789689407049825</v>
      </c>
      <c r="CE101" s="511">
        <v>2.1098341838498667</v>
      </c>
      <c r="CF101" s="515">
        <v>0</v>
      </c>
      <c r="CG101" s="515">
        <v>0</v>
      </c>
      <c r="CH101" s="515">
        <v>1054.1442920947165</v>
      </c>
      <c r="CI101" s="515">
        <v>898.24170147366135</v>
      </c>
      <c r="CJ101" s="515">
        <v>0</v>
      </c>
      <c r="CK101" s="515">
        <v>457.63376758079954</v>
      </c>
      <c r="CL101" s="515">
        <v>0</v>
      </c>
      <c r="CM101" s="516">
        <v>0</v>
      </c>
    </row>
    <row r="102" spans="1:91" ht="12.75" hidden="1" customHeight="1">
      <c r="A102" s="558">
        <v>46070</v>
      </c>
      <c r="B102" s="513">
        <v>0.87314561056136941</v>
      </c>
      <c r="C102" s="514">
        <v>0.85006141613254427</v>
      </c>
      <c r="D102" s="514">
        <v>0.87314561056136941</v>
      </c>
      <c r="E102" s="514">
        <v>0.85365580620932247</v>
      </c>
      <c r="F102" s="511">
        <v>54.186</v>
      </c>
      <c r="G102" s="511">
        <v>1093.634</v>
      </c>
      <c r="H102" s="511">
        <v>2.28215775292511</v>
      </c>
      <c r="I102" s="511">
        <v>2.3307166748656316</v>
      </c>
      <c r="J102" s="511">
        <v>1044.9654892407252</v>
      </c>
      <c r="K102" s="512">
        <v>846.3602265474542</v>
      </c>
      <c r="L102" s="513">
        <v>0.95137461281811364</v>
      </c>
      <c r="M102" s="514">
        <v>0.74306882440946531</v>
      </c>
      <c r="N102" s="514">
        <v>0.95137461281811364</v>
      </c>
      <c r="O102" s="514">
        <v>0.8099712251760669</v>
      </c>
      <c r="P102" s="511">
        <v>66.852999999999994</v>
      </c>
      <c r="Q102" s="511">
        <v>837.553</v>
      </c>
      <c r="R102" s="511">
        <v>2.0202982663455642</v>
      </c>
      <c r="S102" s="511">
        <v>2.3372395537954014</v>
      </c>
      <c r="T102" s="511">
        <v>0</v>
      </c>
      <c r="U102" s="511">
        <v>0.21550874989403657</v>
      </c>
      <c r="V102" s="511">
        <v>597.37558523924724</v>
      </c>
      <c r="W102" s="511">
        <v>679.64675668286259</v>
      </c>
      <c r="X102" s="511">
        <v>413.13030080923818</v>
      </c>
      <c r="Y102" s="576">
        <v>473.25960267589033</v>
      </c>
      <c r="Z102" s="511">
        <v>0</v>
      </c>
      <c r="AA102" s="576">
        <v>0</v>
      </c>
      <c r="AB102" s="513">
        <v>0.89332623323422999</v>
      </c>
      <c r="AC102" s="514">
        <v>0.78047511714546103</v>
      </c>
      <c r="AD102" s="514">
        <v>0.89332623323422999</v>
      </c>
      <c r="AE102" s="514">
        <v>0.8417280468814774</v>
      </c>
      <c r="AF102" s="511">
        <v>36.784999999999997</v>
      </c>
      <c r="AG102" s="511">
        <v>602.75699999999995</v>
      </c>
      <c r="AH102" s="511">
        <v>123.92754960474834</v>
      </c>
      <c r="AI102" s="511">
        <v>121.84599529130489</v>
      </c>
      <c r="AJ102" s="511">
        <v>1.3619681935571566</v>
      </c>
      <c r="AK102" s="511">
        <v>1.3237506988720167</v>
      </c>
      <c r="AL102" s="511">
        <v>1037.175479135527</v>
      </c>
      <c r="AM102" s="576">
        <v>961.94373520340821</v>
      </c>
      <c r="AN102" s="587"/>
      <c r="AO102" s="587"/>
      <c r="AP102" s="513">
        <v>0.92141057416063898</v>
      </c>
      <c r="AQ102" s="514">
        <v>0.76606419093006251</v>
      </c>
      <c r="AR102" s="514">
        <v>0.92141057416063898</v>
      </c>
      <c r="AS102" s="514">
        <v>0.85511708259170738</v>
      </c>
      <c r="AT102" s="511">
        <v>46.284999999999997</v>
      </c>
      <c r="AU102" s="511">
        <v>696.31999999999994</v>
      </c>
      <c r="AV102" s="515">
        <v>121.71481987318285</v>
      </c>
      <c r="AW102" s="515">
        <v>99.227180294290008</v>
      </c>
      <c r="AX102" s="511">
        <v>1.4151452954520904</v>
      </c>
      <c r="AY102" s="511">
        <v>1.5834673713235297</v>
      </c>
      <c r="AZ102" s="511">
        <v>0</v>
      </c>
      <c r="BA102" s="511">
        <v>0</v>
      </c>
      <c r="BB102" s="511">
        <v>1002.7546721400024</v>
      </c>
      <c r="BC102" s="511">
        <v>954.15659466911791</v>
      </c>
      <c r="BD102" s="511">
        <v>83.396348709085018</v>
      </c>
      <c r="BE102" s="576">
        <v>528.72185058593709</v>
      </c>
      <c r="BF102" s="511">
        <v>23.327211839689134</v>
      </c>
      <c r="BG102" s="512">
        <v>35.242273667279413</v>
      </c>
      <c r="BH102" s="513">
        <v>0.795821623477451</v>
      </c>
      <c r="BI102" s="514">
        <v>0.82623255916077964</v>
      </c>
      <c r="BJ102" s="514">
        <v>0.795821623477451</v>
      </c>
      <c r="BK102" s="514">
        <v>0.82623255916077964</v>
      </c>
      <c r="BL102" s="511">
        <v>47.545999999999999</v>
      </c>
      <c r="BM102" s="511">
        <v>779.99700000000007</v>
      </c>
      <c r="BN102" s="511">
        <v>2.6458587473183863</v>
      </c>
      <c r="BO102" s="511">
        <v>2.6230870118731224</v>
      </c>
      <c r="BP102" s="515">
        <v>0</v>
      </c>
      <c r="BQ102" s="515">
        <v>0</v>
      </c>
      <c r="BR102" s="515">
        <v>911.96245236801883</v>
      </c>
      <c r="BS102" s="515">
        <v>936.74467317400013</v>
      </c>
      <c r="BT102" s="515">
        <v>0</v>
      </c>
      <c r="BU102" s="516">
        <v>0</v>
      </c>
      <c r="BV102" s="513">
        <v>0.87425499428030595</v>
      </c>
      <c r="BW102" s="514">
        <v>0.85314179395280765</v>
      </c>
      <c r="BX102" s="514">
        <v>0.87425499428030595</v>
      </c>
      <c r="BY102" s="514">
        <v>0.86982132461055861</v>
      </c>
      <c r="BZ102" s="511">
        <v>44.551000000000002</v>
      </c>
      <c r="CA102" s="511">
        <v>767.64099999999996</v>
      </c>
      <c r="CB102" s="515">
        <v>93.146161701399862</v>
      </c>
      <c r="CC102" s="515">
        <v>83.746964054393814</v>
      </c>
      <c r="CD102" s="511">
        <v>2.0762721375502231</v>
      </c>
      <c r="CE102" s="511">
        <v>2.1078863687583129</v>
      </c>
      <c r="CF102" s="515">
        <v>0</v>
      </c>
      <c r="CG102" s="515">
        <v>0</v>
      </c>
      <c r="CH102" s="515">
        <v>982.18520885524867</v>
      </c>
      <c r="CI102" s="515">
        <v>903.11346730867672</v>
      </c>
      <c r="CJ102" s="515">
        <v>0</v>
      </c>
      <c r="CK102" s="515">
        <v>431.07442280962107</v>
      </c>
      <c r="CL102" s="515">
        <v>0</v>
      </c>
      <c r="CM102" s="516">
        <v>0</v>
      </c>
    </row>
    <row r="103" spans="1:91" ht="12.75" hidden="1" customHeight="1">
      <c r="A103" s="558">
        <v>46071</v>
      </c>
      <c r="B103" s="513">
        <v>0.87828662429820503</v>
      </c>
      <c r="C103" s="514">
        <v>0.85123218629286901</v>
      </c>
      <c r="D103" s="514">
        <v>0.87828662429820503</v>
      </c>
      <c r="E103" s="514">
        <v>0.85468162265525116</v>
      </c>
      <c r="F103" s="511">
        <v>48.898000000000003</v>
      </c>
      <c r="G103" s="511">
        <v>1142.5319999999999</v>
      </c>
      <c r="H103" s="511">
        <v>2.4601210683463535</v>
      </c>
      <c r="I103" s="511">
        <v>2.3362549145231819</v>
      </c>
      <c r="J103" s="511">
        <v>1159.9026545053207</v>
      </c>
      <c r="K103" s="512">
        <v>859.77919218017507</v>
      </c>
      <c r="L103" s="513">
        <v>0.9875466354854624</v>
      </c>
      <c r="M103" s="514">
        <v>0.75752556354683886</v>
      </c>
      <c r="N103" s="514">
        <v>0.9875466354854624</v>
      </c>
      <c r="O103" s="514">
        <v>0.82135662254744868</v>
      </c>
      <c r="P103" s="511">
        <v>69.959000000000003</v>
      </c>
      <c r="Q103" s="511">
        <v>907.51199999999994</v>
      </c>
      <c r="R103" s="511">
        <v>1.9367629611629669</v>
      </c>
      <c r="S103" s="511">
        <v>2.3063672987244246</v>
      </c>
      <c r="T103" s="511">
        <v>0</v>
      </c>
      <c r="U103" s="511">
        <v>0.19889544160297606</v>
      </c>
      <c r="V103" s="511">
        <v>562.93657713804407</v>
      </c>
      <c r="W103" s="511">
        <v>670.64971041705462</v>
      </c>
      <c r="X103" s="511">
        <v>359.29615917894768</v>
      </c>
      <c r="Y103" s="576">
        <v>464.47429896243796</v>
      </c>
      <c r="Z103" s="511">
        <v>0</v>
      </c>
      <c r="AA103" s="576">
        <v>0</v>
      </c>
      <c r="AB103" s="513">
        <v>0.91969981728458694</v>
      </c>
      <c r="AC103" s="514">
        <v>0.78752260074265912</v>
      </c>
      <c r="AD103" s="514">
        <v>0.91969981728458694</v>
      </c>
      <c r="AE103" s="514">
        <v>0.84596785314109824</v>
      </c>
      <c r="AF103" s="511">
        <v>37.871000000000002</v>
      </c>
      <c r="AG103" s="511">
        <v>640.62799999999993</v>
      </c>
      <c r="AH103" s="511">
        <v>98.314527851983129</v>
      </c>
      <c r="AI103" s="511">
        <v>120.45492246371298</v>
      </c>
      <c r="AJ103" s="511">
        <v>1.3097092762271922</v>
      </c>
      <c r="AK103" s="511">
        <v>1.3229206341277624</v>
      </c>
      <c r="AL103" s="511">
        <v>993.55496290037229</v>
      </c>
      <c r="AM103" s="576">
        <v>963.81244653683723</v>
      </c>
      <c r="AN103" s="587"/>
      <c r="AO103" s="587"/>
      <c r="AP103" s="513">
        <v>0.90116324870009756</v>
      </c>
      <c r="AQ103" s="514">
        <v>0.77276470905669525</v>
      </c>
      <c r="AR103" s="514">
        <v>0.94859289336852382</v>
      </c>
      <c r="AS103" s="514">
        <v>0.86001870132599678</v>
      </c>
      <c r="AT103" s="511">
        <v>42.746000000000002</v>
      </c>
      <c r="AU103" s="511">
        <v>739.06599999999992</v>
      </c>
      <c r="AV103" s="515">
        <v>105.11649047002848</v>
      </c>
      <c r="AW103" s="515">
        <v>99.567805424890139</v>
      </c>
      <c r="AX103" s="511">
        <v>1.4831797127216582</v>
      </c>
      <c r="AY103" s="511">
        <v>1.577666947200927</v>
      </c>
      <c r="AZ103" s="511">
        <v>0</v>
      </c>
      <c r="BA103" s="511">
        <v>0</v>
      </c>
      <c r="BB103" s="511">
        <v>980.37056098816186</v>
      </c>
      <c r="BC103" s="511">
        <v>955.67275453071863</v>
      </c>
      <c r="BD103" s="511">
        <v>35.324942684697767</v>
      </c>
      <c r="BE103" s="576">
        <v>500.18482652428867</v>
      </c>
      <c r="BF103" s="511">
        <v>25.499461937959108</v>
      </c>
      <c r="BG103" s="512">
        <v>34.67877023161666</v>
      </c>
      <c r="BH103" s="513">
        <v>0.94441215035964632</v>
      </c>
      <c r="BI103" s="514">
        <v>0.83273682475641986</v>
      </c>
      <c r="BJ103" s="514">
        <v>0.94441215035964632</v>
      </c>
      <c r="BK103" s="514">
        <v>0.83273682475641986</v>
      </c>
      <c r="BL103" s="511">
        <v>51.927</v>
      </c>
      <c r="BM103" s="511">
        <v>831.92400000000009</v>
      </c>
      <c r="BN103" s="511">
        <v>2.418780210680378</v>
      </c>
      <c r="BO103" s="511">
        <v>2.6103345978719212</v>
      </c>
      <c r="BP103" s="515">
        <v>0</v>
      </c>
      <c r="BQ103" s="515">
        <v>0</v>
      </c>
      <c r="BR103" s="515">
        <v>854.56776685204829</v>
      </c>
      <c r="BS103" s="515">
        <v>931.61535821905238</v>
      </c>
      <c r="BT103" s="515">
        <v>0</v>
      </c>
      <c r="BU103" s="516">
        <v>0</v>
      </c>
      <c r="BV103" s="513">
        <v>0.76671481372863171</v>
      </c>
      <c r="BW103" s="514">
        <v>0.8483407329835726</v>
      </c>
      <c r="BX103" s="514">
        <v>0.76671481372863171</v>
      </c>
      <c r="BY103" s="514">
        <v>0.86398806378937154</v>
      </c>
      <c r="BZ103" s="511">
        <v>40.576999999999998</v>
      </c>
      <c r="CA103" s="511">
        <v>808.21799999999996</v>
      </c>
      <c r="CB103" s="515">
        <v>90.603568871176009</v>
      </c>
      <c r="CC103" s="515">
        <v>84.091203422547665</v>
      </c>
      <c r="CD103" s="511">
        <v>2.2180052739236515</v>
      </c>
      <c r="CE103" s="511">
        <v>2.1134149449777162</v>
      </c>
      <c r="CF103" s="515">
        <v>0</v>
      </c>
      <c r="CG103" s="515">
        <v>0</v>
      </c>
      <c r="CH103" s="515">
        <v>998.4873098226301</v>
      </c>
      <c r="CI103" s="515">
        <v>907.90176008078606</v>
      </c>
      <c r="CJ103" s="515">
        <v>0</v>
      </c>
      <c r="CK103" s="515">
        <v>409.43210990104194</v>
      </c>
      <c r="CL103" s="515">
        <v>0</v>
      </c>
      <c r="CM103" s="516">
        <v>0</v>
      </c>
    </row>
    <row r="104" spans="1:91" ht="12.75" hidden="1" customHeight="1">
      <c r="A104" s="558">
        <v>46072</v>
      </c>
      <c r="B104" s="513">
        <v>1.0206118036167218</v>
      </c>
      <c r="C104" s="514">
        <v>0.85827936097115387</v>
      </c>
      <c r="D104" s="514">
        <v>1.0206118036167218</v>
      </c>
      <c r="E104" s="514">
        <v>0.86161208790120158</v>
      </c>
      <c r="F104" s="511">
        <v>59.469000000000001</v>
      </c>
      <c r="G104" s="511">
        <v>1202.001</v>
      </c>
      <c r="H104" s="511">
        <v>2.1517261094015367</v>
      </c>
      <c r="I104" s="511">
        <v>2.3271253518091917</v>
      </c>
      <c r="J104" s="511">
        <v>993.44969648055894</v>
      </c>
      <c r="K104" s="512">
        <v>866.39254043882011</v>
      </c>
      <c r="L104" s="513">
        <v>0.64041748503554063</v>
      </c>
      <c r="M104" s="514">
        <v>0.75119785245560644</v>
      </c>
      <c r="N104" s="514">
        <v>0.64041748503554063</v>
      </c>
      <c r="O104" s="514">
        <v>0.81080415727036026</v>
      </c>
      <c r="P104" s="511">
        <v>43.823</v>
      </c>
      <c r="Q104" s="511">
        <v>951.33499999999992</v>
      </c>
      <c r="R104" s="511">
        <v>2.5132692878168998</v>
      </c>
      <c r="S104" s="511">
        <v>2.3158981851818763</v>
      </c>
      <c r="T104" s="511">
        <v>0</v>
      </c>
      <c r="U104" s="511">
        <v>0.18973337467874093</v>
      </c>
      <c r="V104" s="511">
        <v>721.1553293932343</v>
      </c>
      <c r="W104" s="511">
        <v>672.97623865410367</v>
      </c>
      <c r="X104" s="511">
        <v>454.55582684891493</v>
      </c>
      <c r="Y104" s="576">
        <v>464.0174071173667</v>
      </c>
      <c r="Z104" s="511">
        <v>0</v>
      </c>
      <c r="AA104" s="576">
        <v>0</v>
      </c>
      <c r="AB104" s="513">
        <v>0.92976286359165794</v>
      </c>
      <c r="AC104" s="514">
        <v>0.79515987877783567</v>
      </c>
      <c r="AD104" s="514">
        <v>0.92976286359165794</v>
      </c>
      <c r="AE104" s="514">
        <v>0.85078176271047501</v>
      </c>
      <c r="AF104" s="511">
        <v>42.914000000000001</v>
      </c>
      <c r="AG104" s="511">
        <v>683.54199999999992</v>
      </c>
      <c r="AH104" s="511">
        <v>0</v>
      </c>
      <c r="AI104" s="511">
        <v>112.89254510781126</v>
      </c>
      <c r="AJ104" s="511">
        <v>1.183762874586382</v>
      </c>
      <c r="AK104" s="511">
        <v>1.3141840589166434</v>
      </c>
      <c r="AL104" s="511">
        <v>957.48380481894867</v>
      </c>
      <c r="AM104" s="576">
        <v>963.41512299171256</v>
      </c>
      <c r="AN104" s="587"/>
      <c r="AO104" s="587"/>
      <c r="AP104" s="513">
        <v>0.86667176969617132</v>
      </c>
      <c r="AQ104" s="514">
        <v>0.77745943264932083</v>
      </c>
      <c r="AR104" s="514">
        <v>0.86667176969617132</v>
      </c>
      <c r="AS104" s="514">
        <v>0.86038678771862687</v>
      </c>
      <c r="AT104" s="511">
        <v>43.619</v>
      </c>
      <c r="AU104" s="511">
        <v>782.68499999999995</v>
      </c>
      <c r="AV104" s="515">
        <v>0</v>
      </c>
      <c r="AW104" s="515">
        <v>94.01889608738108</v>
      </c>
      <c r="AX104" s="511">
        <v>1.4947614571631629</v>
      </c>
      <c r="AY104" s="511">
        <v>1.5730466279537749</v>
      </c>
      <c r="AZ104" s="511">
        <v>0</v>
      </c>
      <c r="BA104" s="511">
        <v>0</v>
      </c>
      <c r="BB104" s="511">
        <v>1086.4407712235491</v>
      </c>
      <c r="BC104" s="511">
        <v>962.96045024498994</v>
      </c>
      <c r="BD104" s="511">
        <v>61.670373002587489</v>
      </c>
      <c r="BE104" s="576">
        <v>475.74643566696648</v>
      </c>
      <c r="BF104" s="511">
        <v>5.9607051972764156</v>
      </c>
      <c r="BG104" s="512">
        <v>33.078313753297934</v>
      </c>
      <c r="BH104" s="513">
        <v>0.76974534395405692</v>
      </c>
      <c r="BI104" s="514">
        <v>0.82972821939012087</v>
      </c>
      <c r="BJ104" s="514">
        <v>0.76974534395405692</v>
      </c>
      <c r="BK104" s="514">
        <v>0.82972821939012087</v>
      </c>
      <c r="BL104" s="511">
        <v>38.570999999999998</v>
      </c>
      <c r="BM104" s="511">
        <v>870.49500000000012</v>
      </c>
      <c r="BN104" s="511">
        <v>3.0826268440019708</v>
      </c>
      <c r="BO104" s="511">
        <v>2.6312615236158741</v>
      </c>
      <c r="BP104" s="515">
        <v>0</v>
      </c>
      <c r="BQ104" s="515">
        <v>0</v>
      </c>
      <c r="BR104" s="515">
        <v>1313.1621218166463</v>
      </c>
      <c r="BS104" s="515">
        <v>948.52141766651948</v>
      </c>
      <c r="BT104" s="515">
        <v>0</v>
      </c>
      <c r="BU104" s="516">
        <v>0</v>
      </c>
      <c r="BV104" s="513">
        <v>0.89878447460656763</v>
      </c>
      <c r="BW104" s="514">
        <v>0.85102721684171878</v>
      </c>
      <c r="BX104" s="514">
        <v>0.89878447460656763</v>
      </c>
      <c r="BY104" s="514">
        <v>0.86587354589169874</v>
      </c>
      <c r="BZ104" s="511">
        <v>48.167999999999999</v>
      </c>
      <c r="CA104" s="511">
        <v>856.38599999999997</v>
      </c>
      <c r="CB104" s="515">
        <v>0</v>
      </c>
      <c r="CC104" s="515">
        <v>79.361437771944694</v>
      </c>
      <c r="CD104" s="511">
        <v>1.9348945357913969</v>
      </c>
      <c r="CE104" s="511">
        <v>2.103373945860862</v>
      </c>
      <c r="CF104" s="515">
        <v>0</v>
      </c>
      <c r="CG104" s="515">
        <v>0</v>
      </c>
      <c r="CH104" s="515">
        <v>991.28890133305208</v>
      </c>
      <c r="CI104" s="515">
        <v>912.59192528647498</v>
      </c>
      <c r="CJ104" s="515">
        <v>0</v>
      </c>
      <c r="CK104" s="515">
        <v>386.40332863918877</v>
      </c>
      <c r="CL104" s="515">
        <v>0</v>
      </c>
      <c r="CM104" s="516">
        <v>0</v>
      </c>
    </row>
    <row r="105" spans="1:91" ht="12.75" hidden="1" customHeight="1">
      <c r="A105" s="558">
        <v>46073</v>
      </c>
      <c r="B105" s="513">
        <v>0.90813899761564321</v>
      </c>
      <c r="C105" s="514">
        <v>0.86042505262097424</v>
      </c>
      <c r="D105" s="514">
        <v>0.90813899761564321</v>
      </c>
      <c r="E105" s="514">
        <v>0.86362179588215005</v>
      </c>
      <c r="F105" s="511">
        <v>57.194000000000003</v>
      </c>
      <c r="G105" s="511">
        <v>1259.1949999999999</v>
      </c>
      <c r="H105" s="511">
        <v>2.3413644787914816</v>
      </c>
      <c r="I105" s="511">
        <v>2.3277721083708243</v>
      </c>
      <c r="J105" s="511">
        <v>1071.4197293421905</v>
      </c>
      <c r="K105" s="512">
        <v>875.70509730422975</v>
      </c>
      <c r="L105" s="513">
        <v>0.33086607713904559</v>
      </c>
      <c r="M105" s="514">
        <v>0.73039550138329912</v>
      </c>
      <c r="N105" s="514">
        <v>0.33086607713904559</v>
      </c>
      <c r="O105" s="514">
        <v>0.78526744900576384</v>
      </c>
      <c r="P105" s="511">
        <v>21.817</v>
      </c>
      <c r="Q105" s="511">
        <v>973.15199999999993</v>
      </c>
      <c r="R105" s="511">
        <v>5.8212861529999538</v>
      </c>
      <c r="S105" s="511">
        <v>2.3944851369570226</v>
      </c>
      <c r="T105" s="511">
        <v>0</v>
      </c>
      <c r="U105" s="511">
        <v>0.18547976061293611</v>
      </c>
      <c r="V105" s="511">
        <v>1515.8990695328412</v>
      </c>
      <c r="W105" s="511">
        <v>691.87364358291393</v>
      </c>
      <c r="X105" s="511">
        <v>891.27744419489386</v>
      </c>
      <c r="Y105" s="576">
        <v>473.59610831606989</v>
      </c>
      <c r="Z105" s="511">
        <v>0</v>
      </c>
      <c r="AA105" s="576">
        <v>0</v>
      </c>
      <c r="AB105" s="513">
        <v>0.86052814508655673</v>
      </c>
      <c r="AC105" s="514">
        <v>0.79829791325923749</v>
      </c>
      <c r="AD105" s="514">
        <v>0.86052814508655673</v>
      </c>
      <c r="AE105" s="514">
        <v>0.8512806954253318</v>
      </c>
      <c r="AF105" s="511">
        <v>37.302</v>
      </c>
      <c r="AG105" s="511">
        <v>720.84399999999994</v>
      </c>
      <c r="AH105" s="511">
        <v>106.64952259949145</v>
      </c>
      <c r="AI105" s="511">
        <v>112.56948321702025</v>
      </c>
      <c r="AJ105" s="511">
        <v>1.3779422014905367</v>
      </c>
      <c r="AK105" s="511">
        <v>1.3174833944653768</v>
      </c>
      <c r="AL105" s="511">
        <v>1030.2069594123541</v>
      </c>
      <c r="AM105" s="576">
        <v>966.87144513931025</v>
      </c>
      <c r="AN105" s="587"/>
      <c r="AO105" s="587"/>
      <c r="AP105" s="513">
        <v>0.99831980336529591</v>
      </c>
      <c r="AQ105" s="514">
        <v>0.78751504535143813</v>
      </c>
      <c r="AR105" s="514">
        <v>0.99831980336529591</v>
      </c>
      <c r="AS105" s="514">
        <v>0.86730304248728851</v>
      </c>
      <c r="AT105" s="511">
        <v>47.941000000000003</v>
      </c>
      <c r="AU105" s="511">
        <v>830.62599999999998</v>
      </c>
      <c r="AV105" s="515">
        <v>95.016094739132257</v>
      </c>
      <c r="AW105" s="515">
        <v>94.076451112824046</v>
      </c>
      <c r="AX105" s="511">
        <v>1.3203729584280677</v>
      </c>
      <c r="AY105" s="511">
        <v>1.5584631350330957</v>
      </c>
      <c r="AZ105" s="511">
        <v>0</v>
      </c>
      <c r="BA105" s="511">
        <v>0</v>
      </c>
      <c r="BB105" s="511">
        <v>976.17446444588109</v>
      </c>
      <c r="BC105" s="511">
        <v>963.72311967118776</v>
      </c>
      <c r="BD105" s="511">
        <v>107.63229803300175</v>
      </c>
      <c r="BE105" s="576">
        <v>454.50009872072366</v>
      </c>
      <c r="BF105" s="511">
        <v>0</v>
      </c>
      <c r="BG105" s="512">
        <v>31.169142309535211</v>
      </c>
      <c r="BH105" s="513">
        <v>0.93241338961597076</v>
      </c>
      <c r="BI105" s="514">
        <v>0.83452866899588407</v>
      </c>
      <c r="BJ105" s="514">
        <v>0.93241338961597076</v>
      </c>
      <c r="BK105" s="514">
        <v>0.83452866899588407</v>
      </c>
      <c r="BL105" s="511">
        <v>47.973999999999997</v>
      </c>
      <c r="BM105" s="511">
        <v>918.46900000000016</v>
      </c>
      <c r="BN105" s="511">
        <v>2.4138074790511528</v>
      </c>
      <c r="BO105" s="511">
        <v>2.6199033391437276</v>
      </c>
      <c r="BP105" s="515">
        <v>0</v>
      </c>
      <c r="BQ105" s="515">
        <v>0</v>
      </c>
      <c r="BR105" s="515">
        <v>962.72384792743185</v>
      </c>
      <c r="BS105" s="515">
        <v>949.26324715596002</v>
      </c>
      <c r="BT105" s="515">
        <v>43.267186392629341</v>
      </c>
      <c r="BU105" s="516">
        <v>2.2599565145911287</v>
      </c>
      <c r="BV105" s="513">
        <v>1.0646195507718605</v>
      </c>
      <c r="BW105" s="514">
        <v>0.86086424014334206</v>
      </c>
      <c r="BX105" s="514">
        <v>1.0646195507718605</v>
      </c>
      <c r="BY105" s="514">
        <v>0.87517902371219725</v>
      </c>
      <c r="BZ105" s="511">
        <v>51.722000000000001</v>
      </c>
      <c r="CA105" s="511">
        <v>908.10799999999995</v>
      </c>
      <c r="CB105" s="515">
        <v>68.647633697556742</v>
      </c>
      <c r="CC105" s="515">
        <v>78.751224697799884</v>
      </c>
      <c r="CD105" s="511">
        <v>1.6588685665674181</v>
      </c>
      <c r="CE105" s="511">
        <v>2.0780567950067614</v>
      </c>
      <c r="CF105" s="515">
        <v>0</v>
      </c>
      <c r="CG105" s="515">
        <v>0</v>
      </c>
      <c r="CH105" s="515">
        <v>849.94056918779722</v>
      </c>
      <c r="CI105" s="515">
        <v>909.02356839485435</v>
      </c>
      <c r="CJ105" s="515">
        <v>0</v>
      </c>
      <c r="CK105" s="515">
        <v>364.3954254339796</v>
      </c>
      <c r="CL105" s="515">
        <v>38.558060399829863</v>
      </c>
      <c r="CM105" s="516">
        <v>2.1961044281076698</v>
      </c>
    </row>
    <row r="106" spans="1:91" ht="12.75" hidden="1" customHeight="1">
      <c r="A106" s="558">
        <v>46074</v>
      </c>
      <c r="B106" s="513">
        <v>0.85498107688067759</v>
      </c>
      <c r="C106" s="514">
        <v>0.86020651780714186</v>
      </c>
      <c r="D106" s="514">
        <v>0.85498107688067759</v>
      </c>
      <c r="E106" s="514">
        <v>0.86327369901560402</v>
      </c>
      <c r="F106" s="511">
        <v>52.328000000000003</v>
      </c>
      <c r="G106" s="511">
        <v>1311.5229999999999</v>
      </c>
      <c r="H106" s="511">
        <v>2.3751719920501451</v>
      </c>
      <c r="I106" s="511">
        <v>2.3296632998430069</v>
      </c>
      <c r="J106" s="511">
        <v>1085.4223360342671</v>
      </c>
      <c r="K106" s="512">
        <v>884.07253246797859</v>
      </c>
      <c r="L106" s="513">
        <v>0.87249810393785698</v>
      </c>
      <c r="M106" s="514">
        <v>0.73658425425102303</v>
      </c>
      <c r="N106" s="514">
        <v>0.87249810393785698</v>
      </c>
      <c r="O106" s="514">
        <v>0.78933854291647365</v>
      </c>
      <c r="P106" s="511">
        <v>52.933</v>
      </c>
      <c r="Q106" s="511">
        <v>1026.085</v>
      </c>
      <c r="R106" s="511">
        <v>2.5330701074943796</v>
      </c>
      <c r="S106" s="511">
        <v>2.4016343675231586</v>
      </c>
      <c r="T106" s="511">
        <v>0</v>
      </c>
      <c r="U106" s="511">
        <v>0.17591135237334138</v>
      </c>
      <c r="V106" s="511">
        <v>683.7146959364236</v>
      </c>
      <c r="W106" s="511">
        <v>691.45274514294863</v>
      </c>
      <c r="X106" s="511">
        <v>365.19751383824831</v>
      </c>
      <c r="Y106" s="576">
        <v>468.00411271970643</v>
      </c>
      <c r="Z106" s="511">
        <v>0</v>
      </c>
      <c r="AA106" s="576">
        <v>0</v>
      </c>
      <c r="AB106" s="513">
        <v>0.92559973572551879</v>
      </c>
      <c r="AC106" s="514">
        <v>0.80418298878543726</v>
      </c>
      <c r="AD106" s="514">
        <v>0.92559973572551879</v>
      </c>
      <c r="AE106" s="514">
        <v>0.85493323416086109</v>
      </c>
      <c r="AF106" s="511">
        <v>40.511000000000003</v>
      </c>
      <c r="AG106" s="511">
        <v>761.3549999999999</v>
      </c>
      <c r="AH106" s="511">
        <v>126.84077831439714</v>
      </c>
      <c r="AI106" s="511">
        <v>113.32884571636659</v>
      </c>
      <c r="AJ106" s="511">
        <v>1.3650613413640738</v>
      </c>
      <c r="AK106" s="511">
        <v>1.3200149733041751</v>
      </c>
      <c r="AL106" s="511">
        <v>977.70926415047779</v>
      </c>
      <c r="AM106" s="576">
        <v>967.44811553086402</v>
      </c>
      <c r="AN106" s="587"/>
      <c r="AO106" s="587"/>
      <c r="AP106" s="513">
        <v>0.71040427884980673</v>
      </c>
      <c r="AQ106" s="514">
        <v>0.78426128908514137</v>
      </c>
      <c r="AR106" s="514">
        <v>0.71040427884980673</v>
      </c>
      <c r="AS106" s="514">
        <v>0.86004283848968999</v>
      </c>
      <c r="AT106" s="511">
        <v>33.01</v>
      </c>
      <c r="AU106" s="511">
        <v>863.63599999999997</v>
      </c>
      <c r="AV106" s="515">
        <v>154.64984255744264</v>
      </c>
      <c r="AW106" s="515">
        <v>96.3916946316061</v>
      </c>
      <c r="AX106" s="511">
        <v>1.9206301120872464</v>
      </c>
      <c r="AY106" s="511">
        <v>1.5723059251814426</v>
      </c>
      <c r="AZ106" s="511">
        <v>0</v>
      </c>
      <c r="BA106" s="511">
        <v>0</v>
      </c>
      <c r="BB106" s="511">
        <v>1268.039382005453</v>
      </c>
      <c r="BC106" s="511">
        <v>975.35473278094014</v>
      </c>
      <c r="BD106" s="511">
        <v>227.80975461980944</v>
      </c>
      <c r="BE106" s="576">
        <v>445.83551287811036</v>
      </c>
      <c r="BF106" s="511">
        <v>0</v>
      </c>
      <c r="BG106" s="512">
        <v>29.977791569596445</v>
      </c>
      <c r="BH106" s="513">
        <v>0.96770479024943312</v>
      </c>
      <c r="BI106" s="514">
        <v>0.84047970929853066</v>
      </c>
      <c r="BJ106" s="514">
        <v>0.96770479024943312</v>
      </c>
      <c r="BK106" s="514">
        <v>0.84047970929853066</v>
      </c>
      <c r="BL106" s="511">
        <v>49.817999999999998</v>
      </c>
      <c r="BM106" s="511">
        <v>968.28700000000015</v>
      </c>
      <c r="BN106" s="511">
        <v>2.2762856798747442</v>
      </c>
      <c r="BO106" s="511">
        <v>2.6022243405106136</v>
      </c>
      <c r="BP106" s="515">
        <v>0</v>
      </c>
      <c r="BQ106" s="515">
        <v>0</v>
      </c>
      <c r="BR106" s="515">
        <v>983.12787835636743</v>
      </c>
      <c r="BS106" s="515">
        <v>951.00556962558107</v>
      </c>
      <c r="BT106" s="515">
        <v>46.81440443213296</v>
      </c>
      <c r="BU106" s="516">
        <v>4.5522660120398184</v>
      </c>
      <c r="BV106" s="513">
        <v>1.0038511245541755</v>
      </c>
      <c r="BW106" s="514">
        <v>0.86780869421321249</v>
      </c>
      <c r="BX106" s="514">
        <v>1.0038511245541755</v>
      </c>
      <c r="BY106" s="514">
        <v>0.88152703863887383</v>
      </c>
      <c r="BZ106" s="511">
        <v>54.055</v>
      </c>
      <c r="CA106" s="511">
        <v>962.1629999999999</v>
      </c>
      <c r="CB106" s="515">
        <v>78.504521818227289</v>
      </c>
      <c r="CC106" s="515">
        <v>78.737364754988434</v>
      </c>
      <c r="CD106" s="511">
        <v>1.6982702802700953</v>
      </c>
      <c r="CE106" s="511">
        <v>2.0567201191482107</v>
      </c>
      <c r="CF106" s="515">
        <v>0</v>
      </c>
      <c r="CG106" s="515">
        <v>0</v>
      </c>
      <c r="CH106" s="515">
        <v>837.04514579668592</v>
      </c>
      <c r="CI106" s="515">
        <v>904.97976954419812</v>
      </c>
      <c r="CJ106" s="515">
        <v>0</v>
      </c>
      <c r="CK106" s="515">
        <v>343.9234318925175</v>
      </c>
      <c r="CL106" s="515">
        <v>50.648413652761079</v>
      </c>
      <c r="CM106" s="516">
        <v>4.9181895375315836</v>
      </c>
    </row>
    <row r="107" spans="1:91" ht="12.75" hidden="1" customHeight="1">
      <c r="A107" s="558">
        <v>46075</v>
      </c>
      <c r="B107" s="513">
        <v>0.88069426405554119</v>
      </c>
      <c r="C107" s="514">
        <v>0.86097217430848605</v>
      </c>
      <c r="D107" s="514">
        <v>0.93232771875502296</v>
      </c>
      <c r="E107" s="514">
        <v>0.86572488412283777</v>
      </c>
      <c r="F107" s="511">
        <v>52.128999999999998</v>
      </c>
      <c r="G107" s="511">
        <v>1363.6519999999998</v>
      </c>
      <c r="H107" s="511">
        <v>2.1022463503999695</v>
      </c>
      <c r="I107" s="511">
        <v>2.3209697195472159</v>
      </c>
      <c r="J107" s="511">
        <v>944.66688407603908</v>
      </c>
      <c r="K107" s="512">
        <v>886.38890274058235</v>
      </c>
      <c r="L107" s="513">
        <v>0.96347058135906349</v>
      </c>
      <c r="M107" s="514">
        <v>0.74681288137949964</v>
      </c>
      <c r="N107" s="514">
        <v>0.96347058135906349</v>
      </c>
      <c r="O107" s="514">
        <v>0.79772403559230176</v>
      </c>
      <c r="P107" s="511">
        <v>63.363999999999997</v>
      </c>
      <c r="Q107" s="511">
        <v>1089.4490000000001</v>
      </c>
      <c r="R107" s="511">
        <v>1.7963828041159018</v>
      </c>
      <c r="S107" s="511">
        <v>2.3664320220588575</v>
      </c>
      <c r="T107" s="511">
        <v>0</v>
      </c>
      <c r="U107" s="511">
        <v>0.16568008231684089</v>
      </c>
      <c r="V107" s="511">
        <v>470.15197904173027</v>
      </c>
      <c r="W107" s="511">
        <v>678.581558200524</v>
      </c>
      <c r="X107" s="511">
        <v>424.56284325484501</v>
      </c>
      <c r="Y107" s="576">
        <v>465.47750284776987</v>
      </c>
      <c r="Z107" s="511">
        <v>0</v>
      </c>
      <c r="AA107" s="576">
        <v>0</v>
      </c>
      <c r="AB107" s="513">
        <v>0.89503430112711702</v>
      </c>
      <c r="AC107" s="514">
        <v>0.80820139183717576</v>
      </c>
      <c r="AD107" s="514">
        <v>0.89503430112711702</v>
      </c>
      <c r="AE107" s="514">
        <v>0.85681361137986778</v>
      </c>
      <c r="AF107" s="511">
        <v>39.213999999999999</v>
      </c>
      <c r="AG107" s="511">
        <v>800.56899999999996</v>
      </c>
      <c r="AH107" s="511">
        <v>125.94185103102309</v>
      </c>
      <c r="AI107" s="511">
        <v>113.94666428092373</v>
      </c>
      <c r="AJ107" s="511">
        <v>1.417860968021625</v>
      </c>
      <c r="AK107" s="511">
        <v>1.3248077305016805</v>
      </c>
      <c r="AL107" s="511">
        <v>1023.7297903809585</v>
      </c>
      <c r="AM107" s="576">
        <v>970.20494173519046</v>
      </c>
      <c r="AN107" s="587"/>
      <c r="AO107" s="587"/>
      <c r="AP107" s="513">
        <v>0.91551242841054048</v>
      </c>
      <c r="AQ107" s="514">
        <v>0.78961609558492551</v>
      </c>
      <c r="AR107" s="514">
        <v>0.91551242841054048</v>
      </c>
      <c r="AS107" s="514">
        <v>0.86251482576891736</v>
      </c>
      <c r="AT107" s="511">
        <v>42.881</v>
      </c>
      <c r="AU107" s="511">
        <v>906.51699999999994</v>
      </c>
      <c r="AV107" s="515">
        <v>121.81970468676967</v>
      </c>
      <c r="AW107" s="515">
        <v>97.594516530340996</v>
      </c>
      <c r="AX107" s="511">
        <v>1.4878384366036239</v>
      </c>
      <c r="AY107" s="511">
        <v>1.5683103571140975</v>
      </c>
      <c r="AZ107" s="511">
        <v>0</v>
      </c>
      <c r="BA107" s="511">
        <v>0</v>
      </c>
      <c r="BB107" s="511">
        <v>1056.0513980550836</v>
      </c>
      <c r="BC107" s="511">
        <v>979.17192948394802</v>
      </c>
      <c r="BD107" s="511">
        <v>143.65336629276371</v>
      </c>
      <c r="BE107" s="576">
        <v>431.54138201489849</v>
      </c>
      <c r="BF107" s="511">
        <v>0</v>
      </c>
      <c r="BG107" s="512">
        <v>28.559751223639488</v>
      </c>
      <c r="BH107" s="513">
        <v>0.96907912350739023</v>
      </c>
      <c r="BI107" s="514">
        <v>0.8462549991290983</v>
      </c>
      <c r="BJ107" s="514">
        <v>0.96907912350739023</v>
      </c>
      <c r="BK107" s="514">
        <v>0.8462549991290983</v>
      </c>
      <c r="BL107" s="511">
        <v>52.496000000000002</v>
      </c>
      <c r="BM107" s="511">
        <v>1020.7830000000001</v>
      </c>
      <c r="BN107" s="511">
        <v>2.1963578177384941</v>
      </c>
      <c r="BO107" s="511">
        <v>2.581351766242189</v>
      </c>
      <c r="BP107" s="515">
        <v>0</v>
      </c>
      <c r="BQ107" s="515">
        <v>0</v>
      </c>
      <c r="BR107" s="515">
        <v>883.43258794609699</v>
      </c>
      <c r="BS107" s="515">
        <v>947.53048114326293</v>
      </c>
      <c r="BT107" s="515">
        <v>46.174946662602864</v>
      </c>
      <c r="BU107" s="516">
        <v>6.6928034655749542</v>
      </c>
      <c r="BV107" s="513">
        <v>0.85255095729885511</v>
      </c>
      <c r="BW107" s="514">
        <v>0.86706402253174752</v>
      </c>
      <c r="BX107" s="514">
        <v>0.85255095729885511</v>
      </c>
      <c r="BY107" s="514">
        <v>0.88009157872910837</v>
      </c>
      <c r="BZ107" s="511">
        <v>48.500999999999998</v>
      </c>
      <c r="CA107" s="511">
        <v>1010.6639999999999</v>
      </c>
      <c r="CB107" s="515">
        <v>84.793416568649889</v>
      </c>
      <c r="CC107" s="515">
        <v>79.027990095372971</v>
      </c>
      <c r="CD107" s="511">
        <v>1.981402445310406</v>
      </c>
      <c r="CE107" s="511">
        <v>2.0531056810176285</v>
      </c>
      <c r="CF107" s="515">
        <v>0</v>
      </c>
      <c r="CG107" s="515">
        <v>0</v>
      </c>
      <c r="CH107" s="515">
        <v>901.36168044333976</v>
      </c>
      <c r="CI107" s="515">
        <v>904.80614018817005</v>
      </c>
      <c r="CJ107" s="515">
        <v>0</v>
      </c>
      <c r="CK107" s="515">
        <v>327.41880684381783</v>
      </c>
      <c r="CL107" s="515">
        <v>54.143213541988821</v>
      </c>
      <c r="CM107" s="516">
        <v>7.280461162166656</v>
      </c>
    </row>
    <row r="108" spans="1:91" ht="12.75" hidden="1" customHeight="1">
      <c r="A108" s="558">
        <v>46076</v>
      </c>
      <c r="B108" s="513">
        <v>0</v>
      </c>
      <c r="C108" s="514">
        <v>0.83004937460472084</v>
      </c>
      <c r="D108" s="514" t="e">
        <v>#DIV/0!</v>
      </c>
      <c r="E108" s="514">
        <v>0.86572488412283777</v>
      </c>
      <c r="F108" s="511">
        <v>0</v>
      </c>
      <c r="G108" s="511">
        <v>1363.6519999999998</v>
      </c>
      <c r="H108" s="511">
        <v>0</v>
      </c>
      <c r="I108" s="511">
        <v>2.3210122523928396</v>
      </c>
      <c r="J108" s="511">
        <v>0</v>
      </c>
      <c r="K108" s="512">
        <v>889.71651125067103</v>
      </c>
      <c r="L108" s="513">
        <v>0.95208482077190359</v>
      </c>
      <c r="M108" s="514">
        <v>0.75775848693588832</v>
      </c>
      <c r="N108" s="514">
        <v>0.95208482077190359</v>
      </c>
      <c r="O108" s="514">
        <v>0.80648419968138474</v>
      </c>
      <c r="P108" s="511">
        <v>78.230999999999995</v>
      </c>
      <c r="Q108" s="511">
        <v>1167.68</v>
      </c>
      <c r="R108" s="511">
        <v>1.753933862535312</v>
      </c>
      <c r="S108" s="511">
        <v>2.3253965127432177</v>
      </c>
      <c r="T108" s="511">
        <v>0</v>
      </c>
      <c r="U108" s="511">
        <v>0.15458002192381473</v>
      </c>
      <c r="V108" s="511">
        <v>412.73599979545696</v>
      </c>
      <c r="W108" s="511">
        <v>660.77071629213572</v>
      </c>
      <c r="X108" s="511">
        <v>386.86709872045611</v>
      </c>
      <c r="Y108" s="576">
        <v>460.21084543710606</v>
      </c>
      <c r="Z108" s="511">
        <v>0</v>
      </c>
      <c r="AA108" s="576">
        <v>0</v>
      </c>
      <c r="AB108" s="513">
        <v>0.89460982842505332</v>
      </c>
      <c r="AC108" s="514">
        <v>0.8118064215274664</v>
      </c>
      <c r="AD108" s="514">
        <v>0.89460982842505332</v>
      </c>
      <c r="AE108" s="514">
        <v>0.85848116313045664</v>
      </c>
      <c r="AF108" s="511">
        <v>38.581000000000003</v>
      </c>
      <c r="AG108" s="511">
        <v>839.15</v>
      </c>
      <c r="AH108" s="511">
        <v>129.96249209297207</v>
      </c>
      <c r="AI108" s="511">
        <v>114.68301255336208</v>
      </c>
      <c r="AJ108" s="511">
        <v>1.360773437702496</v>
      </c>
      <c r="AK108" s="511">
        <v>1.3264613001251266</v>
      </c>
      <c r="AL108" s="511">
        <v>922.41517845572582</v>
      </c>
      <c r="AM108" s="576">
        <v>968.00774593338485</v>
      </c>
      <c r="AN108" s="587"/>
      <c r="AO108" s="587"/>
      <c r="AP108" s="513">
        <v>0.83901005895924707</v>
      </c>
      <c r="AQ108" s="514">
        <v>0.79154003336243983</v>
      </c>
      <c r="AR108" s="514">
        <v>0.83901005895924707</v>
      </c>
      <c r="AS108" s="514">
        <v>0.86151835458670867</v>
      </c>
      <c r="AT108" s="511">
        <v>39.039000000000001</v>
      </c>
      <c r="AU108" s="511">
        <v>945.55599999999993</v>
      </c>
      <c r="AV108" s="515">
        <v>134.9202639990217</v>
      </c>
      <c r="AW108" s="515">
        <v>99.135577932764363</v>
      </c>
      <c r="AX108" s="511">
        <v>1.5830323522631213</v>
      </c>
      <c r="AY108" s="511">
        <v>1.5689181814720654</v>
      </c>
      <c r="AZ108" s="511">
        <v>0</v>
      </c>
      <c r="BA108" s="511">
        <v>0</v>
      </c>
      <c r="BB108" s="511">
        <v>1109.3445016521953</v>
      </c>
      <c r="BC108" s="511">
        <v>984.5463409887941</v>
      </c>
      <c r="BD108" s="511">
        <v>436.99889853736119</v>
      </c>
      <c r="BE108" s="576">
        <v>431.76670551506186</v>
      </c>
      <c r="BF108" s="511">
        <v>0</v>
      </c>
      <c r="BG108" s="512">
        <v>27.380609926857847</v>
      </c>
      <c r="BH108" s="513">
        <v>0.64087828055665952</v>
      </c>
      <c r="BI108" s="514">
        <v>0.83772225320479787</v>
      </c>
      <c r="BJ108" s="514">
        <v>0.64087828055665952</v>
      </c>
      <c r="BK108" s="514">
        <v>0.83772225320479787</v>
      </c>
      <c r="BL108" s="511">
        <v>33.51</v>
      </c>
      <c r="BM108" s="511">
        <v>1054.2930000000001</v>
      </c>
      <c r="BN108" s="511">
        <v>2.7752909579230081</v>
      </c>
      <c r="BO108" s="511">
        <v>2.5875159941306642</v>
      </c>
      <c r="BP108" s="515">
        <v>0</v>
      </c>
      <c r="BQ108" s="515">
        <v>0</v>
      </c>
      <c r="BR108" s="515">
        <v>1128.2545351324884</v>
      </c>
      <c r="BS108" s="515">
        <v>953.27467469209489</v>
      </c>
      <c r="BT108" s="515">
        <v>45.147717099373324</v>
      </c>
      <c r="BU108" s="516">
        <v>7.9150672536002773</v>
      </c>
      <c r="BV108" s="513">
        <v>1.089043140713928</v>
      </c>
      <c r="BW108" s="514">
        <v>0.87625811895221506</v>
      </c>
      <c r="BX108" s="514">
        <v>1.089043140713928</v>
      </c>
      <c r="BY108" s="514">
        <v>0.88887066001894477</v>
      </c>
      <c r="BZ108" s="511">
        <v>54.848999999999997</v>
      </c>
      <c r="CA108" s="511">
        <v>1065.5129999999999</v>
      </c>
      <c r="CB108" s="515">
        <v>70.735380887586587</v>
      </c>
      <c r="CC108" s="515">
        <v>78.60111466312776</v>
      </c>
      <c r="CD108" s="511">
        <v>1.6663931885722623</v>
      </c>
      <c r="CE108" s="511">
        <v>2.0331990318278614</v>
      </c>
      <c r="CF108" s="515">
        <v>0</v>
      </c>
      <c r="CG108" s="515">
        <v>0</v>
      </c>
      <c r="CH108" s="515">
        <v>798.83481062025305</v>
      </c>
      <c r="CI108" s="515">
        <v>899.35109510146458</v>
      </c>
      <c r="CJ108" s="515">
        <v>0</v>
      </c>
      <c r="CK108" s="515">
        <v>310.56439574176977</v>
      </c>
      <c r="CL108" s="515">
        <v>39.69261062188918</v>
      </c>
      <c r="CM108" s="516">
        <v>8.9489288258331907</v>
      </c>
    </row>
    <row r="109" spans="1:91" ht="12.75" hidden="1" customHeight="1">
      <c r="A109" s="558">
        <v>46077</v>
      </c>
      <c r="B109" s="513">
        <v>0</v>
      </c>
      <c r="C109" s="514">
        <v>0.8012708173720563</v>
      </c>
      <c r="D109" s="514" t="e">
        <v>#DIV/0!</v>
      </c>
      <c r="E109" s="514">
        <v>0.86572488412283777</v>
      </c>
      <c r="F109" s="511">
        <v>0</v>
      </c>
      <c r="G109" s="511">
        <v>1363.6519999999998</v>
      </c>
      <c r="H109" s="511">
        <v>0</v>
      </c>
      <c r="I109" s="511">
        <v>2.3210327854907264</v>
      </c>
      <c r="J109" s="511">
        <v>0</v>
      </c>
      <c r="K109" s="512">
        <v>891.03397347710415</v>
      </c>
      <c r="L109" s="513">
        <v>0.93496468379430031</v>
      </c>
      <c r="M109" s="514">
        <v>0.7672327450671097</v>
      </c>
      <c r="N109" s="514">
        <v>0.93496468379430031</v>
      </c>
      <c r="O109" s="514">
        <v>0.81377001275425831</v>
      </c>
      <c r="P109" s="511">
        <v>81.38</v>
      </c>
      <c r="Q109" s="511">
        <v>1249.06</v>
      </c>
      <c r="R109" s="511">
        <v>1.7725116736298845</v>
      </c>
      <c r="S109" s="511">
        <v>2.2893744095559865</v>
      </c>
      <c r="T109" s="511">
        <v>0</v>
      </c>
      <c r="U109" s="511">
        <v>0.14450867052023122</v>
      </c>
      <c r="V109" s="511">
        <v>399.90956008846837</v>
      </c>
      <c r="W109" s="511">
        <v>643.77483067266633</v>
      </c>
      <c r="X109" s="511">
        <v>359.99016957483411</v>
      </c>
      <c r="Y109" s="576">
        <v>453.68116823851534</v>
      </c>
      <c r="Z109" s="511">
        <v>0</v>
      </c>
      <c r="AA109" s="576">
        <v>0</v>
      </c>
      <c r="AB109" s="513">
        <v>0.85900947777906123</v>
      </c>
      <c r="AC109" s="514">
        <v>0.81376417105909538</v>
      </c>
      <c r="AD109" s="514">
        <v>0.85900947777906123</v>
      </c>
      <c r="AE109" s="514">
        <v>0.8585042797093928</v>
      </c>
      <c r="AF109" s="511">
        <v>38.420999999999999</v>
      </c>
      <c r="AG109" s="511">
        <v>877.57100000000003</v>
      </c>
      <c r="AH109" s="511">
        <v>140.94307186294157</v>
      </c>
      <c r="AI109" s="511">
        <v>115.83270612656965</v>
      </c>
      <c r="AJ109" s="511">
        <v>1.3039743890060125</v>
      </c>
      <c r="AK109" s="511">
        <v>1.3254767990282266</v>
      </c>
      <c r="AL109" s="511">
        <v>1037.8844902527169</v>
      </c>
      <c r="AM109" s="576">
        <v>971.06702477634235</v>
      </c>
      <c r="AN109" s="587"/>
      <c r="AO109" s="587"/>
      <c r="AP109" s="513">
        <v>0.69045158353115288</v>
      </c>
      <c r="AQ109" s="514">
        <v>0.78735523751480996</v>
      </c>
      <c r="AR109" s="514">
        <v>0.70400281675594445</v>
      </c>
      <c r="AS109" s="514">
        <v>0.85457713916575806</v>
      </c>
      <c r="AT109" s="511">
        <v>35.619</v>
      </c>
      <c r="AU109" s="511">
        <v>981.17499999999995</v>
      </c>
      <c r="AV109" s="515">
        <v>139.127163236586</v>
      </c>
      <c r="AW109" s="515">
        <v>100.58736816074288</v>
      </c>
      <c r="AX109" s="511">
        <v>1.7069541536820236</v>
      </c>
      <c r="AY109" s="511">
        <v>1.5739292175198107</v>
      </c>
      <c r="AZ109" s="511">
        <v>0</v>
      </c>
      <c r="BA109" s="511">
        <v>0</v>
      </c>
      <c r="BB109" s="511">
        <v>1083.594710688116</v>
      </c>
      <c r="BC109" s="511">
        <v>988.1420337860219</v>
      </c>
      <c r="BD109" s="511">
        <v>542.91810550548814</v>
      </c>
      <c r="BE109" s="576">
        <v>435.80176726883559</v>
      </c>
      <c r="BF109" s="511">
        <v>0</v>
      </c>
      <c r="BG109" s="512">
        <v>26.386628277320554</v>
      </c>
      <c r="BH109" s="513">
        <v>0.72469351499291257</v>
      </c>
      <c r="BI109" s="514">
        <v>0.83337370479214679</v>
      </c>
      <c r="BJ109" s="514">
        <v>0.72469351499291257</v>
      </c>
      <c r="BK109" s="514">
        <v>0.83337370479214679</v>
      </c>
      <c r="BL109" s="511">
        <v>36.493000000000002</v>
      </c>
      <c r="BM109" s="511">
        <v>1090.7860000000001</v>
      </c>
      <c r="BN109" s="511">
        <v>2.3922396075959771</v>
      </c>
      <c r="BO109" s="511">
        <v>2.5809828875691481</v>
      </c>
      <c r="BP109" s="515">
        <v>0</v>
      </c>
      <c r="BQ109" s="515">
        <v>0</v>
      </c>
      <c r="BR109" s="515">
        <v>1086.8734126558995</v>
      </c>
      <c r="BS109" s="515">
        <v>957.74431286540607</v>
      </c>
      <c r="BT109" s="515">
        <v>79.741320253199248</v>
      </c>
      <c r="BU109" s="516">
        <v>10.318064221579668</v>
      </c>
      <c r="BV109" s="513">
        <v>0.9532207353806591</v>
      </c>
      <c r="BW109" s="514">
        <v>0.87953035617674891</v>
      </c>
      <c r="BX109" s="514">
        <v>0.9532207353806591</v>
      </c>
      <c r="BY109" s="514">
        <v>0.89164433031848112</v>
      </c>
      <c r="BZ109" s="511">
        <v>51.47</v>
      </c>
      <c r="CA109" s="511">
        <v>1116.9829999999999</v>
      </c>
      <c r="CB109" s="515">
        <v>79.682452081405955</v>
      </c>
      <c r="CC109" s="515">
        <v>78.650942133123976</v>
      </c>
      <c r="CD109" s="511">
        <v>1.8399067417913348</v>
      </c>
      <c r="CE109" s="511">
        <v>2.0242922228896947</v>
      </c>
      <c r="CF109" s="515">
        <v>0</v>
      </c>
      <c r="CG109" s="515">
        <v>0</v>
      </c>
      <c r="CH109" s="515">
        <v>819.82530701279711</v>
      </c>
      <c r="CI109" s="515">
        <v>895.68658784135073</v>
      </c>
      <c r="CJ109" s="515">
        <v>613.01340586749507</v>
      </c>
      <c r="CK109" s="515">
        <v>324.50108998973155</v>
      </c>
      <c r="CL109" s="515">
        <v>0</v>
      </c>
      <c r="CM109" s="516">
        <v>8.5365668054034849</v>
      </c>
    </row>
    <row r="110" spans="1:91" ht="12.75" hidden="1" customHeight="1">
      <c r="A110" s="558">
        <v>46078</v>
      </c>
      <c r="B110" s="513">
        <v>0</v>
      </c>
      <c r="C110" s="514">
        <v>0.77442094765802405</v>
      </c>
      <c r="D110" s="514" t="e">
        <v>#DIV/0!</v>
      </c>
      <c r="E110" s="514">
        <v>0.86572488412283777</v>
      </c>
      <c r="F110" s="511">
        <v>0</v>
      </c>
      <c r="G110" s="511">
        <v>1363.6519999999998</v>
      </c>
      <c r="H110" s="511">
        <v>0</v>
      </c>
      <c r="I110" s="511">
        <v>2.3210327854907264</v>
      </c>
      <c r="J110" s="511">
        <v>0</v>
      </c>
      <c r="K110" s="512">
        <v>892.61257270916701</v>
      </c>
      <c r="L110" s="513">
        <v>0.9569675443482184</v>
      </c>
      <c r="M110" s="514">
        <v>0.77680513715258503</v>
      </c>
      <c r="N110" s="514">
        <v>0.9569675443482184</v>
      </c>
      <c r="O110" s="514">
        <v>0.82140936578262747</v>
      </c>
      <c r="P110" s="511">
        <v>82.777000000000001</v>
      </c>
      <c r="Q110" s="511">
        <v>1331.837</v>
      </c>
      <c r="R110" s="511">
        <v>1.8093310943861218</v>
      </c>
      <c r="S110" s="511">
        <v>2.2595385171008169</v>
      </c>
      <c r="T110" s="511">
        <v>0</v>
      </c>
      <c r="U110" s="511">
        <v>0.13552709528268098</v>
      </c>
      <c r="V110" s="511">
        <v>377.1227514889278</v>
      </c>
      <c r="W110" s="511">
        <v>627.20173714951568</v>
      </c>
      <c r="X110" s="511">
        <v>318.40970317841908</v>
      </c>
      <c r="Y110" s="576">
        <v>445.27370841927353</v>
      </c>
      <c r="Z110" s="511">
        <v>0</v>
      </c>
      <c r="AA110" s="576">
        <v>0</v>
      </c>
      <c r="AB110" s="513">
        <v>0.89916426773932612</v>
      </c>
      <c r="AC110" s="514">
        <v>0.81691097261700563</v>
      </c>
      <c r="AD110" s="514">
        <v>0.89916426773932612</v>
      </c>
      <c r="AE110" s="514">
        <v>0.86008168470055191</v>
      </c>
      <c r="AF110" s="511">
        <v>37.097000000000001</v>
      </c>
      <c r="AG110" s="511">
        <v>914.66800000000001</v>
      </c>
      <c r="AH110" s="511">
        <v>140.76957182554014</v>
      </c>
      <c r="AI110" s="511">
        <v>116.84409266992166</v>
      </c>
      <c r="AJ110" s="511">
        <v>1.3532091543790603</v>
      </c>
      <c r="AK110" s="511">
        <v>1.326601564720751</v>
      </c>
      <c r="AL110" s="511">
        <v>990.44828422784508</v>
      </c>
      <c r="AM110" s="576">
        <v>971.85308767771471</v>
      </c>
      <c r="AN110" s="587"/>
      <c r="AO110" s="587"/>
      <c r="AP110" s="513">
        <v>0.85810712153065205</v>
      </c>
      <c r="AQ110" s="514">
        <v>0.79039509430520893</v>
      </c>
      <c r="AR110" s="514">
        <v>0.85810712153065205</v>
      </c>
      <c r="AS110" s="514">
        <v>0.85474115207372203</v>
      </c>
      <c r="AT110" s="511">
        <v>48.006999999999998</v>
      </c>
      <c r="AU110" s="511">
        <v>1029.182</v>
      </c>
      <c r="AV110" s="515">
        <v>113.9982290686188</v>
      </c>
      <c r="AW110" s="515">
        <v>101.21292826537393</v>
      </c>
      <c r="AX110" s="511">
        <v>1.445622513383465</v>
      </c>
      <c r="AY110" s="511">
        <v>1.5679442508710804</v>
      </c>
      <c r="AZ110" s="511">
        <v>0</v>
      </c>
      <c r="BA110" s="511">
        <v>0</v>
      </c>
      <c r="BB110" s="511">
        <v>791.19003478659204</v>
      </c>
      <c r="BC110" s="511">
        <v>978.95505362511199</v>
      </c>
      <c r="BD110" s="511">
        <v>535.04280625742115</v>
      </c>
      <c r="BE110" s="576">
        <v>440.43094321509687</v>
      </c>
      <c r="BF110" s="511">
        <v>0</v>
      </c>
      <c r="BG110" s="512">
        <v>25.155803346735556</v>
      </c>
      <c r="BH110" s="513">
        <v>0.99340495507543558</v>
      </c>
      <c r="BI110" s="514">
        <v>0.83908655204809846</v>
      </c>
      <c r="BJ110" s="514">
        <v>0.99340495507543558</v>
      </c>
      <c r="BK110" s="514">
        <v>0.83908655204809846</v>
      </c>
      <c r="BL110" s="511">
        <v>48.134999999999998</v>
      </c>
      <c r="BM110" s="511">
        <v>1138.921</v>
      </c>
      <c r="BN110" s="511">
        <v>2.2478446037187081</v>
      </c>
      <c r="BO110" s="511">
        <v>2.5669032356063335</v>
      </c>
      <c r="BP110" s="515">
        <v>0</v>
      </c>
      <c r="BQ110" s="515">
        <v>0</v>
      </c>
      <c r="BR110" s="515">
        <v>907.44715708778517</v>
      </c>
      <c r="BS110" s="515">
        <v>955.61856964585365</v>
      </c>
      <c r="BT110" s="515">
        <v>63.986704061493718</v>
      </c>
      <c r="BU110" s="516">
        <v>12.58629878630739</v>
      </c>
      <c r="BV110" s="513">
        <v>1.0136765386489306</v>
      </c>
      <c r="BW110" s="514">
        <v>0.88552022979279921</v>
      </c>
      <c r="BX110" s="514">
        <v>1.0136765386489306</v>
      </c>
      <c r="BY110" s="514">
        <v>0.89716494735718322</v>
      </c>
      <c r="BZ110" s="511">
        <v>60.168999999999997</v>
      </c>
      <c r="CA110" s="511">
        <v>1177.152</v>
      </c>
      <c r="CB110" s="515">
        <v>57.573803970329521</v>
      </c>
      <c r="CC110" s="515">
        <v>77.573604349968377</v>
      </c>
      <c r="CD110" s="511">
        <v>1.6254217287972212</v>
      </c>
      <c r="CE110" s="511">
        <v>2.0039043386070787</v>
      </c>
      <c r="CF110" s="515">
        <v>0</v>
      </c>
      <c r="CG110" s="515">
        <v>0</v>
      </c>
      <c r="CH110" s="515">
        <v>612.40856742805886</v>
      </c>
      <c r="CI110" s="515">
        <v>881.20710243059045</v>
      </c>
      <c r="CJ110" s="515">
        <v>444.31850288354508</v>
      </c>
      <c r="CK110" s="515">
        <v>330.62544259365001</v>
      </c>
      <c r="CL110" s="515">
        <v>0</v>
      </c>
      <c r="CM110" s="516">
        <v>8.1002283477409893</v>
      </c>
    </row>
    <row r="111" spans="1:91" ht="12.75" hidden="1" customHeight="1">
      <c r="A111" s="558">
        <v>46079</v>
      </c>
      <c r="B111" s="513">
        <v>0.28223865149827099</v>
      </c>
      <c r="C111" s="514">
        <v>0.75786167243228508</v>
      </c>
      <c r="D111" s="514">
        <v>0.74996123292179462</v>
      </c>
      <c r="E111" s="514">
        <v>0.86405373181571754</v>
      </c>
      <c r="F111" s="511">
        <v>17.303000000000001</v>
      </c>
      <c r="G111" s="511">
        <v>1380.9549999999999</v>
      </c>
      <c r="H111" s="511">
        <v>3.7956423741547707</v>
      </c>
      <c r="I111" s="511">
        <v>2.3395092526548655</v>
      </c>
      <c r="J111" s="511">
        <v>1609.1579494885191</v>
      </c>
      <c r="K111" s="512">
        <v>901.59069629350756</v>
      </c>
      <c r="L111" s="513">
        <v>1.0387400895965289</v>
      </c>
      <c r="M111" s="514">
        <v>0.78799400213116144</v>
      </c>
      <c r="N111" s="514">
        <v>1.0387400895965289</v>
      </c>
      <c r="O111" s="514">
        <v>0.83120195071888314</v>
      </c>
      <c r="P111" s="511">
        <v>79.468999999999994</v>
      </c>
      <c r="Q111" s="511">
        <v>1411.306</v>
      </c>
      <c r="R111" s="511">
        <v>1.6461009953566801</v>
      </c>
      <c r="S111" s="511">
        <v>2.2249965634667466</v>
      </c>
      <c r="T111" s="511">
        <v>0</v>
      </c>
      <c r="U111" s="511">
        <v>0.1278957221183783</v>
      </c>
      <c r="V111" s="511">
        <v>459.19025028630051</v>
      </c>
      <c r="W111" s="511">
        <v>617.74120566340787</v>
      </c>
      <c r="X111" s="511">
        <v>399.76594646969261</v>
      </c>
      <c r="Y111" s="576">
        <v>442.71121925365583</v>
      </c>
      <c r="Z111" s="511">
        <v>0</v>
      </c>
      <c r="AA111" s="576">
        <v>0</v>
      </c>
      <c r="AB111" s="513">
        <v>0.87889070201651198</v>
      </c>
      <c r="AC111" s="514">
        <v>0.81905570946707806</v>
      </c>
      <c r="AD111" s="514">
        <v>0.87889070201651198</v>
      </c>
      <c r="AE111" s="514">
        <v>0.86076569391444191</v>
      </c>
      <c r="AF111" s="511">
        <v>35.273000000000003</v>
      </c>
      <c r="AG111" s="511">
        <v>949.94100000000003</v>
      </c>
      <c r="AH111" s="511">
        <v>142.32078820173763</v>
      </c>
      <c r="AI111" s="511">
        <v>117.79008771750225</v>
      </c>
      <c r="AJ111" s="511">
        <v>1.4373600204122132</v>
      </c>
      <c r="AK111" s="511">
        <v>1.3307142233043945</v>
      </c>
      <c r="AL111" s="511">
        <v>1109.4395146429281</v>
      </c>
      <c r="AM111" s="576">
        <v>976.96191658218765</v>
      </c>
      <c r="AN111" s="587"/>
      <c r="AO111" s="587"/>
      <c r="AP111" s="513">
        <v>0.77652219240395037</v>
      </c>
      <c r="AQ111" s="514">
        <v>0.78988169219780713</v>
      </c>
      <c r="AR111" s="514">
        <v>0.77652219240395037</v>
      </c>
      <c r="AS111" s="514">
        <v>0.85162020591528753</v>
      </c>
      <c r="AT111" s="511">
        <v>38.856999999999999</v>
      </c>
      <c r="AU111" s="511">
        <v>1068.039</v>
      </c>
      <c r="AV111" s="515">
        <v>132.96535478980627</v>
      </c>
      <c r="AW111" s="515">
        <v>102.36813330700618</v>
      </c>
      <c r="AX111" s="511">
        <v>1.7886095169467535</v>
      </c>
      <c r="AY111" s="511">
        <v>1.5759724129924098</v>
      </c>
      <c r="AZ111" s="511">
        <v>0</v>
      </c>
      <c r="BA111" s="511">
        <v>0</v>
      </c>
      <c r="BB111" s="511">
        <v>1140.1616182412456</v>
      </c>
      <c r="BC111" s="511">
        <v>984.82001125427087</v>
      </c>
      <c r="BD111" s="511">
        <v>577.56646164140352</v>
      </c>
      <c r="BE111" s="576">
        <v>445.42015694183436</v>
      </c>
      <c r="BF111" s="511">
        <v>0</v>
      </c>
      <c r="BG111" s="512">
        <v>24.240594210511034</v>
      </c>
      <c r="BH111" s="513">
        <v>0.81189469061322617</v>
      </c>
      <c r="BI111" s="514">
        <v>0.83814930629824214</v>
      </c>
      <c r="BJ111" s="514">
        <v>0.81189469061322617</v>
      </c>
      <c r="BK111" s="514">
        <v>0.83814930629824214</v>
      </c>
      <c r="BL111" s="511">
        <v>39.340000000000003</v>
      </c>
      <c r="BM111" s="511">
        <v>1178.261</v>
      </c>
      <c r="BN111" s="511">
        <v>2.4936451448906962</v>
      </c>
      <c r="BO111" s="511">
        <v>2.5644572806873867</v>
      </c>
      <c r="BP111" s="515">
        <v>0</v>
      </c>
      <c r="BQ111" s="515">
        <v>0</v>
      </c>
      <c r="BR111" s="515">
        <v>1184.3196658742111</v>
      </c>
      <c r="BS111" s="515">
        <v>963.25448488502695</v>
      </c>
      <c r="BT111" s="515">
        <v>75.49567869852568</v>
      </c>
      <c r="BU111" s="516">
        <v>14.686729001469114</v>
      </c>
      <c r="BV111" s="513">
        <v>0.94780568031874879</v>
      </c>
      <c r="BW111" s="514">
        <v>0.8879256487850834</v>
      </c>
      <c r="BX111" s="514">
        <v>0.94780568031874879</v>
      </c>
      <c r="BY111" s="514">
        <v>0.89914536788101285</v>
      </c>
      <c r="BZ111" s="511">
        <v>50.613</v>
      </c>
      <c r="CA111" s="511">
        <v>1227.7650000000001</v>
      </c>
      <c r="CB111" s="515">
        <v>65.818743142919942</v>
      </c>
      <c r="CC111" s="515">
        <v>77.089025631506502</v>
      </c>
      <c r="CD111" s="511">
        <v>1.8967458953233358</v>
      </c>
      <c r="CE111" s="511">
        <v>1.9994868724878132</v>
      </c>
      <c r="CF111" s="515">
        <v>0</v>
      </c>
      <c r="CG111" s="515">
        <v>0</v>
      </c>
      <c r="CH111" s="515">
        <v>829.40438908005206</v>
      </c>
      <c r="CI111" s="515">
        <v>879.07160359261184</v>
      </c>
      <c r="CJ111" s="515">
        <v>500.01975776974348</v>
      </c>
      <c r="CK111" s="515">
        <v>337.60850081245212</v>
      </c>
      <c r="CL111" s="515">
        <v>0</v>
      </c>
      <c r="CM111" s="516">
        <v>7.7663070701640793</v>
      </c>
    </row>
    <row r="112" spans="1:91" ht="12.75" hidden="1" customHeight="1">
      <c r="A112" s="558">
        <v>46080</v>
      </c>
      <c r="B112" s="513">
        <v>0.81684742822662459</v>
      </c>
      <c r="C112" s="514">
        <v>0.75986215612528507</v>
      </c>
      <c r="D112" s="514">
        <v>0.81684742822662459</v>
      </c>
      <c r="E112" s="514">
        <v>0.86223704641920262</v>
      </c>
      <c r="F112" s="511">
        <v>52.252000000000002</v>
      </c>
      <c r="G112" s="511">
        <v>1433.2069999999999</v>
      </c>
      <c r="H112" s="511">
        <v>2.5012248334991964</v>
      </c>
      <c r="I112" s="511">
        <v>2.3454050950072109</v>
      </c>
      <c r="J112" s="511">
        <v>1006.4234861823256</v>
      </c>
      <c r="K112" s="512">
        <v>905.41270032870329</v>
      </c>
      <c r="L112" s="513">
        <v>0.9641166243469681</v>
      </c>
      <c r="M112" s="514">
        <v>0.79528383180246365</v>
      </c>
      <c r="N112" s="514">
        <v>0.9641166243469681</v>
      </c>
      <c r="O112" s="514">
        <v>0.83699189341923286</v>
      </c>
      <c r="P112" s="511">
        <v>74.557000000000002</v>
      </c>
      <c r="Q112" s="511">
        <v>1485.8630000000001</v>
      </c>
      <c r="R112" s="511">
        <v>1.9991550089193504</v>
      </c>
      <c r="S112" s="511">
        <v>2.2136643822478925</v>
      </c>
      <c r="T112" s="511">
        <v>0</v>
      </c>
      <c r="U112" s="511">
        <v>0.12147822511227481</v>
      </c>
      <c r="V112" s="511">
        <v>454.55369717127297</v>
      </c>
      <c r="W112" s="511">
        <v>609.5528524500578</v>
      </c>
      <c r="X112" s="511">
        <v>349.18250466086346</v>
      </c>
      <c r="Y112" s="576">
        <v>438.01817529610736</v>
      </c>
      <c r="Z112" s="511">
        <v>0</v>
      </c>
      <c r="AA112" s="576">
        <v>0</v>
      </c>
      <c r="AB112" s="513">
        <v>0.85321559088798038</v>
      </c>
      <c r="AC112" s="514">
        <v>0.82039877964405583</v>
      </c>
      <c r="AD112" s="514">
        <v>0.85321559088798038</v>
      </c>
      <c r="AE112" s="514">
        <v>0.86045435166506035</v>
      </c>
      <c r="AF112" s="511">
        <v>40.499000000000002</v>
      </c>
      <c r="AG112" s="511">
        <v>990.44</v>
      </c>
      <c r="AH112" s="511">
        <v>109.30493285050845</v>
      </c>
      <c r="AI112" s="511">
        <v>117.44313051973319</v>
      </c>
      <c r="AJ112" s="511">
        <v>1.1679300723474653</v>
      </c>
      <c r="AK112" s="511">
        <v>1.3240579944267192</v>
      </c>
      <c r="AL112" s="511">
        <v>825.64112694142386</v>
      </c>
      <c r="AM112" s="576">
        <v>970.77442348855118</v>
      </c>
      <c r="AN112" s="587"/>
      <c r="AO112" s="587"/>
      <c r="AP112" s="513">
        <v>0.81409549478683052</v>
      </c>
      <c r="AQ112" s="514">
        <v>0.79077169137893577</v>
      </c>
      <c r="AR112" s="514">
        <v>0.81409549478683052</v>
      </c>
      <c r="AS112" s="514">
        <v>0.85013740795430359</v>
      </c>
      <c r="AT112" s="511">
        <v>42.003999999999998</v>
      </c>
      <c r="AU112" s="511">
        <v>1110.0429999999999</v>
      </c>
      <c r="AV112" s="515">
        <v>116.41398513251335</v>
      </c>
      <c r="AW112" s="515">
        <v>102.89962799692235</v>
      </c>
      <c r="AX112" s="511">
        <v>1.5260451385582325</v>
      </c>
      <c r="AY112" s="511">
        <v>1.574083166147618</v>
      </c>
      <c r="AZ112" s="511">
        <v>0</v>
      </c>
      <c r="BA112" s="511">
        <v>0</v>
      </c>
      <c r="BB112" s="511">
        <v>950.32949242929124</v>
      </c>
      <c r="BC112" s="511">
        <v>983.51489086458821</v>
      </c>
      <c r="BD112" s="511">
        <v>566.39367679268696</v>
      </c>
      <c r="BE112" s="576">
        <v>449.99779197742777</v>
      </c>
      <c r="BF112" s="511">
        <v>0</v>
      </c>
      <c r="BG112" s="512">
        <v>23.323330717819033</v>
      </c>
      <c r="BH112" s="513">
        <v>0.95404961453331061</v>
      </c>
      <c r="BI112" s="514">
        <v>0.8424308250287168</v>
      </c>
      <c r="BJ112" s="514">
        <v>0.95404961453331061</v>
      </c>
      <c r="BK112" s="514">
        <v>0.8424308250287168</v>
      </c>
      <c r="BL112" s="511">
        <v>51.445999999999998</v>
      </c>
      <c r="BM112" s="511">
        <v>1229.7069999999999</v>
      </c>
      <c r="BN112" s="511">
        <v>1.918516502740738</v>
      </c>
      <c r="BO112" s="511">
        <v>2.5374337138846905</v>
      </c>
      <c r="BP112" s="515">
        <v>0</v>
      </c>
      <c r="BQ112" s="515">
        <v>0</v>
      </c>
      <c r="BR112" s="515">
        <v>838.98844552804735</v>
      </c>
      <c r="BS112" s="515">
        <v>958.05569309091743</v>
      </c>
      <c r="BT112" s="515">
        <v>66.477471523539251</v>
      </c>
      <c r="BU112" s="516">
        <v>16.853445576873192</v>
      </c>
      <c r="BV112" s="513">
        <v>0.93725698515469491</v>
      </c>
      <c r="BW112" s="514">
        <v>0.88980519044219941</v>
      </c>
      <c r="BX112" s="514">
        <v>0.93725698515469491</v>
      </c>
      <c r="BY112" s="514">
        <v>0.90061507477358005</v>
      </c>
      <c r="BZ112" s="511">
        <v>51.332999999999998</v>
      </c>
      <c r="CA112" s="511">
        <v>1279.0980000000002</v>
      </c>
      <c r="CB112" s="515">
        <v>68.638234527130081</v>
      </c>
      <c r="CC112" s="515">
        <v>76.74987690344895</v>
      </c>
      <c r="CD112" s="511">
        <v>1.9227397580503771</v>
      </c>
      <c r="CE112" s="511">
        <v>1.9964068429471389</v>
      </c>
      <c r="CF112" s="515">
        <v>0</v>
      </c>
      <c r="CG112" s="515">
        <v>0</v>
      </c>
      <c r="CH112" s="515">
        <v>701.30949742591304</v>
      </c>
      <c r="CI112" s="515">
        <v>871.93762152411102</v>
      </c>
      <c r="CJ112" s="515">
        <v>589.85837570373883</v>
      </c>
      <c r="CK112" s="515">
        <v>347.7318399372059</v>
      </c>
      <c r="CL112" s="515">
        <v>0</v>
      </c>
      <c r="CM112" s="516">
        <v>7.4546281832979169</v>
      </c>
    </row>
    <row r="113" spans="1:91" ht="12.75" hidden="1" customHeight="1">
      <c r="A113" s="558">
        <v>46081</v>
      </c>
      <c r="B113" s="513">
        <v>0.88693015264279851</v>
      </c>
      <c r="C113" s="514">
        <v>0.76408871629474606</v>
      </c>
      <c r="D113" s="514">
        <v>0.88693015264279851</v>
      </c>
      <c r="E113" s="514">
        <v>0.86316489387359752</v>
      </c>
      <c r="F113" s="511">
        <v>57.558</v>
      </c>
      <c r="G113" s="511">
        <v>1490.7649999999999</v>
      </c>
      <c r="H113" s="511">
        <v>2.4542374648180965</v>
      </c>
      <c r="I113" s="511">
        <v>2.3496070809282483</v>
      </c>
      <c r="J113" s="511">
        <v>1061.8913096354795</v>
      </c>
      <c r="K113" s="512">
        <v>911.45429360093556</v>
      </c>
      <c r="L113" s="513">
        <v>0.95676124588348033</v>
      </c>
      <c r="M113" s="514">
        <v>0.8016123968395289</v>
      </c>
      <c r="N113" s="514">
        <v>0.95676124588348033</v>
      </c>
      <c r="O113" s="514">
        <v>0.84192188910440213</v>
      </c>
      <c r="P113" s="511">
        <v>72.915000000000006</v>
      </c>
      <c r="Q113" s="511">
        <v>1558.778</v>
      </c>
      <c r="R113" s="511">
        <v>1.9665089487759719</v>
      </c>
      <c r="S113" s="511">
        <v>2.2021031859572049</v>
      </c>
      <c r="T113" s="511">
        <v>0</v>
      </c>
      <c r="U113" s="511">
        <v>0.11579583494249983</v>
      </c>
      <c r="V113" s="511">
        <v>535.96667352397515</v>
      </c>
      <c r="W113" s="511">
        <v>606.11070979959993</v>
      </c>
      <c r="X113" s="511">
        <v>333.51162312281423</v>
      </c>
      <c r="Y113" s="576">
        <v>433.12966952317777</v>
      </c>
      <c r="Z113" s="511">
        <v>0</v>
      </c>
      <c r="AA113" s="576">
        <v>0</v>
      </c>
      <c r="AB113" s="513">
        <v>0.48210094140421805</v>
      </c>
      <c r="AC113" s="514">
        <v>0.80807069348419591</v>
      </c>
      <c r="AD113" s="514">
        <v>0.48210094140421805</v>
      </c>
      <c r="AE113" s="514">
        <v>0.84601908225741262</v>
      </c>
      <c r="AF113" s="511">
        <v>22.012</v>
      </c>
      <c r="AG113" s="511">
        <v>1012.452</v>
      </c>
      <c r="AH113" s="511">
        <v>195.32282282994913</v>
      </c>
      <c r="AI113" s="511">
        <v>119.13633453052331</v>
      </c>
      <c r="AJ113" s="511">
        <v>2.007995638742504</v>
      </c>
      <c r="AK113" s="511">
        <v>1.338927672620529</v>
      </c>
      <c r="AL113" s="511">
        <v>1361.5455206250804</v>
      </c>
      <c r="AM113" s="576">
        <v>979.27028639382411</v>
      </c>
      <c r="AN113" s="587"/>
      <c r="AO113" s="587"/>
      <c r="AP113" s="513">
        <v>0.42820482470957749</v>
      </c>
      <c r="AQ113" s="514">
        <v>0.77808815844086465</v>
      </c>
      <c r="AR113" s="514">
        <v>0.42820482470957749</v>
      </c>
      <c r="AS113" s="514">
        <v>0.83431057084824389</v>
      </c>
      <c r="AT113" s="511">
        <v>21.79</v>
      </c>
      <c r="AU113" s="511">
        <v>1131.8329999999999</v>
      </c>
      <c r="AV113" s="515">
        <v>164.00830787430638</v>
      </c>
      <c r="AW113" s="515">
        <v>104.07608966090298</v>
      </c>
      <c r="AX113" s="511">
        <v>2.3497016980266179</v>
      </c>
      <c r="AY113" s="511">
        <v>1.5890153406023684</v>
      </c>
      <c r="AZ113" s="511">
        <v>0</v>
      </c>
      <c r="BA113" s="511">
        <v>0</v>
      </c>
      <c r="BB113" s="511">
        <v>1406.1652134006438</v>
      </c>
      <c r="BC113" s="511">
        <v>991.65173660778612</v>
      </c>
      <c r="BD113" s="511">
        <v>545.16750803120442</v>
      </c>
      <c r="BE113" s="576">
        <v>451.82999523781325</v>
      </c>
      <c r="BF113" s="511">
        <v>0</v>
      </c>
      <c r="BG113" s="512">
        <v>22.87431096283639</v>
      </c>
      <c r="BH113" s="513">
        <v>0.86490899572152302</v>
      </c>
      <c r="BI113" s="514">
        <v>0.84316927580137424</v>
      </c>
      <c r="BJ113" s="514">
        <v>0.86490899572152302</v>
      </c>
      <c r="BK113" s="514">
        <v>0.84316927580137424</v>
      </c>
      <c r="BL113" s="511">
        <v>42.884999999999998</v>
      </c>
      <c r="BM113" s="511">
        <v>1272.5919999999999</v>
      </c>
      <c r="BN113" s="511">
        <v>2.5976448641716221</v>
      </c>
      <c r="BO113" s="511">
        <v>2.5394627657568183</v>
      </c>
      <c r="BP113" s="515">
        <v>0</v>
      </c>
      <c r="BQ113" s="515">
        <v>0</v>
      </c>
      <c r="BR113" s="515">
        <v>1094.5629115774652</v>
      </c>
      <c r="BS113" s="515">
        <v>962.65584150045936</v>
      </c>
      <c r="BT113" s="515">
        <v>61.326804243908128</v>
      </c>
      <c r="BU113" s="516">
        <v>18.352150571432166</v>
      </c>
      <c r="BV113" s="513">
        <v>0.8829771604210942</v>
      </c>
      <c r="BW113" s="514">
        <v>0.8895657293164585</v>
      </c>
      <c r="BX113" s="514">
        <v>0.8829771604210942</v>
      </c>
      <c r="BY113" s="514">
        <v>0.89998925956863929</v>
      </c>
      <c r="BZ113" s="511">
        <v>46.131999999999998</v>
      </c>
      <c r="CA113" s="511">
        <v>1325.2300000000002</v>
      </c>
      <c r="CB113" s="515">
        <v>90.670532283144539</v>
      </c>
      <c r="CC113" s="515">
        <v>77.234462729287557</v>
      </c>
      <c r="CD113" s="511">
        <v>2.2652388797364087</v>
      </c>
      <c r="CE113" s="511">
        <v>2.0057650370124427</v>
      </c>
      <c r="CF113" s="515">
        <v>0</v>
      </c>
      <c r="CG113" s="515">
        <v>0</v>
      </c>
      <c r="CH113" s="515">
        <v>836.09402447325931</v>
      </c>
      <c r="CI113" s="515">
        <v>870.68988579586016</v>
      </c>
      <c r="CJ113" s="515">
        <v>573.15529350558995</v>
      </c>
      <c r="CK113" s="515">
        <v>355.57895686031867</v>
      </c>
      <c r="CL113" s="515">
        <v>0</v>
      </c>
      <c r="CM113" s="516">
        <v>7.1951283928072849</v>
      </c>
    </row>
    <row r="114" spans="1:91" ht="12.75" hidden="1" customHeight="1">
      <c r="A114" s="558"/>
      <c r="B114" s="513"/>
      <c r="C114" s="514"/>
      <c r="D114" s="514"/>
      <c r="E114" s="514"/>
      <c r="F114" s="511"/>
      <c r="G114" s="511"/>
      <c r="H114" s="511"/>
      <c r="I114" s="511"/>
      <c r="J114" s="511"/>
      <c r="K114" s="512"/>
      <c r="L114" s="513"/>
      <c r="M114" s="514"/>
      <c r="N114" s="514"/>
      <c r="O114" s="514"/>
      <c r="P114" s="511"/>
      <c r="Q114" s="511"/>
      <c r="R114" s="511"/>
      <c r="S114" s="511"/>
      <c r="T114" s="511"/>
      <c r="U114" s="511"/>
      <c r="V114" s="511"/>
      <c r="W114" s="511"/>
      <c r="X114" s="511"/>
      <c r="Y114" s="576"/>
      <c r="Z114" s="511"/>
      <c r="AA114" s="576"/>
      <c r="AB114" s="513"/>
      <c r="AC114" s="514"/>
      <c r="AD114" s="514"/>
      <c r="AE114" s="514"/>
      <c r="AF114" s="511"/>
      <c r="AG114" s="511"/>
      <c r="AH114" s="511"/>
      <c r="AI114" s="511"/>
      <c r="AJ114" s="511"/>
      <c r="AK114" s="511"/>
      <c r="AL114" s="511"/>
      <c r="AM114" s="576"/>
      <c r="AN114" s="587"/>
      <c r="AO114" s="587"/>
      <c r="AP114" s="513"/>
      <c r="AQ114" s="514"/>
      <c r="AR114" s="514"/>
      <c r="AS114" s="514"/>
      <c r="AT114" s="511"/>
      <c r="AU114" s="511"/>
      <c r="AV114" s="515"/>
      <c r="AW114" s="515"/>
      <c r="AX114" s="511"/>
      <c r="AY114" s="511"/>
      <c r="AZ114" s="511"/>
      <c r="BA114" s="511"/>
      <c r="BB114" s="511"/>
      <c r="BC114" s="511"/>
      <c r="BD114" s="511"/>
      <c r="BE114" s="576"/>
      <c r="BF114" s="511"/>
      <c r="BG114" s="512"/>
      <c r="BH114" s="513"/>
      <c r="BI114" s="514"/>
      <c r="BJ114" s="514"/>
      <c r="BK114" s="514"/>
      <c r="BL114" s="511"/>
      <c r="BM114" s="511"/>
      <c r="BN114" s="511"/>
      <c r="BO114" s="511"/>
      <c r="BP114" s="515"/>
      <c r="BQ114" s="515"/>
      <c r="BR114" s="515"/>
      <c r="BS114" s="515"/>
      <c r="BT114" s="515"/>
      <c r="BU114" s="516"/>
      <c r="BV114" s="513"/>
      <c r="BW114" s="514"/>
      <c r="BX114" s="514"/>
      <c r="BY114" s="514"/>
      <c r="BZ114" s="511"/>
      <c r="CA114" s="511"/>
      <c r="CB114" s="515"/>
      <c r="CC114" s="515"/>
      <c r="CD114" s="511"/>
      <c r="CE114" s="511"/>
      <c r="CF114" s="515"/>
      <c r="CG114" s="515"/>
      <c r="CH114" s="515"/>
      <c r="CI114" s="515"/>
      <c r="CJ114" s="515"/>
      <c r="CK114" s="515"/>
      <c r="CL114" s="515"/>
      <c r="CM114" s="516"/>
    </row>
    <row r="115" spans="1:91">
      <c r="A115" s="567" t="s">
        <v>228</v>
      </c>
      <c r="B115" s="704">
        <f>+C113</f>
        <v>0.76408871629474606</v>
      </c>
      <c r="C115" s="705"/>
      <c r="D115" s="706">
        <f>+E113</f>
        <v>0.86316489387359752</v>
      </c>
      <c r="E115" s="705"/>
      <c r="F115" s="707">
        <f>+G113</f>
        <v>1490.7649999999999</v>
      </c>
      <c r="G115" s="708"/>
      <c r="H115" s="709">
        <f>+I113</f>
        <v>2.3496070809282483</v>
      </c>
      <c r="I115" s="710"/>
      <c r="J115" s="707">
        <f>+K113</f>
        <v>911.45429360093556</v>
      </c>
      <c r="K115" s="719"/>
      <c r="L115" s="704">
        <f>+M113</f>
        <v>0.8016123968395289</v>
      </c>
      <c r="M115" s="705"/>
      <c r="N115" s="706">
        <f>+O113</f>
        <v>0.84192188910440213</v>
      </c>
      <c r="O115" s="705"/>
      <c r="P115" s="707">
        <f>+Q113</f>
        <v>1558.778</v>
      </c>
      <c r="Q115" s="708"/>
      <c r="R115" s="709">
        <f>+S113</f>
        <v>2.2021031859572049</v>
      </c>
      <c r="S115" s="710"/>
      <c r="T115" s="709">
        <f>+U113</f>
        <v>0.11579583494249983</v>
      </c>
      <c r="U115" s="710"/>
      <c r="V115" s="707">
        <f>+W113</f>
        <v>606.11070979959993</v>
      </c>
      <c r="W115" s="708"/>
      <c r="X115" s="709">
        <f>+Y113</f>
        <v>433.12966952317777</v>
      </c>
      <c r="Y115" s="710"/>
      <c r="Z115" s="718">
        <v>0</v>
      </c>
      <c r="AA115" s="814"/>
      <c r="AB115" s="729">
        <f>+AC113</f>
        <v>0.80807069348419591</v>
      </c>
      <c r="AC115" s="727"/>
      <c r="AD115" s="727">
        <f>+AE113</f>
        <v>0.84601908225741262</v>
      </c>
      <c r="AE115" s="727"/>
      <c r="AF115" s="816">
        <f>+AG113</f>
        <v>1012.452</v>
      </c>
      <c r="AG115" s="816"/>
      <c r="AH115" s="816">
        <f>+AI113</f>
        <v>119.13633453052331</v>
      </c>
      <c r="AI115" s="816"/>
      <c r="AJ115" s="716">
        <f>+AK113</f>
        <v>1.338927672620529</v>
      </c>
      <c r="AK115" s="716"/>
      <c r="AL115" s="716">
        <f>+AM113</f>
        <v>979.27028639382411</v>
      </c>
      <c r="AM115" s="716"/>
      <c r="AN115" s="816">
        <f>+AO113</f>
        <v>0</v>
      </c>
      <c r="AO115" s="817"/>
      <c r="AP115" s="705">
        <f>+AQ113</f>
        <v>0.77808815844086465</v>
      </c>
      <c r="AQ115" s="727"/>
      <c r="AR115" s="727">
        <f>+AS113</f>
        <v>0.83431057084824389</v>
      </c>
      <c r="AS115" s="727"/>
      <c r="AT115" s="815">
        <f>+AU113</f>
        <v>1131.8329999999999</v>
      </c>
      <c r="AU115" s="815"/>
      <c r="AV115" s="816">
        <f>+AW113</f>
        <v>104.07608966090298</v>
      </c>
      <c r="AW115" s="816"/>
      <c r="AX115" s="716">
        <f>+AY113</f>
        <v>1.5890153406023684</v>
      </c>
      <c r="AY115" s="716"/>
      <c r="AZ115" s="716">
        <f>+BA113</f>
        <v>0</v>
      </c>
      <c r="BA115" s="716"/>
      <c r="BB115" s="816">
        <f>+BC113</f>
        <v>991.65173660778612</v>
      </c>
      <c r="BC115" s="816"/>
      <c r="BD115" s="816">
        <f>+BE113</f>
        <v>451.82999523781325</v>
      </c>
      <c r="BE115" s="707"/>
      <c r="BF115" s="816">
        <v>0</v>
      </c>
      <c r="BG115" s="817"/>
      <c r="BH115" s="704">
        <f>+BI113</f>
        <v>0.84316927580137424</v>
      </c>
      <c r="BI115" s="705"/>
      <c r="BJ115" s="706">
        <f>+BK113</f>
        <v>0.84316927580137424</v>
      </c>
      <c r="BK115" s="705"/>
      <c r="BL115" s="707">
        <f>+BM113</f>
        <v>1272.5919999999999</v>
      </c>
      <c r="BM115" s="708"/>
      <c r="BN115" s="707">
        <f>+BO113</f>
        <v>2.5394627657568183</v>
      </c>
      <c r="BO115" s="708"/>
      <c r="BP115" s="709">
        <f>+BQ113</f>
        <v>0</v>
      </c>
      <c r="BQ115" s="710"/>
      <c r="BR115" s="707">
        <f>+BS113</f>
        <v>962.65584150045936</v>
      </c>
      <c r="BS115" s="708"/>
      <c r="BT115" s="709">
        <f>+BU113</f>
        <v>18.352150571432166</v>
      </c>
      <c r="BU115" s="814"/>
      <c r="BV115" s="704">
        <f>+BW113</f>
        <v>0.8895657293164585</v>
      </c>
      <c r="BW115" s="705"/>
      <c r="BX115" s="706">
        <f>+BY113</f>
        <v>0.89998925956863929</v>
      </c>
      <c r="BY115" s="705"/>
      <c r="BZ115" s="707">
        <f>+CA113</f>
        <v>1325.2300000000002</v>
      </c>
      <c r="CA115" s="708"/>
      <c r="CB115" s="709">
        <f>+CC113</f>
        <v>77.234462729287557</v>
      </c>
      <c r="CC115" s="710"/>
      <c r="CD115" s="709">
        <f>+CE113</f>
        <v>2.0057650370124427</v>
      </c>
      <c r="CE115" s="710"/>
      <c r="CF115" s="709">
        <f>+CG113</f>
        <v>0</v>
      </c>
      <c r="CG115" s="710"/>
      <c r="CH115" s="707">
        <f>+CI113</f>
        <v>870.68988579586016</v>
      </c>
      <c r="CI115" s="708"/>
      <c r="CJ115" s="816">
        <f>+CK113</f>
        <v>355.57895686031867</v>
      </c>
      <c r="CK115" s="816"/>
      <c r="CL115" s="816">
        <f>+CM113</f>
        <v>7.1951283928072849</v>
      </c>
      <c r="CM115" s="817"/>
    </row>
    <row r="116" spans="1:91" ht="12.75" hidden="1" customHeight="1" thickBot="1">
      <c r="B116" s="580"/>
    </row>
    <row r="117" spans="1:91" ht="13.5" hidden="1" customHeight="1" thickBot="1">
      <c r="A117" s="629" t="s">
        <v>29</v>
      </c>
      <c r="B117" s="632" t="s">
        <v>149</v>
      </c>
      <c r="C117" s="633"/>
      <c r="D117" s="633"/>
      <c r="E117" s="633"/>
      <c r="F117" s="633"/>
      <c r="G117" s="633"/>
      <c r="H117" s="633"/>
      <c r="I117" s="633"/>
      <c r="J117" s="633"/>
      <c r="K117" s="634"/>
      <c r="L117" s="635" t="s">
        <v>212</v>
      </c>
      <c r="M117" s="636"/>
      <c r="N117" s="636"/>
      <c r="O117" s="636"/>
      <c r="P117" s="636"/>
      <c r="Q117" s="636"/>
      <c r="R117" s="636"/>
      <c r="S117" s="636"/>
      <c r="T117" s="636"/>
      <c r="U117" s="636"/>
      <c r="V117" s="636"/>
      <c r="W117" s="636"/>
      <c r="X117" s="636"/>
      <c r="Y117" s="636"/>
      <c r="Z117" s="636"/>
      <c r="AA117" s="637"/>
      <c r="AB117" s="638" t="s">
        <v>314</v>
      </c>
      <c r="AC117" s="639"/>
      <c r="AD117" s="639"/>
      <c r="AE117" s="639"/>
      <c r="AF117" s="639"/>
      <c r="AG117" s="639"/>
      <c r="AH117" s="639"/>
      <c r="AI117" s="639"/>
      <c r="AJ117" s="639"/>
      <c r="AK117" s="639"/>
      <c r="AL117" s="639"/>
      <c r="AM117" s="639"/>
      <c r="AN117" s="639"/>
      <c r="AO117" s="640"/>
      <c r="AP117" s="641" t="s">
        <v>315</v>
      </c>
      <c r="AQ117" s="642"/>
      <c r="AR117" s="642"/>
      <c r="AS117" s="642"/>
      <c r="AT117" s="642"/>
      <c r="AU117" s="642"/>
      <c r="AV117" s="642"/>
      <c r="AW117" s="642"/>
      <c r="AX117" s="642"/>
      <c r="AY117" s="642"/>
      <c r="AZ117" s="642"/>
      <c r="BA117" s="642"/>
      <c r="BB117" s="642"/>
      <c r="BC117" s="642"/>
      <c r="BD117" s="642"/>
      <c r="BE117" s="642"/>
      <c r="BF117" s="642"/>
      <c r="BG117" s="643"/>
      <c r="BH117" s="644" t="s">
        <v>213</v>
      </c>
      <c r="BI117" s="645"/>
      <c r="BJ117" s="645"/>
      <c r="BK117" s="645"/>
      <c r="BL117" s="645"/>
      <c r="BM117" s="645"/>
      <c r="BN117" s="645"/>
      <c r="BO117" s="645"/>
      <c r="BP117" s="645"/>
      <c r="BQ117" s="645"/>
      <c r="BR117" s="645"/>
      <c r="BS117" s="645"/>
      <c r="BT117" s="645"/>
      <c r="BU117" s="646"/>
      <c r="BV117" s="810" t="s">
        <v>316</v>
      </c>
      <c r="BW117" s="811"/>
      <c r="BX117" s="811"/>
      <c r="BY117" s="811"/>
      <c r="BZ117" s="811"/>
      <c r="CA117" s="811"/>
      <c r="CB117" s="811"/>
      <c r="CC117" s="811"/>
      <c r="CD117" s="811"/>
      <c r="CE117" s="811"/>
      <c r="CF117" s="811"/>
      <c r="CG117" s="811"/>
      <c r="CH117" s="811"/>
      <c r="CI117" s="811"/>
      <c r="CJ117" s="811"/>
      <c r="CK117" s="811"/>
      <c r="CL117" s="811"/>
      <c r="CM117" s="812"/>
    </row>
    <row r="118" spans="1:91" ht="12.75" hidden="1" customHeight="1">
      <c r="A118" s="630"/>
      <c r="B118" s="653" t="s">
        <v>404</v>
      </c>
      <c r="C118" s="648"/>
      <c r="D118" s="647" t="s">
        <v>405</v>
      </c>
      <c r="E118" s="648"/>
      <c r="F118" s="647" t="s">
        <v>214</v>
      </c>
      <c r="G118" s="648"/>
      <c r="H118" s="647" t="s">
        <v>215</v>
      </c>
      <c r="I118" s="648"/>
      <c r="J118" s="647" t="s">
        <v>216</v>
      </c>
      <c r="K118" s="650"/>
      <c r="L118" s="653" t="s">
        <v>404</v>
      </c>
      <c r="M118" s="648"/>
      <c r="N118" s="647" t="s">
        <v>405</v>
      </c>
      <c r="O118" s="648"/>
      <c r="P118" s="647" t="s">
        <v>214</v>
      </c>
      <c r="Q118" s="648"/>
      <c r="R118" s="647" t="s">
        <v>317</v>
      </c>
      <c r="S118" s="648"/>
      <c r="T118" s="647" t="s">
        <v>318</v>
      </c>
      <c r="U118" s="648"/>
      <c r="V118" s="647" t="s">
        <v>216</v>
      </c>
      <c r="W118" s="648"/>
      <c r="X118" s="647" t="s">
        <v>319</v>
      </c>
      <c r="Y118" s="650"/>
      <c r="Z118" s="649" t="s">
        <v>430</v>
      </c>
      <c r="AA118" s="650"/>
      <c r="AB118" s="653" t="s">
        <v>404</v>
      </c>
      <c r="AC118" s="648"/>
      <c r="AD118" s="647" t="s">
        <v>405</v>
      </c>
      <c r="AE118" s="648"/>
      <c r="AF118" s="647" t="s">
        <v>214</v>
      </c>
      <c r="AG118" s="648"/>
      <c r="AH118" s="647" t="s">
        <v>320</v>
      </c>
      <c r="AI118" s="648"/>
      <c r="AJ118" s="647" t="s">
        <v>217</v>
      </c>
      <c r="AK118" s="648"/>
      <c r="AL118" s="647" t="s">
        <v>218</v>
      </c>
      <c r="AM118" s="650"/>
      <c r="AN118" s="813" t="s">
        <v>428</v>
      </c>
      <c r="AO118" s="654"/>
      <c r="AP118" s="653" t="s">
        <v>404</v>
      </c>
      <c r="AQ118" s="648"/>
      <c r="AR118" s="647" t="s">
        <v>405</v>
      </c>
      <c r="AS118" s="648"/>
      <c r="AT118" s="647" t="s">
        <v>214</v>
      </c>
      <c r="AU118" s="648"/>
      <c r="AV118" s="647" t="s">
        <v>320</v>
      </c>
      <c r="AW118" s="648"/>
      <c r="AX118" s="647" t="s">
        <v>217</v>
      </c>
      <c r="AY118" s="648"/>
      <c r="AZ118" s="647" t="s">
        <v>321</v>
      </c>
      <c r="BA118" s="648"/>
      <c r="BB118" s="647" t="s">
        <v>218</v>
      </c>
      <c r="BC118" s="648"/>
      <c r="BD118" s="647" t="s">
        <v>322</v>
      </c>
      <c r="BE118" s="650"/>
      <c r="BF118" s="666" t="s">
        <v>428</v>
      </c>
      <c r="BG118" s="655"/>
      <c r="BH118" s="653" t="s">
        <v>404</v>
      </c>
      <c r="BI118" s="648"/>
      <c r="BJ118" s="647" t="s">
        <v>405</v>
      </c>
      <c r="BK118" s="648"/>
      <c r="BL118" s="647" t="s">
        <v>214</v>
      </c>
      <c r="BM118" s="648"/>
      <c r="BN118" s="647" t="s">
        <v>217</v>
      </c>
      <c r="BO118" s="648"/>
      <c r="BP118" s="647" t="s">
        <v>318</v>
      </c>
      <c r="BQ118" s="648"/>
      <c r="BR118" s="647" t="s">
        <v>218</v>
      </c>
      <c r="BS118" s="648"/>
      <c r="BT118" s="647" t="s">
        <v>319</v>
      </c>
      <c r="BU118" s="650"/>
      <c r="BV118" s="653" t="s">
        <v>404</v>
      </c>
      <c r="BW118" s="648"/>
      <c r="BX118" s="647" t="s">
        <v>405</v>
      </c>
      <c r="BY118" s="648"/>
      <c r="BZ118" s="647" t="s">
        <v>214</v>
      </c>
      <c r="CA118" s="648"/>
      <c r="CB118" s="647" t="s">
        <v>320</v>
      </c>
      <c r="CC118" s="648"/>
      <c r="CD118" s="647" t="s">
        <v>217</v>
      </c>
      <c r="CE118" s="648"/>
      <c r="CF118" s="647" t="s">
        <v>321</v>
      </c>
      <c r="CG118" s="648"/>
      <c r="CH118" s="647" t="s">
        <v>218</v>
      </c>
      <c r="CI118" s="648"/>
      <c r="CJ118" s="666" t="s">
        <v>322</v>
      </c>
      <c r="CK118" s="666"/>
      <c r="CL118" s="666" t="s">
        <v>431</v>
      </c>
      <c r="CM118" s="655"/>
    </row>
    <row r="119" spans="1:91" ht="13.5" hidden="1" customHeight="1" thickBot="1">
      <c r="A119" s="631"/>
      <c r="B119" s="508" t="s">
        <v>219</v>
      </c>
      <c r="C119" s="509" t="s">
        <v>220</v>
      </c>
      <c r="D119" s="509" t="s">
        <v>219</v>
      </c>
      <c r="E119" s="509" t="s">
        <v>220</v>
      </c>
      <c r="F119" s="509" t="s">
        <v>219</v>
      </c>
      <c r="G119" s="509" t="s">
        <v>220</v>
      </c>
      <c r="H119" s="509" t="s">
        <v>219</v>
      </c>
      <c r="I119" s="509" t="s">
        <v>220</v>
      </c>
      <c r="J119" s="509" t="s">
        <v>219</v>
      </c>
      <c r="K119" s="510" t="s">
        <v>220</v>
      </c>
      <c r="L119" s="508" t="s">
        <v>219</v>
      </c>
      <c r="M119" s="509" t="s">
        <v>220</v>
      </c>
      <c r="N119" s="509" t="s">
        <v>219</v>
      </c>
      <c r="O119" s="509" t="s">
        <v>220</v>
      </c>
      <c r="P119" s="583" t="s">
        <v>219</v>
      </c>
      <c r="Q119" s="583" t="s">
        <v>220</v>
      </c>
      <c r="R119" s="583" t="s">
        <v>219</v>
      </c>
      <c r="S119" s="583" t="s">
        <v>220</v>
      </c>
      <c r="T119" s="583" t="s">
        <v>219</v>
      </c>
      <c r="U119" s="583" t="s">
        <v>220</v>
      </c>
      <c r="V119" s="583" t="s">
        <v>219</v>
      </c>
      <c r="W119" s="583" t="s">
        <v>220</v>
      </c>
      <c r="X119" s="583" t="s">
        <v>219</v>
      </c>
      <c r="Y119" s="584" t="s">
        <v>220</v>
      </c>
      <c r="Z119" s="592" t="s">
        <v>219</v>
      </c>
      <c r="AA119" s="584" t="s">
        <v>220</v>
      </c>
      <c r="AB119" s="581" t="s">
        <v>219</v>
      </c>
      <c r="AC119" s="583" t="s">
        <v>220</v>
      </c>
      <c r="AD119" s="583" t="s">
        <v>219</v>
      </c>
      <c r="AE119" s="583" t="s">
        <v>220</v>
      </c>
      <c r="AF119" s="583" t="s">
        <v>219</v>
      </c>
      <c r="AG119" s="583" t="s">
        <v>220</v>
      </c>
      <c r="AH119" s="583" t="s">
        <v>219</v>
      </c>
      <c r="AI119" s="583" t="s">
        <v>220</v>
      </c>
      <c r="AJ119" s="583" t="s">
        <v>219</v>
      </c>
      <c r="AK119" s="583" t="s">
        <v>220</v>
      </c>
      <c r="AL119" s="583" t="s">
        <v>219</v>
      </c>
      <c r="AM119" s="585" t="s">
        <v>220</v>
      </c>
      <c r="AN119" s="509" t="s">
        <v>219</v>
      </c>
      <c r="AO119" s="586" t="s">
        <v>220</v>
      </c>
      <c r="AP119" s="581" t="s">
        <v>219</v>
      </c>
      <c r="AQ119" s="583" t="s">
        <v>220</v>
      </c>
      <c r="AR119" s="583" t="s">
        <v>219</v>
      </c>
      <c r="AS119" s="583" t="s">
        <v>220</v>
      </c>
      <c r="AT119" s="583" t="s">
        <v>219</v>
      </c>
      <c r="AU119" s="583" t="s">
        <v>220</v>
      </c>
      <c r="AV119" s="583" t="s">
        <v>219</v>
      </c>
      <c r="AW119" s="583" t="s">
        <v>220</v>
      </c>
      <c r="AX119" s="583" t="s">
        <v>219</v>
      </c>
      <c r="AY119" s="583" t="s">
        <v>220</v>
      </c>
      <c r="AZ119" s="583" t="s">
        <v>219</v>
      </c>
      <c r="BA119" s="583" t="s">
        <v>220</v>
      </c>
      <c r="BB119" s="583" t="s">
        <v>219</v>
      </c>
      <c r="BC119" s="583" t="s">
        <v>220</v>
      </c>
      <c r="BD119" s="583" t="s">
        <v>219</v>
      </c>
      <c r="BE119" s="584" t="s">
        <v>220</v>
      </c>
      <c r="BF119" s="583" t="s">
        <v>219</v>
      </c>
      <c r="BG119" s="584" t="s">
        <v>220</v>
      </c>
      <c r="BH119" s="581" t="s">
        <v>219</v>
      </c>
      <c r="BI119" s="583" t="s">
        <v>220</v>
      </c>
      <c r="BJ119" s="583" t="s">
        <v>219</v>
      </c>
      <c r="BK119" s="583" t="s">
        <v>220</v>
      </c>
      <c r="BL119" s="583" t="s">
        <v>219</v>
      </c>
      <c r="BM119" s="583" t="s">
        <v>220</v>
      </c>
      <c r="BN119" s="583" t="s">
        <v>219</v>
      </c>
      <c r="BO119" s="583" t="s">
        <v>220</v>
      </c>
      <c r="BP119" s="583" t="s">
        <v>219</v>
      </c>
      <c r="BQ119" s="583" t="s">
        <v>220</v>
      </c>
      <c r="BR119" s="583" t="s">
        <v>219</v>
      </c>
      <c r="BS119" s="583" t="s">
        <v>220</v>
      </c>
      <c r="BT119" s="583" t="s">
        <v>219</v>
      </c>
      <c r="BU119" s="584" t="s">
        <v>220</v>
      </c>
      <c r="BV119" s="508" t="s">
        <v>219</v>
      </c>
      <c r="BW119" s="509" t="s">
        <v>220</v>
      </c>
      <c r="BX119" s="509" t="s">
        <v>219</v>
      </c>
      <c r="BY119" s="509" t="s">
        <v>220</v>
      </c>
      <c r="BZ119" s="509" t="s">
        <v>219</v>
      </c>
      <c r="CA119" s="509" t="s">
        <v>220</v>
      </c>
      <c r="CB119" s="509" t="s">
        <v>219</v>
      </c>
      <c r="CC119" s="509" t="s">
        <v>220</v>
      </c>
      <c r="CD119" s="509" t="s">
        <v>219</v>
      </c>
      <c r="CE119" s="509" t="s">
        <v>220</v>
      </c>
      <c r="CF119" s="509" t="s">
        <v>219</v>
      </c>
      <c r="CG119" s="509" t="s">
        <v>220</v>
      </c>
      <c r="CH119" s="509" t="s">
        <v>219</v>
      </c>
      <c r="CI119" s="509" t="s">
        <v>220</v>
      </c>
      <c r="CJ119" s="509" t="s">
        <v>219</v>
      </c>
      <c r="CK119" s="509" t="s">
        <v>220</v>
      </c>
      <c r="CL119" s="509" t="s">
        <v>219</v>
      </c>
      <c r="CM119" s="510" t="s">
        <v>220</v>
      </c>
    </row>
    <row r="120" spans="1:91" ht="14.25" hidden="1" customHeight="1" thickTop="1">
      <c r="A120" s="557">
        <v>46023</v>
      </c>
      <c r="B120" s="519">
        <v>0.83969336576326548</v>
      </c>
      <c r="C120" s="520">
        <v>0.83969336576326548</v>
      </c>
      <c r="D120" s="520">
        <v>0.83969336576326548</v>
      </c>
      <c r="E120" s="520">
        <v>0.83969336576326548</v>
      </c>
      <c r="F120" s="521">
        <v>56.256</v>
      </c>
      <c r="G120" s="521">
        <v>56.256</v>
      </c>
      <c r="H120" s="521">
        <v>2.2993991751990897</v>
      </c>
      <c r="I120" s="521">
        <v>2.2993991751990897</v>
      </c>
      <c r="J120" s="521">
        <v>924.19084186569603</v>
      </c>
      <c r="K120" s="547">
        <v>924.19084186569603</v>
      </c>
      <c r="L120" s="519">
        <v>0.96216878636233738</v>
      </c>
      <c r="M120" s="520">
        <v>0.96216878636233738</v>
      </c>
      <c r="N120" s="520">
        <v>0.96216878636233738</v>
      </c>
      <c r="O120" s="520">
        <v>0.96216878636233738</v>
      </c>
      <c r="P120" s="521">
        <v>60.881999999999998</v>
      </c>
      <c r="Q120" s="521">
        <v>60.881999999999998</v>
      </c>
      <c r="R120" s="521">
        <v>1.9097762885581946</v>
      </c>
      <c r="S120" s="521">
        <v>1.9097762885581946</v>
      </c>
      <c r="T120" s="521">
        <v>0.25623336946880854</v>
      </c>
      <c r="U120" s="521">
        <v>0.25623336946880854</v>
      </c>
      <c r="V120" s="521">
        <v>552.27357839757133</v>
      </c>
      <c r="W120" s="521">
        <v>552.27357839757133</v>
      </c>
      <c r="X120" s="521">
        <v>479.27137741861304</v>
      </c>
      <c r="Y120" s="555">
        <v>479.27137741861304</v>
      </c>
      <c r="Z120" s="521">
        <v>0</v>
      </c>
      <c r="AA120" s="555">
        <v>0</v>
      </c>
      <c r="AB120" s="519">
        <v>0.92572139748662596</v>
      </c>
      <c r="AC120" s="520">
        <v>0.92572139748662596</v>
      </c>
      <c r="AD120" s="520">
        <v>0.92572139748662596</v>
      </c>
      <c r="AE120" s="520">
        <v>0.92572139748662596</v>
      </c>
      <c r="AF120" s="521">
        <v>39.265999999999998</v>
      </c>
      <c r="AG120" s="521">
        <v>39.265999999999998</v>
      </c>
      <c r="AH120" s="521">
        <v>137.20192500371562</v>
      </c>
      <c r="AI120" s="521">
        <v>137.20192500371562</v>
      </c>
      <c r="AJ120" s="521">
        <v>1.281006468700657</v>
      </c>
      <c r="AK120" s="521">
        <v>1.281006468700657</v>
      </c>
      <c r="AL120" s="521">
        <v>979.50593388679545</v>
      </c>
      <c r="AM120" s="555">
        <v>979.50593388679545</v>
      </c>
      <c r="AN120" s="587"/>
      <c r="AO120" s="587"/>
      <c r="AP120" s="519">
        <v>0.80407708966905955</v>
      </c>
      <c r="AQ120" s="520">
        <v>0.80407708966905955</v>
      </c>
      <c r="AR120" s="520">
        <v>0.80407708966905955</v>
      </c>
      <c r="AS120" s="520">
        <v>0.80407708966905955</v>
      </c>
      <c r="AT120" s="521">
        <v>44.228000000000002</v>
      </c>
      <c r="AU120" s="521">
        <v>44.228000000000002</v>
      </c>
      <c r="AV120" s="522">
        <v>104.22794113192748</v>
      </c>
      <c r="AW120" s="522">
        <v>104.22794113192747</v>
      </c>
      <c r="AX120" s="521">
        <v>1.4131319526092068</v>
      </c>
      <c r="AY120" s="521">
        <v>1.4131319526092068</v>
      </c>
      <c r="AZ120" s="521">
        <v>0.11078954508456182</v>
      </c>
      <c r="BA120" s="521">
        <v>0.11078954508456182</v>
      </c>
      <c r="BB120" s="521">
        <v>867.57890928823394</v>
      </c>
      <c r="BC120" s="521">
        <v>867.57890928823394</v>
      </c>
      <c r="BD120" s="521">
        <v>572.48801664104087</v>
      </c>
      <c r="BE120" s="555">
        <v>572.48801664104087</v>
      </c>
      <c r="BF120" s="521">
        <v>3.1608935515960108</v>
      </c>
      <c r="BG120" s="547">
        <v>3.1608935515960108</v>
      </c>
      <c r="BH120" s="519">
        <v>1.0139614048564334</v>
      </c>
      <c r="BI120" s="520">
        <v>1.0139614048564334</v>
      </c>
      <c r="BJ120" s="520">
        <v>1.0139614048564334</v>
      </c>
      <c r="BK120" s="520">
        <v>1.0139614048564334</v>
      </c>
      <c r="BL120" s="521">
        <v>56.798000000000002</v>
      </c>
      <c r="BM120" s="521">
        <v>56.798000000000002</v>
      </c>
      <c r="BN120" s="521">
        <v>2.3152223669847527</v>
      </c>
      <c r="BO120" s="521">
        <v>2.3152223669847527</v>
      </c>
      <c r="BP120" s="522">
        <v>0</v>
      </c>
      <c r="BQ120" s="522">
        <v>0</v>
      </c>
      <c r="BR120" s="522">
        <v>831.62249532967417</v>
      </c>
      <c r="BS120" s="522">
        <v>831.62249532967417</v>
      </c>
      <c r="BT120" s="522">
        <v>0</v>
      </c>
      <c r="BU120" s="523">
        <v>0</v>
      </c>
      <c r="BV120" s="588">
        <v>0.893099097926073</v>
      </c>
      <c r="BW120" s="589">
        <v>0.893099097926073</v>
      </c>
      <c r="BX120" s="589">
        <v>0.893099097926073</v>
      </c>
      <c r="BY120" s="589">
        <v>0.893099097926073</v>
      </c>
      <c r="BZ120" s="587">
        <v>40.948999999999998</v>
      </c>
      <c r="CA120" s="587">
        <v>40.948999999999998</v>
      </c>
      <c r="CB120" s="590">
        <v>103.73478796603624</v>
      </c>
      <c r="CC120" s="590">
        <v>103.73478796603624</v>
      </c>
      <c r="CD120" s="587">
        <v>2.3688002149014631</v>
      </c>
      <c r="CE120" s="587">
        <v>2.3688002149014631</v>
      </c>
      <c r="CF120" s="590">
        <v>0</v>
      </c>
      <c r="CG120" s="590">
        <v>0</v>
      </c>
      <c r="CH120" s="590">
        <v>1101.1098075719717</v>
      </c>
      <c r="CI120" s="590">
        <v>1101.1098075719717</v>
      </c>
      <c r="CJ120" s="590">
        <v>0</v>
      </c>
      <c r="CK120" s="590">
        <v>0</v>
      </c>
      <c r="CL120" s="590"/>
      <c r="CM120" s="591"/>
    </row>
    <row r="121" spans="1:91" ht="14.25" hidden="1" customHeight="1">
      <c r="A121" s="558">
        <v>46024</v>
      </c>
      <c r="B121" s="513">
        <v>0.25486980838383616</v>
      </c>
      <c r="C121" s="514">
        <v>0.54470348792118195</v>
      </c>
      <c r="D121" s="514">
        <v>0.25486980838383616</v>
      </c>
      <c r="E121" s="514">
        <v>0.54470348792118195</v>
      </c>
      <c r="F121" s="511">
        <v>17.379000000000001</v>
      </c>
      <c r="G121" s="511">
        <v>73.635000000000005</v>
      </c>
      <c r="H121" s="511">
        <v>4.3790781978249615</v>
      </c>
      <c r="I121" s="511">
        <v>2.7902356216473141</v>
      </c>
      <c r="J121" s="511">
        <v>1882.7780654814799</v>
      </c>
      <c r="K121" s="512">
        <v>1150.4322672641981</v>
      </c>
      <c r="L121" s="513">
        <v>0.83344682181130691</v>
      </c>
      <c r="M121" s="514">
        <v>0.89683363915360426</v>
      </c>
      <c r="N121" s="514">
        <v>0.90278609635979645</v>
      </c>
      <c r="O121" s="514">
        <v>0.93321425185193996</v>
      </c>
      <c r="P121" s="511">
        <v>54.357999999999997</v>
      </c>
      <c r="Q121" s="511">
        <v>115.24</v>
      </c>
      <c r="R121" s="511">
        <v>1.636576032966629</v>
      </c>
      <c r="S121" s="511">
        <v>1.780909406456092</v>
      </c>
      <c r="T121" s="511">
        <v>0.27042937562088376</v>
      </c>
      <c r="U121" s="511">
        <v>0.26292953835473792</v>
      </c>
      <c r="V121" s="511">
        <v>533.15243386435213</v>
      </c>
      <c r="W121" s="511">
        <v>543.25425199582958</v>
      </c>
      <c r="X121" s="511">
        <v>463.66680157474519</v>
      </c>
      <c r="Y121" s="576">
        <v>471.91079486289482</v>
      </c>
      <c r="Z121" s="511">
        <v>0</v>
      </c>
      <c r="AA121" s="576">
        <v>0</v>
      </c>
      <c r="AB121" s="513">
        <v>0.86629391191108562</v>
      </c>
      <c r="AC121" s="514">
        <v>0.89621951655314736</v>
      </c>
      <c r="AD121" s="514">
        <v>0.86629391191108562</v>
      </c>
      <c r="AE121" s="514">
        <v>0.89621951655314736</v>
      </c>
      <c r="AF121" s="511">
        <v>36.225000000000001</v>
      </c>
      <c r="AG121" s="511">
        <v>75.491</v>
      </c>
      <c r="AH121" s="511">
        <v>151.06465634442364</v>
      </c>
      <c r="AI121" s="511">
        <v>143.85407483372379</v>
      </c>
      <c r="AJ121" s="511">
        <v>1.3112491373360937</v>
      </c>
      <c r="AK121" s="511">
        <v>1.2955186710998661</v>
      </c>
      <c r="AL121" s="511">
        <v>1107.2684610076215</v>
      </c>
      <c r="AM121" s="576">
        <v>1040.8138718522737</v>
      </c>
      <c r="AN121" s="587"/>
      <c r="AO121" s="587"/>
      <c r="AP121" s="513">
        <v>0.8428772457953152</v>
      </c>
      <c r="AQ121" s="514">
        <v>0.82348382082965399</v>
      </c>
      <c r="AR121" s="514">
        <v>0.8428772457953152</v>
      </c>
      <c r="AS121" s="514">
        <v>0.82348382082965399</v>
      </c>
      <c r="AT121" s="511">
        <v>46.393999999999998</v>
      </c>
      <c r="AU121" s="511">
        <v>90.622</v>
      </c>
      <c r="AV121" s="515">
        <v>112.42126627667913</v>
      </c>
      <c r="AW121" s="515">
        <v>108.42252000643487</v>
      </c>
      <c r="AX121" s="511">
        <v>1.4096650428934778</v>
      </c>
      <c r="AY121" s="511">
        <v>1.4113570656132066</v>
      </c>
      <c r="AZ121" s="511">
        <v>8.8373496572832694E-2</v>
      </c>
      <c r="BA121" s="511">
        <v>9.931363245128115E-2</v>
      </c>
      <c r="BB121" s="511">
        <v>940.00948398499952</v>
      </c>
      <c r="BC121" s="511">
        <v>904.65979563461497</v>
      </c>
      <c r="BD121" s="511">
        <v>577.22981420011115</v>
      </c>
      <c r="BE121" s="576">
        <v>574.91558341241546</v>
      </c>
      <c r="BF121" s="511">
        <v>24.143208173470835</v>
      </c>
      <c r="BG121" s="512">
        <v>13.902805058374282</v>
      </c>
      <c r="BH121" s="513">
        <v>0.75939699464030008</v>
      </c>
      <c r="BI121" s="514">
        <v>0.88472486810003148</v>
      </c>
      <c r="BJ121" s="514">
        <v>0.75939699464030008</v>
      </c>
      <c r="BK121" s="514">
        <v>0.88472486810003148</v>
      </c>
      <c r="BL121" s="511">
        <v>43.865000000000002</v>
      </c>
      <c r="BM121" s="511">
        <v>100.66300000000001</v>
      </c>
      <c r="BN121" s="511">
        <v>2.4666590675937536</v>
      </c>
      <c r="BO121" s="511">
        <v>2.3812125607224099</v>
      </c>
      <c r="BP121" s="515">
        <v>0</v>
      </c>
      <c r="BQ121" s="515">
        <v>0</v>
      </c>
      <c r="BR121" s="515">
        <v>876.14042546547671</v>
      </c>
      <c r="BS121" s="515">
        <v>851.02166886321652</v>
      </c>
      <c r="BT121" s="515">
        <v>0</v>
      </c>
      <c r="BU121" s="516">
        <v>0</v>
      </c>
      <c r="BV121" s="513">
        <v>0.40239946001262877</v>
      </c>
      <c r="BW121" s="514">
        <v>0.64754465026296493</v>
      </c>
      <c r="BX121" s="514">
        <v>0.45879273350608502</v>
      </c>
      <c r="BY121" s="514">
        <v>0.68998536828730939</v>
      </c>
      <c r="BZ121" s="511">
        <v>18.481000000000002</v>
      </c>
      <c r="CA121" s="511">
        <v>59.43</v>
      </c>
      <c r="CB121" s="515">
        <v>170.28356670542721</v>
      </c>
      <c r="CC121" s="515">
        <v>124.42952092721215</v>
      </c>
      <c r="CD121" s="511">
        <v>3.5495914723229256</v>
      </c>
      <c r="CE121" s="511">
        <v>2.735991923271075</v>
      </c>
      <c r="CF121" s="515">
        <v>0</v>
      </c>
      <c r="CG121" s="515">
        <v>0</v>
      </c>
      <c r="CH121" s="515">
        <v>1819.1926972002304</v>
      </c>
      <c r="CI121" s="515">
        <v>1324.4126829416475</v>
      </c>
      <c r="CJ121" s="515">
        <v>0</v>
      </c>
      <c r="CK121" s="515">
        <v>0</v>
      </c>
      <c r="CL121" s="515"/>
      <c r="CM121" s="516"/>
    </row>
    <row r="122" spans="1:91" ht="12.75" hidden="1" customHeight="1">
      <c r="A122" s="558">
        <v>46025</v>
      </c>
      <c r="B122" s="513">
        <v>0.84263383081147414</v>
      </c>
      <c r="C122" s="514">
        <v>0.63680368928654552</v>
      </c>
      <c r="D122" s="514">
        <v>0.84263383081147414</v>
      </c>
      <c r="E122" s="514">
        <v>0.63680368928654552</v>
      </c>
      <c r="F122" s="511">
        <v>50.97</v>
      </c>
      <c r="G122" s="511">
        <v>124.605</v>
      </c>
      <c r="H122" s="511">
        <v>2.5899352560329607</v>
      </c>
      <c r="I122" s="511">
        <v>2.7083022350627983</v>
      </c>
      <c r="J122" s="511">
        <v>965.99097508334808</v>
      </c>
      <c r="K122" s="512">
        <v>1074.9860760001404</v>
      </c>
      <c r="L122" s="513">
        <v>0.9574573203300023</v>
      </c>
      <c r="M122" s="514">
        <v>0.9173736434199089</v>
      </c>
      <c r="N122" s="514">
        <v>0.9574573203300023</v>
      </c>
      <c r="O122" s="514">
        <v>0.94164540438484445</v>
      </c>
      <c r="P122" s="511">
        <v>63.043999999999997</v>
      </c>
      <c r="Q122" s="511">
        <v>178.28399999999999</v>
      </c>
      <c r="R122" s="511">
        <v>1.3877926527504598</v>
      </c>
      <c r="S122" s="511">
        <v>1.6418971977294656</v>
      </c>
      <c r="T122" s="511">
        <v>0.2664805532643868</v>
      </c>
      <c r="U122" s="511">
        <v>0.26418523255031295</v>
      </c>
      <c r="V122" s="511">
        <v>446.90279804581763</v>
      </c>
      <c r="W122" s="511">
        <v>509.18287675842987</v>
      </c>
      <c r="X122" s="511">
        <v>452.47763466785102</v>
      </c>
      <c r="Y122" s="576">
        <v>465.03892665634606</v>
      </c>
      <c r="Z122" s="511">
        <v>0</v>
      </c>
      <c r="AA122" s="576">
        <v>0</v>
      </c>
      <c r="AB122" s="513">
        <v>0.89852330025876048</v>
      </c>
      <c r="AC122" s="514">
        <v>0.8969908659211091</v>
      </c>
      <c r="AD122" s="514">
        <v>0.89852330025876048</v>
      </c>
      <c r="AE122" s="514">
        <v>0.8969908659211091</v>
      </c>
      <c r="AF122" s="511">
        <v>38.095999999999997</v>
      </c>
      <c r="AG122" s="511">
        <v>113.58699999999999</v>
      </c>
      <c r="AH122" s="511">
        <v>135.54879778493685</v>
      </c>
      <c r="AI122" s="511">
        <v>141.06856386459367</v>
      </c>
      <c r="AJ122" s="511">
        <v>1.2389752204955902</v>
      </c>
      <c r="AK122" s="511">
        <v>1.2765545352901302</v>
      </c>
      <c r="AL122" s="511">
        <v>994.76480470386764</v>
      </c>
      <c r="AM122" s="576">
        <v>1025.3694524901491</v>
      </c>
      <c r="AN122" s="587"/>
      <c r="AO122" s="587"/>
      <c r="AP122" s="513">
        <v>0.78157906440734748</v>
      </c>
      <c r="AQ122" s="514">
        <v>0.80951237552232824</v>
      </c>
      <c r="AR122" s="514">
        <v>0.78157906440734748</v>
      </c>
      <c r="AS122" s="514">
        <v>0.80951237552232824</v>
      </c>
      <c r="AT122" s="511">
        <v>43.02</v>
      </c>
      <c r="AU122" s="511">
        <v>133.642</v>
      </c>
      <c r="AV122" s="515">
        <v>111.80562536959437</v>
      </c>
      <c r="AW122" s="515">
        <v>109.51155782929835</v>
      </c>
      <c r="AX122" s="511">
        <v>1.4458391445839145</v>
      </c>
      <c r="AY122" s="511">
        <v>1.4224570120171804</v>
      </c>
      <c r="AZ122" s="511">
        <v>0</v>
      </c>
      <c r="BA122" s="511">
        <v>6.7344098412175812E-2</v>
      </c>
      <c r="BB122" s="511">
        <v>915.77312877731072</v>
      </c>
      <c r="BC122" s="511">
        <v>908.23723081067317</v>
      </c>
      <c r="BD122" s="511">
        <v>594.37470943747189</v>
      </c>
      <c r="BE122" s="576">
        <v>581.17956929707691</v>
      </c>
      <c r="BF122" s="511">
        <v>27.896327289632865</v>
      </c>
      <c r="BG122" s="512">
        <v>18.407386899328053</v>
      </c>
      <c r="BH122" s="513">
        <v>0.93695611509621168</v>
      </c>
      <c r="BI122" s="514">
        <v>0.90256458319445787</v>
      </c>
      <c r="BJ122" s="514">
        <v>0.93695611509621168</v>
      </c>
      <c r="BK122" s="514">
        <v>0.90256458319445787</v>
      </c>
      <c r="BL122" s="511">
        <v>55.298999999999999</v>
      </c>
      <c r="BM122" s="511">
        <v>155.96200000000002</v>
      </c>
      <c r="BN122" s="511">
        <v>2.3653230618998538</v>
      </c>
      <c r="BO122" s="511">
        <v>2.3755786665982739</v>
      </c>
      <c r="BP122" s="515">
        <v>0</v>
      </c>
      <c r="BQ122" s="515">
        <v>0</v>
      </c>
      <c r="BR122" s="515">
        <v>760.94855047597866</v>
      </c>
      <c r="BS122" s="515">
        <v>819.08470105249421</v>
      </c>
      <c r="BT122" s="515">
        <v>0</v>
      </c>
      <c r="BU122" s="516">
        <v>0</v>
      </c>
      <c r="BV122" s="513">
        <v>0.9521060916958517</v>
      </c>
      <c r="BW122" s="514">
        <v>0.75104253241833974</v>
      </c>
      <c r="BX122" s="514">
        <v>0.9521060916958517</v>
      </c>
      <c r="BY122" s="514">
        <v>0.7828309779824747</v>
      </c>
      <c r="BZ122" s="511">
        <v>44.98</v>
      </c>
      <c r="CA122" s="511">
        <v>104.41</v>
      </c>
      <c r="CB122" s="515">
        <v>95.3813916448443</v>
      </c>
      <c r="CC122" s="515">
        <v>111.91553897988042</v>
      </c>
      <c r="CD122" s="511">
        <v>2.1164962205424636</v>
      </c>
      <c r="CE122" s="511">
        <v>2.4691121540082368</v>
      </c>
      <c r="CF122" s="515">
        <v>0</v>
      </c>
      <c r="CG122" s="515">
        <v>0</v>
      </c>
      <c r="CH122" s="515">
        <v>981.99168757734139</v>
      </c>
      <c r="CI122" s="515">
        <v>1176.8971540508662</v>
      </c>
      <c r="CJ122" s="515">
        <v>0</v>
      </c>
      <c r="CK122" s="515">
        <v>0</v>
      </c>
      <c r="CL122" s="515"/>
      <c r="CM122" s="516"/>
    </row>
    <row r="123" spans="1:91" ht="12.75" hidden="1" customHeight="1">
      <c r="A123" s="558">
        <v>46026</v>
      </c>
      <c r="B123" s="513">
        <v>0.83497904599266193</v>
      </c>
      <c r="C123" s="514">
        <v>0.68666015792175317</v>
      </c>
      <c r="D123" s="514">
        <v>0.83497904599266193</v>
      </c>
      <c r="E123" s="514">
        <v>0.68666015792175317</v>
      </c>
      <c r="F123" s="511">
        <v>54.92</v>
      </c>
      <c r="G123" s="511">
        <v>179.52500000000001</v>
      </c>
      <c r="H123" s="511">
        <v>2.3164603058994899</v>
      </c>
      <c r="I123" s="511">
        <v>2.5884305806990668</v>
      </c>
      <c r="J123" s="511">
        <v>931.84632192283311</v>
      </c>
      <c r="K123" s="512">
        <v>1031.196992062384</v>
      </c>
      <c r="L123" s="513">
        <v>0.92521145109736713</v>
      </c>
      <c r="M123" s="514">
        <v>0.91933736504320374</v>
      </c>
      <c r="N123" s="514">
        <v>0.92521145109736713</v>
      </c>
      <c r="O123" s="514">
        <v>0.93744685647533743</v>
      </c>
      <c r="P123" s="511">
        <v>60.11</v>
      </c>
      <c r="Q123" s="511">
        <v>238.39400000000001</v>
      </c>
      <c r="R123" s="511">
        <v>1.4041424055897522</v>
      </c>
      <c r="S123" s="511">
        <v>1.5819483711838387</v>
      </c>
      <c r="T123" s="511">
        <v>0.26784228913658298</v>
      </c>
      <c r="U123" s="511">
        <v>0.26510734330562008</v>
      </c>
      <c r="V123" s="511">
        <v>482.65180502412818</v>
      </c>
      <c r="W123" s="511">
        <v>502.49318355327841</v>
      </c>
      <c r="X123" s="511">
        <v>473.23240725336882</v>
      </c>
      <c r="Y123" s="576">
        <v>467.1048768005906</v>
      </c>
      <c r="Z123" s="511">
        <v>0</v>
      </c>
      <c r="AA123" s="576">
        <v>0</v>
      </c>
      <c r="AB123" s="513">
        <v>0.89508814191455766</v>
      </c>
      <c r="AC123" s="514">
        <v>0.89651356281276418</v>
      </c>
      <c r="AD123" s="514">
        <v>0.89508814191455766</v>
      </c>
      <c r="AE123" s="514">
        <v>0.89651356281276418</v>
      </c>
      <c r="AF123" s="511">
        <v>37.954000000000001</v>
      </c>
      <c r="AG123" s="511">
        <v>151.541</v>
      </c>
      <c r="AH123" s="511">
        <v>136.30978979240913</v>
      </c>
      <c r="AI123" s="511">
        <v>139.87671142112495</v>
      </c>
      <c r="AJ123" s="511">
        <v>1.269958370659219</v>
      </c>
      <c r="AK123" s="511">
        <v>1.2749025016332214</v>
      </c>
      <c r="AL123" s="511">
        <v>1055.1457026927717</v>
      </c>
      <c r="AM123" s="576">
        <v>1032.8270237097552</v>
      </c>
      <c r="AN123" s="587"/>
      <c r="AO123" s="587"/>
      <c r="AP123" s="513">
        <v>0.87693646703316508</v>
      </c>
      <c r="AQ123" s="514">
        <v>0.8262782069023118</v>
      </c>
      <c r="AR123" s="514">
        <v>0.87693646703316508</v>
      </c>
      <c r="AS123" s="514">
        <v>0.8262782069023118</v>
      </c>
      <c r="AT123" s="511">
        <v>47.914000000000001</v>
      </c>
      <c r="AU123" s="511">
        <v>181.55599999999998</v>
      </c>
      <c r="AV123" s="515">
        <v>103.40131377551815</v>
      </c>
      <c r="AW123" s="515">
        <v>107.89901826248247</v>
      </c>
      <c r="AX123" s="511">
        <v>1.387903326793839</v>
      </c>
      <c r="AY123" s="511">
        <v>1.4133380334442269</v>
      </c>
      <c r="AZ123" s="511">
        <v>0</v>
      </c>
      <c r="BA123" s="511">
        <v>4.9571482077155261E-2</v>
      </c>
      <c r="BB123" s="511">
        <v>881.09946988354238</v>
      </c>
      <c r="BC123" s="511">
        <v>901.07537068452746</v>
      </c>
      <c r="BD123" s="511">
        <v>528.86421505196904</v>
      </c>
      <c r="BE123" s="576">
        <v>567.3731520853072</v>
      </c>
      <c r="BF123" s="511">
        <v>26.29294152022349</v>
      </c>
      <c r="BG123" s="512">
        <v>20.488444336733512</v>
      </c>
      <c r="BH123" s="513">
        <v>0.98003431811664887</v>
      </c>
      <c r="BI123" s="514">
        <v>0.92254672732283638</v>
      </c>
      <c r="BJ123" s="514">
        <v>0.98003431811664887</v>
      </c>
      <c r="BK123" s="514">
        <v>0.92254672732283638</v>
      </c>
      <c r="BL123" s="511">
        <v>58.863999999999997</v>
      </c>
      <c r="BM123" s="511">
        <v>214.82600000000002</v>
      </c>
      <c r="BN123" s="511">
        <v>2.2679396575156292</v>
      </c>
      <c r="BO123" s="511">
        <v>2.3460847383463825</v>
      </c>
      <c r="BP123" s="515">
        <v>0</v>
      </c>
      <c r="BQ123" s="515">
        <v>0</v>
      </c>
      <c r="BR123" s="515">
        <v>743.04920639341083</v>
      </c>
      <c r="BS123" s="515">
        <v>798.25038231261965</v>
      </c>
      <c r="BT123" s="515">
        <v>0</v>
      </c>
      <c r="BU123" s="516">
        <v>0</v>
      </c>
      <c r="BV123" s="513">
        <v>0.79138435800801521</v>
      </c>
      <c r="BW123" s="514">
        <v>0.7614205419073693</v>
      </c>
      <c r="BX123" s="514">
        <v>0.79138435800801521</v>
      </c>
      <c r="BY123" s="514">
        <v>0.785099779742504</v>
      </c>
      <c r="BZ123" s="511">
        <v>38.104999999999997</v>
      </c>
      <c r="CA123" s="511">
        <v>142.51499999999999</v>
      </c>
      <c r="CB123" s="515">
        <v>118.229305602381</v>
      </c>
      <c r="CC123" s="515">
        <v>113.6036846287622</v>
      </c>
      <c r="CD123" s="511">
        <v>2.5718409657525263</v>
      </c>
      <c r="CE123" s="511">
        <v>2.4965793074413223</v>
      </c>
      <c r="CF123" s="515">
        <v>0</v>
      </c>
      <c r="CG123" s="515">
        <v>0</v>
      </c>
      <c r="CH123" s="515">
        <v>1157.3848973850736</v>
      </c>
      <c r="CI123" s="515">
        <v>1171.6800573224516</v>
      </c>
      <c r="CJ123" s="515">
        <v>0</v>
      </c>
      <c r="CK123" s="515">
        <v>0</v>
      </c>
      <c r="CL123" s="515"/>
      <c r="CM123" s="516"/>
    </row>
    <row r="124" spans="1:91" ht="12.75" hidden="1" customHeight="1">
      <c r="A124" s="558">
        <v>46027</v>
      </c>
      <c r="B124" s="513">
        <v>0.83046203123333773</v>
      </c>
      <c r="C124" s="514">
        <v>0.71332495035409915</v>
      </c>
      <c r="D124" s="514">
        <v>0.83046203123333773</v>
      </c>
      <c r="E124" s="514">
        <v>0.71332495035409915</v>
      </c>
      <c r="F124" s="511">
        <v>49.424999999999997</v>
      </c>
      <c r="G124" s="511">
        <v>228.95</v>
      </c>
      <c r="H124" s="511">
        <v>2.4468791097622664</v>
      </c>
      <c r="I124" s="511">
        <v>2.5578728980126666</v>
      </c>
      <c r="J124" s="511">
        <v>1041.7355589276349</v>
      </c>
      <c r="K124" s="512">
        <v>1033.4720244594796</v>
      </c>
      <c r="L124" s="513">
        <v>0.66619491268281161</v>
      </c>
      <c r="M124" s="514">
        <v>0.86876503270065619</v>
      </c>
      <c r="N124" s="514">
        <v>0.66619491268281161</v>
      </c>
      <c r="O124" s="514">
        <v>0.88240578574607942</v>
      </c>
      <c r="P124" s="511">
        <v>43.128</v>
      </c>
      <c r="Q124" s="511">
        <v>281.52199999999999</v>
      </c>
      <c r="R124" s="511">
        <v>2.0358467816731589</v>
      </c>
      <c r="S124" s="511">
        <v>1.6514837206328461</v>
      </c>
      <c r="T124" s="511">
        <v>0.39649415692821371</v>
      </c>
      <c r="U124" s="511">
        <v>0.28523525692485846</v>
      </c>
      <c r="V124" s="511">
        <v>703.6094880355945</v>
      </c>
      <c r="W124" s="511">
        <v>533.30336527873271</v>
      </c>
      <c r="X124" s="511">
        <v>661.93656093489153</v>
      </c>
      <c r="Y124" s="576">
        <v>496.95228081641932</v>
      </c>
      <c r="Z124" s="511">
        <v>0</v>
      </c>
      <c r="AA124" s="576">
        <v>0</v>
      </c>
      <c r="AB124" s="513">
        <v>0.88921545164713922</v>
      </c>
      <c r="AC124" s="514">
        <v>0.89495129855725253</v>
      </c>
      <c r="AD124" s="514">
        <v>0.88921545164713922</v>
      </c>
      <c r="AE124" s="514">
        <v>0.89495129855725253</v>
      </c>
      <c r="AF124" s="511">
        <v>40.939</v>
      </c>
      <c r="AG124" s="511">
        <v>192.48</v>
      </c>
      <c r="AH124" s="511">
        <v>130.81833457312266</v>
      </c>
      <c r="AI124" s="511">
        <v>137.95006506939819</v>
      </c>
      <c r="AJ124" s="511">
        <v>1.2946090524927332</v>
      </c>
      <c r="AK124" s="511">
        <v>1.279093931837074</v>
      </c>
      <c r="AL124" s="511">
        <v>910.81316104445409</v>
      </c>
      <c r="AM124" s="576">
        <v>1006.8756234413909</v>
      </c>
      <c r="AN124" s="587"/>
      <c r="AO124" s="587"/>
      <c r="AP124" s="513">
        <v>0.9169862600616735</v>
      </c>
      <c r="AQ124" s="514">
        <v>0.84387501858670522</v>
      </c>
      <c r="AR124" s="514">
        <v>0.9169862600616735</v>
      </c>
      <c r="AS124" s="514">
        <v>0.84387501858670522</v>
      </c>
      <c r="AT124" s="511">
        <v>48.494999999999997</v>
      </c>
      <c r="AU124" s="511">
        <v>230.05099999999999</v>
      </c>
      <c r="AV124" s="515">
        <v>108.2319504848991</v>
      </c>
      <c r="AW124" s="515">
        <v>107.96920073561274</v>
      </c>
      <c r="AX124" s="511">
        <v>1.40633054954119</v>
      </c>
      <c r="AY124" s="511">
        <v>1.4118608482466932</v>
      </c>
      <c r="AZ124" s="511">
        <v>0</v>
      </c>
      <c r="BA124" s="511">
        <v>3.912175995757463E-2</v>
      </c>
      <c r="BB124" s="511">
        <v>861.48633879781528</v>
      </c>
      <c r="BC124" s="511">
        <v>892.72995987846218</v>
      </c>
      <c r="BD124" s="511">
        <v>580.05979997937845</v>
      </c>
      <c r="BE124" s="576">
        <v>570.04751120403705</v>
      </c>
      <c r="BF124" s="511">
        <v>24.953087947211174</v>
      </c>
      <c r="BG124" s="512">
        <v>21.429596046094105</v>
      </c>
      <c r="BH124" s="513">
        <v>0.87381291796328597</v>
      </c>
      <c r="BI124" s="514">
        <v>0.91316985479215196</v>
      </c>
      <c r="BJ124" s="514">
        <v>0.87381291796328597</v>
      </c>
      <c r="BK124" s="514">
        <v>0.91316985479215196</v>
      </c>
      <c r="BL124" s="511">
        <v>48.478999999999999</v>
      </c>
      <c r="BM124" s="511">
        <v>263.30500000000001</v>
      </c>
      <c r="BN124" s="511">
        <v>2.6588832277893522</v>
      </c>
      <c r="BO124" s="511">
        <v>2.4036763449231877</v>
      </c>
      <c r="BP124" s="515">
        <v>0</v>
      </c>
      <c r="BQ124" s="515">
        <v>0</v>
      </c>
      <c r="BR124" s="515">
        <v>885.18874113824927</v>
      </c>
      <c r="BS124" s="515">
        <v>814.25723633175232</v>
      </c>
      <c r="BT124" s="515">
        <v>0</v>
      </c>
      <c r="BU124" s="516">
        <v>0</v>
      </c>
      <c r="BV124" s="513">
        <v>0.86086790925526724</v>
      </c>
      <c r="BW124" s="514">
        <v>0.78190820405637229</v>
      </c>
      <c r="BX124" s="514">
        <v>0.86086790925526724</v>
      </c>
      <c r="BY124" s="514">
        <v>0.80109213306186378</v>
      </c>
      <c r="BZ124" s="511">
        <v>41.808</v>
      </c>
      <c r="CA124" s="511">
        <v>184.32299999999998</v>
      </c>
      <c r="CB124" s="515">
        <v>107.12590322774945</v>
      </c>
      <c r="CC124" s="515">
        <v>112.13439927200508</v>
      </c>
      <c r="CD124" s="511">
        <v>2.3799272866437047</v>
      </c>
      <c r="CE124" s="511">
        <v>2.470120386495446</v>
      </c>
      <c r="CF124" s="515">
        <v>0</v>
      </c>
      <c r="CG124" s="515">
        <v>0</v>
      </c>
      <c r="CH124" s="515">
        <v>993.35713304532283</v>
      </c>
      <c r="CI124" s="515">
        <v>1131.2329898475398</v>
      </c>
      <c r="CJ124" s="515">
        <v>0</v>
      </c>
      <c r="CK124" s="515">
        <v>0</v>
      </c>
      <c r="CL124" s="515"/>
      <c r="CM124" s="516"/>
    </row>
    <row r="125" spans="1:91" ht="12.75" hidden="1" customHeight="1">
      <c r="A125" s="558">
        <v>46028</v>
      </c>
      <c r="B125" s="513">
        <v>0.78226825163545144</v>
      </c>
      <c r="C125" s="514">
        <v>0.72377379395050845</v>
      </c>
      <c r="D125" s="514">
        <v>0.78226825163545144</v>
      </c>
      <c r="E125" s="514">
        <v>0.72377379395050845</v>
      </c>
      <c r="F125" s="511">
        <v>44.85</v>
      </c>
      <c r="G125" s="511">
        <v>273.8</v>
      </c>
      <c r="H125" s="511">
        <v>2.4364771460423631</v>
      </c>
      <c r="I125" s="511">
        <v>2.537987582176771</v>
      </c>
      <c r="J125" s="511">
        <v>1096.2849498327469</v>
      </c>
      <c r="K125" s="512">
        <v>1043.7611395178835</v>
      </c>
      <c r="L125" s="513">
        <v>0.77430996800197749</v>
      </c>
      <c r="M125" s="514">
        <v>0.85231751775744724</v>
      </c>
      <c r="N125" s="514">
        <v>0.77430996800197749</v>
      </c>
      <c r="O125" s="514">
        <v>0.86333958459841331</v>
      </c>
      <c r="P125" s="511">
        <v>52.904000000000003</v>
      </c>
      <c r="Q125" s="511">
        <v>334.42599999999999</v>
      </c>
      <c r="R125" s="511">
        <v>1.6551678512021775</v>
      </c>
      <c r="S125" s="511">
        <v>1.6520665259280085</v>
      </c>
      <c r="T125" s="511">
        <v>0.32700740964766367</v>
      </c>
      <c r="U125" s="511">
        <v>0.29184333753954539</v>
      </c>
      <c r="V125" s="511">
        <v>594.71060789356363</v>
      </c>
      <c r="W125" s="511">
        <v>543.0175883454051</v>
      </c>
      <c r="X125" s="511">
        <v>551.31937093603506</v>
      </c>
      <c r="Y125" s="576">
        <v>505.5527979283907</v>
      </c>
      <c r="Z125" s="511">
        <v>0</v>
      </c>
      <c r="AA125" s="576">
        <v>0</v>
      </c>
      <c r="AB125" s="513">
        <v>0.84412500715075323</v>
      </c>
      <c r="AC125" s="514">
        <v>0.88642059498128301</v>
      </c>
      <c r="AD125" s="514">
        <v>0.84412500715075323</v>
      </c>
      <c r="AE125" s="514">
        <v>0.88642059498128301</v>
      </c>
      <c r="AF125" s="511">
        <v>36.616999999999997</v>
      </c>
      <c r="AG125" s="511">
        <v>229.09699999999998</v>
      </c>
      <c r="AH125" s="511">
        <v>152.08873355212162</v>
      </c>
      <c r="AI125" s="511">
        <v>140.20987477372381</v>
      </c>
      <c r="AJ125" s="511">
        <v>1.3900647240352841</v>
      </c>
      <c r="AK125" s="511">
        <v>1.2968306001388057</v>
      </c>
      <c r="AL125" s="511">
        <v>1115.8308982166654</v>
      </c>
      <c r="AM125" s="576">
        <v>1024.2901478413014</v>
      </c>
      <c r="AN125" s="587"/>
      <c r="AO125" s="587"/>
      <c r="AP125" s="513">
        <v>0.27067354026434548</v>
      </c>
      <c r="AQ125" s="514">
        <v>0.75293166490613217</v>
      </c>
      <c r="AR125" s="514">
        <v>0.4061402593999982</v>
      </c>
      <c r="AS125" s="514">
        <v>0.79500327698157913</v>
      </c>
      <c r="AT125" s="511">
        <v>13.914999999999999</v>
      </c>
      <c r="AU125" s="511">
        <v>243.96599999999998</v>
      </c>
      <c r="AV125" s="515">
        <v>162.59660091272809</v>
      </c>
      <c r="AW125" s="515">
        <v>111.0849638889397</v>
      </c>
      <c r="AX125" s="511">
        <v>2.2278117139777218</v>
      </c>
      <c r="AY125" s="511">
        <v>1.4583999409753821</v>
      </c>
      <c r="AZ125" s="511">
        <v>0</v>
      </c>
      <c r="BA125" s="511">
        <v>3.6890386365313201E-2</v>
      </c>
      <c r="BB125" s="511">
        <v>1629.0607258354239</v>
      </c>
      <c r="BC125" s="511">
        <v>934.72778993794236</v>
      </c>
      <c r="BD125" s="511">
        <v>1215.9540064678436</v>
      </c>
      <c r="BE125" s="576">
        <v>606.88784502758585</v>
      </c>
      <c r="BF125" s="511">
        <v>81.214516708588278</v>
      </c>
      <c r="BG125" s="512">
        <v>24.83952681931089</v>
      </c>
      <c r="BH125" s="513">
        <v>0.75984403128521205</v>
      </c>
      <c r="BI125" s="514">
        <v>0.88954190160933766</v>
      </c>
      <c r="BJ125" s="514">
        <v>0.75984403128521205</v>
      </c>
      <c r="BK125" s="514">
        <v>0.88954190160933766</v>
      </c>
      <c r="BL125" s="511">
        <v>39.914000000000001</v>
      </c>
      <c r="BM125" s="511">
        <v>303.21899999999999</v>
      </c>
      <c r="BN125" s="511">
        <v>3.1342386130179882</v>
      </c>
      <c r="BO125" s="511">
        <v>2.4998433475474822</v>
      </c>
      <c r="BP125" s="515">
        <v>0</v>
      </c>
      <c r="BQ125" s="515">
        <v>0</v>
      </c>
      <c r="BR125" s="515">
        <v>1301.560595433142</v>
      </c>
      <c r="BS125" s="515">
        <v>878.40303944822222</v>
      </c>
      <c r="BT125" s="515">
        <v>0</v>
      </c>
      <c r="BU125" s="516">
        <v>0</v>
      </c>
      <c r="BV125" s="513">
        <v>0.97237443624255759</v>
      </c>
      <c r="BW125" s="514">
        <v>0.81651209191318452</v>
      </c>
      <c r="BX125" s="514">
        <v>0.97237443624255759</v>
      </c>
      <c r="BY125" s="514">
        <v>0.83283268995732018</v>
      </c>
      <c r="BZ125" s="511">
        <v>50.890999999999998</v>
      </c>
      <c r="CA125" s="511">
        <v>235.21399999999997</v>
      </c>
      <c r="CB125" s="515">
        <v>97.530705661538377</v>
      </c>
      <c r="CC125" s="515">
        <v>108.97473797833098</v>
      </c>
      <c r="CD125" s="511">
        <v>1.9807038572635633</v>
      </c>
      <c r="CE125" s="511">
        <v>2.3642300203219202</v>
      </c>
      <c r="CF125" s="515">
        <v>0</v>
      </c>
      <c r="CG125" s="515">
        <v>0</v>
      </c>
      <c r="CH125" s="515">
        <v>900.64353999491402</v>
      </c>
      <c r="CI125" s="515">
        <v>1081.3425594630814</v>
      </c>
      <c r="CJ125" s="515">
        <v>0</v>
      </c>
      <c r="CK125" s="515">
        <v>0</v>
      </c>
      <c r="CL125" s="515"/>
      <c r="CM125" s="516"/>
    </row>
    <row r="126" spans="1:91" ht="12.75" hidden="1" customHeight="1">
      <c r="A126" s="558">
        <v>46029</v>
      </c>
      <c r="B126" s="513">
        <v>0.80782044771638595</v>
      </c>
      <c r="C126" s="514">
        <v>0.73512669143228115</v>
      </c>
      <c r="D126" s="514">
        <v>0.80782044771638595</v>
      </c>
      <c r="E126" s="514">
        <v>0.73512669143228115</v>
      </c>
      <c r="F126" s="511">
        <v>47.725999999999999</v>
      </c>
      <c r="G126" s="511">
        <v>321.52600000000001</v>
      </c>
      <c r="H126" s="511">
        <v>2.3903113606839042</v>
      </c>
      <c r="I126" s="511">
        <v>2.5160671298744113</v>
      </c>
      <c r="J126" s="511">
        <v>1154.8723965972799</v>
      </c>
      <c r="K126" s="512">
        <v>1060.254038553642</v>
      </c>
      <c r="L126" s="513">
        <v>0.69372305387322752</v>
      </c>
      <c r="M126" s="514">
        <v>0.82641548164464218</v>
      </c>
      <c r="N126" s="514">
        <v>0.69372305387322752</v>
      </c>
      <c r="O126" s="514">
        <v>0.83533829679025695</v>
      </c>
      <c r="P126" s="511">
        <v>53.134</v>
      </c>
      <c r="Q126" s="511">
        <v>387.56</v>
      </c>
      <c r="R126" s="511">
        <v>2.1467421989686453</v>
      </c>
      <c r="S126" s="511">
        <v>1.7198859531427397</v>
      </c>
      <c r="T126" s="511">
        <v>0.31618172921293336</v>
      </c>
      <c r="U126" s="511">
        <v>0.29518010114562904</v>
      </c>
      <c r="V126" s="511">
        <v>746.08085218504721</v>
      </c>
      <c r="W126" s="511">
        <v>570.85731241614405</v>
      </c>
      <c r="X126" s="511">
        <v>590.07415214363675</v>
      </c>
      <c r="Y126" s="576">
        <v>517.14057178243365</v>
      </c>
      <c r="Z126" s="511">
        <v>0</v>
      </c>
      <c r="AA126" s="576">
        <v>0</v>
      </c>
      <c r="AB126" s="513">
        <v>0.90734766925821775</v>
      </c>
      <c r="AC126" s="514">
        <v>0.88932167287934683</v>
      </c>
      <c r="AD126" s="514">
        <v>0.90734766925821775</v>
      </c>
      <c r="AE126" s="514">
        <v>0.88932167287934683</v>
      </c>
      <c r="AF126" s="511">
        <v>37.741</v>
      </c>
      <c r="AG126" s="511">
        <v>266.83799999999997</v>
      </c>
      <c r="AH126" s="511">
        <v>150.56219469318376</v>
      </c>
      <c r="AI126" s="511">
        <v>141.67408491650835</v>
      </c>
      <c r="AJ126" s="511">
        <v>1.2903738639675686</v>
      </c>
      <c r="AK126" s="511">
        <v>1.2959173730877911</v>
      </c>
      <c r="AL126" s="511">
        <v>1090.5233035690628</v>
      </c>
      <c r="AM126" s="576">
        <v>1033.658024719113</v>
      </c>
      <c r="AN126" s="587"/>
      <c r="AO126" s="587"/>
      <c r="AP126" s="513">
        <v>0.74549342410421804</v>
      </c>
      <c r="AQ126" s="514">
        <v>0.75190968352688348</v>
      </c>
      <c r="AR126" s="514">
        <v>0.74549342410421804</v>
      </c>
      <c r="AS126" s="514">
        <v>0.78787546421891352</v>
      </c>
      <c r="AT126" s="511">
        <v>38.475000000000001</v>
      </c>
      <c r="AU126" s="511">
        <v>282.44099999999997</v>
      </c>
      <c r="AV126" s="515">
        <v>125.63192282195155</v>
      </c>
      <c r="AW126" s="515">
        <v>113.06659631818202</v>
      </c>
      <c r="AX126" s="511">
        <v>1.5464587394411955</v>
      </c>
      <c r="AY126" s="511">
        <v>1.4703955870429579</v>
      </c>
      <c r="AZ126" s="511">
        <v>0</v>
      </c>
      <c r="BA126" s="511">
        <v>3.1865062083762628E-2</v>
      </c>
      <c r="BB126" s="511">
        <v>987.0679662118273</v>
      </c>
      <c r="BC126" s="511">
        <v>941.85773311948356</v>
      </c>
      <c r="BD126" s="511">
        <v>648.21312540610893</v>
      </c>
      <c r="BE126" s="576">
        <v>612.51730449899287</v>
      </c>
      <c r="BF126" s="511">
        <v>31.97141000649712</v>
      </c>
      <c r="BG126" s="512">
        <v>25.811054344093023</v>
      </c>
      <c r="BH126" s="513">
        <v>0.92317943774741795</v>
      </c>
      <c r="BI126" s="514">
        <v>0.89389381902196752</v>
      </c>
      <c r="BJ126" s="514">
        <v>0.92317943774741795</v>
      </c>
      <c r="BK126" s="514">
        <v>0.89389381902196752</v>
      </c>
      <c r="BL126" s="511">
        <v>46.762999999999998</v>
      </c>
      <c r="BM126" s="511">
        <v>349.98199999999997</v>
      </c>
      <c r="BN126" s="511">
        <v>2.4613476466437141</v>
      </c>
      <c r="BO126" s="511">
        <v>2.4946997274145528</v>
      </c>
      <c r="BP126" s="515">
        <v>0</v>
      </c>
      <c r="BQ126" s="515">
        <v>0</v>
      </c>
      <c r="BR126" s="515">
        <v>1053.0289244736391</v>
      </c>
      <c r="BS126" s="515">
        <v>901.73575444911808</v>
      </c>
      <c r="BT126" s="515">
        <v>0</v>
      </c>
      <c r="BU126" s="516">
        <v>0</v>
      </c>
      <c r="BV126" s="513">
        <v>0.96935953838520317</v>
      </c>
      <c r="BW126" s="514">
        <v>0.84017199276436993</v>
      </c>
      <c r="BX126" s="514">
        <v>0.96935953838520317</v>
      </c>
      <c r="BY126" s="514">
        <v>0.85432218861879183</v>
      </c>
      <c r="BZ126" s="511">
        <v>51.142000000000003</v>
      </c>
      <c r="CA126" s="511">
        <v>286.35599999999999</v>
      </c>
      <c r="CB126" s="515">
        <v>96.455828467990429</v>
      </c>
      <c r="CC126" s="515">
        <v>106.7389123969643</v>
      </c>
      <c r="CD126" s="511">
        <v>1.9631613937663759</v>
      </c>
      <c r="CE126" s="511">
        <v>2.2926008185615108</v>
      </c>
      <c r="CF126" s="515">
        <v>0</v>
      </c>
      <c r="CG126" s="515">
        <v>0</v>
      </c>
      <c r="CH126" s="515">
        <v>921.54253656171386</v>
      </c>
      <c r="CI126" s="515">
        <v>1052.8029347608863</v>
      </c>
      <c r="CJ126" s="515">
        <v>0</v>
      </c>
      <c r="CK126" s="515">
        <v>0</v>
      </c>
      <c r="CL126" s="515"/>
      <c r="CM126" s="516"/>
    </row>
    <row r="127" spans="1:91" ht="12.75" hidden="1" customHeight="1">
      <c r="A127" s="558">
        <v>46030</v>
      </c>
      <c r="B127" s="513">
        <v>0.74016065464357128</v>
      </c>
      <c r="C127" s="514">
        <v>0.73569826164096042</v>
      </c>
      <c r="D127" s="514">
        <v>0.74016065464357128</v>
      </c>
      <c r="E127" s="514">
        <v>0.73569826164096042</v>
      </c>
      <c r="F127" s="511">
        <v>41.465000000000003</v>
      </c>
      <c r="G127" s="511">
        <v>362.99099999999999</v>
      </c>
      <c r="H127" s="511">
        <v>2.6473652477993483</v>
      </c>
      <c r="I127" s="511">
        <v>2.5310655085112304</v>
      </c>
      <c r="J127" s="511">
        <v>1150.1058724225052</v>
      </c>
      <c r="K127" s="512">
        <v>1070.5179467259452</v>
      </c>
      <c r="L127" s="513">
        <v>0.84012668388031753</v>
      </c>
      <c r="M127" s="514">
        <v>0.82815609207480201</v>
      </c>
      <c r="N127" s="514">
        <v>0.84012668388031753</v>
      </c>
      <c r="O127" s="514">
        <v>0.83595189542141979</v>
      </c>
      <c r="P127" s="511">
        <v>57.289000000000001</v>
      </c>
      <c r="Q127" s="511">
        <v>444.84899999999999</v>
      </c>
      <c r="R127" s="511">
        <v>1.9563092391209482</v>
      </c>
      <c r="S127" s="511">
        <v>1.7503332591508585</v>
      </c>
      <c r="T127" s="511">
        <v>0.30197769205257552</v>
      </c>
      <c r="U127" s="511">
        <v>0.29605551546704612</v>
      </c>
      <c r="V127" s="511">
        <v>524.07984080712049</v>
      </c>
      <c r="W127" s="511">
        <v>564.83316810872884</v>
      </c>
      <c r="X127" s="511">
        <v>478.81792316151444</v>
      </c>
      <c r="Y127" s="576">
        <v>512.2052651573905</v>
      </c>
      <c r="Z127" s="511">
        <v>0</v>
      </c>
      <c r="AA127" s="576">
        <v>0</v>
      </c>
      <c r="AB127" s="513">
        <v>0.87418278219443146</v>
      </c>
      <c r="AC127" s="514">
        <v>0.88747168313812119</v>
      </c>
      <c r="AD127" s="514">
        <v>0.87418278219443146</v>
      </c>
      <c r="AE127" s="514">
        <v>0.88747168313812119</v>
      </c>
      <c r="AF127" s="511">
        <v>36.515000000000001</v>
      </c>
      <c r="AG127" s="511">
        <v>303.35299999999995</v>
      </c>
      <c r="AH127" s="511">
        <v>156.37363081442734</v>
      </c>
      <c r="AI127" s="511">
        <v>143.44348860944203</v>
      </c>
      <c r="AJ127" s="511">
        <v>1.2980966726003011</v>
      </c>
      <c r="AK127" s="511">
        <v>1.296179698239345</v>
      </c>
      <c r="AL127" s="511">
        <v>1020.6528823771052</v>
      </c>
      <c r="AM127" s="576">
        <v>1032.0925786130306</v>
      </c>
      <c r="AN127" s="587"/>
      <c r="AO127" s="587"/>
      <c r="AP127" s="513">
        <v>0.80092416256322629</v>
      </c>
      <c r="AQ127" s="514">
        <v>0.75810475014105561</v>
      </c>
      <c r="AR127" s="514">
        <v>0.80092416256322629</v>
      </c>
      <c r="AS127" s="514">
        <v>0.78959322616319194</v>
      </c>
      <c r="AT127" s="511">
        <v>43.527000000000001</v>
      </c>
      <c r="AU127" s="511">
        <v>325.96799999999996</v>
      </c>
      <c r="AV127" s="515">
        <v>115.59677069631717</v>
      </c>
      <c r="AW127" s="515">
        <v>113.40445432926622</v>
      </c>
      <c r="AX127" s="511">
        <v>1.4427826406598203</v>
      </c>
      <c r="AY127" s="511">
        <v>1.466708388553478</v>
      </c>
      <c r="AZ127" s="511">
        <v>0</v>
      </c>
      <c r="BA127" s="511">
        <v>2.7610072154321898E-2</v>
      </c>
      <c r="BB127" s="511">
        <v>837.16176166517232</v>
      </c>
      <c r="BC127" s="511">
        <v>927.87752171992361</v>
      </c>
      <c r="BD127" s="511">
        <v>585.15404231856098</v>
      </c>
      <c r="BE127" s="576">
        <v>608.86344671869665</v>
      </c>
      <c r="BF127" s="511">
        <v>27.80113492774613</v>
      </c>
      <c r="BG127" s="512">
        <v>26.076792814018503</v>
      </c>
      <c r="BH127" s="513">
        <v>0.97143435224967178</v>
      </c>
      <c r="BI127" s="514">
        <v>0.90290460644138015</v>
      </c>
      <c r="BJ127" s="514">
        <v>0.97143435224967178</v>
      </c>
      <c r="BK127" s="514">
        <v>0.90290460644138015</v>
      </c>
      <c r="BL127" s="511">
        <v>50.01</v>
      </c>
      <c r="BM127" s="511">
        <v>399.99199999999996</v>
      </c>
      <c r="BN127" s="511">
        <v>2.3355328934213158</v>
      </c>
      <c r="BO127" s="511">
        <v>2.4747994959899198</v>
      </c>
      <c r="BP127" s="515">
        <v>0</v>
      </c>
      <c r="BQ127" s="515">
        <v>0</v>
      </c>
      <c r="BR127" s="515">
        <v>852.05947134192832</v>
      </c>
      <c r="BS127" s="515">
        <v>895.52485293561165</v>
      </c>
      <c r="BT127" s="515">
        <v>0</v>
      </c>
      <c r="BU127" s="516">
        <v>0</v>
      </c>
      <c r="BV127" s="513">
        <v>0.91462557118673649</v>
      </c>
      <c r="BW127" s="514">
        <v>0.85004136054098678</v>
      </c>
      <c r="BX127" s="514">
        <v>0.91462557118673649</v>
      </c>
      <c r="BY127" s="514">
        <v>0.86243236725626882</v>
      </c>
      <c r="BZ127" s="511">
        <v>47.637</v>
      </c>
      <c r="CA127" s="511">
        <v>333.99299999999999</v>
      </c>
      <c r="CB127" s="515">
        <v>104.12990391318908</v>
      </c>
      <c r="CC127" s="515">
        <v>106.36679281020169</v>
      </c>
      <c r="CD127" s="511">
        <v>2.1264983101370785</v>
      </c>
      <c r="CE127" s="511">
        <v>2.2689098274514734</v>
      </c>
      <c r="CF127" s="515">
        <v>0</v>
      </c>
      <c r="CG127" s="515">
        <v>0</v>
      </c>
      <c r="CH127" s="515">
        <v>793.83516674413477</v>
      </c>
      <c r="CI127" s="515">
        <v>1015.8666888964101</v>
      </c>
      <c r="CJ127" s="515">
        <v>0</v>
      </c>
      <c r="CK127" s="515">
        <v>0</v>
      </c>
      <c r="CL127" s="515"/>
      <c r="CM127" s="516"/>
    </row>
    <row r="128" spans="1:91" ht="12.75" hidden="1" customHeight="1">
      <c r="A128" s="558">
        <v>46031</v>
      </c>
      <c r="B128" s="513">
        <v>0.63458388729286574</v>
      </c>
      <c r="C128" s="514">
        <v>0.7250912335345252</v>
      </c>
      <c r="D128" s="514">
        <v>0.63458388729286574</v>
      </c>
      <c r="E128" s="514">
        <v>0.7250912335345252</v>
      </c>
      <c r="F128" s="511">
        <v>36.694000000000003</v>
      </c>
      <c r="G128" s="511">
        <v>399.685</v>
      </c>
      <c r="H128" s="511">
        <v>3.3932795552406385</v>
      </c>
      <c r="I128" s="511">
        <v>2.6102230506523889</v>
      </c>
      <c r="J128" s="511">
        <v>1385.5769335586394</v>
      </c>
      <c r="K128" s="512">
        <v>1099.4426610956084</v>
      </c>
      <c r="L128" s="513">
        <v>0.90770553409806787</v>
      </c>
      <c r="M128" s="514">
        <v>0.83706633609290004</v>
      </c>
      <c r="N128" s="514">
        <v>0.90770553409806787</v>
      </c>
      <c r="O128" s="514">
        <v>0.84405605158257424</v>
      </c>
      <c r="P128" s="511">
        <v>61.502000000000002</v>
      </c>
      <c r="Q128" s="511">
        <v>506.351</v>
      </c>
      <c r="R128" s="511">
        <v>1.858557445286332</v>
      </c>
      <c r="S128" s="511">
        <v>1.7634782986505413</v>
      </c>
      <c r="T128" s="511">
        <v>0.26178010471204188</v>
      </c>
      <c r="U128" s="511">
        <v>0.29189238295174685</v>
      </c>
      <c r="V128" s="511">
        <v>557.43292901044833</v>
      </c>
      <c r="W128" s="511">
        <v>563.93432618875147</v>
      </c>
      <c r="X128" s="511">
        <v>453.52996650515433</v>
      </c>
      <c r="Y128" s="576">
        <v>505.0784929821408</v>
      </c>
      <c r="Z128" s="511">
        <v>0</v>
      </c>
      <c r="AA128" s="576">
        <v>0</v>
      </c>
      <c r="AB128" s="513">
        <v>0.53621733200421717</v>
      </c>
      <c r="AC128" s="514">
        <v>0.84485121033590493</v>
      </c>
      <c r="AD128" s="514">
        <v>0.99321347790138592</v>
      </c>
      <c r="AE128" s="514">
        <v>0.89480822172891394</v>
      </c>
      <c r="AF128" s="511">
        <v>25.311</v>
      </c>
      <c r="AG128" s="511">
        <v>328.66399999999993</v>
      </c>
      <c r="AH128" s="511">
        <v>99.663609680629733</v>
      </c>
      <c r="AI128" s="511">
        <v>140.07192215991557</v>
      </c>
      <c r="AJ128" s="511">
        <v>1.5763897119829322</v>
      </c>
      <c r="AK128" s="511">
        <v>1.3177591704598008</v>
      </c>
      <c r="AL128" s="511">
        <v>973.97811228321143</v>
      </c>
      <c r="AM128" s="576">
        <v>1027.6170800574416</v>
      </c>
      <c r="AN128" s="587"/>
      <c r="AO128" s="587"/>
      <c r="AP128" s="513">
        <v>0.93790256419215656</v>
      </c>
      <c r="AQ128" s="514">
        <v>0.77806339151657067</v>
      </c>
      <c r="AR128" s="514">
        <v>1.0922936959027076</v>
      </c>
      <c r="AS128" s="514">
        <v>0.82000047152073641</v>
      </c>
      <c r="AT128" s="511">
        <v>50.356000000000002</v>
      </c>
      <c r="AU128" s="511">
        <v>376.32399999999996</v>
      </c>
      <c r="AV128" s="515">
        <v>76.969179086268568</v>
      </c>
      <c r="AW128" s="515">
        <v>108.52904186517573</v>
      </c>
      <c r="AX128" s="511">
        <v>1.3503852569703709</v>
      </c>
      <c r="AY128" s="511">
        <v>1.4511431638694319</v>
      </c>
      <c r="AZ128" s="511">
        <v>0</v>
      </c>
      <c r="BA128" s="511">
        <v>2.3915562122001258E-2</v>
      </c>
      <c r="BB128" s="511">
        <v>780.49011041385336</v>
      </c>
      <c r="BC128" s="511">
        <v>908.15557870345776</v>
      </c>
      <c r="BD128" s="511">
        <v>491.3019302565732</v>
      </c>
      <c r="BE128" s="576">
        <v>593.13251347243352</v>
      </c>
      <c r="BF128" s="511">
        <v>25.808245293510325</v>
      </c>
      <c r="BG128" s="512">
        <v>26.040858409243075</v>
      </c>
      <c r="BH128" s="513">
        <v>0.89744461031038558</v>
      </c>
      <c r="BI128" s="514">
        <v>0.90231193100875773</v>
      </c>
      <c r="BJ128" s="514">
        <v>0.89744461031038558</v>
      </c>
      <c r="BK128" s="514">
        <v>0.90231193100875773</v>
      </c>
      <c r="BL128" s="511">
        <v>48.411000000000001</v>
      </c>
      <c r="BM128" s="511">
        <v>448.40299999999996</v>
      </c>
      <c r="BN128" s="511">
        <v>2.5469418107454915</v>
      </c>
      <c r="BO128" s="511">
        <v>2.4825882074830012</v>
      </c>
      <c r="BP128" s="515">
        <v>0</v>
      </c>
      <c r="BQ128" s="515">
        <v>0</v>
      </c>
      <c r="BR128" s="515">
        <v>987.34909465352303</v>
      </c>
      <c r="BS128" s="515">
        <v>905.43848724627833</v>
      </c>
      <c r="BT128" s="515">
        <v>0</v>
      </c>
      <c r="BU128" s="516">
        <v>0</v>
      </c>
      <c r="BV128" s="513">
        <v>0.9563968361199261</v>
      </c>
      <c r="BW128" s="514">
        <v>0.86155787019757279</v>
      </c>
      <c r="BX128" s="514">
        <v>1.0310113864263075</v>
      </c>
      <c r="BY128" s="514">
        <v>0.87972258658715441</v>
      </c>
      <c r="BZ128" s="511">
        <v>45.631999999999998</v>
      </c>
      <c r="CA128" s="511">
        <v>379.625</v>
      </c>
      <c r="CB128" s="515">
        <v>94.85787152229662</v>
      </c>
      <c r="CC128" s="515">
        <v>104.98338788110145</v>
      </c>
      <c r="CD128" s="511">
        <v>2.1498071528751752</v>
      </c>
      <c r="CE128" s="511">
        <v>2.2545933486993741</v>
      </c>
      <c r="CF128" s="515">
        <v>0</v>
      </c>
      <c r="CG128" s="515">
        <v>0</v>
      </c>
      <c r="CH128" s="515">
        <v>931.33158701630305</v>
      </c>
      <c r="CI128" s="515">
        <v>1005.7053302688355</v>
      </c>
      <c r="CJ128" s="515">
        <v>0</v>
      </c>
      <c r="CK128" s="515">
        <v>0</v>
      </c>
      <c r="CL128" s="515"/>
      <c r="CM128" s="516"/>
    </row>
    <row r="129" spans="1:91" ht="12.75" hidden="1" customHeight="1">
      <c r="A129" s="558">
        <v>46032</v>
      </c>
      <c r="B129" s="513">
        <v>0.89029210546238413</v>
      </c>
      <c r="C129" s="514">
        <v>0.74077569732792947</v>
      </c>
      <c r="D129" s="514">
        <v>0.89029210546238413</v>
      </c>
      <c r="E129" s="514">
        <v>0.74077569732792947</v>
      </c>
      <c r="F129" s="511">
        <v>51.48</v>
      </c>
      <c r="G129" s="511">
        <v>451.16500000000002</v>
      </c>
      <c r="H129" s="511">
        <v>2.3897824397824396</v>
      </c>
      <c r="I129" s="511">
        <v>2.5850697638336309</v>
      </c>
      <c r="J129" s="511">
        <v>996.47358197358096</v>
      </c>
      <c r="K129" s="512">
        <v>1087.6934159342995</v>
      </c>
      <c r="L129" s="513">
        <v>0.57352973085671322</v>
      </c>
      <c r="M129" s="514">
        <v>0.81049156246274989</v>
      </c>
      <c r="N129" s="514">
        <v>0.57352973085671322</v>
      </c>
      <c r="O129" s="514">
        <v>0.81657179284617898</v>
      </c>
      <c r="P129" s="511">
        <v>38.908000000000001</v>
      </c>
      <c r="Q129" s="511">
        <v>545.25900000000001</v>
      </c>
      <c r="R129" s="511">
        <v>1.9072170247763953</v>
      </c>
      <c r="S129" s="511">
        <v>1.7737350506823366</v>
      </c>
      <c r="T129" s="511">
        <v>0.32384085535108459</v>
      </c>
      <c r="U129" s="511">
        <v>0.29417212737433029</v>
      </c>
      <c r="V129" s="511">
        <v>622.59920838896835</v>
      </c>
      <c r="W129" s="511">
        <v>568.12047118891837</v>
      </c>
      <c r="X129" s="511">
        <v>616.19718309859149</v>
      </c>
      <c r="Y129" s="576">
        <v>513.00757988405508</v>
      </c>
      <c r="Z129" s="511">
        <v>0</v>
      </c>
      <c r="AA129" s="576">
        <v>0</v>
      </c>
      <c r="AB129" s="513">
        <v>0.66680429671550479</v>
      </c>
      <c r="AC129" s="514">
        <v>0.82574194413839941</v>
      </c>
      <c r="AD129" s="514">
        <v>0.80525095154202908</v>
      </c>
      <c r="AE129" s="514">
        <v>0.88626548462419985</v>
      </c>
      <c r="AF129" s="511">
        <v>31.187999999999999</v>
      </c>
      <c r="AG129" s="511">
        <v>359.85199999999992</v>
      </c>
      <c r="AH129" s="511">
        <v>142.79686991190187</v>
      </c>
      <c r="AI129" s="511">
        <v>140.30809055828198</v>
      </c>
      <c r="AJ129" s="511">
        <v>1.8148005643196101</v>
      </c>
      <c r="AK129" s="511">
        <v>1.3608372330847127</v>
      </c>
      <c r="AL129" s="511">
        <v>1050.0339874310748</v>
      </c>
      <c r="AM129" s="576">
        <v>1029.5599301935224</v>
      </c>
      <c r="AN129" s="587"/>
      <c r="AO129" s="587"/>
      <c r="AP129" s="513">
        <v>0.69074210799255309</v>
      </c>
      <c r="AQ129" s="514">
        <v>0.76964244702864082</v>
      </c>
      <c r="AR129" s="514">
        <v>0.81153135714442148</v>
      </c>
      <c r="AS129" s="514">
        <v>0.8192604875438696</v>
      </c>
      <c r="AT129" s="511">
        <v>35.656999999999996</v>
      </c>
      <c r="AU129" s="511">
        <v>411.98099999999994</v>
      </c>
      <c r="AV129" s="515">
        <v>129.82912183876871</v>
      </c>
      <c r="AW129" s="515">
        <v>110.37256608502665</v>
      </c>
      <c r="AX129" s="511">
        <v>1.7163530302605381</v>
      </c>
      <c r="AY129" s="511">
        <v>1.4740971064199566</v>
      </c>
      <c r="AZ129" s="511">
        <v>0</v>
      </c>
      <c r="BA129" s="511">
        <v>2.1845667640012528E-2</v>
      </c>
      <c r="BB129" s="511">
        <v>1068.4707070140519</v>
      </c>
      <c r="BC129" s="511">
        <v>922.03087035567194</v>
      </c>
      <c r="BD129" s="511">
        <v>633.25574221050169</v>
      </c>
      <c r="BE129" s="576">
        <v>596.60518324874192</v>
      </c>
      <c r="BF129" s="511">
        <v>35.059034691645564</v>
      </c>
      <c r="BG129" s="512">
        <v>26.821382539486034</v>
      </c>
      <c r="BH129" s="513">
        <v>0.86019914086825355</v>
      </c>
      <c r="BI129" s="514">
        <v>0.89805651429288724</v>
      </c>
      <c r="BJ129" s="514">
        <v>0.86019914086825355</v>
      </c>
      <c r="BK129" s="514">
        <v>0.89805651429288724</v>
      </c>
      <c r="BL129" s="511">
        <v>48.051000000000002</v>
      </c>
      <c r="BM129" s="511">
        <v>496.45399999999995</v>
      </c>
      <c r="BN129" s="511">
        <v>2.6804853176832948</v>
      </c>
      <c r="BO129" s="511">
        <v>2.5017423567943862</v>
      </c>
      <c r="BP129" s="515">
        <v>0</v>
      </c>
      <c r="BQ129" s="515">
        <v>0</v>
      </c>
      <c r="BR129" s="515">
        <v>916.60712192767801</v>
      </c>
      <c r="BS129" s="515">
        <v>906.51948178973225</v>
      </c>
      <c r="BT129" s="515">
        <v>0</v>
      </c>
      <c r="BU129" s="516">
        <v>0</v>
      </c>
      <c r="BV129" s="513">
        <v>0.86050169699541634</v>
      </c>
      <c r="BW129" s="514">
        <v>0.86144986460650774</v>
      </c>
      <c r="BX129" s="514">
        <v>0.90001202898688892</v>
      </c>
      <c r="BY129" s="514">
        <v>0.88175308007554787</v>
      </c>
      <c r="BZ129" s="511">
        <v>43.19</v>
      </c>
      <c r="CA129" s="511">
        <v>422.815</v>
      </c>
      <c r="CB129" s="515">
        <v>116.41894475069759</v>
      </c>
      <c r="CC129" s="515">
        <v>106.15151507904348</v>
      </c>
      <c r="CD129" s="511">
        <v>2.2551516554758049</v>
      </c>
      <c r="CE129" s="511">
        <v>2.2546503790073671</v>
      </c>
      <c r="CF129" s="515">
        <v>0</v>
      </c>
      <c r="CG129" s="515">
        <v>0</v>
      </c>
      <c r="CH129" s="515">
        <v>913.90347729228176</v>
      </c>
      <c r="CI129" s="515">
        <v>996.32789089214032</v>
      </c>
      <c r="CJ129" s="515">
        <v>0</v>
      </c>
      <c r="CK129" s="515">
        <v>0</v>
      </c>
      <c r="CL129" s="515"/>
      <c r="CM129" s="516"/>
    </row>
    <row r="130" spans="1:91" ht="12.75" hidden="1" customHeight="1">
      <c r="A130" s="558">
        <v>46033</v>
      </c>
      <c r="B130" s="513">
        <v>0.87536958526320163</v>
      </c>
      <c r="C130" s="514">
        <v>0.75278285467704553</v>
      </c>
      <c r="D130" s="514">
        <v>0.87536958526320163</v>
      </c>
      <c r="E130" s="514">
        <v>0.75278285467704553</v>
      </c>
      <c r="F130" s="511">
        <v>52.22</v>
      </c>
      <c r="G130" s="511">
        <v>503.38499999999999</v>
      </c>
      <c r="H130" s="511">
        <v>2.3622749904251248</v>
      </c>
      <c r="I130" s="511">
        <v>2.5619575474040746</v>
      </c>
      <c r="J130" s="511">
        <v>1105.5982382228731</v>
      </c>
      <c r="K130" s="512">
        <v>1089.5508209422144</v>
      </c>
      <c r="L130" s="513">
        <v>0.50096144502841056</v>
      </c>
      <c r="M130" s="514">
        <v>0.78213799413780261</v>
      </c>
      <c r="N130" s="514">
        <v>0.50096144502841056</v>
      </c>
      <c r="O130" s="514">
        <v>0.78746438171010602</v>
      </c>
      <c r="P130" s="511">
        <v>33.984999999999999</v>
      </c>
      <c r="Q130" s="511">
        <v>579.24400000000003</v>
      </c>
      <c r="R130" s="511">
        <v>3.1713108724437249</v>
      </c>
      <c r="S130" s="511">
        <v>1.855732644619539</v>
      </c>
      <c r="T130" s="511">
        <v>0.43254376930998967</v>
      </c>
      <c r="U130" s="511">
        <v>0.30229057184882357</v>
      </c>
      <c r="V130" s="511">
        <v>1024.0667941739337</v>
      </c>
      <c r="W130" s="511">
        <v>594.87143587158369</v>
      </c>
      <c r="X130" s="511">
        <v>776.25422980726785</v>
      </c>
      <c r="Y130" s="576">
        <v>528.45260373866631</v>
      </c>
      <c r="Z130" s="511">
        <v>0</v>
      </c>
      <c r="AA130" s="576">
        <v>0</v>
      </c>
      <c r="AB130" s="513">
        <v>0.93638905581041632</v>
      </c>
      <c r="AC130" s="514">
        <v>0.83678968824580424</v>
      </c>
      <c r="AD130" s="514">
        <v>0.93638905581041632</v>
      </c>
      <c r="AE130" s="514">
        <v>0.89159795281566934</v>
      </c>
      <c r="AF130" s="511">
        <v>45.264000000000003</v>
      </c>
      <c r="AG130" s="511">
        <v>405.11599999999993</v>
      </c>
      <c r="AH130" s="511">
        <v>119.40254012986155</v>
      </c>
      <c r="AI130" s="511">
        <v>137.97229331849874</v>
      </c>
      <c r="AJ130" s="511">
        <v>1.210675150229763</v>
      </c>
      <c r="AK130" s="511">
        <v>1.3440594792602611</v>
      </c>
      <c r="AL130" s="511">
        <v>873.19591728525165</v>
      </c>
      <c r="AM130" s="576">
        <v>1012.0892287641045</v>
      </c>
      <c r="AN130" s="587"/>
      <c r="AO130" s="587"/>
      <c r="AP130" s="513">
        <v>0.96115831710627253</v>
      </c>
      <c r="AQ130" s="514">
        <v>0.78726016300178048</v>
      </c>
      <c r="AR130" s="514">
        <v>0.96115831710627253</v>
      </c>
      <c r="AS130" s="514">
        <v>0.83307341039716631</v>
      </c>
      <c r="AT130" s="511">
        <v>52.124000000000002</v>
      </c>
      <c r="AU130" s="511">
        <v>464.10499999999996</v>
      </c>
      <c r="AV130" s="515">
        <v>100.63663163871321</v>
      </c>
      <c r="AW130" s="515">
        <v>109.27911557904278</v>
      </c>
      <c r="AX130" s="511">
        <v>1.3007443787890414</v>
      </c>
      <c r="AY130" s="511">
        <v>1.454627724329624</v>
      </c>
      <c r="AZ130" s="511">
        <v>0</v>
      </c>
      <c r="BA130" s="511">
        <v>1.9392163411297014E-2</v>
      </c>
      <c r="BB130" s="511">
        <v>838.27680147340823</v>
      </c>
      <c r="BC130" s="511">
        <v>912.62438456814721</v>
      </c>
      <c r="BD130" s="511">
        <v>540.44202286854602</v>
      </c>
      <c r="BE130" s="576">
        <v>590.29745423988106</v>
      </c>
      <c r="BF130" s="511">
        <v>24.175044125546886</v>
      </c>
      <c r="BG130" s="512">
        <v>26.52417017700736</v>
      </c>
      <c r="BH130" s="513">
        <v>0.80727868439172767</v>
      </c>
      <c r="BI130" s="514">
        <v>0.88916148266586736</v>
      </c>
      <c r="BJ130" s="514">
        <v>0.80727868439172767</v>
      </c>
      <c r="BK130" s="514">
        <v>0.88916148266586736</v>
      </c>
      <c r="BL130" s="511">
        <v>48.478999999999999</v>
      </c>
      <c r="BM130" s="511">
        <v>544.93299999999999</v>
      </c>
      <c r="BN130" s="511">
        <v>2.7331421852760989</v>
      </c>
      <c r="BO130" s="511">
        <v>2.5223284330367219</v>
      </c>
      <c r="BP130" s="515">
        <v>0</v>
      </c>
      <c r="BQ130" s="515">
        <v>0</v>
      </c>
      <c r="BR130" s="515">
        <v>954.86025359284383</v>
      </c>
      <c r="BS130" s="515">
        <v>910.82003300656629</v>
      </c>
      <c r="BT130" s="515">
        <v>0</v>
      </c>
      <c r="BU130" s="516">
        <v>0</v>
      </c>
      <c r="BV130" s="513">
        <v>0.8696688669253827</v>
      </c>
      <c r="BW130" s="514">
        <v>0.86222591427467421</v>
      </c>
      <c r="BX130" s="514">
        <v>0.8696688669253827</v>
      </c>
      <c r="BY130" s="514">
        <v>0.88058777303292901</v>
      </c>
      <c r="BZ130" s="511">
        <v>44.506</v>
      </c>
      <c r="CA130" s="511">
        <v>467.32100000000003</v>
      </c>
      <c r="CB130" s="515">
        <v>104.27312353448201</v>
      </c>
      <c r="CC130" s="515">
        <v>105.97262370869578</v>
      </c>
      <c r="CD130" s="511">
        <v>2.1929627465959642</v>
      </c>
      <c r="CE130" s="511">
        <v>2.2487754669702404</v>
      </c>
      <c r="CF130" s="515">
        <v>0</v>
      </c>
      <c r="CG130" s="515">
        <v>0</v>
      </c>
      <c r="CH130" s="515">
        <v>1024.6337519901192</v>
      </c>
      <c r="CI130" s="515">
        <v>999.02364103824254</v>
      </c>
      <c r="CJ130" s="515">
        <v>0</v>
      </c>
      <c r="CK130" s="515">
        <v>0</v>
      </c>
      <c r="CL130" s="515"/>
      <c r="CM130" s="516"/>
    </row>
    <row r="131" spans="1:91" ht="12.75" hidden="1" customHeight="1">
      <c r="A131" s="558">
        <v>46034</v>
      </c>
      <c r="B131" s="513">
        <v>0.87007350862428656</v>
      </c>
      <c r="C131" s="514">
        <v>0.76329336060368858</v>
      </c>
      <c r="D131" s="514">
        <v>0.87007350862428656</v>
      </c>
      <c r="E131" s="514">
        <v>0.76329336060368858</v>
      </c>
      <c r="F131" s="511">
        <v>57.268999999999998</v>
      </c>
      <c r="G131" s="511">
        <v>560.654</v>
      </c>
      <c r="H131" s="511">
        <v>2.2825787075031867</v>
      </c>
      <c r="I131" s="511">
        <v>2.5334198989037802</v>
      </c>
      <c r="J131" s="511">
        <v>961.30332291473223</v>
      </c>
      <c r="K131" s="512">
        <v>1076.450752157303</v>
      </c>
      <c r="L131" s="513">
        <v>0.93554568284884898</v>
      </c>
      <c r="M131" s="514">
        <v>0.79501122704831262</v>
      </c>
      <c r="N131" s="514">
        <v>0.93554568284884898</v>
      </c>
      <c r="O131" s="514">
        <v>0.79996812775118875</v>
      </c>
      <c r="P131" s="511">
        <v>63.466999999999999</v>
      </c>
      <c r="Q131" s="511">
        <v>642.71100000000001</v>
      </c>
      <c r="R131" s="511">
        <v>1.7226590196480061</v>
      </c>
      <c r="S131" s="511">
        <v>1.8425917714182585</v>
      </c>
      <c r="T131" s="511">
        <v>0.26470449209825581</v>
      </c>
      <c r="U131" s="511">
        <v>0.29857898806773181</v>
      </c>
      <c r="V131" s="511">
        <v>535.01693793624179</v>
      </c>
      <c r="W131" s="511">
        <v>588.96087043787816</v>
      </c>
      <c r="X131" s="511">
        <v>457.98603998928576</v>
      </c>
      <c r="Y131" s="576">
        <v>521.49410854956579</v>
      </c>
      <c r="Z131" s="511">
        <v>0</v>
      </c>
      <c r="AA131" s="576">
        <v>0</v>
      </c>
      <c r="AB131" s="513">
        <v>0.88552141149303742</v>
      </c>
      <c r="AC131" s="514">
        <v>0.84084364329616679</v>
      </c>
      <c r="AD131" s="514">
        <v>0.88552141149303742</v>
      </c>
      <c r="AE131" s="514">
        <v>0.89106225926261673</v>
      </c>
      <c r="AF131" s="511">
        <v>38.9</v>
      </c>
      <c r="AG131" s="511">
        <v>444.01599999999991</v>
      </c>
      <c r="AH131" s="511">
        <v>145.66423365794591</v>
      </c>
      <c r="AI131" s="511">
        <v>138.64618002349249</v>
      </c>
      <c r="AJ131" s="511">
        <v>1.3213367609254498</v>
      </c>
      <c r="AK131" s="511">
        <v>1.342068754279125</v>
      </c>
      <c r="AL131" s="511">
        <v>994.67557840617894</v>
      </c>
      <c r="AM131" s="576">
        <v>1010.5636283377162</v>
      </c>
      <c r="AN131" s="587"/>
      <c r="AO131" s="587"/>
      <c r="AP131" s="513">
        <v>0.97246329252895347</v>
      </c>
      <c r="AQ131" s="514">
        <v>0.80289198947296092</v>
      </c>
      <c r="AR131" s="514">
        <v>0.97246329252895347</v>
      </c>
      <c r="AS131" s="514">
        <v>0.8454622245532647</v>
      </c>
      <c r="AT131" s="511">
        <v>52.847999999999999</v>
      </c>
      <c r="AU131" s="511">
        <v>516.95299999999997</v>
      </c>
      <c r="AV131" s="515">
        <v>110.49223006084013</v>
      </c>
      <c r="AW131" s="515">
        <v>109.40313202567144</v>
      </c>
      <c r="AX131" s="511">
        <v>1.2261580381471389</v>
      </c>
      <c r="AY131" s="511">
        <v>1.4312713148003784</v>
      </c>
      <c r="AZ131" s="511">
        <v>0</v>
      </c>
      <c r="BA131" s="511">
        <v>1.740970649169267E-2</v>
      </c>
      <c r="BB131" s="511">
        <v>807.46442627914098</v>
      </c>
      <c r="BC131" s="511">
        <v>901.87390343029256</v>
      </c>
      <c r="BD131" s="511">
        <v>491.09143203148699</v>
      </c>
      <c r="BE131" s="576">
        <v>580.15564277603573</v>
      </c>
      <c r="BF131" s="511">
        <v>26.865728125945893</v>
      </c>
      <c r="BG131" s="512">
        <v>26.559087576626865</v>
      </c>
      <c r="BH131" s="513">
        <v>0.7549890995836942</v>
      </c>
      <c r="BI131" s="514">
        <v>0.87849377888789071</v>
      </c>
      <c r="BJ131" s="514">
        <v>0.7549890995836942</v>
      </c>
      <c r="BK131" s="514">
        <v>0.87849377888789071</v>
      </c>
      <c r="BL131" s="511">
        <v>39.966000000000001</v>
      </c>
      <c r="BM131" s="511">
        <v>584.899</v>
      </c>
      <c r="BN131" s="511">
        <v>3.0751138467697543</v>
      </c>
      <c r="BO131" s="511">
        <v>2.5601001198497522</v>
      </c>
      <c r="BP131" s="515">
        <v>0</v>
      </c>
      <c r="BQ131" s="515">
        <v>0</v>
      </c>
      <c r="BR131" s="515">
        <v>909.67028694133739</v>
      </c>
      <c r="BS131" s="515">
        <v>910.74147115017252</v>
      </c>
      <c r="BT131" s="515">
        <v>0</v>
      </c>
      <c r="BU131" s="516">
        <v>0</v>
      </c>
      <c r="BV131" s="513">
        <v>0.89353521912175582</v>
      </c>
      <c r="BW131" s="514">
        <v>0.86501117192427168</v>
      </c>
      <c r="BX131" s="514">
        <v>0.89353521912175582</v>
      </c>
      <c r="BY131" s="514">
        <v>0.88176187458525657</v>
      </c>
      <c r="BZ131" s="511">
        <v>47.289000000000001</v>
      </c>
      <c r="CA131" s="511">
        <v>514.61</v>
      </c>
      <c r="CB131" s="515">
        <v>106.75565007614081</v>
      </c>
      <c r="CC131" s="515">
        <v>106.0445782643595</v>
      </c>
      <c r="CD131" s="511">
        <v>2.0892808052612657</v>
      </c>
      <c r="CE131" s="511">
        <v>2.2341190416043215</v>
      </c>
      <c r="CF131" s="515">
        <v>0</v>
      </c>
      <c r="CG131" s="515">
        <v>0</v>
      </c>
      <c r="CH131" s="515">
        <v>884.19626788687947</v>
      </c>
      <c r="CI131" s="515">
        <v>988.47182189567866</v>
      </c>
      <c r="CJ131" s="515">
        <v>506.60407282877674</v>
      </c>
      <c r="CK131" s="515">
        <v>46.553312217018757</v>
      </c>
      <c r="CL131" s="515"/>
      <c r="CM131" s="516"/>
    </row>
    <row r="132" spans="1:91" ht="12.75" hidden="1" customHeight="1">
      <c r="A132" s="558">
        <v>46035</v>
      </c>
      <c r="B132" s="513">
        <v>0.93519112584704167</v>
      </c>
      <c r="C132" s="514">
        <v>0.77610730584678445</v>
      </c>
      <c r="D132" s="514">
        <v>0.93519112584704167</v>
      </c>
      <c r="E132" s="514">
        <v>0.77610730584678445</v>
      </c>
      <c r="F132" s="511">
        <v>55.33</v>
      </c>
      <c r="G132" s="511">
        <v>615.98400000000004</v>
      </c>
      <c r="H132" s="511">
        <v>2.2577444424362914</v>
      </c>
      <c r="I132" s="511">
        <v>2.5086576924075952</v>
      </c>
      <c r="J132" s="511">
        <v>1072.0921742273167</v>
      </c>
      <c r="K132" s="512">
        <v>1076.05924829216</v>
      </c>
      <c r="L132" s="513">
        <v>0.91821095097007333</v>
      </c>
      <c r="M132" s="514">
        <v>0.80389633156032825</v>
      </c>
      <c r="N132" s="514">
        <v>0.91821095097007333</v>
      </c>
      <c r="O132" s="514">
        <v>0.80854505597325776</v>
      </c>
      <c r="P132" s="511">
        <v>57.695999999999998</v>
      </c>
      <c r="Q132" s="511">
        <v>700.40700000000004</v>
      </c>
      <c r="R132" s="511">
        <v>1.9417810593455354</v>
      </c>
      <c r="S132" s="511">
        <v>1.8507624852407245</v>
      </c>
      <c r="T132" s="511">
        <v>0.29118136439267889</v>
      </c>
      <c r="U132" s="511">
        <v>0.29796960909870973</v>
      </c>
      <c r="V132" s="511">
        <v>698.41392817527685</v>
      </c>
      <c r="W132" s="511">
        <v>597.97706190829024</v>
      </c>
      <c r="X132" s="511">
        <v>526.22365501941204</v>
      </c>
      <c r="Y132" s="576">
        <v>521.88370476023226</v>
      </c>
      <c r="Z132" s="511">
        <v>0</v>
      </c>
      <c r="AA132" s="576">
        <v>0</v>
      </c>
      <c r="AB132" s="513">
        <v>0.89266474565140097</v>
      </c>
      <c r="AC132" s="514">
        <v>0.84479972658446156</v>
      </c>
      <c r="AD132" s="514">
        <v>0.89266474565140097</v>
      </c>
      <c r="AE132" s="514">
        <v>0.89119131291743792</v>
      </c>
      <c r="AF132" s="511">
        <v>38.96</v>
      </c>
      <c r="AG132" s="511">
        <v>482.97599999999989</v>
      </c>
      <c r="AH132" s="511">
        <v>144.10483005173404</v>
      </c>
      <c r="AI132" s="511">
        <v>139.08651040243532</v>
      </c>
      <c r="AJ132" s="511">
        <v>1.2833675564681724</v>
      </c>
      <c r="AK132" s="511">
        <v>1.3373335321009741</v>
      </c>
      <c r="AL132" s="511">
        <v>976.10010266942311</v>
      </c>
      <c r="AM132" s="576">
        <v>1007.7835751672964</v>
      </c>
      <c r="AN132" s="587"/>
      <c r="AO132" s="587"/>
      <c r="AP132" s="513">
        <v>0.78774374949149717</v>
      </c>
      <c r="AQ132" s="514">
        <v>0.80172215171813133</v>
      </c>
      <c r="AR132" s="514">
        <v>0.78774374949149717</v>
      </c>
      <c r="AS132" s="514">
        <v>0.8407876643960176</v>
      </c>
      <c r="AT132" s="511">
        <v>42.447000000000003</v>
      </c>
      <c r="AU132" s="511">
        <v>559.4</v>
      </c>
      <c r="AV132" s="515">
        <v>125.71597073269922</v>
      </c>
      <c r="AW132" s="515">
        <v>110.64094229488346</v>
      </c>
      <c r="AX132" s="511">
        <v>1.4606450396965627</v>
      </c>
      <c r="AY132" s="511">
        <v>1.4335001787629604</v>
      </c>
      <c r="AZ132" s="511">
        <v>0</v>
      </c>
      <c r="BA132" s="511">
        <v>1.6088666428316054E-2</v>
      </c>
      <c r="BB132" s="511">
        <v>972.7156218342883</v>
      </c>
      <c r="BC132" s="511">
        <v>907.24933857704696</v>
      </c>
      <c r="BD132" s="511">
        <v>518.51720969679843</v>
      </c>
      <c r="BE132" s="576">
        <v>575.47854844476228</v>
      </c>
      <c r="BF132" s="511">
        <v>33.691426955968758</v>
      </c>
      <c r="BG132" s="512">
        <v>27.100286020736494</v>
      </c>
      <c r="BH132" s="513">
        <v>1.0347184107897567</v>
      </c>
      <c r="BI132" s="514">
        <v>0.89002882296123897</v>
      </c>
      <c r="BJ132" s="514">
        <v>1.0347184107897567</v>
      </c>
      <c r="BK132" s="514">
        <v>0.89002882296123897</v>
      </c>
      <c r="BL132" s="511">
        <v>54.921999999999997</v>
      </c>
      <c r="BM132" s="511">
        <v>639.82100000000003</v>
      </c>
      <c r="BN132" s="511">
        <v>2.2978041586249591</v>
      </c>
      <c r="BO132" s="511">
        <v>2.537584730729376</v>
      </c>
      <c r="BP132" s="515">
        <v>0</v>
      </c>
      <c r="BQ132" s="515">
        <v>0</v>
      </c>
      <c r="BR132" s="515">
        <v>713.70851872916126</v>
      </c>
      <c r="BS132" s="515">
        <v>893.82823477176851</v>
      </c>
      <c r="BT132" s="515">
        <v>0</v>
      </c>
      <c r="BU132" s="516">
        <v>0</v>
      </c>
      <c r="BV132" s="513">
        <v>0.82962040221198974</v>
      </c>
      <c r="BW132" s="514">
        <v>0.8621103162659014</v>
      </c>
      <c r="BX132" s="514">
        <v>0.84968234650445607</v>
      </c>
      <c r="BY132" s="514">
        <v>0.87914378814983696</v>
      </c>
      <c r="BZ132" s="511">
        <v>44.067</v>
      </c>
      <c r="CA132" s="511">
        <v>558.67700000000002</v>
      </c>
      <c r="CB132" s="515">
        <v>114.06290447485777</v>
      </c>
      <c r="CC132" s="515">
        <v>106.67704314320368</v>
      </c>
      <c r="CD132" s="511">
        <v>2.2896952367985115</v>
      </c>
      <c r="CE132" s="511">
        <v>2.2385027484575164</v>
      </c>
      <c r="CF132" s="515">
        <v>0</v>
      </c>
      <c r="CG132" s="515">
        <v>0</v>
      </c>
      <c r="CH132" s="515">
        <v>906.08121120921874</v>
      </c>
      <c r="CI132" s="515">
        <v>981.97306314756452</v>
      </c>
      <c r="CJ132" s="515">
        <v>610.44545805251096</v>
      </c>
      <c r="CK132" s="515">
        <v>91.031669461961059</v>
      </c>
      <c r="CL132" s="515"/>
      <c r="CM132" s="516"/>
    </row>
    <row r="133" spans="1:91" ht="12.75" hidden="1" customHeight="1">
      <c r="A133" s="558">
        <v>46036</v>
      </c>
      <c r="B133" s="513">
        <v>0.91696833553926627</v>
      </c>
      <c r="C133" s="514">
        <v>0.78684595812913283</v>
      </c>
      <c r="D133" s="514">
        <v>0.91696833553926627</v>
      </c>
      <c r="E133" s="514">
        <v>0.78684595812913283</v>
      </c>
      <c r="F133" s="511">
        <v>60.061999999999998</v>
      </c>
      <c r="G133" s="511">
        <v>676.04600000000005</v>
      </c>
      <c r="H133" s="511">
        <v>2.232592987246512</v>
      </c>
      <c r="I133" s="511">
        <v>2.484131257340477</v>
      </c>
      <c r="J133" s="511">
        <v>902.54004195665323</v>
      </c>
      <c r="K133" s="512">
        <v>1060.6432698366657</v>
      </c>
      <c r="L133" s="513">
        <v>0.84057947357085361</v>
      </c>
      <c r="M133" s="514">
        <v>0.8063066274022872</v>
      </c>
      <c r="N133" s="514">
        <v>0.84057947357085361</v>
      </c>
      <c r="O133" s="514">
        <v>0.81066127128863463</v>
      </c>
      <c r="P133" s="511">
        <v>51.505000000000003</v>
      </c>
      <c r="Q133" s="511">
        <v>751.91200000000003</v>
      </c>
      <c r="R133" s="511">
        <v>2.2035918842830795</v>
      </c>
      <c r="S133" s="511">
        <v>1.8749308429709863</v>
      </c>
      <c r="T133" s="511">
        <v>0.31259101058149696</v>
      </c>
      <c r="U133" s="511">
        <v>0.29897115619912967</v>
      </c>
      <c r="V133" s="511">
        <v>641.25948936997213</v>
      </c>
      <c r="W133" s="511">
        <v>600.94185223802822</v>
      </c>
      <c r="X133" s="511">
        <v>480.55528589457333</v>
      </c>
      <c r="Y133" s="576">
        <v>519.05276149336623</v>
      </c>
      <c r="Z133" s="511">
        <v>0</v>
      </c>
      <c r="AA133" s="576">
        <v>0</v>
      </c>
      <c r="AB133" s="513">
        <v>0.87886983646450489</v>
      </c>
      <c r="AC133" s="514">
        <v>0.84719951640125923</v>
      </c>
      <c r="AD133" s="514">
        <v>0.87886983646450489</v>
      </c>
      <c r="AE133" s="514">
        <v>0.89027929578289611</v>
      </c>
      <c r="AF133" s="511">
        <v>38.073</v>
      </c>
      <c r="AG133" s="511">
        <v>521.04899999999986</v>
      </c>
      <c r="AH133" s="511">
        <v>141.16604831551533</v>
      </c>
      <c r="AI133" s="511">
        <v>139.23846203647494</v>
      </c>
      <c r="AJ133" s="511">
        <v>1.3920626165524124</v>
      </c>
      <c r="AK133" s="511">
        <v>1.3413325810048575</v>
      </c>
      <c r="AL133" s="511">
        <v>1034.6014235810057</v>
      </c>
      <c r="AM133" s="576">
        <v>1009.7431527553067</v>
      </c>
      <c r="AN133" s="587"/>
      <c r="AO133" s="587"/>
      <c r="AP133" s="513">
        <v>0.94585187708396878</v>
      </c>
      <c r="AQ133" s="514">
        <v>0.81205748645936238</v>
      </c>
      <c r="AR133" s="514">
        <v>0.94585187708396878</v>
      </c>
      <c r="AS133" s="514">
        <v>0.84866126542620046</v>
      </c>
      <c r="AT133" s="511">
        <v>50.981000000000002</v>
      </c>
      <c r="AU133" s="511">
        <v>610.38099999999997</v>
      </c>
      <c r="AV133" s="515">
        <v>113.08795611972465</v>
      </c>
      <c r="AW133" s="515">
        <v>110.84532482285243</v>
      </c>
      <c r="AX133" s="511">
        <v>1.327945705262745</v>
      </c>
      <c r="AY133" s="511">
        <v>1.424683926924331</v>
      </c>
      <c r="AZ133" s="511">
        <v>0</v>
      </c>
      <c r="BA133" s="511">
        <v>1.47448888481129E-2</v>
      </c>
      <c r="BB133" s="511">
        <v>835.41672387752112</v>
      </c>
      <c r="BC133" s="511">
        <v>901.24964571308726</v>
      </c>
      <c r="BD133" s="511">
        <v>495.71997410800867</v>
      </c>
      <c r="BE133" s="576">
        <v>568.81685373561834</v>
      </c>
      <c r="BF133" s="511">
        <v>27.786822541730778</v>
      </c>
      <c r="BG133" s="512">
        <v>27.157627776749226</v>
      </c>
      <c r="BH133" s="513">
        <v>0.88802352469650103</v>
      </c>
      <c r="BI133" s="514">
        <v>0.88989129297440417</v>
      </c>
      <c r="BJ133" s="514">
        <v>0.88802352469650103</v>
      </c>
      <c r="BK133" s="514">
        <v>0.88989129297440417</v>
      </c>
      <c r="BL133" s="511">
        <v>47.006</v>
      </c>
      <c r="BM133" s="511">
        <v>686.827</v>
      </c>
      <c r="BN133" s="511">
        <v>2.7230566310683741</v>
      </c>
      <c r="BO133" s="511">
        <v>2.5502783088026537</v>
      </c>
      <c r="BP133" s="515">
        <v>0</v>
      </c>
      <c r="BQ133" s="515">
        <v>0</v>
      </c>
      <c r="BR133" s="515">
        <v>833.77690920601913</v>
      </c>
      <c r="BS133" s="515">
        <v>889.71836051006426</v>
      </c>
      <c r="BT133" s="515">
        <v>0</v>
      </c>
      <c r="BU133" s="516">
        <v>0</v>
      </c>
      <c r="BV133" s="513">
        <v>0.87023561193166277</v>
      </c>
      <c r="BW133" s="514">
        <v>0.86274019489342435</v>
      </c>
      <c r="BX133" s="514">
        <v>0.87023561193166277</v>
      </c>
      <c r="BY133" s="514">
        <v>0.87844065286442574</v>
      </c>
      <c r="BZ133" s="511">
        <v>47.390999999999998</v>
      </c>
      <c r="CA133" s="511">
        <v>606.06799999999998</v>
      </c>
      <c r="CB133" s="515">
        <v>102.29891649350517</v>
      </c>
      <c r="CC133" s="515">
        <v>106.33469904970946</v>
      </c>
      <c r="CD133" s="511">
        <v>2.0868941360173876</v>
      </c>
      <c r="CE133" s="511">
        <v>2.2266478348964145</v>
      </c>
      <c r="CF133" s="515">
        <v>0</v>
      </c>
      <c r="CG133" s="515">
        <v>0</v>
      </c>
      <c r="CH133" s="515">
        <v>835.14006047272312</v>
      </c>
      <c r="CI133" s="515">
        <v>970.4915745526157</v>
      </c>
      <c r="CJ133" s="515">
        <v>533.27214027980813</v>
      </c>
      <c r="CK133" s="515">
        <v>125.61230752984881</v>
      </c>
      <c r="CL133" s="515"/>
      <c r="CM133" s="516"/>
    </row>
    <row r="134" spans="1:91" ht="12.75" hidden="1" customHeight="1">
      <c r="A134" s="558">
        <v>46037</v>
      </c>
      <c r="B134" s="513">
        <v>0.84196808378876165</v>
      </c>
      <c r="C134" s="514">
        <v>0.79038220657791491</v>
      </c>
      <c r="D134" s="514">
        <v>0.84196808378876165</v>
      </c>
      <c r="E134" s="514">
        <v>0.79038220657791491</v>
      </c>
      <c r="F134" s="511">
        <v>49.59</v>
      </c>
      <c r="G134" s="511">
        <v>725.63600000000008</v>
      </c>
      <c r="H134" s="511">
        <v>2.5619479733817299</v>
      </c>
      <c r="I134" s="511">
        <v>2.4894492555496144</v>
      </c>
      <c r="J134" s="511">
        <v>1145.3022786852098</v>
      </c>
      <c r="K134" s="512">
        <v>1066.4288706734478</v>
      </c>
      <c r="L134" s="513">
        <v>0.80494487277816562</v>
      </c>
      <c r="M134" s="514">
        <v>0.80622096758622186</v>
      </c>
      <c r="N134" s="514">
        <v>0.80494487277816562</v>
      </c>
      <c r="O134" s="514">
        <v>0.81029986770434026</v>
      </c>
      <c r="P134" s="511">
        <v>50.387999999999998</v>
      </c>
      <c r="Q134" s="511">
        <v>802.30000000000007</v>
      </c>
      <c r="R134" s="511">
        <v>2.1367984440739858</v>
      </c>
      <c r="S134" s="511">
        <v>1.8913772902904156</v>
      </c>
      <c r="T134" s="511">
        <v>0.26792093355560848</v>
      </c>
      <c r="U134" s="511">
        <v>0.29702106443973569</v>
      </c>
      <c r="V134" s="511">
        <v>725.1881400333491</v>
      </c>
      <c r="W134" s="511">
        <v>608.74507042253595</v>
      </c>
      <c r="X134" s="511">
        <v>492.22036992934824</v>
      </c>
      <c r="Y134" s="576">
        <v>517.36756824130612</v>
      </c>
      <c r="Z134" s="511">
        <v>0</v>
      </c>
      <c r="AA134" s="576">
        <v>0</v>
      </c>
      <c r="AB134" s="513">
        <v>0.8314135807942663</v>
      </c>
      <c r="AC134" s="514">
        <v>0.84595074886523214</v>
      </c>
      <c r="AD134" s="514">
        <v>0.8314135807942663</v>
      </c>
      <c r="AE134" s="514">
        <v>0.88540546088378846</v>
      </c>
      <c r="AF134" s="511">
        <v>43.924999999999997</v>
      </c>
      <c r="AG134" s="511">
        <v>564.97399999999982</v>
      </c>
      <c r="AH134" s="511">
        <v>113.53278745201378</v>
      </c>
      <c r="AI134" s="511">
        <v>137.23992448231766</v>
      </c>
      <c r="AJ134" s="511">
        <v>1.190665907797382</v>
      </c>
      <c r="AK134" s="511">
        <v>1.3296187081175419</v>
      </c>
      <c r="AL134" s="511">
        <v>808.50358565737872</v>
      </c>
      <c r="AM134" s="576">
        <v>994.09739209238001</v>
      </c>
      <c r="AN134" s="587"/>
      <c r="AO134" s="587"/>
      <c r="AP134" s="513">
        <v>0.96809702322020086</v>
      </c>
      <c r="AQ134" s="514">
        <v>0.82277433657093313</v>
      </c>
      <c r="AR134" s="514">
        <v>0.96809702322020086</v>
      </c>
      <c r="AS134" s="514">
        <v>0.85720744613152222</v>
      </c>
      <c r="AT134" s="511">
        <v>53.661999999999999</v>
      </c>
      <c r="AU134" s="511">
        <v>664.04300000000001</v>
      </c>
      <c r="AV134" s="515">
        <v>104.47599342244094</v>
      </c>
      <c r="AW134" s="515">
        <v>110.33061258040898</v>
      </c>
      <c r="AX134" s="511">
        <v>1.2616003876113451</v>
      </c>
      <c r="AY134" s="511">
        <v>1.4115049778402906</v>
      </c>
      <c r="AZ134" s="511">
        <v>0</v>
      </c>
      <c r="BA134" s="511">
        <v>1.355333916628893E-2</v>
      </c>
      <c r="BB134" s="511">
        <v>820.94442995043221</v>
      </c>
      <c r="BC134" s="511">
        <v>894.76009836712387</v>
      </c>
      <c r="BD134" s="511">
        <v>456.82140061867466</v>
      </c>
      <c r="BE134" s="576">
        <v>559.76638561057007</v>
      </c>
      <c r="BF134" s="511">
        <v>26.774999068242284</v>
      </c>
      <c r="BG134" s="512">
        <v>27.126707156012472</v>
      </c>
      <c r="BH134" s="513">
        <v>0.9608699608699609</v>
      </c>
      <c r="BI134" s="514">
        <v>0.89460843759563091</v>
      </c>
      <c r="BJ134" s="514">
        <v>0.9608699608699609</v>
      </c>
      <c r="BK134" s="514">
        <v>0.89460843759563091</v>
      </c>
      <c r="BL134" s="511">
        <v>52.795000000000002</v>
      </c>
      <c r="BM134" s="511">
        <v>739.62199999999996</v>
      </c>
      <c r="BN134" s="511">
        <v>2.4396249644852732</v>
      </c>
      <c r="BO134" s="511">
        <v>2.5423797561457073</v>
      </c>
      <c r="BP134" s="515">
        <v>0</v>
      </c>
      <c r="BQ134" s="515">
        <v>0</v>
      </c>
      <c r="BR134" s="515">
        <v>777.83603554666115</v>
      </c>
      <c r="BS134" s="515">
        <v>881.73208191580545</v>
      </c>
      <c r="BT134" s="515">
        <v>0</v>
      </c>
      <c r="BU134" s="516">
        <v>0</v>
      </c>
      <c r="BV134" s="513">
        <v>0.95602818203616724</v>
      </c>
      <c r="BW134" s="514">
        <v>0.86941108392120936</v>
      </c>
      <c r="BX134" s="514">
        <v>0.95602818203616724</v>
      </c>
      <c r="BY134" s="514">
        <v>0.88408245060300461</v>
      </c>
      <c r="BZ134" s="511">
        <v>51.723999999999997</v>
      </c>
      <c r="CA134" s="511">
        <v>657.79200000000003</v>
      </c>
      <c r="CB134" s="515">
        <v>89.642749055279367</v>
      </c>
      <c r="CC134" s="515">
        <v>105.0221649636885</v>
      </c>
      <c r="CD134" s="511">
        <v>1.9140051040136108</v>
      </c>
      <c r="CE134" s="511">
        <v>2.2020638742946099</v>
      </c>
      <c r="CF134" s="515">
        <v>0</v>
      </c>
      <c r="CG134" s="515">
        <v>0</v>
      </c>
      <c r="CH134" s="515">
        <v>799.32152392147805</v>
      </c>
      <c r="CI134" s="515">
        <v>957.03200116339099</v>
      </c>
      <c r="CJ134" s="515">
        <v>473.93763050033488</v>
      </c>
      <c r="CK134" s="515">
        <v>153.00208880618757</v>
      </c>
      <c r="CL134" s="515"/>
      <c r="CM134" s="516"/>
    </row>
    <row r="135" spans="1:91" ht="12.75" hidden="1" customHeight="1">
      <c r="A135" s="558">
        <v>46038</v>
      </c>
      <c r="B135" s="513">
        <v>0.75704729529509784</v>
      </c>
      <c r="C135" s="514">
        <v>0.78842283721799988</v>
      </c>
      <c r="D135" s="514">
        <v>0.75704729529509784</v>
      </c>
      <c r="E135" s="514">
        <v>0.78842283721799988</v>
      </c>
      <c r="F135" s="511">
        <v>43.404000000000003</v>
      </c>
      <c r="G135" s="511">
        <v>769.04000000000008</v>
      </c>
      <c r="H135" s="511">
        <v>2.8862316837157862</v>
      </c>
      <c r="I135" s="511">
        <v>2.5118433371476123</v>
      </c>
      <c r="J135" s="511">
        <v>1246.4699106073597</v>
      </c>
      <c r="K135" s="512">
        <v>1076.5902423801101</v>
      </c>
      <c r="L135" s="513">
        <v>0.79198282787844265</v>
      </c>
      <c r="M135" s="514">
        <v>0.80539312178191669</v>
      </c>
      <c r="N135" s="514">
        <v>0.79198282787844265</v>
      </c>
      <c r="O135" s="514">
        <v>0.80922978969987314</v>
      </c>
      <c r="P135" s="511">
        <v>48.652999999999999</v>
      </c>
      <c r="Q135" s="511">
        <v>850.95300000000009</v>
      </c>
      <c r="R135" s="511">
        <v>2.4169527058968616</v>
      </c>
      <c r="S135" s="511">
        <v>1.9214269178203736</v>
      </c>
      <c r="T135" s="511">
        <v>0.35557930651758374</v>
      </c>
      <c r="U135" s="511">
        <v>0.30036911556807483</v>
      </c>
      <c r="V135" s="511">
        <v>705.58588370708503</v>
      </c>
      <c r="W135" s="511">
        <v>614.28191686262505</v>
      </c>
      <c r="X135" s="511">
        <v>567.40591535979274</v>
      </c>
      <c r="Y135" s="576">
        <v>520.22849675599002</v>
      </c>
      <c r="Z135" s="511">
        <v>0</v>
      </c>
      <c r="AA135" s="576">
        <v>0</v>
      </c>
      <c r="AB135" s="513">
        <v>0.81060253938061111</v>
      </c>
      <c r="AC135" s="514">
        <v>0.84357004767071053</v>
      </c>
      <c r="AD135" s="514">
        <v>0.81060253938061111</v>
      </c>
      <c r="AE135" s="514">
        <v>0.88014902837409636</v>
      </c>
      <c r="AF135" s="511">
        <v>39.094000000000001</v>
      </c>
      <c r="AG135" s="511">
        <v>604.06799999999987</v>
      </c>
      <c r="AH135" s="511">
        <v>136.39560568400154</v>
      </c>
      <c r="AI135" s="511">
        <v>137.1852819601159</v>
      </c>
      <c r="AJ135" s="511">
        <v>1.4017496290990943</v>
      </c>
      <c r="AK135" s="511">
        <v>1.3342868683658131</v>
      </c>
      <c r="AL135" s="511">
        <v>948.01708702100757</v>
      </c>
      <c r="AM135" s="576">
        <v>991.11517246402627</v>
      </c>
      <c r="AN135" s="587"/>
      <c r="AO135" s="587"/>
      <c r="AP135" s="513">
        <v>0.89796734160075609</v>
      </c>
      <c r="AQ135" s="514">
        <v>0.8276039405421971</v>
      </c>
      <c r="AR135" s="514">
        <v>0.89796734160075609</v>
      </c>
      <c r="AS135" s="514">
        <v>0.85992768172989587</v>
      </c>
      <c r="AT135" s="511">
        <v>49.744</v>
      </c>
      <c r="AU135" s="511">
        <v>713.78700000000003</v>
      </c>
      <c r="AV135" s="515">
        <v>117.16456242542759</v>
      </c>
      <c r="AW135" s="515">
        <v>110.80687230647656</v>
      </c>
      <c r="AX135" s="511">
        <v>1.3871019620456739</v>
      </c>
      <c r="AY135" s="511">
        <v>1.4098043253799803</v>
      </c>
      <c r="AZ135" s="511">
        <v>0</v>
      </c>
      <c r="BA135" s="511">
        <v>1.2608803466580366E-2</v>
      </c>
      <c r="BB135" s="511">
        <v>870.29149244129894</v>
      </c>
      <c r="BC135" s="511">
        <v>893.05487491366466</v>
      </c>
      <c r="BD135" s="511">
        <v>500.78916050177912</v>
      </c>
      <c r="BE135" s="576">
        <v>555.65624759206912</v>
      </c>
      <c r="BF135" s="511">
        <v>28.626568028305506</v>
      </c>
      <c r="BG135" s="512">
        <v>27.231232846773644</v>
      </c>
      <c r="BH135" s="513">
        <v>0.89279070028388363</v>
      </c>
      <c r="BI135" s="514">
        <v>0.89449370196323086</v>
      </c>
      <c r="BJ135" s="514">
        <v>0.89279070028388363</v>
      </c>
      <c r="BK135" s="514">
        <v>0.89449370196323086</v>
      </c>
      <c r="BL135" s="511">
        <v>49.728999999999999</v>
      </c>
      <c r="BM135" s="511">
        <v>789.351</v>
      </c>
      <c r="BN135" s="511">
        <v>2.6664521707655493</v>
      </c>
      <c r="BO135" s="511">
        <v>2.5501963005050987</v>
      </c>
      <c r="BP135" s="515">
        <v>0</v>
      </c>
      <c r="BQ135" s="515">
        <v>0</v>
      </c>
      <c r="BR135" s="515">
        <v>821.43418659223062</v>
      </c>
      <c r="BS135" s="515">
        <v>877.93332314240047</v>
      </c>
      <c r="BT135" s="515">
        <v>0</v>
      </c>
      <c r="BU135" s="516">
        <v>0</v>
      </c>
      <c r="BV135" s="513">
        <v>0.97903889512042042</v>
      </c>
      <c r="BW135" s="514">
        <v>0.87670919910705991</v>
      </c>
      <c r="BX135" s="514">
        <v>0.97903889512042042</v>
      </c>
      <c r="BY135" s="514">
        <v>0.89050332831449186</v>
      </c>
      <c r="BZ135" s="511">
        <v>52.829000000000001</v>
      </c>
      <c r="CA135" s="511">
        <v>710.62099999999998</v>
      </c>
      <c r="CB135" s="515">
        <v>89.165348541505125</v>
      </c>
      <c r="CC135" s="515">
        <v>103.84333721335811</v>
      </c>
      <c r="CD135" s="511">
        <v>1.8550417384391149</v>
      </c>
      <c r="CE135" s="511">
        <v>2.176265548020675</v>
      </c>
      <c r="CF135" s="515">
        <v>0</v>
      </c>
      <c r="CG135" s="515">
        <v>0</v>
      </c>
      <c r="CH135" s="515">
        <v>771.37631480725713</v>
      </c>
      <c r="CI135" s="515">
        <v>943.22998257048675</v>
      </c>
      <c r="CJ135" s="515">
        <v>453.05313369551726</v>
      </c>
      <c r="CK135" s="515">
        <v>175.30848933538439</v>
      </c>
      <c r="CL135" s="515"/>
      <c r="CM135" s="516"/>
    </row>
    <row r="136" spans="1:91" ht="12.75" hidden="1" customHeight="1">
      <c r="A136" s="558">
        <v>46039</v>
      </c>
      <c r="B136" s="513">
        <v>0.87599907740890015</v>
      </c>
      <c r="C136" s="514">
        <v>0.79336494792633139</v>
      </c>
      <c r="D136" s="514">
        <v>0.87599907740890015</v>
      </c>
      <c r="E136" s="514">
        <v>0.79336494792633139</v>
      </c>
      <c r="F136" s="511">
        <v>51.103000000000002</v>
      </c>
      <c r="G136" s="511">
        <v>820.14300000000003</v>
      </c>
      <c r="H136" s="511">
        <v>2.4742970080034441</v>
      </c>
      <c r="I136" s="511">
        <v>2.5095038304295714</v>
      </c>
      <c r="J136" s="511">
        <v>1097.9832886523054</v>
      </c>
      <c r="K136" s="512">
        <v>1077.9232402154241</v>
      </c>
      <c r="L136" s="513">
        <v>1.2089008685041371</v>
      </c>
      <c r="M136" s="514">
        <v>0.82655681925515889</v>
      </c>
      <c r="N136" s="514">
        <v>1.2089008685041371</v>
      </c>
      <c r="O136" s="514">
        <v>0.8302868547904243</v>
      </c>
      <c r="P136" s="511">
        <v>70.700999999999993</v>
      </c>
      <c r="Q136" s="511">
        <v>921.65400000000011</v>
      </c>
      <c r="R136" s="511">
        <v>1.6228624771926847</v>
      </c>
      <c r="S136" s="511">
        <v>1.8985237410134392</v>
      </c>
      <c r="T136" s="511">
        <v>0.2545932872236602</v>
      </c>
      <c r="U136" s="511">
        <v>0.29685760599964844</v>
      </c>
      <c r="V136" s="511">
        <v>456.52338722220975</v>
      </c>
      <c r="W136" s="511">
        <v>602.1801022943522</v>
      </c>
      <c r="X136" s="511">
        <v>436.79721644672634</v>
      </c>
      <c r="Y136" s="576">
        <v>513.82839981164295</v>
      </c>
      <c r="Z136" s="511">
        <v>0</v>
      </c>
      <c r="AA136" s="576">
        <v>0</v>
      </c>
      <c r="AB136" s="513">
        <v>0.96574430656587262</v>
      </c>
      <c r="AC136" s="514">
        <v>0.85086899009717054</v>
      </c>
      <c r="AD136" s="514">
        <v>0.96574430656587262</v>
      </c>
      <c r="AE136" s="514">
        <v>0.88547061935971494</v>
      </c>
      <c r="AF136" s="511">
        <v>43.94</v>
      </c>
      <c r="AG136" s="511">
        <v>648.00799999999981</v>
      </c>
      <c r="AH136" s="511">
        <v>127.16735622648845</v>
      </c>
      <c r="AI136" s="511">
        <v>136.5059884070493</v>
      </c>
      <c r="AJ136" s="511">
        <v>1.2744651797906237</v>
      </c>
      <c r="AK136" s="511">
        <v>1.330230490981593</v>
      </c>
      <c r="AL136" s="511">
        <v>832.95949021392801</v>
      </c>
      <c r="AM136" s="576">
        <v>980.39098282737166</v>
      </c>
      <c r="AN136" s="587"/>
      <c r="AO136" s="587"/>
      <c r="AP136" s="513">
        <v>0.9300051344179695</v>
      </c>
      <c r="AQ136" s="514">
        <v>0.83376964156905997</v>
      </c>
      <c r="AR136" s="514">
        <v>0.9300051344179695</v>
      </c>
      <c r="AS136" s="514">
        <v>0.86430164377281471</v>
      </c>
      <c r="AT136" s="511">
        <v>51.39</v>
      </c>
      <c r="AU136" s="511">
        <v>765.17700000000002</v>
      </c>
      <c r="AV136" s="515">
        <v>101.38561042793269</v>
      </c>
      <c r="AW136" s="515">
        <v>110.17413158382237</v>
      </c>
      <c r="AX136" s="511">
        <v>1.2414866705584744</v>
      </c>
      <c r="AY136" s="511">
        <v>1.3984999549123929</v>
      </c>
      <c r="AZ136" s="511">
        <v>0</v>
      </c>
      <c r="BA136" s="511">
        <v>1.1761984482021806E-2</v>
      </c>
      <c r="BB136" s="511">
        <v>737.11305701498281</v>
      </c>
      <c r="BC136" s="511">
        <v>882.58167718057393</v>
      </c>
      <c r="BD136" s="511">
        <v>493.61066355322328</v>
      </c>
      <c r="BE136" s="576">
        <v>551.48920837923822</v>
      </c>
      <c r="BF136" s="511">
        <v>28.262307841992495</v>
      </c>
      <c r="BG136" s="512">
        <v>27.300480803787895</v>
      </c>
      <c r="BH136" s="513">
        <v>1.0239612100337483</v>
      </c>
      <c r="BI136" s="514">
        <v>0.90212098363898685</v>
      </c>
      <c r="BJ136" s="514">
        <v>1.0239612100337483</v>
      </c>
      <c r="BK136" s="514">
        <v>0.90212098363898685</v>
      </c>
      <c r="BL136" s="511">
        <v>56.566000000000003</v>
      </c>
      <c r="BM136" s="511">
        <v>845.91700000000003</v>
      </c>
      <c r="BN136" s="511">
        <v>2.4785206661245267</v>
      </c>
      <c r="BO136" s="511">
        <v>2.5454033906399798</v>
      </c>
      <c r="BP136" s="515">
        <v>0</v>
      </c>
      <c r="BQ136" s="515">
        <v>0</v>
      </c>
      <c r="BR136" s="515">
        <v>787.70938468300096</v>
      </c>
      <c r="BS136" s="515">
        <v>871.90009848455065</v>
      </c>
      <c r="BT136" s="515">
        <v>0</v>
      </c>
      <c r="BU136" s="516">
        <v>0</v>
      </c>
      <c r="BV136" s="513">
        <v>1.0106038276666576</v>
      </c>
      <c r="BW136" s="514">
        <v>0.88523830940520409</v>
      </c>
      <c r="BX136" s="514">
        <v>1.0106038276666576</v>
      </c>
      <c r="BY136" s="514">
        <v>0.89826634135323313</v>
      </c>
      <c r="BZ136" s="511">
        <v>55.73</v>
      </c>
      <c r="CA136" s="511">
        <v>766.351</v>
      </c>
      <c r="CB136" s="515">
        <v>84.856627445121759</v>
      </c>
      <c r="CC136" s="515">
        <v>102.46260001149655</v>
      </c>
      <c r="CD136" s="511">
        <v>1.799748788803158</v>
      </c>
      <c r="CE136" s="511">
        <v>2.1488847799507016</v>
      </c>
      <c r="CF136" s="515">
        <v>0</v>
      </c>
      <c r="CG136" s="515">
        <v>0</v>
      </c>
      <c r="CH136" s="515">
        <v>708.21910902601405</v>
      </c>
      <c r="CI136" s="515">
        <v>926.1396988980789</v>
      </c>
      <c r="CJ136" s="515">
        <v>513.27737304863035</v>
      </c>
      <c r="CK136" s="515">
        <v>199.88600784757949</v>
      </c>
      <c r="CL136" s="515"/>
      <c r="CM136" s="516"/>
    </row>
    <row r="137" spans="1:91" ht="12.75" hidden="1" customHeight="1">
      <c r="A137" s="558">
        <v>46040</v>
      </c>
      <c r="B137" s="513">
        <v>0.83214572378659069</v>
      </c>
      <c r="C137" s="514">
        <v>0.79544554129337108</v>
      </c>
      <c r="D137" s="514">
        <v>0.83214572378659069</v>
      </c>
      <c r="E137" s="514">
        <v>0.79544554129337108</v>
      </c>
      <c r="F137" s="511">
        <v>48.768000000000001</v>
      </c>
      <c r="G137" s="511">
        <v>868.91100000000006</v>
      </c>
      <c r="H137" s="511">
        <v>2.5719529199475066</v>
      </c>
      <c r="I137" s="511">
        <v>2.5130088121798435</v>
      </c>
      <c r="J137" s="511">
        <v>1149.9758038057914</v>
      </c>
      <c r="K137" s="512">
        <v>1081.9672210387478</v>
      </c>
      <c r="L137" s="513">
        <v>0.94411324008997122</v>
      </c>
      <c r="M137" s="514">
        <v>0.83177701728313114</v>
      </c>
      <c r="N137" s="514">
        <v>0.94411324008997122</v>
      </c>
      <c r="O137" s="514">
        <v>0.83536320991484436</v>
      </c>
      <c r="P137" s="511">
        <v>48.92</v>
      </c>
      <c r="Q137" s="511">
        <v>970.57400000000007</v>
      </c>
      <c r="R137" s="511">
        <v>2.3911896974652489</v>
      </c>
      <c r="S137" s="511">
        <v>1.923355663761857</v>
      </c>
      <c r="T137" s="511">
        <v>0.26165167620605068</v>
      </c>
      <c r="U137" s="511">
        <v>0.29508311576448576</v>
      </c>
      <c r="V137" s="511">
        <v>767.49243663127754</v>
      </c>
      <c r="W137" s="511">
        <v>610.51236690865494</v>
      </c>
      <c r="X137" s="511">
        <v>421.64758789860997</v>
      </c>
      <c r="Y137" s="576">
        <v>509.18219527825789</v>
      </c>
      <c r="Z137" s="511">
        <v>0</v>
      </c>
      <c r="AA137" s="576">
        <v>0</v>
      </c>
      <c r="AB137" s="513">
        <v>0.87883815059360693</v>
      </c>
      <c r="AC137" s="514">
        <v>0.85250750338263592</v>
      </c>
      <c r="AD137" s="514">
        <v>0.87883815059360693</v>
      </c>
      <c r="AE137" s="514">
        <v>0.88506723059242776</v>
      </c>
      <c r="AF137" s="511">
        <v>41.65</v>
      </c>
      <c r="AG137" s="511">
        <v>689.65799999999979</v>
      </c>
      <c r="AH137" s="511">
        <v>127.59142036608267</v>
      </c>
      <c r="AI137" s="511">
        <v>135.96761756395568</v>
      </c>
      <c r="AJ137" s="511">
        <v>1.2893157262905164</v>
      </c>
      <c r="AK137" s="511">
        <v>1.3277595561858198</v>
      </c>
      <c r="AL137" s="511">
        <v>943.38583433372469</v>
      </c>
      <c r="AM137" s="576">
        <v>978.15615855974875</v>
      </c>
      <c r="AN137" s="587"/>
      <c r="AO137" s="587"/>
      <c r="AP137" s="513">
        <v>0.93143981179529378</v>
      </c>
      <c r="AQ137" s="514">
        <v>0.83920411234531656</v>
      </c>
      <c r="AR137" s="514">
        <v>0.93143981179529378</v>
      </c>
      <c r="AS137" s="514">
        <v>0.86816620392822741</v>
      </c>
      <c r="AT137" s="511">
        <v>50.365000000000002</v>
      </c>
      <c r="AU137" s="511">
        <v>815.54200000000003</v>
      </c>
      <c r="AV137" s="515">
        <v>106.85917398707899</v>
      </c>
      <c r="AW137" s="515">
        <v>109.96941148435481</v>
      </c>
      <c r="AX137" s="511">
        <v>1.3044773155961482</v>
      </c>
      <c r="AY137" s="511">
        <v>1.3926934480382374</v>
      </c>
      <c r="AZ137" s="511">
        <v>0</v>
      </c>
      <c r="BA137" s="511">
        <v>1.1035605768924225E-2</v>
      </c>
      <c r="BB137" s="511">
        <v>824.22356795393637</v>
      </c>
      <c r="BC137" s="511">
        <v>878.97768600513518</v>
      </c>
      <c r="BD137" s="511">
        <v>495.96120321652069</v>
      </c>
      <c r="BE137" s="576">
        <v>548.05999445767407</v>
      </c>
      <c r="BF137" s="511">
        <v>26.998907971805586</v>
      </c>
      <c r="BG137" s="512">
        <v>27.281856728408837</v>
      </c>
      <c r="BH137" s="513">
        <v>0.90373934330470351</v>
      </c>
      <c r="BI137" s="514">
        <v>0.90220503235336824</v>
      </c>
      <c r="BJ137" s="514">
        <v>0.90373934330470351</v>
      </c>
      <c r="BK137" s="514">
        <v>0.90220503235336824</v>
      </c>
      <c r="BL137" s="511">
        <v>46.421999999999997</v>
      </c>
      <c r="BM137" s="511">
        <v>892.33900000000006</v>
      </c>
      <c r="BN137" s="511">
        <v>2.8779458015596053</v>
      </c>
      <c r="BO137" s="511">
        <v>2.5627031879140096</v>
      </c>
      <c r="BP137" s="515">
        <v>0</v>
      </c>
      <c r="BQ137" s="515">
        <v>0</v>
      </c>
      <c r="BR137" s="515">
        <v>1035.6498548991126</v>
      </c>
      <c r="BS137" s="515">
        <v>880.41882420681168</v>
      </c>
      <c r="BT137" s="515">
        <v>0</v>
      </c>
      <c r="BU137" s="516">
        <v>0</v>
      </c>
      <c r="BV137" s="513">
        <v>0.86654305169100854</v>
      </c>
      <c r="BW137" s="514">
        <v>0.88414670289591502</v>
      </c>
      <c r="BX137" s="514">
        <v>0.86654305169100854</v>
      </c>
      <c r="BY137" s="514">
        <v>0.89638838814306487</v>
      </c>
      <c r="BZ137" s="511">
        <v>46.518000000000001</v>
      </c>
      <c r="CA137" s="511">
        <v>812.86900000000003</v>
      </c>
      <c r="CB137" s="515">
        <v>92.735178724223388</v>
      </c>
      <c r="CC137" s="515">
        <v>101.90592952284292</v>
      </c>
      <c r="CD137" s="511">
        <v>2.0809149146566921</v>
      </c>
      <c r="CE137" s="511">
        <v>2.1449950730068434</v>
      </c>
      <c r="CF137" s="515">
        <v>0</v>
      </c>
      <c r="CG137" s="515">
        <v>0</v>
      </c>
      <c r="CH137" s="515">
        <v>876.56224334403873</v>
      </c>
      <c r="CI137" s="515">
        <v>923.30253315862649</v>
      </c>
      <c r="CJ137" s="515">
        <v>515.9188701147956</v>
      </c>
      <c r="CK137" s="515">
        <v>217.97159935979897</v>
      </c>
      <c r="CL137" s="515"/>
      <c r="CM137" s="516"/>
    </row>
    <row r="138" spans="1:91" ht="12.75" hidden="1" customHeight="1">
      <c r="A138" s="558">
        <v>46041</v>
      </c>
      <c r="B138" s="513">
        <v>0.82726334845168603</v>
      </c>
      <c r="C138" s="514">
        <v>0.79705505900043871</v>
      </c>
      <c r="D138" s="514">
        <v>0.82726334845168603</v>
      </c>
      <c r="E138" s="514">
        <v>0.79705505900043871</v>
      </c>
      <c r="F138" s="511">
        <v>48.148000000000003</v>
      </c>
      <c r="G138" s="511">
        <v>917.05900000000008</v>
      </c>
      <c r="H138" s="511">
        <v>2.5676248234609949</v>
      </c>
      <c r="I138" s="511">
        <v>2.5158762958544654</v>
      </c>
      <c r="J138" s="511">
        <v>1153.3808257870824</v>
      </c>
      <c r="K138" s="512">
        <v>1085.7166223765273</v>
      </c>
      <c r="L138" s="513">
        <v>0.93856657796010701</v>
      </c>
      <c r="M138" s="514">
        <v>0.83632448830842598</v>
      </c>
      <c r="N138" s="514">
        <v>0.93856657796010701</v>
      </c>
      <c r="O138" s="514">
        <v>0.83977610610971154</v>
      </c>
      <c r="P138" s="511">
        <v>48.710999999999999</v>
      </c>
      <c r="Q138" s="511">
        <v>1019.2850000000001</v>
      </c>
      <c r="R138" s="511">
        <v>2.3129149473424895</v>
      </c>
      <c r="S138" s="511">
        <v>1.9419724610879199</v>
      </c>
      <c r="T138" s="511">
        <v>0.28740941471125619</v>
      </c>
      <c r="U138" s="511">
        <v>0.29471639433524482</v>
      </c>
      <c r="V138" s="511">
        <v>730.47504670398177</v>
      </c>
      <c r="W138" s="511">
        <v>616.24530921184817</v>
      </c>
      <c r="X138" s="511">
        <v>454.76381104883905</v>
      </c>
      <c r="Y138" s="576">
        <v>506.58157433887476</v>
      </c>
      <c r="Z138" s="511">
        <v>0</v>
      </c>
      <c r="AA138" s="576">
        <v>0</v>
      </c>
      <c r="AB138" s="513">
        <v>0.89995875519000834</v>
      </c>
      <c r="AC138" s="514">
        <v>0.8551829973602223</v>
      </c>
      <c r="AD138" s="514">
        <v>0.89995875519000834</v>
      </c>
      <c r="AE138" s="514">
        <v>0.88593707040921532</v>
      </c>
      <c r="AF138" s="511">
        <v>43.503</v>
      </c>
      <c r="AG138" s="511">
        <v>733.16099999999983</v>
      </c>
      <c r="AH138" s="511">
        <v>125.70157150907191</v>
      </c>
      <c r="AI138" s="511">
        <v>135.35846923019866</v>
      </c>
      <c r="AJ138" s="511">
        <v>1.2504884720593981</v>
      </c>
      <c r="AK138" s="511">
        <v>1.3231745823904981</v>
      </c>
      <c r="AL138" s="511">
        <v>877.93899271314626</v>
      </c>
      <c r="AM138" s="576">
        <v>972.20965108618577</v>
      </c>
      <c r="AN138" s="587"/>
      <c r="AO138" s="587"/>
      <c r="AP138" s="513">
        <v>0.95476788324925643</v>
      </c>
      <c r="AQ138" s="514">
        <v>0.84517103605544597</v>
      </c>
      <c r="AR138" s="514">
        <v>0.95476788324925643</v>
      </c>
      <c r="AS138" s="514">
        <v>0.87278381309879705</v>
      </c>
      <c r="AT138" s="511">
        <v>50.515999999999998</v>
      </c>
      <c r="AU138" s="511">
        <v>866.05799999999999</v>
      </c>
      <c r="AV138" s="515">
        <v>115.08021760047558</v>
      </c>
      <c r="AW138" s="515">
        <v>110.26751794115327</v>
      </c>
      <c r="AX138" s="511">
        <v>1.2887006097078153</v>
      </c>
      <c r="AY138" s="511">
        <v>1.3866276854437003</v>
      </c>
      <c r="AZ138" s="511">
        <v>0</v>
      </c>
      <c r="BA138" s="511">
        <v>1.0391913705548589E-2</v>
      </c>
      <c r="BB138" s="511">
        <v>835.43788106738452</v>
      </c>
      <c r="BC138" s="511">
        <v>876.43806765828617</v>
      </c>
      <c r="BD138" s="511">
        <v>481.80954549053411</v>
      </c>
      <c r="BE138" s="576">
        <v>544.19569474561774</v>
      </c>
      <c r="BF138" s="511">
        <v>28.434555388391679</v>
      </c>
      <c r="BG138" s="512">
        <v>27.349092093139252</v>
      </c>
      <c r="BH138" s="513">
        <v>0.78540302268568252</v>
      </c>
      <c r="BI138" s="514">
        <v>0.89642629707586508</v>
      </c>
      <c r="BJ138" s="514">
        <v>0.78540302268568252</v>
      </c>
      <c r="BK138" s="514">
        <v>0.89642629707586508</v>
      </c>
      <c r="BL138" s="511">
        <v>40.433</v>
      </c>
      <c r="BM138" s="511">
        <v>932.77200000000005</v>
      </c>
      <c r="BN138" s="511">
        <v>3.2696065095342912</v>
      </c>
      <c r="BO138" s="511">
        <v>2.5933454263206865</v>
      </c>
      <c r="BP138" s="515">
        <v>0</v>
      </c>
      <c r="BQ138" s="515">
        <v>0</v>
      </c>
      <c r="BR138" s="515">
        <v>1212.7046095883788</v>
      </c>
      <c r="BS138" s="515">
        <v>894.82246321005471</v>
      </c>
      <c r="BT138" s="515">
        <v>0</v>
      </c>
      <c r="BU138" s="516">
        <v>0</v>
      </c>
      <c r="BV138" s="513">
        <v>0.98457734519458839</v>
      </c>
      <c r="BW138" s="514">
        <v>0.89014028454512717</v>
      </c>
      <c r="BX138" s="514">
        <v>0.98457734519458839</v>
      </c>
      <c r="BY138" s="514">
        <v>0.90171986555868855</v>
      </c>
      <c r="BZ138" s="511">
        <v>57.45</v>
      </c>
      <c r="CA138" s="511">
        <v>870.31900000000007</v>
      </c>
      <c r="CB138" s="515">
        <v>67.453651215582596</v>
      </c>
      <c r="CC138" s="515">
        <v>99.631725019951318</v>
      </c>
      <c r="CD138" s="511">
        <v>1.7667536988685812</v>
      </c>
      <c r="CE138" s="511">
        <v>2.1200272543745453</v>
      </c>
      <c r="CF138" s="515">
        <v>0</v>
      </c>
      <c r="CG138" s="515">
        <v>0</v>
      </c>
      <c r="CH138" s="515">
        <v>658.51792028737498</v>
      </c>
      <c r="CI138" s="515">
        <v>905.82402699082661</v>
      </c>
      <c r="CJ138" s="515">
        <v>477.74080069625421</v>
      </c>
      <c r="CK138" s="515">
        <v>235.11903681293893</v>
      </c>
      <c r="CL138" s="515"/>
      <c r="CM138" s="516"/>
    </row>
    <row r="139" spans="1:91" ht="12.75" hidden="1" customHeight="1">
      <c r="A139" s="558">
        <v>46042</v>
      </c>
      <c r="B139" s="513">
        <v>0.79821916122225722</v>
      </c>
      <c r="C139" s="514">
        <v>0.79711076379418211</v>
      </c>
      <c r="D139" s="514">
        <v>0.79821916122225722</v>
      </c>
      <c r="E139" s="514">
        <v>0.79711076379418211</v>
      </c>
      <c r="F139" s="511">
        <v>46.155999999999999</v>
      </c>
      <c r="G139" s="511">
        <v>963.21500000000003</v>
      </c>
      <c r="H139" s="511">
        <v>2.6746901811248809</v>
      </c>
      <c r="I139" s="511">
        <v>2.5234864490274758</v>
      </c>
      <c r="J139" s="511">
        <v>1293.9882138834096</v>
      </c>
      <c r="K139" s="512">
        <v>1095.6967239920461</v>
      </c>
      <c r="L139" s="513">
        <v>0.98630353377636537</v>
      </c>
      <c r="M139" s="514">
        <v>0.84245467817054731</v>
      </c>
      <c r="N139" s="514">
        <v>0.98630353377636537</v>
      </c>
      <c r="O139" s="514">
        <v>0.84578891929375066</v>
      </c>
      <c r="P139" s="511">
        <v>51.226999999999997</v>
      </c>
      <c r="Q139" s="511">
        <v>1070.5120000000002</v>
      </c>
      <c r="R139" s="511">
        <v>2.1775060026938919</v>
      </c>
      <c r="S139" s="511">
        <v>1.9532434012883555</v>
      </c>
      <c r="T139" s="511">
        <v>0.32209576980888988</v>
      </c>
      <c r="U139" s="511">
        <v>0.29602657420000894</v>
      </c>
      <c r="V139" s="511">
        <v>797.49507095868262</v>
      </c>
      <c r="W139" s="511">
        <v>624.91861838073658</v>
      </c>
      <c r="X139" s="511">
        <v>485.42760653561601</v>
      </c>
      <c r="Y139" s="576">
        <v>505.56929768185677</v>
      </c>
      <c r="Z139" s="511">
        <v>0</v>
      </c>
      <c r="AA139" s="576">
        <v>0</v>
      </c>
      <c r="AB139" s="513">
        <v>0.98248915222388733</v>
      </c>
      <c r="AC139" s="514">
        <v>0.86182067550883301</v>
      </c>
      <c r="AD139" s="514">
        <v>0.98248915222388733</v>
      </c>
      <c r="AE139" s="514">
        <v>0.89114252534962479</v>
      </c>
      <c r="AF139" s="511">
        <v>46.332999999999998</v>
      </c>
      <c r="AG139" s="511">
        <v>779.4939999999998</v>
      </c>
      <c r="AH139" s="511">
        <v>118.67654022615731</v>
      </c>
      <c r="AI139" s="511">
        <v>134.36689801022231</v>
      </c>
      <c r="AJ139" s="511">
        <v>1.1719508773444414</v>
      </c>
      <c r="AK139" s="511">
        <v>1.3141858692946964</v>
      </c>
      <c r="AL139" s="511">
        <v>846.16407312283604</v>
      </c>
      <c r="AM139" s="576">
        <v>964.7175218795777</v>
      </c>
      <c r="AN139" s="587"/>
      <c r="AO139" s="587"/>
      <c r="AP139" s="513">
        <v>0.98795933484839349</v>
      </c>
      <c r="AQ139" s="514">
        <v>0.85248564465198007</v>
      </c>
      <c r="AR139" s="514">
        <v>0.98795933484839349</v>
      </c>
      <c r="AS139" s="514">
        <v>0.8788664863891319</v>
      </c>
      <c r="AT139" s="511">
        <v>54.661000000000001</v>
      </c>
      <c r="AU139" s="511">
        <v>920.71900000000005</v>
      </c>
      <c r="AV139" s="515">
        <v>105.97520040772713</v>
      </c>
      <c r="AW139" s="515">
        <v>110.01269277875888</v>
      </c>
      <c r="AX139" s="511">
        <v>1.2275662721135727</v>
      </c>
      <c r="AY139" s="511">
        <v>1.3771845698850571</v>
      </c>
      <c r="AZ139" s="511">
        <v>0</v>
      </c>
      <c r="BA139" s="511">
        <v>9.7749693446100277E-3</v>
      </c>
      <c r="BB139" s="511">
        <v>806.15649183147093</v>
      </c>
      <c r="BC139" s="511">
        <v>872.26560981146258</v>
      </c>
      <c r="BD139" s="511">
        <v>414.97334479793278</v>
      </c>
      <c r="BE139" s="576">
        <v>536.52405674261092</v>
      </c>
      <c r="BF139" s="511">
        <v>25.138581438319932</v>
      </c>
      <c r="BG139" s="512">
        <v>27.217859086214144</v>
      </c>
      <c r="BH139" s="513">
        <v>1.0010377506265664</v>
      </c>
      <c r="BI139" s="514">
        <v>0.90135791906376084</v>
      </c>
      <c r="BJ139" s="514">
        <v>1.0010377506265664</v>
      </c>
      <c r="BK139" s="514">
        <v>0.90135791906376084</v>
      </c>
      <c r="BL139" s="511">
        <v>51.533999999999999</v>
      </c>
      <c r="BM139" s="511">
        <v>984.30600000000004</v>
      </c>
      <c r="BN139" s="511">
        <v>2.4857375713121432</v>
      </c>
      <c r="BO139" s="511">
        <v>2.5877115449870258</v>
      </c>
      <c r="BP139" s="515">
        <v>0</v>
      </c>
      <c r="BQ139" s="515">
        <v>0</v>
      </c>
      <c r="BR139" s="515">
        <v>955.71133902794884</v>
      </c>
      <c r="BS139" s="515">
        <v>898.01034109193222</v>
      </c>
      <c r="BT139" s="515">
        <v>0</v>
      </c>
      <c r="BU139" s="516">
        <v>0</v>
      </c>
      <c r="BV139" s="513">
        <v>0.98045276835701978</v>
      </c>
      <c r="BW139" s="514">
        <v>0.89524600391955478</v>
      </c>
      <c r="BX139" s="514">
        <v>0.98045276835701978</v>
      </c>
      <c r="BY139" s="514">
        <v>0.90622553495549651</v>
      </c>
      <c r="BZ139" s="511">
        <v>57.442</v>
      </c>
      <c r="CA139" s="511">
        <v>927.76100000000008</v>
      </c>
      <c r="CB139" s="515">
        <v>63.745159155577447</v>
      </c>
      <c r="CC139" s="515">
        <v>97.409820761870449</v>
      </c>
      <c r="CD139" s="511">
        <v>1.7652588698165106</v>
      </c>
      <c r="CE139" s="511">
        <v>2.0980618930953119</v>
      </c>
      <c r="CF139" s="515">
        <v>0</v>
      </c>
      <c r="CG139" s="515">
        <v>0</v>
      </c>
      <c r="CH139" s="515">
        <v>691.24911831995598</v>
      </c>
      <c r="CI139" s="515">
        <v>892.53869606629746</v>
      </c>
      <c r="CJ139" s="515">
        <v>445.29337418613181</v>
      </c>
      <c r="CK139" s="515">
        <v>248.13190789438227</v>
      </c>
      <c r="CL139" s="515"/>
      <c r="CM139" s="516"/>
    </row>
    <row r="140" spans="1:91" ht="12.75" hidden="1" customHeight="1">
      <c r="A140" s="558">
        <v>46043</v>
      </c>
      <c r="B140" s="513">
        <v>0.91279396888829878</v>
      </c>
      <c r="C140" s="514">
        <v>0.80215461341029204</v>
      </c>
      <c r="D140" s="514">
        <v>0.94203720254862477</v>
      </c>
      <c r="E140" s="514">
        <v>0.80324177836976662</v>
      </c>
      <c r="F140" s="511">
        <v>50.283999999999999</v>
      </c>
      <c r="G140" s="511">
        <v>1013.499</v>
      </c>
      <c r="H140" s="511">
        <v>2.8578076525336091</v>
      </c>
      <c r="I140" s="511">
        <v>2.540073547186529</v>
      </c>
      <c r="J140" s="511">
        <v>1233.7001829607914</v>
      </c>
      <c r="K140" s="512">
        <v>1102.5436630919212</v>
      </c>
      <c r="L140" s="513">
        <v>0.97346139082384364</v>
      </c>
      <c r="M140" s="514">
        <v>0.84759912731270792</v>
      </c>
      <c r="N140" s="514">
        <v>0.97346139082384364</v>
      </c>
      <c r="O140" s="514">
        <v>0.85082149768600834</v>
      </c>
      <c r="P140" s="511">
        <v>50.56</v>
      </c>
      <c r="Q140" s="511">
        <v>1121.0720000000001</v>
      </c>
      <c r="R140" s="511">
        <v>2.209276107594937</v>
      </c>
      <c r="S140" s="511">
        <v>1.9647903970485394</v>
      </c>
      <c r="T140" s="511">
        <v>0.29272151898734178</v>
      </c>
      <c r="U140" s="511">
        <v>0.29587751723350508</v>
      </c>
      <c r="V140" s="511">
        <v>705.37915348106708</v>
      </c>
      <c r="W140" s="511">
        <v>628.54736359484662</v>
      </c>
      <c r="X140" s="511">
        <v>450.23734177215192</v>
      </c>
      <c r="Y140" s="576">
        <v>503.07384360683352</v>
      </c>
      <c r="Z140" s="511">
        <v>0</v>
      </c>
      <c r="AA140" s="576">
        <v>0</v>
      </c>
      <c r="AB140" s="513">
        <v>0.91274433956464951</v>
      </c>
      <c r="AC140" s="514">
        <v>0.86412965105575834</v>
      </c>
      <c r="AD140" s="514">
        <v>0.91274433956464951</v>
      </c>
      <c r="AE140" s="514">
        <v>0.89215375714684131</v>
      </c>
      <c r="AF140" s="511">
        <v>39.21</v>
      </c>
      <c r="AG140" s="511">
        <v>818.70399999999984</v>
      </c>
      <c r="AH140" s="511">
        <v>133.41890935737183</v>
      </c>
      <c r="AI140" s="511">
        <v>134.32149621045309</v>
      </c>
      <c r="AJ140" s="511">
        <v>1.3874011731701097</v>
      </c>
      <c r="AK140" s="511">
        <v>1.3176923527917295</v>
      </c>
      <c r="AL140" s="511">
        <v>988.6605457791286</v>
      </c>
      <c r="AM140" s="576">
        <v>965.86421954699017</v>
      </c>
      <c r="AN140" s="587"/>
      <c r="AO140" s="587"/>
      <c r="AP140" s="513">
        <v>0.93541317286663883</v>
      </c>
      <c r="AQ140" s="514">
        <v>0.8564696851009812</v>
      </c>
      <c r="AR140" s="514">
        <v>0.93541317286663883</v>
      </c>
      <c r="AS140" s="514">
        <v>0.88166303786692224</v>
      </c>
      <c r="AT140" s="511">
        <v>50.985999999999997</v>
      </c>
      <c r="AU140" s="511">
        <v>971.70500000000004</v>
      </c>
      <c r="AV140" s="515">
        <v>106.69555901609363</v>
      </c>
      <c r="AW140" s="515">
        <v>109.83864059005629</v>
      </c>
      <c r="AX140" s="511">
        <v>1.3297768014749147</v>
      </c>
      <c r="AY140" s="511">
        <v>1.374697053117973</v>
      </c>
      <c r="AZ140" s="511">
        <v>0</v>
      </c>
      <c r="BA140" s="511">
        <v>9.2620702785310358E-3</v>
      </c>
      <c r="BB140" s="511">
        <v>833.47154120739003</v>
      </c>
      <c r="BC140" s="511">
        <v>870.23005953452957</v>
      </c>
      <c r="BD140" s="511">
        <v>513.17812732907203</v>
      </c>
      <c r="BE140" s="576">
        <v>535.29908048224524</v>
      </c>
      <c r="BF140" s="511">
        <v>27.846859922331394</v>
      </c>
      <c r="BG140" s="512">
        <v>27.250863173494</v>
      </c>
      <c r="BH140" s="513">
        <v>0.8634907270656802</v>
      </c>
      <c r="BI140" s="514">
        <v>0.89965314059410939</v>
      </c>
      <c r="BJ140" s="514">
        <v>0.8634907270656802</v>
      </c>
      <c r="BK140" s="514">
        <v>0.89965314059410939</v>
      </c>
      <c r="BL140" s="511">
        <v>44.453000000000003</v>
      </c>
      <c r="BM140" s="511">
        <v>1028.759</v>
      </c>
      <c r="BN140" s="511">
        <v>2.8479517692844123</v>
      </c>
      <c r="BO140" s="511">
        <v>2.5989566069409835</v>
      </c>
      <c r="BP140" s="515">
        <v>0</v>
      </c>
      <c r="BQ140" s="515">
        <v>0</v>
      </c>
      <c r="BR140" s="515">
        <v>1113.0360379170118</v>
      </c>
      <c r="BS140" s="515">
        <v>907.30166909097306</v>
      </c>
      <c r="BT140" s="515">
        <v>0</v>
      </c>
      <c r="BU140" s="516">
        <v>0</v>
      </c>
      <c r="BV140" s="513">
        <v>1.0119442790568336</v>
      </c>
      <c r="BW140" s="514">
        <v>0.90149039570680345</v>
      </c>
      <c r="BX140" s="514">
        <v>1.0119442790568336</v>
      </c>
      <c r="BY140" s="514">
        <v>0.91194804673584851</v>
      </c>
      <c r="BZ140" s="511">
        <v>59.286999999999999</v>
      </c>
      <c r="CA140" s="511">
        <v>987.04800000000012</v>
      </c>
      <c r="CB140" s="515">
        <v>62.166491677819785</v>
      </c>
      <c r="CC140" s="515">
        <v>95.292931561541678</v>
      </c>
      <c r="CD140" s="511">
        <v>1.7120110648202811</v>
      </c>
      <c r="CE140" s="511">
        <v>2.0748737650043361</v>
      </c>
      <c r="CF140" s="515">
        <v>0</v>
      </c>
      <c r="CG140" s="515">
        <v>0</v>
      </c>
      <c r="CH140" s="515">
        <v>670.94555309722102</v>
      </c>
      <c r="CI140" s="515">
        <v>879.22871249183333</v>
      </c>
      <c r="CJ140" s="515">
        <v>497.66559279437439</v>
      </c>
      <c r="CK140" s="515">
        <v>263.12013904085723</v>
      </c>
      <c r="CL140" s="515"/>
      <c r="CM140" s="516"/>
    </row>
    <row r="141" spans="1:91" ht="12.75" hidden="1" customHeight="1">
      <c r="A141" s="558">
        <v>46044</v>
      </c>
      <c r="B141" s="513">
        <v>0.77975030845694937</v>
      </c>
      <c r="C141" s="514">
        <v>0.80120383036362608</v>
      </c>
      <c r="D141" s="514">
        <v>0.77975030845694937</v>
      </c>
      <c r="E141" s="514">
        <v>0.80224356502480487</v>
      </c>
      <c r="F141" s="511">
        <v>43.661999999999999</v>
      </c>
      <c r="G141" s="511">
        <v>1057.1610000000001</v>
      </c>
      <c r="H141" s="511">
        <v>3.1796527873207827</v>
      </c>
      <c r="I141" s="511">
        <v>2.5664889264738293</v>
      </c>
      <c r="J141" s="511">
        <v>1438.6042783198159</v>
      </c>
      <c r="K141" s="512">
        <v>1116.4233640855073</v>
      </c>
      <c r="L141" s="513">
        <v>0.93230428908040952</v>
      </c>
      <c r="M141" s="514">
        <v>0.85080565241490991</v>
      </c>
      <c r="N141" s="514">
        <v>0.93230428908040952</v>
      </c>
      <c r="O141" s="514">
        <v>0.85391732068717652</v>
      </c>
      <c r="P141" s="511">
        <v>48.515999999999998</v>
      </c>
      <c r="Q141" s="511">
        <v>1169.5880000000002</v>
      </c>
      <c r="R141" s="511">
        <v>2.3363632616044194</v>
      </c>
      <c r="S141" s="511">
        <v>1.9802037127603909</v>
      </c>
      <c r="T141" s="511">
        <v>0.28856459724626926</v>
      </c>
      <c r="U141" s="511">
        <v>0.29557416799761965</v>
      </c>
      <c r="V141" s="511">
        <v>767.47485365646355</v>
      </c>
      <c r="W141" s="511">
        <v>634.31025284117038</v>
      </c>
      <c r="X141" s="511">
        <v>453.47926457251214</v>
      </c>
      <c r="Y141" s="576">
        <v>501.0165972975098</v>
      </c>
      <c r="Z141" s="511">
        <v>0</v>
      </c>
      <c r="AA141" s="576">
        <v>0</v>
      </c>
      <c r="AB141" s="513">
        <v>0.93140347880387475</v>
      </c>
      <c r="AC141" s="514">
        <v>0.86722545550095786</v>
      </c>
      <c r="AD141" s="514">
        <v>0.93140347880387475</v>
      </c>
      <c r="AE141" s="514">
        <v>0.89401574615437995</v>
      </c>
      <c r="AF141" s="511">
        <v>42.567</v>
      </c>
      <c r="AG141" s="511">
        <v>861.27099999999984</v>
      </c>
      <c r="AH141" s="511">
        <v>131.81912378479942</v>
      </c>
      <c r="AI141" s="511">
        <v>134.19782028610081</v>
      </c>
      <c r="AJ141" s="511">
        <v>1.3226208095473018</v>
      </c>
      <c r="AK141" s="511">
        <v>1.3179359342181498</v>
      </c>
      <c r="AL141" s="511">
        <v>970.52505461980138</v>
      </c>
      <c r="AM141" s="576">
        <v>966.09457418164584</v>
      </c>
      <c r="AN141" s="587"/>
      <c r="AO141" s="587"/>
      <c r="AP141" s="513">
        <v>0.94571857422918626</v>
      </c>
      <c r="AQ141" s="514">
        <v>0.86033454335582715</v>
      </c>
      <c r="AR141" s="514">
        <v>0.94571857422918626</v>
      </c>
      <c r="AS141" s="514">
        <v>0.88451487818974961</v>
      </c>
      <c r="AT141" s="511">
        <v>48.567</v>
      </c>
      <c r="AU141" s="511">
        <v>1020.272</v>
      </c>
      <c r="AV141" s="515">
        <v>117.53238381123036</v>
      </c>
      <c r="AW141" s="515">
        <v>110.20487824729157</v>
      </c>
      <c r="AX141" s="511">
        <v>1.3754195235447937</v>
      </c>
      <c r="AY141" s="511">
        <v>1.3747314441639091</v>
      </c>
      <c r="AZ141" s="511">
        <v>0</v>
      </c>
      <c r="BA141" s="511">
        <v>8.8211770978719392E-3</v>
      </c>
      <c r="BB141" s="511">
        <v>974.57821154281578</v>
      </c>
      <c r="BC141" s="511">
        <v>875.1972415199084</v>
      </c>
      <c r="BD141" s="511">
        <v>418.06164679720706</v>
      </c>
      <c r="BE141" s="576">
        <v>529.71834275565732</v>
      </c>
      <c r="BF141" s="511">
        <v>29.034117816624576</v>
      </c>
      <c r="BG141" s="512">
        <v>27.335749682437619</v>
      </c>
      <c r="BH141" s="513">
        <v>0.98613892742769627</v>
      </c>
      <c r="BI141" s="514">
        <v>0.90337898759091217</v>
      </c>
      <c r="BJ141" s="514">
        <v>0.98613892742769627</v>
      </c>
      <c r="BK141" s="514">
        <v>0.90337898759091217</v>
      </c>
      <c r="BL141" s="511">
        <v>50.767000000000003</v>
      </c>
      <c r="BM141" s="511">
        <v>1079.5260000000001</v>
      </c>
      <c r="BN141" s="511">
        <v>2.5942048968818323</v>
      </c>
      <c r="BO141" s="511">
        <v>2.5987331476963029</v>
      </c>
      <c r="BP141" s="515">
        <v>0</v>
      </c>
      <c r="BQ141" s="515">
        <v>0</v>
      </c>
      <c r="BR141" s="515">
        <v>924.42247421482432</v>
      </c>
      <c r="BS141" s="515">
        <v>908.10681126793077</v>
      </c>
      <c r="BT141" s="515">
        <v>0</v>
      </c>
      <c r="BU141" s="516">
        <v>0</v>
      </c>
      <c r="BV141" s="513">
        <v>0.95932187933459734</v>
      </c>
      <c r="BW141" s="514">
        <v>0.90442771966799174</v>
      </c>
      <c r="BX141" s="514">
        <v>0.95932187933459734</v>
      </c>
      <c r="BY141" s="514">
        <v>0.91438069443872949</v>
      </c>
      <c r="BZ141" s="511">
        <v>56.204000000000001</v>
      </c>
      <c r="CA141" s="511">
        <v>1043.2520000000002</v>
      </c>
      <c r="CB141" s="515">
        <v>66.999858965419165</v>
      </c>
      <c r="CC141" s="515">
        <v>93.768674860195816</v>
      </c>
      <c r="CD141" s="511">
        <v>1.7845704932033306</v>
      </c>
      <c r="CE141" s="511">
        <v>2.0592340105746261</v>
      </c>
      <c r="CF141" s="515">
        <v>0</v>
      </c>
      <c r="CG141" s="515">
        <v>0</v>
      </c>
      <c r="CH141" s="515">
        <v>662.70842380499789</v>
      </c>
      <c r="CI141" s="515">
        <v>867.56393130248023</v>
      </c>
      <c r="CJ141" s="515">
        <v>407.37314070172863</v>
      </c>
      <c r="CK141" s="515">
        <v>270.89160337099759</v>
      </c>
      <c r="CL141" s="515"/>
      <c r="CM141" s="516"/>
    </row>
    <row r="142" spans="1:91" ht="12.75" hidden="1" customHeight="1">
      <c r="A142" s="558">
        <v>46045</v>
      </c>
      <c r="B142" s="513">
        <v>0.79265487952414559</v>
      </c>
      <c r="C142" s="514">
        <v>0.80081140683141683</v>
      </c>
      <c r="D142" s="514">
        <v>0.79265487952414559</v>
      </c>
      <c r="E142" s="514">
        <v>0.80180286948734147</v>
      </c>
      <c r="F142" s="511">
        <v>50.319000000000003</v>
      </c>
      <c r="G142" s="511">
        <v>1107.48</v>
      </c>
      <c r="H142" s="511">
        <v>2.6793656471710485</v>
      </c>
      <c r="I142" s="511">
        <v>2.571617546140788</v>
      </c>
      <c r="J142" s="511">
        <v>1126.4071225580321</v>
      </c>
      <c r="K142" s="512">
        <v>1116.8769819770978</v>
      </c>
      <c r="L142" s="513">
        <v>0.88929252978664308</v>
      </c>
      <c r="M142" s="514">
        <v>0.85226713885817063</v>
      </c>
      <c r="N142" s="514">
        <v>0.88929252978664308</v>
      </c>
      <c r="O142" s="514">
        <v>0.85526537154037563</v>
      </c>
      <c r="P142" s="511">
        <v>48.255000000000003</v>
      </c>
      <c r="Q142" s="511">
        <v>1217.8430000000003</v>
      </c>
      <c r="R142" s="511">
        <v>2.4402652574862707</v>
      </c>
      <c r="S142" s="511">
        <v>1.9984328850270519</v>
      </c>
      <c r="T142" s="511">
        <v>0.30048699616620039</v>
      </c>
      <c r="U142" s="511">
        <v>0.29576883062923542</v>
      </c>
      <c r="V142" s="511">
        <v>765.86509170034435</v>
      </c>
      <c r="W142" s="511">
        <v>639.52289416616009</v>
      </c>
      <c r="X142" s="511">
        <v>443.58097606465651</v>
      </c>
      <c r="Y142" s="576">
        <v>498.74080649147709</v>
      </c>
      <c r="Z142" s="511">
        <v>0</v>
      </c>
      <c r="AA142" s="576">
        <v>0</v>
      </c>
      <c r="AB142" s="513">
        <v>0.79998057117898702</v>
      </c>
      <c r="AC142" s="514">
        <v>0.86430138411013058</v>
      </c>
      <c r="AD142" s="514">
        <v>0.94423936270306663</v>
      </c>
      <c r="AE142" s="514">
        <v>0.89593372900729118</v>
      </c>
      <c r="AF142" s="511">
        <v>36.118000000000002</v>
      </c>
      <c r="AG142" s="511">
        <v>897.3889999999999</v>
      </c>
      <c r="AH142" s="511">
        <v>89.75653265664144</v>
      </c>
      <c r="AI142" s="511">
        <v>132.40915291152768</v>
      </c>
      <c r="AJ142" s="511">
        <v>1.6030787972755964</v>
      </c>
      <c r="AK142" s="511">
        <v>1.3294123284328203</v>
      </c>
      <c r="AL142" s="511">
        <v>1024.6879672185212</v>
      </c>
      <c r="AM142" s="576">
        <v>968.45283372093797</v>
      </c>
      <c r="AN142" s="587"/>
      <c r="AO142" s="587"/>
      <c r="AP142" s="513">
        <v>0.90487851529879448</v>
      </c>
      <c r="AQ142" s="514">
        <v>0.86215439491810431</v>
      </c>
      <c r="AR142" s="514">
        <v>0.98845115216834045</v>
      </c>
      <c r="AS142" s="514">
        <v>0.88852107166841199</v>
      </c>
      <c r="AT142" s="511">
        <v>45.709000000000003</v>
      </c>
      <c r="AU142" s="511">
        <v>1065.981</v>
      </c>
      <c r="AV142" s="515">
        <v>89.068490001743072</v>
      </c>
      <c r="AW142" s="515">
        <v>109.29855517932342</v>
      </c>
      <c r="AX142" s="511">
        <v>1.5423658360497932</v>
      </c>
      <c r="AY142" s="511">
        <v>1.3819195651704861</v>
      </c>
      <c r="AZ142" s="511">
        <v>0</v>
      </c>
      <c r="BA142" s="511">
        <v>8.4429272191530614E-3</v>
      </c>
      <c r="BB142" s="511">
        <v>946.63370452208574</v>
      </c>
      <c r="BC142" s="511">
        <v>878.26041927576568</v>
      </c>
      <c r="BD142" s="511">
        <v>451.88037366820447</v>
      </c>
      <c r="BE142" s="576">
        <v>526.38067001194213</v>
      </c>
      <c r="BF142" s="511">
        <v>30.630729178061344</v>
      </c>
      <c r="BG142" s="512">
        <v>27.477037583221463</v>
      </c>
      <c r="BH142" s="513">
        <v>0.87007047691268125</v>
      </c>
      <c r="BI142" s="514">
        <v>0.90198173067581888</v>
      </c>
      <c r="BJ142" s="514">
        <v>0.87007047691268125</v>
      </c>
      <c r="BK142" s="514">
        <v>0.90198173067581888</v>
      </c>
      <c r="BL142" s="511">
        <v>45.524999999999999</v>
      </c>
      <c r="BM142" s="511">
        <v>1125.0510000000002</v>
      </c>
      <c r="BN142" s="511">
        <v>2.8072487644151565</v>
      </c>
      <c r="BO142" s="511">
        <v>2.6071706971506172</v>
      </c>
      <c r="BP142" s="515">
        <v>0</v>
      </c>
      <c r="BQ142" s="515">
        <v>0</v>
      </c>
      <c r="BR142" s="515">
        <v>1045.767416259956</v>
      </c>
      <c r="BS142" s="515">
        <v>913.67722455787214</v>
      </c>
      <c r="BT142" s="515">
        <v>0</v>
      </c>
      <c r="BU142" s="516">
        <v>0</v>
      </c>
      <c r="BV142" s="513">
        <v>0.96189923332683136</v>
      </c>
      <c r="BW142" s="514">
        <v>0.9072056654736369</v>
      </c>
      <c r="BX142" s="514">
        <v>0.96189923332683136</v>
      </c>
      <c r="BY142" s="514">
        <v>0.91670159452583366</v>
      </c>
      <c r="BZ142" s="511">
        <v>56.354999999999997</v>
      </c>
      <c r="CA142" s="511">
        <v>1099.6070000000002</v>
      </c>
      <c r="CB142" s="515">
        <v>66.009084269678837</v>
      </c>
      <c r="CC142" s="515">
        <v>92.345992276574037</v>
      </c>
      <c r="CD142" s="511">
        <v>1.765593115074084</v>
      </c>
      <c r="CE142" s="511">
        <v>2.0441848769605868</v>
      </c>
      <c r="CF142" s="515">
        <v>0</v>
      </c>
      <c r="CG142" s="515">
        <v>0</v>
      </c>
      <c r="CH142" s="515">
        <v>690.80788527664959</v>
      </c>
      <c r="CI142" s="515">
        <v>858.50516123846137</v>
      </c>
      <c r="CJ142" s="515">
        <v>447.96380090497655</v>
      </c>
      <c r="CK142" s="515">
        <v>279.96657624042035</v>
      </c>
      <c r="CL142" s="515"/>
      <c r="CM142" s="516"/>
    </row>
    <row r="143" spans="1:91" ht="12.75" hidden="1" customHeight="1">
      <c r="A143" s="558">
        <v>46046</v>
      </c>
      <c r="B143" s="513">
        <v>0.85219171512171332</v>
      </c>
      <c r="C143" s="514">
        <v>0.80304258762624903</v>
      </c>
      <c r="D143" s="514">
        <v>0.85219171512171332</v>
      </c>
      <c r="E143" s="514">
        <v>0.8039935874717492</v>
      </c>
      <c r="F143" s="511">
        <v>53.500999999999998</v>
      </c>
      <c r="G143" s="511">
        <v>1160.981</v>
      </c>
      <c r="H143" s="511">
        <v>2.490813255826994</v>
      </c>
      <c r="I143" s="511">
        <v>2.5678938759549035</v>
      </c>
      <c r="J143" s="511">
        <v>1092.7066783798571</v>
      </c>
      <c r="K143" s="512">
        <v>1115.7631520240188</v>
      </c>
      <c r="L143" s="513">
        <v>0.93057718039588599</v>
      </c>
      <c r="M143" s="514">
        <v>0.85534718448599334</v>
      </c>
      <c r="N143" s="514">
        <v>0.93057718039588599</v>
      </c>
      <c r="O143" s="514">
        <v>0.85823750175007907</v>
      </c>
      <c r="P143" s="511">
        <v>54.442</v>
      </c>
      <c r="Q143" s="511">
        <v>1272.2850000000003</v>
      </c>
      <c r="R143" s="511">
        <v>2.3461298262370964</v>
      </c>
      <c r="S143" s="511">
        <v>2.0133110898894508</v>
      </c>
      <c r="T143" s="511">
        <v>0.27552257448293599</v>
      </c>
      <c r="U143" s="511">
        <v>0.29490247861131741</v>
      </c>
      <c r="V143" s="511">
        <v>721.71209727783196</v>
      </c>
      <c r="W143" s="511">
        <v>643.03982991232203</v>
      </c>
      <c r="X143" s="511">
        <v>465.68825539105836</v>
      </c>
      <c r="Y143" s="576">
        <v>497.32646380331443</v>
      </c>
      <c r="Z143" s="511">
        <v>0</v>
      </c>
      <c r="AA143" s="576">
        <v>0</v>
      </c>
      <c r="AB143" s="513">
        <v>0.73269165774962308</v>
      </c>
      <c r="AC143" s="514">
        <v>0.85881696109576355</v>
      </c>
      <c r="AD143" s="514">
        <v>0.78386031735472317</v>
      </c>
      <c r="AE143" s="514">
        <v>0.89140265216056735</v>
      </c>
      <c r="AF143" s="511">
        <v>33.08</v>
      </c>
      <c r="AG143" s="511">
        <v>930.46899999999994</v>
      </c>
      <c r="AH143" s="511">
        <v>87.248771719584596</v>
      </c>
      <c r="AI143" s="511">
        <v>130.80361268414828</v>
      </c>
      <c r="AJ143" s="511">
        <v>1.5991535671100363</v>
      </c>
      <c r="AK143" s="511">
        <v>1.3390021591262042</v>
      </c>
      <c r="AL143" s="511">
        <v>1103.7152357920304</v>
      </c>
      <c r="AM143" s="576">
        <v>973.26167771306632</v>
      </c>
      <c r="AN143" s="587"/>
      <c r="AO143" s="587"/>
      <c r="AP143" s="513">
        <v>0.78806224402120106</v>
      </c>
      <c r="AQ143" s="514">
        <v>0.8590980340577451</v>
      </c>
      <c r="AR143" s="514">
        <v>0.91296028269551865</v>
      </c>
      <c r="AS143" s="514">
        <v>0.88942200652641212</v>
      </c>
      <c r="AT143" s="511">
        <v>41.923000000000002</v>
      </c>
      <c r="AU143" s="511">
        <v>1107.904</v>
      </c>
      <c r="AV143" s="515">
        <v>79.493547206191948</v>
      </c>
      <c r="AW143" s="515">
        <v>108.1707360277926</v>
      </c>
      <c r="AX143" s="511">
        <v>1.5671588388235576</v>
      </c>
      <c r="AY143" s="511">
        <v>1.3889290046791056</v>
      </c>
      <c r="AZ143" s="511">
        <v>0</v>
      </c>
      <c r="BA143" s="511">
        <v>8.1234475189186067E-3</v>
      </c>
      <c r="BB143" s="511">
        <v>989.45447606326013</v>
      </c>
      <c r="BC143" s="511">
        <v>882.46799361677552</v>
      </c>
      <c r="BD143" s="511">
        <v>420.2251747250927</v>
      </c>
      <c r="BE143" s="576">
        <v>522.36375444081818</v>
      </c>
      <c r="BF143" s="511">
        <v>32.681344369438655</v>
      </c>
      <c r="BG143" s="512">
        <v>27.673968141644021</v>
      </c>
      <c r="BH143" s="513">
        <v>0.91492586107136775</v>
      </c>
      <c r="BI143" s="514">
        <v>0.90250866873745839</v>
      </c>
      <c r="BJ143" s="514">
        <v>0.91492586107136775</v>
      </c>
      <c r="BK143" s="514">
        <v>0.90250866873745839</v>
      </c>
      <c r="BL143" s="511">
        <v>48.427999999999997</v>
      </c>
      <c r="BM143" s="511">
        <v>1173.4790000000003</v>
      </c>
      <c r="BN143" s="511">
        <v>2.7876435120178411</v>
      </c>
      <c r="BO143" s="511">
        <v>2.6146185828634332</v>
      </c>
      <c r="BP143" s="515">
        <v>0</v>
      </c>
      <c r="BQ143" s="515">
        <v>0</v>
      </c>
      <c r="BR143" s="515">
        <v>964.5050842443062</v>
      </c>
      <c r="BS143" s="515">
        <v>915.7748262950098</v>
      </c>
      <c r="BT143" s="515">
        <v>0</v>
      </c>
      <c r="BU143" s="516">
        <v>0</v>
      </c>
      <c r="BV143" s="513">
        <v>0.97446170046778691</v>
      </c>
      <c r="BW143" s="514">
        <v>0.91030666624570933</v>
      </c>
      <c r="BX143" s="514">
        <v>0.97446170046778691</v>
      </c>
      <c r="BY143" s="514">
        <v>0.91939134059176564</v>
      </c>
      <c r="BZ143" s="511">
        <v>57.091000000000001</v>
      </c>
      <c r="CA143" s="511">
        <v>1156.6980000000001</v>
      </c>
      <c r="CB143" s="515">
        <v>48.942962147991025</v>
      </c>
      <c r="CC143" s="515">
        <v>90.203754291316926</v>
      </c>
      <c r="CD143" s="511">
        <v>1.7445832092624054</v>
      </c>
      <c r="CE143" s="511">
        <v>2.0293974745352719</v>
      </c>
      <c r="CF143" s="515">
        <v>0</v>
      </c>
      <c r="CG143" s="515">
        <v>0</v>
      </c>
      <c r="CH143" s="515">
        <v>666.89404249736651</v>
      </c>
      <c r="CI143" s="515">
        <v>849.04783497002495</v>
      </c>
      <c r="CJ143" s="515">
        <v>409.04696011630693</v>
      </c>
      <c r="CK143" s="515">
        <v>286.33758076870549</v>
      </c>
      <c r="CL143" s="515"/>
      <c r="CM143" s="516"/>
    </row>
    <row r="144" spans="1:91" ht="12.75" hidden="1" customHeight="1">
      <c r="A144" s="558">
        <v>46047</v>
      </c>
      <c r="B144" s="513">
        <v>0.93078287833954465</v>
      </c>
      <c r="C144" s="514">
        <v>0.80773539705239761</v>
      </c>
      <c r="D144" s="514">
        <v>1.0015310715252546</v>
      </c>
      <c r="E144" s="514">
        <v>0.8107631936420886</v>
      </c>
      <c r="F144" s="511">
        <v>51.320999999999998</v>
      </c>
      <c r="G144" s="511">
        <v>1212.3019999999999</v>
      </c>
      <c r="H144" s="511">
        <v>2.2015744042399796</v>
      </c>
      <c r="I144" s="511">
        <v>2.5523862865853557</v>
      </c>
      <c r="J144" s="511">
        <v>1014.8204438728787</v>
      </c>
      <c r="K144" s="512">
        <v>1111.4898927824893</v>
      </c>
      <c r="L144" s="513">
        <v>0.81252442552880089</v>
      </c>
      <c r="M144" s="514">
        <v>0.8535445358765924</v>
      </c>
      <c r="N144" s="514">
        <v>0.81252442552880089</v>
      </c>
      <c r="O144" s="514">
        <v>0.8563069556950148</v>
      </c>
      <c r="P144" s="511">
        <v>53.112000000000002</v>
      </c>
      <c r="Q144" s="511">
        <v>1325.3970000000004</v>
      </c>
      <c r="R144" s="511">
        <v>2.4840525681578547</v>
      </c>
      <c r="S144" s="511">
        <v>2.0321748879769608</v>
      </c>
      <c r="T144" s="511">
        <v>0.25417984636240398</v>
      </c>
      <c r="U144" s="511">
        <v>0.29327062004818172</v>
      </c>
      <c r="V144" s="511">
        <v>688.66169603856133</v>
      </c>
      <c r="W144" s="511">
        <v>644.86801313115882</v>
      </c>
      <c r="X144" s="511">
        <v>445.60551287844555</v>
      </c>
      <c r="Y144" s="576">
        <v>495.25387487673487</v>
      </c>
      <c r="Z144" s="511">
        <v>0</v>
      </c>
      <c r="AA144" s="576">
        <v>0</v>
      </c>
      <c r="AB144" s="513">
        <v>0.76376682086397374</v>
      </c>
      <c r="AC144" s="514">
        <v>0.85501449994783663</v>
      </c>
      <c r="AD144" s="514">
        <v>0.83131082543017576</v>
      </c>
      <c r="AE144" s="514">
        <v>0.88910594926386033</v>
      </c>
      <c r="AF144" s="511">
        <v>34.482999999999997</v>
      </c>
      <c r="AG144" s="511">
        <v>964.95199999999988</v>
      </c>
      <c r="AH144" s="511">
        <v>0</v>
      </c>
      <c r="AI144" s="511">
        <v>126.12928590293275</v>
      </c>
      <c r="AJ144" s="511">
        <v>1.4383899312704813</v>
      </c>
      <c r="AK144" s="511">
        <v>1.342553826511578</v>
      </c>
      <c r="AL144" s="511">
        <v>1033.889162775871</v>
      </c>
      <c r="AM144" s="576">
        <v>975.42822855437316</v>
      </c>
      <c r="AN144" s="587"/>
      <c r="AO144" s="587"/>
      <c r="AP144" s="513">
        <v>0.63429219451223562</v>
      </c>
      <c r="AQ144" s="514">
        <v>0.8500723670206729</v>
      </c>
      <c r="AR144" s="514">
        <v>0.65885944966028798</v>
      </c>
      <c r="AS144" s="514">
        <v>0.88019459508416864</v>
      </c>
      <c r="AT144" s="511">
        <v>34.215000000000003</v>
      </c>
      <c r="AU144" s="511">
        <v>1142.1189999999999</v>
      </c>
      <c r="AV144" s="515">
        <v>0</v>
      </c>
      <c r="AW144" s="515">
        <v>104.93021403911111</v>
      </c>
      <c r="AX144" s="511">
        <v>1.6922402455063565</v>
      </c>
      <c r="AY144" s="511">
        <v>1.3980154432243928</v>
      </c>
      <c r="AZ144" s="511">
        <v>0</v>
      </c>
      <c r="BA144" s="511">
        <v>7.8800895528399403E-3</v>
      </c>
      <c r="BB144" s="511">
        <v>1082.9051585561888</v>
      </c>
      <c r="BC144" s="511">
        <v>888.4725847306629</v>
      </c>
      <c r="BD144" s="511">
        <v>499.83866725119634</v>
      </c>
      <c r="BE144" s="576">
        <v>521.6889597318667</v>
      </c>
      <c r="BF144" s="511">
        <v>38.643869647815627</v>
      </c>
      <c r="BG144" s="512">
        <v>28.002598678421418</v>
      </c>
      <c r="BH144" s="513">
        <v>0.93638522545362957</v>
      </c>
      <c r="BI144" s="514">
        <v>0.9038336942116707</v>
      </c>
      <c r="BJ144" s="514">
        <v>0.93638522545362957</v>
      </c>
      <c r="BK144" s="514">
        <v>0.9038336942116707</v>
      </c>
      <c r="BL144" s="511">
        <v>49.56</v>
      </c>
      <c r="BM144" s="511">
        <v>1223.0390000000002</v>
      </c>
      <c r="BN144" s="511">
        <v>2.6715092816787731</v>
      </c>
      <c r="BO144" s="511">
        <v>2.6169239083953979</v>
      </c>
      <c r="BP144" s="515">
        <v>0</v>
      </c>
      <c r="BQ144" s="515">
        <v>0</v>
      </c>
      <c r="BR144" s="515">
        <v>893.62003558396611</v>
      </c>
      <c r="BS144" s="515">
        <v>914.87706961869844</v>
      </c>
      <c r="BT144" s="515">
        <v>0</v>
      </c>
      <c r="BU144" s="516">
        <v>0</v>
      </c>
      <c r="BV144" s="513">
        <v>0.95961204501584219</v>
      </c>
      <c r="BW144" s="514">
        <v>0.91247981092084229</v>
      </c>
      <c r="BX144" s="514">
        <v>0.95961204501584219</v>
      </c>
      <c r="BY144" s="514">
        <v>0.92118098072983512</v>
      </c>
      <c r="BZ144" s="511">
        <v>56.220999999999997</v>
      </c>
      <c r="CA144" s="511">
        <v>1212.9190000000001</v>
      </c>
      <c r="CB144" s="515">
        <v>0</v>
      </c>
      <c r="CC144" s="515">
        <v>86.022646344279963</v>
      </c>
      <c r="CD144" s="511">
        <v>1.6417352946407926</v>
      </c>
      <c r="CE144" s="511">
        <v>2.0114286279627906</v>
      </c>
      <c r="CF144" s="515">
        <v>0</v>
      </c>
      <c r="CG144" s="515">
        <v>0</v>
      </c>
      <c r="CH144" s="515">
        <v>649.98827904977315</v>
      </c>
      <c r="CI144" s="515">
        <v>839.82106278376</v>
      </c>
      <c r="CJ144" s="515">
        <v>420.07470518133022</v>
      </c>
      <c r="CK144" s="515">
        <v>292.53653953808924</v>
      </c>
      <c r="CL144" s="515"/>
      <c r="CM144" s="516"/>
    </row>
    <row r="145" spans="1:91" ht="12.75" hidden="1" customHeight="1">
      <c r="A145" s="558">
        <v>46048</v>
      </c>
      <c r="B145" s="513">
        <v>0.81030513807889237</v>
      </c>
      <c r="C145" s="514">
        <v>0.80783668772505346</v>
      </c>
      <c r="D145" s="514">
        <v>0.99475164059071475</v>
      </c>
      <c r="E145" s="514">
        <v>0.8167357820839829</v>
      </c>
      <c r="F145" s="511">
        <v>49.904000000000003</v>
      </c>
      <c r="G145" s="511">
        <v>1262.2059999999999</v>
      </c>
      <c r="H145" s="511">
        <v>2.0662271561397882</v>
      </c>
      <c r="I145" s="511">
        <v>2.5331649508875729</v>
      </c>
      <c r="J145" s="511">
        <v>917.7673132414501</v>
      </c>
      <c r="K145" s="512">
        <v>1103.8306583869819</v>
      </c>
      <c r="L145" s="513">
        <v>1.035369668950495</v>
      </c>
      <c r="M145" s="514">
        <v>0.86127482758459195</v>
      </c>
      <c r="N145" s="514">
        <v>1.035369668950495</v>
      </c>
      <c r="O145" s="514">
        <v>0.86394339073394266</v>
      </c>
      <c r="P145" s="511">
        <v>71.388000000000005</v>
      </c>
      <c r="Q145" s="511">
        <v>1396.7850000000003</v>
      </c>
      <c r="R145" s="511">
        <v>1.9769148876561884</v>
      </c>
      <c r="S145" s="511">
        <v>2.0293506158786072</v>
      </c>
      <c r="T145" s="511">
        <v>0.2353336695242898</v>
      </c>
      <c r="U145" s="511">
        <v>0.2903095322472678</v>
      </c>
      <c r="V145" s="511">
        <v>546.55950579932346</v>
      </c>
      <c r="W145" s="511">
        <v>639.84358365818707</v>
      </c>
      <c r="X145" s="511">
        <v>357.03479576399394</v>
      </c>
      <c r="Y145" s="576">
        <v>488.18966412153611</v>
      </c>
      <c r="Z145" s="511">
        <v>0</v>
      </c>
      <c r="AA145" s="576">
        <v>0</v>
      </c>
      <c r="AB145" s="513">
        <v>0.71251384335391876</v>
      </c>
      <c r="AC145" s="514">
        <v>0.84953307404007461</v>
      </c>
      <c r="AD145" s="514">
        <v>1.1619704806677722</v>
      </c>
      <c r="AE145" s="514">
        <v>0.89589326356872989</v>
      </c>
      <c r="AF145" s="511">
        <v>32.168999999999997</v>
      </c>
      <c r="AG145" s="511">
        <v>997.12099999999987</v>
      </c>
      <c r="AH145" s="511">
        <v>47.890258371510647</v>
      </c>
      <c r="AI145" s="511">
        <v>123.60514763219298</v>
      </c>
      <c r="AJ145" s="511">
        <v>1.6071373061021483</v>
      </c>
      <c r="AK145" s="511">
        <v>1.3510897874982075</v>
      </c>
      <c r="AL145" s="511">
        <v>989.78084491278184</v>
      </c>
      <c r="AM145" s="576">
        <v>975.89127096911886</v>
      </c>
      <c r="AN145" s="587"/>
      <c r="AO145" s="587"/>
      <c r="AP145" s="513">
        <v>0.7032715727713883</v>
      </c>
      <c r="AQ145" s="514">
        <v>0.84433005962682717</v>
      </c>
      <c r="AR145" s="514">
        <v>1.0750648246186825</v>
      </c>
      <c r="AS145" s="514">
        <v>0.88542374209019181</v>
      </c>
      <c r="AT145" s="511">
        <v>38.465000000000003</v>
      </c>
      <c r="AU145" s="511">
        <v>1180.5839999999998</v>
      </c>
      <c r="AV145" s="515">
        <v>19.058105846345374</v>
      </c>
      <c r="AW145" s="515">
        <v>102.13238631856372</v>
      </c>
      <c r="AX145" s="511">
        <v>1.8406343429091379</v>
      </c>
      <c r="AY145" s="511">
        <v>1.4124365568227253</v>
      </c>
      <c r="AZ145" s="511">
        <v>0</v>
      </c>
      <c r="BA145" s="511">
        <v>7.6233457339757284E-3</v>
      </c>
      <c r="BB145" s="511">
        <v>935.14259716625384</v>
      </c>
      <c r="BC145" s="511">
        <v>889.99315592960784</v>
      </c>
      <c r="BD145" s="511">
        <v>511.48732614065307</v>
      </c>
      <c r="BE145" s="576">
        <v>521.35657691447636</v>
      </c>
      <c r="BF145" s="511">
        <v>36.33432991030822</v>
      </c>
      <c r="BG145" s="512">
        <v>28.274057585059598</v>
      </c>
      <c r="BH145" s="513">
        <v>0.86947682789029046</v>
      </c>
      <c r="BI145" s="514">
        <v>0.90248090527673708</v>
      </c>
      <c r="BJ145" s="514">
        <v>0.86947682789029046</v>
      </c>
      <c r="BK145" s="514">
        <v>0.90248090527673708</v>
      </c>
      <c r="BL145" s="511">
        <v>48.225000000000001</v>
      </c>
      <c r="BM145" s="511">
        <v>1271.2640000000001</v>
      </c>
      <c r="BN145" s="511">
        <v>2.9175738724727833</v>
      </c>
      <c r="BO145" s="511">
        <v>2.6283289702217627</v>
      </c>
      <c r="BP145" s="515">
        <v>0</v>
      </c>
      <c r="BQ145" s="515">
        <v>0</v>
      </c>
      <c r="BR145" s="515">
        <v>959.16115712267219</v>
      </c>
      <c r="BS145" s="515">
        <v>916.5569725498591</v>
      </c>
      <c r="BT145" s="515">
        <v>0</v>
      </c>
      <c r="BU145" s="516">
        <v>0</v>
      </c>
      <c r="BV145" s="513">
        <v>1.0354120720864974</v>
      </c>
      <c r="BW145" s="514">
        <v>0.917677054453228</v>
      </c>
      <c r="BX145" s="514">
        <v>1.0354120720864974</v>
      </c>
      <c r="BY145" s="514">
        <v>0.92605444934421477</v>
      </c>
      <c r="BZ145" s="511">
        <v>60.756</v>
      </c>
      <c r="CA145" s="511">
        <v>1273.6750000000002</v>
      </c>
      <c r="CB145" s="515">
        <v>37.318918906234764</v>
      </c>
      <c r="CC145" s="515">
        <v>83.69941344403</v>
      </c>
      <c r="CD145" s="511">
        <v>1.6772006057014945</v>
      </c>
      <c r="CE145" s="511">
        <v>1.9954855045439379</v>
      </c>
      <c r="CF145" s="515">
        <v>0</v>
      </c>
      <c r="CG145" s="515">
        <v>0</v>
      </c>
      <c r="CH145" s="515">
        <v>614.90607014550994</v>
      </c>
      <c r="CI145" s="515">
        <v>829.0923169948187</v>
      </c>
      <c r="CJ145" s="515">
        <v>575.69030219238243</v>
      </c>
      <c r="CK145" s="515">
        <v>306.04335250358213</v>
      </c>
      <c r="CL145" s="515"/>
      <c r="CM145" s="516"/>
    </row>
    <row r="146" spans="1:91" ht="12.75" hidden="1" customHeight="1">
      <c r="A146" s="558">
        <v>46049</v>
      </c>
      <c r="B146" s="513">
        <v>0.95831253331931177</v>
      </c>
      <c r="C146" s="514">
        <v>0.81360176001253237</v>
      </c>
      <c r="D146" s="514">
        <v>0.95831253331931177</v>
      </c>
      <c r="E146" s="514">
        <v>0.82221734828616355</v>
      </c>
      <c r="F146" s="511">
        <v>59.651000000000003</v>
      </c>
      <c r="G146" s="511">
        <v>1321.857</v>
      </c>
      <c r="H146" s="511">
        <v>2.1080954217029051</v>
      </c>
      <c r="I146" s="511">
        <v>2.5139829800046449</v>
      </c>
      <c r="J146" s="511">
        <v>935.65941895356764</v>
      </c>
      <c r="K146" s="512">
        <v>1096.241650950139</v>
      </c>
      <c r="L146" s="513">
        <v>1.0057634628037457</v>
      </c>
      <c r="M146" s="514">
        <v>0.86735837988612119</v>
      </c>
      <c r="N146" s="514">
        <v>1.0057634628037457</v>
      </c>
      <c r="O146" s="514">
        <v>0.86993230559562762</v>
      </c>
      <c r="P146" s="511">
        <v>71.694999999999993</v>
      </c>
      <c r="Q146" s="511">
        <v>1468.4800000000002</v>
      </c>
      <c r="R146" s="511">
        <v>1.8635609177766932</v>
      </c>
      <c r="S146" s="511">
        <v>2.0212563330791027</v>
      </c>
      <c r="T146" s="511">
        <v>0.23432596415370671</v>
      </c>
      <c r="U146" s="511">
        <v>0.28757626933972541</v>
      </c>
      <c r="V146" s="511">
        <v>604.89476253571377</v>
      </c>
      <c r="W146" s="511">
        <v>638.13729162126742</v>
      </c>
      <c r="X146" s="511">
        <v>385.71727456586927</v>
      </c>
      <c r="Y146" s="576">
        <v>483.18669644802782</v>
      </c>
      <c r="Z146" s="511">
        <v>0</v>
      </c>
      <c r="AA146" s="576">
        <v>0</v>
      </c>
      <c r="AB146" s="513">
        <v>0.62480347561847394</v>
      </c>
      <c r="AC146" s="514">
        <v>0.84120883219805886</v>
      </c>
      <c r="AD146" s="514">
        <v>0.96329443778437118</v>
      </c>
      <c r="AE146" s="514">
        <v>0.89762119113507821</v>
      </c>
      <c r="AF146" s="511">
        <v>28.209</v>
      </c>
      <c r="AG146" s="511">
        <v>1025.33</v>
      </c>
      <c r="AH146" s="511">
        <v>78.935269708803403</v>
      </c>
      <c r="AI146" s="511">
        <v>122.37618467749458</v>
      </c>
      <c r="AJ146" s="511">
        <v>1.8469282852990181</v>
      </c>
      <c r="AK146" s="511">
        <v>1.3647313547833382</v>
      </c>
      <c r="AL146" s="511">
        <v>1251.480733099417</v>
      </c>
      <c r="AM146" s="576">
        <v>983.47332078452814</v>
      </c>
      <c r="AN146" s="587"/>
      <c r="AO146" s="587"/>
      <c r="AP146" s="513">
        <v>0.63262510485925405</v>
      </c>
      <c r="AQ146" s="514">
        <v>0.8363269955139252</v>
      </c>
      <c r="AR146" s="514">
        <v>0.89928938894109156</v>
      </c>
      <c r="AS146" s="514">
        <v>0.88581429414792945</v>
      </c>
      <c r="AT146" s="511">
        <v>34.753</v>
      </c>
      <c r="AU146" s="511">
        <v>1215.3369999999998</v>
      </c>
      <c r="AV146" s="515">
        <v>15.794388580881245</v>
      </c>
      <c r="AW146" s="515">
        <v>99.663520123115319</v>
      </c>
      <c r="AX146" s="511">
        <v>2.1465772739044109</v>
      </c>
      <c r="AY146" s="511">
        <v>1.433429575500458</v>
      </c>
      <c r="AZ146" s="511">
        <v>0</v>
      </c>
      <c r="BA146" s="511">
        <v>7.4053534122634317E-3</v>
      </c>
      <c r="BB146" s="511">
        <v>1076.2529853537824</v>
      </c>
      <c r="BC146" s="511">
        <v>895.31932295322213</v>
      </c>
      <c r="BD146" s="511">
        <v>541.35758064052015</v>
      </c>
      <c r="BE146" s="576">
        <v>521.92851283224343</v>
      </c>
      <c r="BF146" s="511">
        <v>38.267199953960642</v>
      </c>
      <c r="BG146" s="512">
        <v>28.559815096553461</v>
      </c>
      <c r="BH146" s="513">
        <v>1.0314715430994501</v>
      </c>
      <c r="BI146" s="514">
        <v>0.90746353753835984</v>
      </c>
      <c r="BJ146" s="514">
        <v>1.0314715430994501</v>
      </c>
      <c r="BK146" s="514">
        <v>0.90746353753835984</v>
      </c>
      <c r="BL146" s="511">
        <v>58.38</v>
      </c>
      <c r="BM146" s="511">
        <v>1329.6440000000002</v>
      </c>
      <c r="BN146" s="511">
        <v>2.4443302500856454</v>
      </c>
      <c r="BO146" s="511">
        <v>2.6202502323930306</v>
      </c>
      <c r="BP146" s="515">
        <v>0</v>
      </c>
      <c r="BQ146" s="515">
        <v>0</v>
      </c>
      <c r="BR146" s="515">
        <v>756.40719141789793</v>
      </c>
      <c r="BS146" s="515">
        <v>909.52535790527452</v>
      </c>
      <c r="BT146" s="515">
        <v>0</v>
      </c>
      <c r="BU146" s="516">
        <v>0</v>
      </c>
      <c r="BV146" s="513">
        <v>0.97466552708159815</v>
      </c>
      <c r="BW146" s="514">
        <v>0.91999386007391548</v>
      </c>
      <c r="BX146" s="514">
        <v>0.97466552708159815</v>
      </c>
      <c r="BY146" s="514">
        <v>0.92804798189921522</v>
      </c>
      <c r="BZ146" s="511">
        <v>57.326000000000001</v>
      </c>
      <c r="CA146" s="511">
        <v>1331.0010000000002</v>
      </c>
      <c r="CB146" s="515">
        <v>62.09071957633531</v>
      </c>
      <c r="CC146" s="515">
        <v>82.768730458322651</v>
      </c>
      <c r="CD146" s="511">
        <v>1.7845305794927258</v>
      </c>
      <c r="CE146" s="511">
        <v>1.986399709692179</v>
      </c>
      <c r="CF146" s="515">
        <v>0</v>
      </c>
      <c r="CG146" s="515">
        <v>0</v>
      </c>
      <c r="CH146" s="515">
        <v>623.8008611279829</v>
      </c>
      <c r="CI146" s="515">
        <v>820.25044685420869</v>
      </c>
      <c r="CJ146" s="515">
        <v>535.46732721627188</v>
      </c>
      <c r="CK146" s="515">
        <v>315.92460636768868</v>
      </c>
      <c r="CL146" s="515"/>
      <c r="CM146" s="516"/>
    </row>
    <row r="147" spans="1:91" ht="12.75" hidden="1" customHeight="1">
      <c r="A147" s="558">
        <v>46050</v>
      </c>
      <c r="B147" s="513">
        <v>0.71544218879777921</v>
      </c>
      <c r="C147" s="514">
        <v>0.8099482772957356</v>
      </c>
      <c r="D147" s="514">
        <v>0.84386040977853083</v>
      </c>
      <c r="E147" s="514">
        <v>0.82291124166164298</v>
      </c>
      <c r="F147" s="511">
        <v>44.936</v>
      </c>
      <c r="G147" s="511">
        <v>1366.7929999999999</v>
      </c>
      <c r="H147" s="511">
        <v>2.6964126758055902</v>
      </c>
      <c r="I147" s="511">
        <v>2.5199807139779034</v>
      </c>
      <c r="J147" s="511">
        <v>1082.7216485668582</v>
      </c>
      <c r="K147" s="512">
        <v>1095.7971543606079</v>
      </c>
      <c r="L147" s="513">
        <v>0.97644527235023015</v>
      </c>
      <c r="M147" s="514">
        <v>0.87150820600120649</v>
      </c>
      <c r="N147" s="514">
        <v>0.97644527235023015</v>
      </c>
      <c r="O147" s="514">
        <v>0.87399578128837907</v>
      </c>
      <c r="P147" s="511">
        <v>65.376000000000005</v>
      </c>
      <c r="Q147" s="511">
        <v>1533.8560000000002</v>
      </c>
      <c r="R147" s="511">
        <v>1.8153144884973078</v>
      </c>
      <c r="S147" s="511">
        <v>2.0124786811799806</v>
      </c>
      <c r="T147" s="511">
        <v>0.25850465002447376</v>
      </c>
      <c r="U147" s="511">
        <v>0.28633717897899152</v>
      </c>
      <c r="V147" s="511">
        <v>507.07859153209455</v>
      </c>
      <c r="W147" s="511">
        <v>632.55130859741791</v>
      </c>
      <c r="X147" s="511">
        <v>452.30665687714139</v>
      </c>
      <c r="Y147" s="576">
        <v>481.87052761145759</v>
      </c>
      <c r="Z147" s="511">
        <v>0</v>
      </c>
      <c r="AA147" s="576">
        <v>0</v>
      </c>
      <c r="AB147" s="513">
        <v>0.59040595008990182</v>
      </c>
      <c r="AC147" s="514">
        <v>0.83225062819257511</v>
      </c>
      <c r="AD147" s="514">
        <v>0.97947530890490631</v>
      </c>
      <c r="AE147" s="514">
        <v>0.89952597528165512</v>
      </c>
      <c r="AF147" s="511">
        <v>26.655999999999999</v>
      </c>
      <c r="AG147" s="511">
        <v>1051.9859999999999</v>
      </c>
      <c r="AH147" s="511">
        <v>68.304994787246272</v>
      </c>
      <c r="AI147" s="511">
        <v>121.00608884188986</v>
      </c>
      <c r="AJ147" s="511">
        <v>1.8007202881152462</v>
      </c>
      <c r="AK147" s="511">
        <v>1.3757787651166462</v>
      </c>
      <c r="AL147" s="511">
        <v>1277.8804021608096</v>
      </c>
      <c r="AM147" s="576">
        <v>990.93322534710421</v>
      </c>
      <c r="AN147" s="587"/>
      <c r="AO147" s="587"/>
      <c r="AP147" s="513">
        <v>0.60874215554335787</v>
      </c>
      <c r="AQ147" s="514">
        <v>0.82803701103957694</v>
      </c>
      <c r="AR147" s="514">
        <v>0.93155016363701937</v>
      </c>
      <c r="AS147" s="514">
        <v>0.88698045581256724</v>
      </c>
      <c r="AT147" s="511">
        <v>33.441000000000003</v>
      </c>
      <c r="AU147" s="511">
        <v>1248.7779999999998</v>
      </c>
      <c r="AV147" s="515">
        <v>22.478863045704166</v>
      </c>
      <c r="AW147" s="515">
        <v>97.596593802083305</v>
      </c>
      <c r="AX147" s="511">
        <v>2.1889297568852606</v>
      </c>
      <c r="AY147" s="511">
        <v>1.453661099090471</v>
      </c>
      <c r="AZ147" s="511">
        <v>0</v>
      </c>
      <c r="BA147" s="511">
        <v>7.2070456077861726E-3</v>
      </c>
      <c r="BB147" s="511">
        <v>1134.6305433449963</v>
      </c>
      <c r="BC147" s="511">
        <v>901.7278331296676</v>
      </c>
      <c r="BD147" s="511">
        <v>579.52812415896744</v>
      </c>
      <c r="BE147" s="576">
        <v>523.47097162185764</v>
      </c>
      <c r="BF147" s="511">
        <v>8.9740139349901558</v>
      </c>
      <c r="BG147" s="512">
        <v>28.035327336003679</v>
      </c>
      <c r="BH147" s="513">
        <v>0.73939613031827278</v>
      </c>
      <c r="BI147" s="514">
        <v>0.90170041935189615</v>
      </c>
      <c r="BJ147" s="514">
        <v>0.73939613031827278</v>
      </c>
      <c r="BK147" s="514">
        <v>0.90170041935189615</v>
      </c>
      <c r="BL147" s="511">
        <v>38.469000000000001</v>
      </c>
      <c r="BM147" s="511">
        <v>1368.1130000000003</v>
      </c>
      <c r="BN147" s="511">
        <v>3.4573292781200444</v>
      </c>
      <c r="BO147" s="511">
        <v>2.6437874649243143</v>
      </c>
      <c r="BP147" s="515">
        <v>0</v>
      </c>
      <c r="BQ147" s="515">
        <v>0</v>
      </c>
      <c r="BR147" s="515">
        <v>1129.9143493412114</v>
      </c>
      <c r="BS147" s="515">
        <v>915.72231978747948</v>
      </c>
      <c r="BT147" s="515">
        <v>0</v>
      </c>
      <c r="BU147" s="516">
        <v>0</v>
      </c>
      <c r="BV147" s="513">
        <v>0.96346072842971975</v>
      </c>
      <c r="BW147" s="514">
        <v>0.92165056500484077</v>
      </c>
      <c r="BX147" s="514">
        <v>0.96346072842971975</v>
      </c>
      <c r="BY147" s="514">
        <v>0.92940907250925897</v>
      </c>
      <c r="BZ147" s="511">
        <v>55.231999999999999</v>
      </c>
      <c r="CA147" s="511">
        <v>1386.2330000000002</v>
      </c>
      <c r="CB147" s="515">
        <v>59.106068942637798</v>
      </c>
      <c r="CC147" s="515">
        <v>81.825933597452718</v>
      </c>
      <c r="CD147" s="511">
        <v>1.8358922363847046</v>
      </c>
      <c r="CE147" s="511">
        <v>1.9804030058438951</v>
      </c>
      <c r="CF147" s="515">
        <v>0</v>
      </c>
      <c r="CG147" s="515">
        <v>0</v>
      </c>
      <c r="CH147" s="515">
        <v>643.51942524610809</v>
      </c>
      <c r="CI147" s="515">
        <v>813.20891214434482</v>
      </c>
      <c r="CJ147" s="515">
        <v>572.49420625724315</v>
      </c>
      <c r="CK147" s="515">
        <v>326.14716790034578</v>
      </c>
      <c r="CL147" s="515"/>
      <c r="CM147" s="516"/>
    </row>
    <row r="148" spans="1:91" ht="12.75" hidden="1" customHeight="1">
      <c r="A148" s="558">
        <v>46051</v>
      </c>
      <c r="B148" s="513">
        <v>0.66081761654122684</v>
      </c>
      <c r="C148" s="514">
        <v>0.80441782279345686</v>
      </c>
      <c r="D148" s="514">
        <v>0.66081761654122684</v>
      </c>
      <c r="E148" s="514">
        <v>0.81680747621024419</v>
      </c>
      <c r="F148" s="511">
        <v>42.947000000000003</v>
      </c>
      <c r="G148" s="511">
        <v>1409.7399999999998</v>
      </c>
      <c r="H148" s="511">
        <v>3.1119752252776678</v>
      </c>
      <c r="I148" s="511">
        <v>2.5380155205924502</v>
      </c>
      <c r="J148" s="511">
        <v>1312.5652548490539</v>
      </c>
      <c r="K148" s="512">
        <v>1102.4008824322223</v>
      </c>
      <c r="L148" s="513">
        <v>0.99171181107658202</v>
      </c>
      <c r="M148" s="514">
        <v>0.87618121863879583</v>
      </c>
      <c r="N148" s="514">
        <v>0.99171181107658202</v>
      </c>
      <c r="O148" s="514">
        <v>0.87858464052354368</v>
      </c>
      <c r="P148" s="511">
        <v>70.599000000000004</v>
      </c>
      <c r="Q148" s="511">
        <v>1604.4550000000002</v>
      </c>
      <c r="R148" s="511">
        <v>1.7124463519313304</v>
      </c>
      <c r="S148" s="511">
        <v>1.9992767014344437</v>
      </c>
      <c r="T148" s="511">
        <v>0.24362951316590883</v>
      </c>
      <c r="U148" s="511">
        <v>0.28445796236105092</v>
      </c>
      <c r="V148" s="511">
        <v>461.54208983128933</v>
      </c>
      <c r="W148" s="511">
        <v>625.02658535141234</v>
      </c>
      <c r="X148" s="511">
        <v>425.09100695477275</v>
      </c>
      <c r="Y148" s="576">
        <v>479.37212324434148</v>
      </c>
      <c r="Z148" s="511">
        <v>0</v>
      </c>
      <c r="AA148" s="576">
        <v>0</v>
      </c>
      <c r="AB148" s="513">
        <v>0.64357584438580295</v>
      </c>
      <c r="AC148" s="514">
        <v>0.82595249569852724</v>
      </c>
      <c r="AD148" s="514">
        <v>1.0368100982161212</v>
      </c>
      <c r="AE148" s="514">
        <v>0.90263465295826162</v>
      </c>
      <c r="AF148" s="511">
        <v>28.093</v>
      </c>
      <c r="AG148" s="511">
        <v>1080.079</v>
      </c>
      <c r="AH148" s="511">
        <v>80.884734177134277</v>
      </c>
      <c r="AI148" s="511">
        <v>119.96252701298941</v>
      </c>
      <c r="AJ148" s="511">
        <v>1.7157298971273984</v>
      </c>
      <c r="AK148" s="511">
        <v>1.3846209397645914</v>
      </c>
      <c r="AL148" s="511">
        <v>1215.6316520129697</v>
      </c>
      <c r="AM148" s="576">
        <v>996.77766163400918</v>
      </c>
      <c r="AN148" s="587"/>
      <c r="AO148" s="587"/>
      <c r="AP148" s="513">
        <v>0.6364731854927933</v>
      </c>
      <c r="AQ148" s="514">
        <v>0.82128066232452379</v>
      </c>
      <c r="AR148" s="514">
        <v>0.94681961478266774</v>
      </c>
      <c r="AS148" s="514">
        <v>0.88851532096238095</v>
      </c>
      <c r="AT148" s="511">
        <v>35.091999999999999</v>
      </c>
      <c r="AU148" s="511">
        <v>1283.8699999999999</v>
      </c>
      <c r="AV148" s="515">
        <v>21.129353796692911</v>
      </c>
      <c r="AW148" s="515">
        <v>95.506515845382737</v>
      </c>
      <c r="AX148" s="511">
        <v>2.1286902997834267</v>
      </c>
      <c r="AY148" s="511">
        <v>1.4721116623957256</v>
      </c>
      <c r="AZ148" s="511">
        <v>0</v>
      </c>
      <c r="BA148" s="511">
        <v>7.0100555352177411E-3</v>
      </c>
      <c r="BB148" s="511">
        <v>999.10919867776101</v>
      </c>
      <c r="BC148" s="511">
        <v>904.38955657504255</v>
      </c>
      <c r="BD148" s="511">
        <v>571.75424598199015</v>
      </c>
      <c r="BE148" s="576">
        <v>524.79069765630481</v>
      </c>
      <c r="BF148" s="511">
        <v>37.618260572210353</v>
      </c>
      <c r="BG148" s="512">
        <v>28.297257510495612</v>
      </c>
      <c r="BH148" s="513">
        <v>0.68343777349831847</v>
      </c>
      <c r="BI148" s="514">
        <v>0.89432689056308623</v>
      </c>
      <c r="BJ148" s="514">
        <v>0.68343777349831847</v>
      </c>
      <c r="BK148" s="514">
        <v>0.89432689056308623</v>
      </c>
      <c r="BL148" s="511">
        <v>36.256</v>
      </c>
      <c r="BM148" s="511">
        <v>1404.3690000000004</v>
      </c>
      <c r="BN148" s="511">
        <v>2.965026478375993</v>
      </c>
      <c r="BO148" s="511">
        <v>2.6520807565532976</v>
      </c>
      <c r="BP148" s="515">
        <v>0</v>
      </c>
      <c r="BQ148" s="515">
        <v>0</v>
      </c>
      <c r="BR148" s="515">
        <v>982.4348282109346</v>
      </c>
      <c r="BS148" s="515">
        <v>917.44460837787176</v>
      </c>
      <c r="BT148" s="515">
        <v>0</v>
      </c>
      <c r="BU148" s="516">
        <v>0</v>
      </c>
      <c r="BV148" s="513">
        <v>0.80676924825644414</v>
      </c>
      <c r="BW148" s="514">
        <v>0.91732725580253149</v>
      </c>
      <c r="BX148" s="514">
        <v>0.80676924825644414</v>
      </c>
      <c r="BY148" s="514">
        <v>0.92475641092038319</v>
      </c>
      <c r="BZ148" s="511">
        <v>47.451000000000001</v>
      </c>
      <c r="CA148" s="511">
        <v>1433.6840000000002</v>
      </c>
      <c r="CB148" s="515">
        <v>75.53547616126572</v>
      </c>
      <c r="CC148" s="515">
        <v>81.617736745284105</v>
      </c>
      <c r="CD148" s="511">
        <v>2.1727676972034309</v>
      </c>
      <c r="CE148" s="511">
        <v>1.9867697484243392</v>
      </c>
      <c r="CF148" s="515">
        <v>0</v>
      </c>
      <c r="CG148" s="515">
        <v>0</v>
      </c>
      <c r="CH148" s="515">
        <v>772.44026192039223</v>
      </c>
      <c r="CI148" s="515">
        <v>811.85958187227891</v>
      </c>
      <c r="CJ148" s="515">
        <v>689.8906240121388</v>
      </c>
      <c r="CK148" s="515">
        <v>338.18607656917419</v>
      </c>
      <c r="CL148" s="515"/>
      <c r="CM148" s="516"/>
    </row>
    <row r="149" spans="1:91" ht="12.75" hidden="1" customHeight="1">
      <c r="A149" s="558">
        <v>46052</v>
      </c>
      <c r="B149" s="513">
        <v>0.60529480555148507</v>
      </c>
      <c r="C149" s="514">
        <v>0.79614150639475179</v>
      </c>
      <c r="D149" s="514">
        <v>0.60529480555148507</v>
      </c>
      <c r="E149" s="514">
        <v>0.80788650582628996</v>
      </c>
      <c r="F149" s="511">
        <v>46.002000000000002</v>
      </c>
      <c r="G149" s="511">
        <v>1455.7419999999997</v>
      </c>
      <c r="H149" s="511">
        <v>3.1339724359810437</v>
      </c>
      <c r="I149" s="511">
        <v>2.5568479854259891</v>
      </c>
      <c r="J149" s="511">
        <v>1146.466240598173</v>
      </c>
      <c r="K149" s="512">
        <v>1103.7933644835405</v>
      </c>
      <c r="L149" s="513">
        <v>0.98070555492734535</v>
      </c>
      <c r="M149" s="514">
        <v>0.88002374232059866</v>
      </c>
      <c r="N149" s="514">
        <v>0.98070555492734535</v>
      </c>
      <c r="O149" s="514">
        <v>0.8823487279658363</v>
      </c>
      <c r="P149" s="511">
        <v>68.539000000000001</v>
      </c>
      <c r="Q149" s="511">
        <v>1672.9940000000001</v>
      </c>
      <c r="R149" s="511">
        <v>1.7556573629612335</v>
      </c>
      <c r="S149" s="511">
        <v>1.9892961361487254</v>
      </c>
      <c r="T149" s="511">
        <v>0.28013247931834429</v>
      </c>
      <c r="U149" s="511">
        <v>0.28428075653588714</v>
      </c>
      <c r="V149" s="511">
        <v>458.71416273947483</v>
      </c>
      <c r="W149" s="511">
        <v>618.2131197123249</v>
      </c>
      <c r="X149" s="511">
        <v>423.87545776856973</v>
      </c>
      <c r="Y149" s="576">
        <v>477.09854309100922</v>
      </c>
      <c r="Z149" s="511">
        <v>0</v>
      </c>
      <c r="AA149" s="576">
        <v>0</v>
      </c>
      <c r="AB149" s="513">
        <v>0.77658842652023008</v>
      </c>
      <c r="AC149" s="514">
        <v>0.82437827234377781</v>
      </c>
      <c r="AD149" s="514">
        <v>0.94529783109816667</v>
      </c>
      <c r="AE149" s="514">
        <v>0.90386013104375329</v>
      </c>
      <c r="AF149" s="511">
        <v>33.451999999999998</v>
      </c>
      <c r="AG149" s="511">
        <v>1113.5309999999999</v>
      </c>
      <c r="AH149" s="511">
        <v>102.70123492407497</v>
      </c>
      <c r="AI149" s="511">
        <v>119.44397410071451</v>
      </c>
      <c r="AJ149" s="511">
        <v>1.4916895850771255</v>
      </c>
      <c r="AK149" s="511">
        <v>1.3878374288636779</v>
      </c>
      <c r="AL149" s="511">
        <v>1051.349396149707</v>
      </c>
      <c r="AM149" s="576">
        <v>998.41707146006615</v>
      </c>
      <c r="AN149" s="587"/>
      <c r="AO149" s="587"/>
      <c r="AP149" s="513">
        <v>0.82686522419796304</v>
      </c>
      <c r="AQ149" s="514">
        <v>0.82147031873985998</v>
      </c>
      <c r="AR149" s="514">
        <v>0.84874440268069495</v>
      </c>
      <c r="AS149" s="514">
        <v>0.88709436768226235</v>
      </c>
      <c r="AT149" s="511">
        <v>45.441000000000003</v>
      </c>
      <c r="AU149" s="511">
        <v>1329.3109999999999</v>
      </c>
      <c r="AV149" s="515">
        <v>77.177024262694871</v>
      </c>
      <c r="AW149" s="515">
        <v>94.879942810924334</v>
      </c>
      <c r="AX149" s="511">
        <v>1.5250544662309367</v>
      </c>
      <c r="AY149" s="511">
        <v>1.4739214525419559</v>
      </c>
      <c r="AZ149" s="511">
        <v>0</v>
      </c>
      <c r="BA149" s="511">
        <v>6.7704246786493161E-3</v>
      </c>
      <c r="BB149" s="511">
        <v>860.89082546598979</v>
      </c>
      <c r="BC149" s="511">
        <v>902.90260142284228</v>
      </c>
      <c r="BD149" s="511">
        <v>581.07876147091827</v>
      </c>
      <c r="BE149" s="576">
        <v>526.71484174884586</v>
      </c>
      <c r="BF149" s="511">
        <v>38.066943949296636</v>
      </c>
      <c r="BG149" s="512">
        <v>28.631223242717457</v>
      </c>
      <c r="BH149" s="513">
        <v>0.6382735199755124</v>
      </c>
      <c r="BI149" s="514">
        <v>0.8861603385879202</v>
      </c>
      <c r="BJ149" s="514">
        <v>0.6382735199755124</v>
      </c>
      <c r="BK149" s="514">
        <v>0.8861603385879202</v>
      </c>
      <c r="BL149" s="511">
        <v>33.020000000000003</v>
      </c>
      <c r="BM149" s="511">
        <v>1437.3890000000004</v>
      </c>
      <c r="BN149" s="511">
        <v>4.0399757722592362</v>
      </c>
      <c r="BO149" s="511">
        <v>2.6839637704198362</v>
      </c>
      <c r="BP149" s="515">
        <v>0</v>
      </c>
      <c r="BQ149" s="515">
        <v>0</v>
      </c>
      <c r="BR149" s="515">
        <v>1395.086664978239</v>
      </c>
      <c r="BS149" s="515">
        <v>928.41710135572544</v>
      </c>
      <c r="BT149" s="515">
        <v>0</v>
      </c>
      <c r="BU149" s="516">
        <v>0</v>
      </c>
      <c r="BV149" s="513">
        <v>1.0052649228277659</v>
      </c>
      <c r="BW149" s="514">
        <v>0.92050468351105452</v>
      </c>
      <c r="BX149" s="514">
        <v>1.0052649228277659</v>
      </c>
      <c r="BY149" s="514">
        <v>0.92768810414449077</v>
      </c>
      <c r="BZ149" s="511">
        <v>58.896999999999998</v>
      </c>
      <c r="CA149" s="511">
        <v>1492.5810000000001</v>
      </c>
      <c r="CB149" s="515">
        <v>51.758784484756895</v>
      </c>
      <c r="CC149" s="515">
        <v>80.439507415493452</v>
      </c>
      <c r="CD149" s="511">
        <v>1.5790277942849382</v>
      </c>
      <c r="CE149" s="511">
        <v>1.9706803181870869</v>
      </c>
      <c r="CF149" s="515">
        <v>0</v>
      </c>
      <c r="CG149" s="515">
        <v>0</v>
      </c>
      <c r="CH149" s="515">
        <v>571.39511897750924</v>
      </c>
      <c r="CI149" s="515">
        <v>802.37089384053172</v>
      </c>
      <c r="CJ149" s="515">
        <v>485.68178345246787</v>
      </c>
      <c r="CK149" s="515">
        <v>344.00623282756516</v>
      </c>
      <c r="CL149" s="515"/>
      <c r="CM149" s="516"/>
    </row>
    <row r="150" spans="1:91" ht="12.75" hidden="1" customHeight="1">
      <c r="A150" s="558">
        <v>46053</v>
      </c>
      <c r="B150" s="513">
        <v>0.80497446587442234</v>
      </c>
      <c r="C150" s="514">
        <v>0.79651332909894346</v>
      </c>
      <c r="D150" s="514">
        <v>0.80497446587442234</v>
      </c>
      <c r="E150" s="514">
        <v>0.80776219256210335</v>
      </c>
      <c r="F150" s="511">
        <v>64.682000000000002</v>
      </c>
      <c r="G150" s="511">
        <v>1520.4239999999998</v>
      </c>
      <c r="H150" s="511">
        <v>2.4514238891809157</v>
      </c>
      <c r="I150" s="511">
        <v>2.5523630250509073</v>
      </c>
      <c r="J150" s="511">
        <v>810.65860672212705</v>
      </c>
      <c r="K150" s="512">
        <v>1091.3228020604772</v>
      </c>
      <c r="L150" s="513">
        <v>0.96590361886898857</v>
      </c>
      <c r="M150" s="514">
        <v>0.88301529197953088</v>
      </c>
      <c r="N150" s="514">
        <v>0.96590361886898857</v>
      </c>
      <c r="O150" s="514">
        <v>0.88526670983944578</v>
      </c>
      <c r="P150" s="511">
        <v>66.272999999999996</v>
      </c>
      <c r="Q150" s="511">
        <v>1739.2670000000001</v>
      </c>
      <c r="R150" s="511">
        <v>1.8730403029891511</v>
      </c>
      <c r="S150" s="511">
        <v>1.9848663258717614</v>
      </c>
      <c r="T150" s="511">
        <v>0.22935433736212335</v>
      </c>
      <c r="U150" s="511">
        <v>0.28218784119976981</v>
      </c>
      <c r="V150" s="511">
        <v>573.44212575254301</v>
      </c>
      <c r="W150" s="511">
        <v>616.50716652474841</v>
      </c>
      <c r="X150" s="511">
        <v>376.56360810586517</v>
      </c>
      <c r="Y150" s="576">
        <v>473.26776164901651</v>
      </c>
      <c r="Z150" s="511">
        <v>0</v>
      </c>
      <c r="AA150" s="576">
        <v>0</v>
      </c>
      <c r="AB150" s="513">
        <v>0.84436885210724499</v>
      </c>
      <c r="AC150" s="514">
        <v>0.8250062442315248</v>
      </c>
      <c r="AD150" s="514">
        <v>0.84436885210724499</v>
      </c>
      <c r="AE150" s="514">
        <v>0.90181731409921739</v>
      </c>
      <c r="AF150" s="511">
        <v>36.99</v>
      </c>
      <c r="AG150" s="511">
        <v>1150.521</v>
      </c>
      <c r="AH150" s="511">
        <v>153.26211251670242</v>
      </c>
      <c r="AI150" s="511">
        <v>120.53124929169962</v>
      </c>
      <c r="AJ150" s="511">
        <v>1.3381995133819951</v>
      </c>
      <c r="AK150" s="511">
        <v>1.3862415375295194</v>
      </c>
      <c r="AL150" s="511">
        <v>962.55798864557983</v>
      </c>
      <c r="AM150" s="576">
        <v>997.26417857648755</v>
      </c>
      <c r="AN150" s="587"/>
      <c r="AO150" s="587"/>
      <c r="AP150" s="513">
        <v>5.313592153437581E-2</v>
      </c>
      <c r="AQ150" s="514">
        <v>0.79624347980899668</v>
      </c>
      <c r="AR150" s="514">
        <v>5.313592153437581E-2</v>
      </c>
      <c r="AS150" s="514">
        <v>0.85760283861967224</v>
      </c>
      <c r="AT150" s="511">
        <v>2.919</v>
      </c>
      <c r="AU150" s="511">
        <v>1332.23</v>
      </c>
      <c r="AV150" s="515">
        <v>17.14281892166996</v>
      </c>
      <c r="AW150" s="515">
        <v>94.709615866903604</v>
      </c>
      <c r="AX150" s="511">
        <v>6.3035286056868784</v>
      </c>
      <c r="AY150" s="511">
        <v>1.4845034265854995</v>
      </c>
      <c r="AZ150" s="511">
        <v>0</v>
      </c>
      <c r="BA150" s="511">
        <v>6.7555902509326467E-3</v>
      </c>
      <c r="BB150" s="511">
        <v>3578.2870846179922</v>
      </c>
      <c r="BC150" s="511">
        <v>908.76453765490942</v>
      </c>
      <c r="BD150" s="511">
        <v>0</v>
      </c>
      <c r="BE150" s="576">
        <v>525.56077629238212</v>
      </c>
      <c r="BF150" s="511">
        <v>489.92805755395887</v>
      </c>
      <c r="BG150" s="512">
        <v>29.641953716700566</v>
      </c>
      <c r="BH150" s="513">
        <v>0.95458896001576621</v>
      </c>
      <c r="BI150" s="514">
        <v>0.88835377220485801</v>
      </c>
      <c r="BJ150" s="514">
        <v>0.95458896001576621</v>
      </c>
      <c r="BK150" s="514">
        <v>0.88835377220485801</v>
      </c>
      <c r="BL150" s="511">
        <v>51.276000000000003</v>
      </c>
      <c r="BM150" s="511">
        <v>1488.6650000000004</v>
      </c>
      <c r="BN150" s="511">
        <v>2.6113581402605508</v>
      </c>
      <c r="BO150" s="511">
        <v>2.6814629214766237</v>
      </c>
      <c r="BP150" s="515">
        <v>0</v>
      </c>
      <c r="BQ150" s="515">
        <v>0</v>
      </c>
      <c r="BR150" s="515">
        <v>828.13843828508629</v>
      </c>
      <c r="BS150" s="515">
        <v>924.96307460853245</v>
      </c>
      <c r="BT150" s="515">
        <v>0</v>
      </c>
      <c r="BU150" s="516">
        <v>0</v>
      </c>
      <c r="BV150" s="513">
        <v>0.46941383167063289</v>
      </c>
      <c r="BW150" s="514">
        <v>0.90611411830132604</v>
      </c>
      <c r="BX150" s="514">
        <v>0.46941383167063289</v>
      </c>
      <c r="BY150" s="514">
        <v>0.91295795351375308</v>
      </c>
      <c r="BZ150" s="511">
        <v>25.082000000000001</v>
      </c>
      <c r="CA150" s="511">
        <v>1517.6630000000002</v>
      </c>
      <c r="CB150" s="515">
        <v>175.13733233294087</v>
      </c>
      <c r="CC150" s="515">
        <v>82.004552385674188</v>
      </c>
      <c r="CD150" s="511">
        <v>2.8466629455386334</v>
      </c>
      <c r="CE150" s="511">
        <v>1.9851574427260863</v>
      </c>
      <c r="CF150" s="515">
        <v>0</v>
      </c>
      <c r="CG150" s="515">
        <v>0</v>
      </c>
      <c r="CH150" s="515">
        <v>1014.7290263333832</v>
      </c>
      <c r="CI150" s="515">
        <v>805.88047843156789</v>
      </c>
      <c r="CJ150" s="515">
        <v>690.53504505222872</v>
      </c>
      <c r="CK150" s="515">
        <v>349.73321943013701</v>
      </c>
      <c r="CL150" s="515"/>
      <c r="CM150" s="516"/>
    </row>
    <row r="151" spans="1:91" ht="12.75" hidden="1" customHeight="1">
      <c r="A151" s="558"/>
      <c r="B151" s="513"/>
      <c r="C151" s="514"/>
      <c r="D151" s="514"/>
      <c r="E151" s="514"/>
      <c r="F151" s="511"/>
      <c r="G151" s="511"/>
      <c r="H151" s="511"/>
      <c r="I151" s="511"/>
      <c r="J151" s="511"/>
      <c r="K151" s="512"/>
      <c r="L151" s="513"/>
      <c r="M151" s="514"/>
      <c r="N151" s="514"/>
      <c r="O151" s="514"/>
      <c r="P151" s="511"/>
      <c r="Q151" s="511"/>
      <c r="R151" s="511"/>
      <c r="S151" s="511"/>
      <c r="T151" s="511"/>
      <c r="U151" s="511"/>
      <c r="V151" s="511"/>
      <c r="W151" s="511"/>
      <c r="X151" s="511"/>
      <c r="Y151" s="576"/>
      <c r="Z151" s="511"/>
      <c r="AA151" s="576"/>
      <c r="AB151" s="513"/>
      <c r="AC151" s="514"/>
      <c r="AD151" s="514"/>
      <c r="AE151" s="514"/>
      <c r="AF151" s="511"/>
      <c r="AG151" s="511"/>
      <c r="AH151" s="511"/>
      <c r="AI151" s="511"/>
      <c r="AJ151" s="511"/>
      <c r="AK151" s="511"/>
      <c r="AL151" s="511"/>
      <c r="AM151" s="576"/>
      <c r="AN151" s="511"/>
      <c r="AO151" s="576"/>
      <c r="AP151" s="513"/>
      <c r="AQ151" s="514"/>
      <c r="AR151" s="514"/>
      <c r="AS151" s="514"/>
      <c r="AT151" s="511"/>
      <c r="AU151" s="511"/>
      <c r="AV151" s="515"/>
      <c r="AW151" s="515"/>
      <c r="AX151" s="511"/>
      <c r="AY151" s="511"/>
      <c r="AZ151" s="511"/>
      <c r="BA151" s="511"/>
      <c r="BB151" s="511"/>
      <c r="BC151" s="511"/>
      <c r="BD151" s="511"/>
      <c r="BE151" s="576"/>
      <c r="BF151" s="511"/>
      <c r="BG151" s="512"/>
      <c r="BH151" s="513"/>
      <c r="BI151" s="514"/>
      <c r="BJ151" s="514"/>
      <c r="BK151" s="514"/>
      <c r="BL151" s="511"/>
      <c r="BM151" s="511"/>
      <c r="BN151" s="511"/>
      <c r="BO151" s="511"/>
      <c r="BP151" s="515"/>
      <c r="BQ151" s="515"/>
      <c r="BR151" s="515"/>
      <c r="BS151" s="515"/>
      <c r="BT151" s="515"/>
      <c r="BU151" s="516"/>
      <c r="BV151" s="513"/>
      <c r="BW151" s="514"/>
      <c r="BX151" s="514"/>
      <c r="BY151" s="514"/>
      <c r="BZ151" s="511"/>
      <c r="CA151" s="511"/>
      <c r="CB151" s="511"/>
      <c r="CC151" s="511"/>
      <c r="CD151" s="511"/>
      <c r="CE151" s="511"/>
      <c r="CF151" s="511"/>
      <c r="CG151" s="511"/>
      <c r="CH151" s="579"/>
      <c r="CI151" s="515"/>
      <c r="CJ151" s="515"/>
      <c r="CK151" s="515"/>
      <c r="CL151" s="515"/>
      <c r="CM151" s="516"/>
    </row>
    <row r="152" spans="1:91" ht="13.5" thickBot="1">
      <c r="A152" s="568" t="s">
        <v>229</v>
      </c>
      <c r="B152" s="818">
        <f>+C150</f>
        <v>0.79651332909894346</v>
      </c>
      <c r="C152" s="819"/>
      <c r="D152" s="820">
        <f>+E150</f>
        <v>0.80776219256210335</v>
      </c>
      <c r="E152" s="819"/>
      <c r="F152" s="821">
        <f>+G150</f>
        <v>1520.4239999999998</v>
      </c>
      <c r="G152" s="822"/>
      <c r="H152" s="823">
        <f>+I150</f>
        <v>2.5523630250509073</v>
      </c>
      <c r="I152" s="824"/>
      <c r="J152" s="821">
        <f>+K150</f>
        <v>1091.3228020604772</v>
      </c>
      <c r="K152" s="825"/>
      <c r="L152" s="818">
        <f>+M150</f>
        <v>0.88301529197953088</v>
      </c>
      <c r="M152" s="819"/>
      <c r="N152" s="820">
        <f>+O150</f>
        <v>0.88526670983944578</v>
      </c>
      <c r="O152" s="819"/>
      <c r="P152" s="821">
        <f>+Q150</f>
        <v>1739.2670000000001</v>
      </c>
      <c r="Q152" s="822"/>
      <c r="R152" s="823">
        <f>+S150</f>
        <v>1.9848663258717614</v>
      </c>
      <c r="S152" s="824"/>
      <c r="T152" s="823">
        <f>+U150</f>
        <v>0.28218784119976981</v>
      </c>
      <c r="U152" s="824"/>
      <c r="V152" s="821">
        <f>+W150</f>
        <v>616.50716652474841</v>
      </c>
      <c r="W152" s="822"/>
      <c r="X152" s="823">
        <f>+Y150</f>
        <v>473.26776164901651</v>
      </c>
      <c r="Y152" s="824"/>
      <c r="Z152" s="829">
        <v>0</v>
      </c>
      <c r="AA152" s="830"/>
      <c r="AB152" s="831">
        <f>+AC150</f>
        <v>0.8250062442315248</v>
      </c>
      <c r="AC152" s="828"/>
      <c r="AD152" s="828">
        <f>+AE150</f>
        <v>0.90181731409921739</v>
      </c>
      <c r="AE152" s="828"/>
      <c r="AF152" s="826">
        <f>+AG150</f>
        <v>1150.521</v>
      </c>
      <c r="AG152" s="826"/>
      <c r="AH152" s="827">
        <f>+AI150</f>
        <v>120.53124929169962</v>
      </c>
      <c r="AI152" s="827"/>
      <c r="AJ152" s="826">
        <f>+AK150</f>
        <v>1.3862415375295194</v>
      </c>
      <c r="AK152" s="826"/>
      <c r="AL152" s="826">
        <f>+AM150</f>
        <v>997.26417857648755</v>
      </c>
      <c r="AM152" s="826"/>
      <c r="AN152" s="821">
        <f>+AO150</f>
        <v>0</v>
      </c>
      <c r="AO152" s="825"/>
      <c r="AP152" s="819">
        <f>+AQ150</f>
        <v>0.79624347980899668</v>
      </c>
      <c r="AQ152" s="828"/>
      <c r="AR152" s="828">
        <f>+AS150</f>
        <v>0.85760283861967224</v>
      </c>
      <c r="AS152" s="828"/>
      <c r="AT152" s="833">
        <f>+AU150</f>
        <v>1332.23</v>
      </c>
      <c r="AU152" s="833"/>
      <c r="AV152" s="827">
        <f>+AW150</f>
        <v>94.709615866903604</v>
      </c>
      <c r="AW152" s="827"/>
      <c r="AX152" s="826">
        <f>+AY150</f>
        <v>1.4845034265854995</v>
      </c>
      <c r="AY152" s="826"/>
      <c r="AZ152" s="826">
        <f>+BA150</f>
        <v>6.7555902509326467E-3</v>
      </c>
      <c r="BA152" s="826"/>
      <c r="BB152" s="827">
        <f>+BC150</f>
        <v>908.76453765490942</v>
      </c>
      <c r="BC152" s="827"/>
      <c r="BD152" s="827">
        <f>+BE150</f>
        <v>525.56077629238212</v>
      </c>
      <c r="BE152" s="821"/>
      <c r="BF152" s="827">
        <v>0</v>
      </c>
      <c r="BG152" s="832"/>
      <c r="BH152" s="818">
        <f>+BI150</f>
        <v>0.88835377220485801</v>
      </c>
      <c r="BI152" s="819"/>
      <c r="BJ152" s="820">
        <f>+BK150</f>
        <v>0.88835377220485801</v>
      </c>
      <c r="BK152" s="819"/>
      <c r="BL152" s="821">
        <f>+BM150</f>
        <v>1488.6650000000004</v>
      </c>
      <c r="BM152" s="822"/>
      <c r="BN152" s="821">
        <f>+BO150</f>
        <v>2.6814629214766237</v>
      </c>
      <c r="BO152" s="822"/>
      <c r="BP152" s="823">
        <f>+BQ150</f>
        <v>0</v>
      </c>
      <c r="BQ152" s="824"/>
      <c r="BR152" s="821">
        <f>+BS150</f>
        <v>924.96307460853245</v>
      </c>
      <c r="BS152" s="822"/>
      <c r="BT152" s="823">
        <f>+BU150</f>
        <v>0</v>
      </c>
      <c r="BU152" s="830"/>
      <c r="BV152" s="818">
        <f>+BW150</f>
        <v>0.90611411830132604</v>
      </c>
      <c r="BW152" s="819"/>
      <c r="BX152" s="820">
        <f>+BY150</f>
        <v>0.91295795351375308</v>
      </c>
      <c r="BY152" s="819"/>
      <c r="BZ152" s="821">
        <f>+CA150</f>
        <v>1517.6630000000002</v>
      </c>
      <c r="CA152" s="822"/>
      <c r="CB152" s="823">
        <f>+CC150</f>
        <v>82.004552385674188</v>
      </c>
      <c r="CC152" s="824"/>
      <c r="CD152" s="823">
        <f>+CE150</f>
        <v>1.9851574427260863</v>
      </c>
      <c r="CE152" s="824"/>
      <c r="CF152" s="823">
        <f>+CG150</f>
        <v>0</v>
      </c>
      <c r="CG152" s="824"/>
      <c r="CH152" s="821">
        <f>+CI150</f>
        <v>805.88047843156789</v>
      </c>
      <c r="CI152" s="822"/>
      <c r="CJ152" s="827">
        <f>+CK150</f>
        <v>349.73321943013701</v>
      </c>
      <c r="CK152" s="827"/>
      <c r="CL152" s="827">
        <f>+CM150</f>
        <v>0</v>
      </c>
      <c r="CM152" s="832"/>
    </row>
  </sheetData>
  <mergeCells count="724">
    <mergeCell ref="X47:Y47"/>
    <mergeCell ref="X81:Y81"/>
    <mergeCell ref="X84:Y84"/>
    <mergeCell ref="X115:Y115"/>
    <mergeCell ref="X118:Y118"/>
    <mergeCell ref="X152:Y152"/>
    <mergeCell ref="X2:Y2"/>
    <mergeCell ref="X36:Y36"/>
    <mergeCell ref="X37:Y37"/>
    <mergeCell ref="X38:Y38"/>
    <mergeCell ref="X39:Y39"/>
    <mergeCell ref="X40:Y40"/>
    <mergeCell ref="X41:Y41"/>
    <mergeCell ref="X42:Y42"/>
    <mergeCell ref="X43:Y43"/>
    <mergeCell ref="D40:E40"/>
    <mergeCell ref="N40:O40"/>
    <mergeCell ref="AD40:AE40"/>
    <mergeCell ref="T40:U40"/>
    <mergeCell ref="BX47:BY47"/>
    <mergeCell ref="BZ47:CA47"/>
    <mergeCell ref="CB47:CC47"/>
    <mergeCell ref="CD47:CE47"/>
    <mergeCell ref="CF47:CG47"/>
    <mergeCell ref="BJ47:BK47"/>
    <mergeCell ref="BL47:BM47"/>
    <mergeCell ref="BN47:BO47"/>
    <mergeCell ref="BP47:BQ47"/>
    <mergeCell ref="BR47:BS47"/>
    <mergeCell ref="BT47:BU47"/>
    <mergeCell ref="BV44:BW44"/>
    <mergeCell ref="BX44:BY44"/>
    <mergeCell ref="BZ44:CA44"/>
    <mergeCell ref="CB44:CC44"/>
    <mergeCell ref="CD44:CE44"/>
    <mergeCell ref="CF44:CG44"/>
    <mergeCell ref="BJ44:BK44"/>
    <mergeCell ref="BL44:BM44"/>
    <mergeCell ref="BN44:BO44"/>
    <mergeCell ref="AZ81:BA81"/>
    <mergeCell ref="BB81:BC81"/>
    <mergeCell ref="BD81:BE81"/>
    <mergeCell ref="BF81:BG81"/>
    <mergeCell ref="BH81:BI81"/>
    <mergeCell ref="BJ81:BK81"/>
    <mergeCell ref="AN81:AO81"/>
    <mergeCell ref="AP81:AQ81"/>
    <mergeCell ref="Z47:AA47"/>
    <mergeCell ref="AB47:AC47"/>
    <mergeCell ref="AD47:AE47"/>
    <mergeCell ref="AF47:AG47"/>
    <mergeCell ref="AH47:AI47"/>
    <mergeCell ref="AJ47:AK47"/>
    <mergeCell ref="AX47:AY47"/>
    <mergeCell ref="AZ47:BA47"/>
    <mergeCell ref="BB47:BC47"/>
    <mergeCell ref="BD47:BE47"/>
    <mergeCell ref="BF47:BG47"/>
    <mergeCell ref="BH47:BI47"/>
    <mergeCell ref="AL47:AM47"/>
    <mergeCell ref="AN47:AO47"/>
    <mergeCell ref="AP47:AQ47"/>
    <mergeCell ref="AR47:AS47"/>
    <mergeCell ref="BX81:BY81"/>
    <mergeCell ref="BZ81:CA81"/>
    <mergeCell ref="CB81:CC81"/>
    <mergeCell ref="CD81:CE81"/>
    <mergeCell ref="CF81:CG81"/>
    <mergeCell ref="BL81:BM81"/>
    <mergeCell ref="BN81:BO81"/>
    <mergeCell ref="BP81:BQ81"/>
    <mergeCell ref="BR81:BS81"/>
    <mergeCell ref="BT81:BU81"/>
    <mergeCell ref="BV81:BW81"/>
    <mergeCell ref="AR81:AS81"/>
    <mergeCell ref="AT81:AU81"/>
    <mergeCell ref="AV81:AW81"/>
    <mergeCell ref="AX81:AY81"/>
    <mergeCell ref="AB81:AC81"/>
    <mergeCell ref="AD81:AE81"/>
    <mergeCell ref="AF81:AG81"/>
    <mergeCell ref="AH81:AI81"/>
    <mergeCell ref="AJ81:AK81"/>
    <mergeCell ref="AL81:AM81"/>
    <mergeCell ref="N81:O81"/>
    <mergeCell ref="P81:Q81"/>
    <mergeCell ref="R81:S81"/>
    <mergeCell ref="T81:U81"/>
    <mergeCell ref="V81:W81"/>
    <mergeCell ref="Z81:AA81"/>
    <mergeCell ref="B81:C81"/>
    <mergeCell ref="D81:E81"/>
    <mergeCell ref="F81:G81"/>
    <mergeCell ref="H81:I81"/>
    <mergeCell ref="J81:K81"/>
    <mergeCell ref="L81:M81"/>
    <mergeCell ref="AL44:AM44"/>
    <mergeCell ref="AN44:AO44"/>
    <mergeCell ref="AP44:AQ44"/>
    <mergeCell ref="AB44:AC44"/>
    <mergeCell ref="AD44:AE44"/>
    <mergeCell ref="AF44:AG44"/>
    <mergeCell ref="AH44:AI44"/>
    <mergeCell ref="AJ44:AK44"/>
    <mergeCell ref="R44:S44"/>
    <mergeCell ref="T44:U44"/>
    <mergeCell ref="V44:W44"/>
    <mergeCell ref="X44:Y44"/>
    <mergeCell ref="AD43:AE43"/>
    <mergeCell ref="AF43:AG43"/>
    <mergeCell ref="AH43:AI43"/>
    <mergeCell ref="AJ43:AK43"/>
    <mergeCell ref="AL43:AM43"/>
    <mergeCell ref="BX43:BY43"/>
    <mergeCell ref="N43:O43"/>
    <mergeCell ref="P43:Q43"/>
    <mergeCell ref="R43:S43"/>
    <mergeCell ref="T43:U43"/>
    <mergeCell ref="V43:W43"/>
    <mergeCell ref="Z43:AA43"/>
    <mergeCell ref="AR44:AS44"/>
    <mergeCell ref="AT44:AU44"/>
    <mergeCell ref="AV44:AW44"/>
    <mergeCell ref="BP44:BQ44"/>
    <mergeCell ref="BR44:BS44"/>
    <mergeCell ref="BT44:BU44"/>
    <mergeCell ref="AX44:AY44"/>
    <mergeCell ref="AZ44:BA44"/>
    <mergeCell ref="BB44:BC44"/>
    <mergeCell ref="BD44:BE44"/>
    <mergeCell ref="BF44:BG44"/>
    <mergeCell ref="BH44:BI44"/>
    <mergeCell ref="B44:C44"/>
    <mergeCell ref="D44:E44"/>
    <mergeCell ref="F44:G44"/>
    <mergeCell ref="H44:I44"/>
    <mergeCell ref="J44:K44"/>
    <mergeCell ref="BL43:BM43"/>
    <mergeCell ref="BN43:BO43"/>
    <mergeCell ref="BP43:BQ43"/>
    <mergeCell ref="BR43:BS43"/>
    <mergeCell ref="AZ43:BA43"/>
    <mergeCell ref="BB43:BC43"/>
    <mergeCell ref="BD43:BE43"/>
    <mergeCell ref="BF43:BG43"/>
    <mergeCell ref="BH43:BI43"/>
    <mergeCell ref="BJ43:BK43"/>
    <mergeCell ref="AN43:AO43"/>
    <mergeCell ref="AP43:AQ43"/>
    <mergeCell ref="Z44:AA44"/>
    <mergeCell ref="AV43:AW43"/>
    <mergeCell ref="AX43:AY43"/>
    <mergeCell ref="AB43:AC43"/>
    <mergeCell ref="L44:M44"/>
    <mergeCell ref="N44:O44"/>
    <mergeCell ref="P44:Q44"/>
    <mergeCell ref="Z42:AA42"/>
    <mergeCell ref="AB42:AC42"/>
    <mergeCell ref="AR43:AS43"/>
    <mergeCell ref="AT43:AU43"/>
    <mergeCell ref="CF42:CG42"/>
    <mergeCell ref="BT42:BU42"/>
    <mergeCell ref="BV42:BW42"/>
    <mergeCell ref="BX42:BY42"/>
    <mergeCell ref="BZ42:CA42"/>
    <mergeCell ref="CB42:CC42"/>
    <mergeCell ref="CD42:CE42"/>
    <mergeCell ref="AZ42:BA42"/>
    <mergeCell ref="AD42:AE42"/>
    <mergeCell ref="AF42:AG42"/>
    <mergeCell ref="AH42:AI42"/>
    <mergeCell ref="AJ42:AK42"/>
    <mergeCell ref="AL42:AM42"/>
    <mergeCell ref="AN42:AO42"/>
    <mergeCell ref="CF43:CG43"/>
    <mergeCell ref="BT43:BU43"/>
    <mergeCell ref="BV43:BW43"/>
    <mergeCell ref="BZ43:CA43"/>
    <mergeCell ref="CB43:CC43"/>
    <mergeCell ref="CD43:CE43"/>
    <mergeCell ref="B43:C43"/>
    <mergeCell ref="D43:E43"/>
    <mergeCell ref="F43:G43"/>
    <mergeCell ref="H43:I43"/>
    <mergeCell ref="J43:K43"/>
    <mergeCell ref="L43:M43"/>
    <mergeCell ref="BN42:BO42"/>
    <mergeCell ref="BP42:BQ42"/>
    <mergeCell ref="BR42:BS42"/>
    <mergeCell ref="BB42:BC42"/>
    <mergeCell ref="BD42:BE42"/>
    <mergeCell ref="BF42:BG42"/>
    <mergeCell ref="BH42:BI42"/>
    <mergeCell ref="BJ42:BK42"/>
    <mergeCell ref="BL42:BM42"/>
    <mergeCell ref="AP42:AQ42"/>
    <mergeCell ref="AR42:AS42"/>
    <mergeCell ref="AT42:AU42"/>
    <mergeCell ref="AV42:AW42"/>
    <mergeCell ref="AX42:AY42"/>
    <mergeCell ref="P42:Q42"/>
    <mergeCell ref="R42:S42"/>
    <mergeCell ref="T42:U42"/>
    <mergeCell ref="V42:W42"/>
    <mergeCell ref="CB41:CC41"/>
    <mergeCell ref="CD41:CE41"/>
    <mergeCell ref="CF41:CG41"/>
    <mergeCell ref="B42:C42"/>
    <mergeCell ref="D42:E42"/>
    <mergeCell ref="F42:G42"/>
    <mergeCell ref="H42:I42"/>
    <mergeCell ref="J42:K42"/>
    <mergeCell ref="L42:M42"/>
    <mergeCell ref="N42:O42"/>
    <mergeCell ref="BP41:BQ41"/>
    <mergeCell ref="BR41:BS41"/>
    <mergeCell ref="BT41:BU41"/>
    <mergeCell ref="BV41:BW41"/>
    <mergeCell ref="BX41:BY41"/>
    <mergeCell ref="BZ41:CA41"/>
    <mergeCell ref="BD41:BE41"/>
    <mergeCell ref="BF41:BG41"/>
    <mergeCell ref="BH41:BI41"/>
    <mergeCell ref="BJ41:BK41"/>
    <mergeCell ref="BL41:BM41"/>
    <mergeCell ref="BN41:BO41"/>
    <mergeCell ref="AR41:AS41"/>
    <mergeCell ref="AT41:AU41"/>
    <mergeCell ref="AV41:AW41"/>
    <mergeCell ref="AX41:AY41"/>
    <mergeCell ref="AZ41:BA41"/>
    <mergeCell ref="BB41:BC41"/>
    <mergeCell ref="AF41:AG41"/>
    <mergeCell ref="AH41:AI41"/>
    <mergeCell ref="AJ41:AK41"/>
    <mergeCell ref="AL41:AM41"/>
    <mergeCell ref="AN41:AO41"/>
    <mergeCell ref="AP41:AQ41"/>
    <mergeCell ref="R41:S41"/>
    <mergeCell ref="T41:U41"/>
    <mergeCell ref="V41:W41"/>
    <mergeCell ref="Z41:AA41"/>
    <mergeCell ref="AB41:AC41"/>
    <mergeCell ref="AD41:AE41"/>
    <mergeCell ref="CD40:CE40"/>
    <mergeCell ref="CF40:CG40"/>
    <mergeCell ref="B41:C41"/>
    <mergeCell ref="D41:E41"/>
    <mergeCell ref="F41:G41"/>
    <mergeCell ref="H41:I41"/>
    <mergeCell ref="J41:K41"/>
    <mergeCell ref="L41:M41"/>
    <mergeCell ref="N41:O41"/>
    <mergeCell ref="P41:Q41"/>
    <mergeCell ref="BR40:BS40"/>
    <mergeCell ref="BT40:BU40"/>
    <mergeCell ref="BV40:BW40"/>
    <mergeCell ref="BX40:BY40"/>
    <mergeCell ref="BZ40:CA40"/>
    <mergeCell ref="CB40:CC40"/>
    <mergeCell ref="BF40:BG40"/>
    <mergeCell ref="BH40:BI40"/>
    <mergeCell ref="R40:S40"/>
    <mergeCell ref="V40:W40"/>
    <mergeCell ref="Z40:AA40"/>
    <mergeCell ref="AB40:AC40"/>
    <mergeCell ref="AF40:AG40"/>
    <mergeCell ref="BJ40:BK40"/>
    <mergeCell ref="BL40:BM40"/>
    <mergeCell ref="BN40:BO40"/>
    <mergeCell ref="BP40:BQ40"/>
    <mergeCell ref="AT40:AU40"/>
    <mergeCell ref="AV40:AW40"/>
    <mergeCell ref="AX40:AY40"/>
    <mergeCell ref="AZ40:BA40"/>
    <mergeCell ref="BB40:BC40"/>
    <mergeCell ref="BD40:BE40"/>
    <mergeCell ref="B40:C40"/>
    <mergeCell ref="F40:G40"/>
    <mergeCell ref="H40:I40"/>
    <mergeCell ref="J40:K40"/>
    <mergeCell ref="L40:M40"/>
    <mergeCell ref="BL39:BM39"/>
    <mergeCell ref="BN39:BO39"/>
    <mergeCell ref="BP39:BQ39"/>
    <mergeCell ref="BR39:BS39"/>
    <mergeCell ref="AZ39:BA39"/>
    <mergeCell ref="BB39:BC39"/>
    <mergeCell ref="BD39:BE39"/>
    <mergeCell ref="BF39:BG39"/>
    <mergeCell ref="BH39:BI39"/>
    <mergeCell ref="BJ39:BK39"/>
    <mergeCell ref="AN39:AO39"/>
    <mergeCell ref="AP39:AQ39"/>
    <mergeCell ref="AH40:AI40"/>
    <mergeCell ref="AJ40:AK40"/>
    <mergeCell ref="AL40:AM40"/>
    <mergeCell ref="AN40:AO40"/>
    <mergeCell ref="AP40:AQ40"/>
    <mergeCell ref="AR40:AS40"/>
    <mergeCell ref="P40:Q40"/>
    <mergeCell ref="AH39:AI39"/>
    <mergeCell ref="AJ39:AK39"/>
    <mergeCell ref="AL39:AM39"/>
    <mergeCell ref="AD39:AE39"/>
    <mergeCell ref="BX39:BY39"/>
    <mergeCell ref="BZ39:CA39"/>
    <mergeCell ref="CB39:CC39"/>
    <mergeCell ref="CD39:CE39"/>
    <mergeCell ref="CF39:CG39"/>
    <mergeCell ref="BT39:BU39"/>
    <mergeCell ref="BV39:BW39"/>
    <mergeCell ref="B39:C39"/>
    <mergeCell ref="F39:G39"/>
    <mergeCell ref="H39:I39"/>
    <mergeCell ref="J39:K39"/>
    <mergeCell ref="L39:M39"/>
    <mergeCell ref="P39:Q39"/>
    <mergeCell ref="R39:S39"/>
    <mergeCell ref="V39:W39"/>
    <mergeCell ref="BR38:BS38"/>
    <mergeCell ref="BF38:BG38"/>
    <mergeCell ref="BH38:BI38"/>
    <mergeCell ref="BJ38:BK38"/>
    <mergeCell ref="BL38:BM38"/>
    <mergeCell ref="BN38:BO38"/>
    <mergeCell ref="BP38:BQ38"/>
    <mergeCell ref="AT38:AU38"/>
    <mergeCell ref="AV38:AW38"/>
    <mergeCell ref="AR39:AS39"/>
    <mergeCell ref="AT39:AU39"/>
    <mergeCell ref="AV39:AW39"/>
    <mergeCell ref="AX39:AY39"/>
    <mergeCell ref="Z39:AA39"/>
    <mergeCell ref="AB39:AC39"/>
    <mergeCell ref="AF39:AG39"/>
    <mergeCell ref="B38:C38"/>
    <mergeCell ref="F38:G38"/>
    <mergeCell ref="H38:I38"/>
    <mergeCell ref="J38:K38"/>
    <mergeCell ref="L38:M38"/>
    <mergeCell ref="P38:Q38"/>
    <mergeCell ref="AX38:AY38"/>
    <mergeCell ref="AZ38:BA38"/>
    <mergeCell ref="BB38:BC38"/>
    <mergeCell ref="AH38:AI38"/>
    <mergeCell ref="AJ38:AK38"/>
    <mergeCell ref="AL38:AM38"/>
    <mergeCell ref="AN38:AO38"/>
    <mergeCell ref="AP38:AQ38"/>
    <mergeCell ref="AR38:AS38"/>
    <mergeCell ref="D38:E38"/>
    <mergeCell ref="N38:O38"/>
    <mergeCell ref="AD38:AE38"/>
    <mergeCell ref="R38:S38"/>
    <mergeCell ref="T38:U38"/>
    <mergeCell ref="V38:W38"/>
    <mergeCell ref="Z38:AA38"/>
    <mergeCell ref="AB38:AC38"/>
    <mergeCell ref="CD38:CE38"/>
    <mergeCell ref="CF38:CG38"/>
    <mergeCell ref="BT38:BU38"/>
    <mergeCell ref="BV38:BW38"/>
    <mergeCell ref="BX38:BY38"/>
    <mergeCell ref="BZ38:CA38"/>
    <mergeCell ref="CB38:CC38"/>
    <mergeCell ref="AF37:AG37"/>
    <mergeCell ref="AH37:AI37"/>
    <mergeCell ref="AJ37:AK37"/>
    <mergeCell ref="BR37:BS37"/>
    <mergeCell ref="BT37:BU37"/>
    <mergeCell ref="AF38:AG38"/>
    <mergeCell ref="BD38:BE38"/>
    <mergeCell ref="CF36:CG36"/>
    <mergeCell ref="B37:C37"/>
    <mergeCell ref="F37:G37"/>
    <mergeCell ref="H37:I37"/>
    <mergeCell ref="J37:K37"/>
    <mergeCell ref="L37:M37"/>
    <mergeCell ref="P37:Q37"/>
    <mergeCell ref="R37:S37"/>
    <mergeCell ref="T37:U37"/>
    <mergeCell ref="BR36:BS36"/>
    <mergeCell ref="BT36:BU36"/>
    <mergeCell ref="BV36:BW36"/>
    <mergeCell ref="BX36:BY36"/>
    <mergeCell ref="BZ36:CA36"/>
    <mergeCell ref="CB36:CC36"/>
    <mergeCell ref="BF36:BG36"/>
    <mergeCell ref="BH36:BI36"/>
    <mergeCell ref="AX37:AY37"/>
    <mergeCell ref="AZ37:BA37"/>
    <mergeCell ref="BB37:BC37"/>
    <mergeCell ref="BD37:BE37"/>
    <mergeCell ref="CF37:CG37"/>
    <mergeCell ref="BJ37:BK37"/>
    <mergeCell ref="BL37:BM37"/>
    <mergeCell ref="BP2:BQ2"/>
    <mergeCell ref="AV36:AW36"/>
    <mergeCell ref="AX36:AY36"/>
    <mergeCell ref="AZ36:BA36"/>
    <mergeCell ref="BB36:BC36"/>
    <mergeCell ref="BD36:BE36"/>
    <mergeCell ref="CD36:CE36"/>
    <mergeCell ref="AN37:AO37"/>
    <mergeCell ref="AP37:AQ37"/>
    <mergeCell ref="AR37:AS37"/>
    <mergeCell ref="AT37:AU37"/>
    <mergeCell ref="AV37:AW37"/>
    <mergeCell ref="BV37:BW37"/>
    <mergeCell ref="BX37:BY37"/>
    <mergeCell ref="BZ37:CA37"/>
    <mergeCell ref="CB37:CC37"/>
    <mergeCell ref="CD37:CE37"/>
    <mergeCell ref="BF37:BG37"/>
    <mergeCell ref="BH37:BI37"/>
    <mergeCell ref="BZ2:CA2"/>
    <mergeCell ref="CB2:CC2"/>
    <mergeCell ref="CD2:CE2"/>
    <mergeCell ref="BN37:BO37"/>
    <mergeCell ref="BP37:BQ37"/>
    <mergeCell ref="B36:C36"/>
    <mergeCell ref="F36:G36"/>
    <mergeCell ref="H36:I36"/>
    <mergeCell ref="J36:K36"/>
    <mergeCell ref="L36:M36"/>
    <mergeCell ref="P36:Q36"/>
    <mergeCell ref="R36:S36"/>
    <mergeCell ref="T36:U36"/>
    <mergeCell ref="V36:W36"/>
    <mergeCell ref="D36:E36"/>
    <mergeCell ref="N36:O36"/>
    <mergeCell ref="AP1:BG1"/>
    <mergeCell ref="BH1:BU1"/>
    <mergeCell ref="CF2:CG2"/>
    <mergeCell ref="D39:E39"/>
    <mergeCell ref="N39:O39"/>
    <mergeCell ref="T39:U39"/>
    <mergeCell ref="AR2:AS2"/>
    <mergeCell ref="AH36:AI36"/>
    <mergeCell ref="AJ36:AK36"/>
    <mergeCell ref="AL36:AM36"/>
    <mergeCell ref="AN36:AO36"/>
    <mergeCell ref="AP36:AQ36"/>
    <mergeCell ref="AR36:AS36"/>
    <mergeCell ref="Z36:AA36"/>
    <mergeCell ref="AB36:AC36"/>
    <mergeCell ref="AF36:AG36"/>
    <mergeCell ref="BJ36:BK36"/>
    <mergeCell ref="BJ2:BK2"/>
    <mergeCell ref="BL2:BM2"/>
    <mergeCell ref="BL36:BM36"/>
    <mergeCell ref="BN36:BO36"/>
    <mergeCell ref="BP36:BQ36"/>
    <mergeCell ref="AT36:AU36"/>
    <mergeCell ref="D37:E37"/>
    <mergeCell ref="CH81:CI81"/>
    <mergeCell ref="AT47:AU47"/>
    <mergeCell ref="AV47:AW47"/>
    <mergeCell ref="BV47:BW47"/>
    <mergeCell ref="A1:A3"/>
    <mergeCell ref="B1:K1"/>
    <mergeCell ref="L1:AA1"/>
    <mergeCell ref="T2:U2"/>
    <mergeCell ref="V2:W2"/>
    <mergeCell ref="Z2:AA2"/>
    <mergeCell ref="AB2:AC2"/>
    <mergeCell ref="AJ2:AK2"/>
    <mergeCell ref="AL2:AM2"/>
    <mergeCell ref="AB1:AO1"/>
    <mergeCell ref="AF2:AG2"/>
    <mergeCell ref="AH2:AI2"/>
    <mergeCell ref="B2:C2"/>
    <mergeCell ref="D2:E2"/>
    <mergeCell ref="F2:G2"/>
    <mergeCell ref="H2:I2"/>
    <mergeCell ref="J2:K2"/>
    <mergeCell ref="L2:M2"/>
    <mergeCell ref="N2:O2"/>
    <mergeCell ref="P2:Q2"/>
    <mergeCell ref="N37:O37"/>
    <mergeCell ref="AD37:AE37"/>
    <mergeCell ref="V37:W37"/>
    <mergeCell ref="Z37:AA37"/>
    <mergeCell ref="AB37:AC37"/>
    <mergeCell ref="AL37:AM37"/>
    <mergeCell ref="BT2:BU2"/>
    <mergeCell ref="BV2:BW2"/>
    <mergeCell ref="BX2:BY2"/>
    <mergeCell ref="BB2:BC2"/>
    <mergeCell ref="BD2:BE2"/>
    <mergeCell ref="BF2:BG2"/>
    <mergeCell ref="AD36:AE36"/>
    <mergeCell ref="AN2:AO2"/>
    <mergeCell ref="AT2:AU2"/>
    <mergeCell ref="AV2:AW2"/>
    <mergeCell ref="AX2:AY2"/>
    <mergeCell ref="AZ2:BA2"/>
    <mergeCell ref="R2:S2"/>
    <mergeCell ref="AD2:AE2"/>
    <mergeCell ref="BH2:BI2"/>
    <mergeCell ref="BR2:BS2"/>
    <mergeCell ref="AP2:AQ2"/>
    <mergeCell ref="BN2:BO2"/>
    <mergeCell ref="CJ81:CK81"/>
    <mergeCell ref="CL81:CM81"/>
    <mergeCell ref="A83:A85"/>
    <mergeCell ref="B83:K83"/>
    <mergeCell ref="L83:AA83"/>
    <mergeCell ref="AB83:AO83"/>
    <mergeCell ref="AP83:BG83"/>
    <mergeCell ref="BH83:BU83"/>
    <mergeCell ref="BV83:CM83"/>
    <mergeCell ref="B84:C84"/>
    <mergeCell ref="D84:E84"/>
    <mergeCell ref="F84:G84"/>
    <mergeCell ref="H84:I84"/>
    <mergeCell ref="J84:K84"/>
    <mergeCell ref="L84:M84"/>
    <mergeCell ref="N84:O84"/>
    <mergeCell ref="P84:Q84"/>
    <mergeCell ref="R84:S84"/>
    <mergeCell ref="T84:U84"/>
    <mergeCell ref="V84:W84"/>
    <mergeCell ref="Z84:AA84"/>
    <mergeCell ref="AB84:AC84"/>
    <mergeCell ref="AD84:AE84"/>
    <mergeCell ref="AF84:AG84"/>
    <mergeCell ref="AH84:AI84"/>
    <mergeCell ref="AJ84:AK84"/>
    <mergeCell ref="AL84:AM84"/>
    <mergeCell ref="AN84:AO84"/>
    <mergeCell ref="AP84:AQ84"/>
    <mergeCell ref="AR84:AS84"/>
    <mergeCell ref="AT84:AU84"/>
    <mergeCell ref="AV84:AW84"/>
    <mergeCell ref="AX84:AY84"/>
    <mergeCell ref="AZ84:BA84"/>
    <mergeCell ref="BB84:BC84"/>
    <mergeCell ref="BD84:BE84"/>
    <mergeCell ref="BF84:BG84"/>
    <mergeCell ref="BH84:BI84"/>
    <mergeCell ref="BJ84:BK84"/>
    <mergeCell ref="BL84:BM84"/>
    <mergeCell ref="BN84:BO84"/>
    <mergeCell ref="BP84:BQ84"/>
    <mergeCell ref="BR84:BS84"/>
    <mergeCell ref="BT84:BU84"/>
    <mergeCell ref="BV84:BW84"/>
    <mergeCell ref="BX84:BY84"/>
    <mergeCell ref="BZ84:CA84"/>
    <mergeCell ref="CB84:CC84"/>
    <mergeCell ref="CD84:CE84"/>
    <mergeCell ref="CF84:CG84"/>
    <mergeCell ref="CH84:CI84"/>
    <mergeCell ref="CJ84:CK84"/>
    <mergeCell ref="CL84:CM84"/>
    <mergeCell ref="B115:C115"/>
    <mergeCell ref="D115:E115"/>
    <mergeCell ref="F115:G115"/>
    <mergeCell ref="H115:I115"/>
    <mergeCell ref="J115:K115"/>
    <mergeCell ref="L115:M115"/>
    <mergeCell ref="N115:O115"/>
    <mergeCell ref="P115:Q115"/>
    <mergeCell ref="R115:S115"/>
    <mergeCell ref="T115:U115"/>
    <mergeCell ref="V115:W115"/>
    <mergeCell ref="Z115:AA115"/>
    <mergeCell ref="AB115:AC115"/>
    <mergeCell ref="AD115:AE115"/>
    <mergeCell ref="AF115:AG115"/>
    <mergeCell ref="AH115:AI115"/>
    <mergeCell ref="AJ115:AK115"/>
    <mergeCell ref="AL115:AM115"/>
    <mergeCell ref="AN115:AO115"/>
    <mergeCell ref="AP115:AQ115"/>
    <mergeCell ref="AR115:AS115"/>
    <mergeCell ref="BT115:BU115"/>
    <mergeCell ref="BV115:BW115"/>
    <mergeCell ref="BX115:BY115"/>
    <mergeCell ref="BZ115:CA115"/>
    <mergeCell ref="CB115:CC115"/>
    <mergeCell ref="AT115:AU115"/>
    <mergeCell ref="AV115:AW115"/>
    <mergeCell ref="AX115:AY115"/>
    <mergeCell ref="AZ115:BA115"/>
    <mergeCell ref="BB115:BC115"/>
    <mergeCell ref="BD115:BE115"/>
    <mergeCell ref="BF115:BG115"/>
    <mergeCell ref="BH115:BI115"/>
    <mergeCell ref="BJ115:BK115"/>
    <mergeCell ref="CL115:CM115"/>
    <mergeCell ref="A117:A119"/>
    <mergeCell ref="B117:K117"/>
    <mergeCell ref="L117:AA117"/>
    <mergeCell ref="AB117:AO117"/>
    <mergeCell ref="AP117:BG117"/>
    <mergeCell ref="BH117:BU117"/>
    <mergeCell ref="BV117:CM117"/>
    <mergeCell ref="B118:C118"/>
    <mergeCell ref="D118:E118"/>
    <mergeCell ref="F118:G118"/>
    <mergeCell ref="H118:I118"/>
    <mergeCell ref="J118:K118"/>
    <mergeCell ref="L118:M118"/>
    <mergeCell ref="N118:O118"/>
    <mergeCell ref="P118:Q118"/>
    <mergeCell ref="R118:S118"/>
    <mergeCell ref="T118:U118"/>
    <mergeCell ref="V118:W118"/>
    <mergeCell ref="Z118:AA118"/>
    <mergeCell ref="BL115:BM115"/>
    <mergeCell ref="BN115:BO115"/>
    <mergeCell ref="BP115:BQ115"/>
    <mergeCell ref="BR115:BS115"/>
    <mergeCell ref="AB118:AC118"/>
    <mergeCell ref="AD118:AE118"/>
    <mergeCell ref="AF118:AG118"/>
    <mergeCell ref="AH118:AI118"/>
    <mergeCell ref="AJ118:AK118"/>
    <mergeCell ref="AL118:AM118"/>
    <mergeCell ref="AN118:AO118"/>
    <mergeCell ref="AP118:AQ118"/>
    <mergeCell ref="AR118:AS118"/>
    <mergeCell ref="AN152:AO152"/>
    <mergeCell ref="BL118:BM118"/>
    <mergeCell ref="BN118:BO118"/>
    <mergeCell ref="BP118:BQ118"/>
    <mergeCell ref="BR118:BS118"/>
    <mergeCell ref="BT118:BU118"/>
    <mergeCell ref="BV118:BW118"/>
    <mergeCell ref="BX118:BY118"/>
    <mergeCell ref="BZ118:CA118"/>
    <mergeCell ref="AT118:AU118"/>
    <mergeCell ref="AV118:AW118"/>
    <mergeCell ref="AX118:AY118"/>
    <mergeCell ref="AZ118:BA118"/>
    <mergeCell ref="BB118:BC118"/>
    <mergeCell ref="BD118:BE118"/>
    <mergeCell ref="BF118:BG118"/>
    <mergeCell ref="BH118:BI118"/>
    <mergeCell ref="BJ118:BK118"/>
    <mergeCell ref="AP152:AQ152"/>
    <mergeCell ref="AR152:AS152"/>
    <mergeCell ref="AT152:AU152"/>
    <mergeCell ref="AV152:AW152"/>
    <mergeCell ref="AX152:AY152"/>
    <mergeCell ref="AZ152:BA152"/>
    <mergeCell ref="T152:U152"/>
    <mergeCell ref="V152:W152"/>
    <mergeCell ref="Z152:AA152"/>
    <mergeCell ref="AB152:AC152"/>
    <mergeCell ref="AD152:AE152"/>
    <mergeCell ref="AF152:AG152"/>
    <mergeCell ref="AH152:AI152"/>
    <mergeCell ref="AJ152:AK152"/>
    <mergeCell ref="AL152:AM152"/>
    <mergeCell ref="B152:C152"/>
    <mergeCell ref="D152:E152"/>
    <mergeCell ref="F152:G152"/>
    <mergeCell ref="H152:I152"/>
    <mergeCell ref="J152:K152"/>
    <mergeCell ref="L152:M152"/>
    <mergeCell ref="N152:O152"/>
    <mergeCell ref="P152:Q152"/>
    <mergeCell ref="R152:S152"/>
    <mergeCell ref="BB152:BC152"/>
    <mergeCell ref="BD152:BE152"/>
    <mergeCell ref="BF152:BG152"/>
    <mergeCell ref="BH152:BI152"/>
    <mergeCell ref="BJ152:BK152"/>
    <mergeCell ref="BL152:BM152"/>
    <mergeCell ref="BN152:BO152"/>
    <mergeCell ref="BP152:BQ152"/>
    <mergeCell ref="BR152:BS152"/>
    <mergeCell ref="BT152:BU152"/>
    <mergeCell ref="BV152:BW152"/>
    <mergeCell ref="BX152:BY152"/>
    <mergeCell ref="A46:A48"/>
    <mergeCell ref="B46:K46"/>
    <mergeCell ref="L46:AA46"/>
    <mergeCell ref="AB46:AO46"/>
    <mergeCell ref="AP46:BG46"/>
    <mergeCell ref="BH46:BU46"/>
    <mergeCell ref="BV46:CM46"/>
    <mergeCell ref="B47:C47"/>
    <mergeCell ref="D47:E47"/>
    <mergeCell ref="F47:G47"/>
    <mergeCell ref="H47:I47"/>
    <mergeCell ref="J47:K47"/>
    <mergeCell ref="CH47:CI47"/>
    <mergeCell ref="CJ47:CK47"/>
    <mergeCell ref="CL47:CM47"/>
    <mergeCell ref="L47:M47"/>
    <mergeCell ref="N47:O47"/>
    <mergeCell ref="P47:Q47"/>
    <mergeCell ref="R47:S47"/>
    <mergeCell ref="T47:U47"/>
    <mergeCell ref="V47:W47"/>
    <mergeCell ref="BV1:CM1"/>
    <mergeCell ref="CH2:CI2"/>
    <mergeCell ref="CJ2:CK2"/>
    <mergeCell ref="CL2:CM2"/>
    <mergeCell ref="CH44:CI44"/>
    <mergeCell ref="CJ44:CK44"/>
    <mergeCell ref="CL44:CM44"/>
    <mergeCell ref="BZ152:CA152"/>
    <mergeCell ref="CB152:CC152"/>
    <mergeCell ref="CD152:CE152"/>
    <mergeCell ref="CF152:CG152"/>
    <mergeCell ref="CH152:CI152"/>
    <mergeCell ref="CJ152:CK152"/>
    <mergeCell ref="CL152:CM152"/>
    <mergeCell ref="CD118:CE118"/>
    <mergeCell ref="CF118:CG118"/>
    <mergeCell ref="CH118:CI118"/>
    <mergeCell ref="CJ118:CK118"/>
    <mergeCell ref="CL118:CM118"/>
    <mergeCell ref="CB118:CC118"/>
    <mergeCell ref="CD115:CE115"/>
    <mergeCell ref="CF115:CG115"/>
    <mergeCell ref="CH115:CI115"/>
    <mergeCell ref="CJ115:CK115"/>
  </mergeCells>
  <pageMargins left="0.7" right="0.7" top="0.75" bottom="0.75" header="0.3" footer="0.3"/>
  <pageSetup orientation="portrait" horizontalDpi="180" verticalDpi="18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65536"/>
  <sheetViews>
    <sheetView zoomScaleNormal="100" workbookViewId="0">
      <pane xSplit="3" ySplit="8" topLeftCell="AG27" activePane="bottomRight" state="frozen"/>
      <selection pane="topRight" activeCell="E1" sqref="E1"/>
      <selection pane="bottomLeft" activeCell="A9" sqref="A9"/>
      <selection pane="bottomRight" activeCell="R41" sqref="R41"/>
    </sheetView>
  </sheetViews>
  <sheetFormatPr defaultColWidth="9.140625" defaultRowHeight="12.75"/>
  <cols>
    <col min="1" max="1" width="7.5703125" style="290" customWidth="1"/>
    <col min="2" max="2" width="19.5703125" style="289" bestFit="1" customWidth="1"/>
    <col min="3" max="3" width="12.28515625" style="289" bestFit="1" customWidth="1"/>
    <col min="4" max="4" width="8.28515625" style="289" customWidth="1"/>
    <col min="5" max="5" width="8" style="289" customWidth="1"/>
    <col min="6" max="6" width="6.85546875" style="289" customWidth="1"/>
    <col min="7" max="11" width="8.7109375" style="289" customWidth="1"/>
    <col min="12" max="12" width="9.140625" style="291" bestFit="1" customWidth="1"/>
    <col min="13" max="15" width="8.7109375" style="292" customWidth="1"/>
    <col min="16" max="16" width="8.7109375" style="291" customWidth="1"/>
    <col min="17" max="17" width="8.7109375" style="292" customWidth="1"/>
    <col min="18" max="18" width="8.7109375" style="291" customWidth="1"/>
    <col min="19" max="19" width="8.7109375" style="293" customWidth="1"/>
    <col min="20" max="21" width="7.7109375" style="293" customWidth="1"/>
    <col min="22" max="23" width="7.7109375" style="294" customWidth="1"/>
    <col min="24" max="24" width="7.7109375" style="293" customWidth="1"/>
    <col min="25" max="25" width="7.7109375" style="294" customWidth="1"/>
    <col min="26" max="26" width="10.7109375" style="293" bestFit="1" customWidth="1"/>
    <col min="27" max="27" width="11.140625" style="293" customWidth="1"/>
    <col min="28" max="31" width="7.5703125" style="294" customWidth="1"/>
    <col min="32" max="32" width="11.140625" bestFit="1" customWidth="1"/>
    <col min="34" max="34" width="9.140625" style="291" bestFit="1" customWidth="1"/>
    <col min="35" max="35" width="8.7109375" style="292" customWidth="1"/>
    <col min="36" max="37" width="8.7109375" style="289" customWidth="1"/>
  </cols>
  <sheetData>
    <row r="1" spans="1:37" ht="12.75" customHeight="1">
      <c r="A1" s="288"/>
    </row>
    <row r="2" spans="1:37">
      <c r="A2" s="288"/>
    </row>
    <row r="3" spans="1:37" ht="12.75" customHeight="1">
      <c r="A3" s="839" t="s">
        <v>200</v>
      </c>
      <c r="B3" s="839"/>
      <c r="C3" s="839"/>
      <c r="D3" s="839"/>
      <c r="E3" s="839"/>
      <c r="F3" s="839"/>
      <c r="G3" s="839"/>
      <c r="H3" s="839"/>
      <c r="I3" s="839"/>
      <c r="J3" s="839"/>
      <c r="K3" s="839"/>
      <c r="L3" s="839"/>
      <c r="M3" s="839"/>
      <c r="N3" s="839"/>
      <c r="O3" s="839"/>
      <c r="P3" s="839"/>
      <c r="Q3" s="839"/>
      <c r="R3" s="839"/>
      <c r="S3" s="839"/>
      <c r="T3" s="839"/>
      <c r="U3" s="839"/>
      <c r="V3" s="839"/>
      <c r="W3" s="839"/>
      <c r="X3" s="839"/>
      <c r="Y3" s="839"/>
      <c r="Z3" s="839"/>
      <c r="AA3" s="839"/>
      <c r="AB3" s="839"/>
      <c r="AC3" s="839"/>
      <c r="AD3" s="839"/>
      <c r="AE3" s="839"/>
      <c r="AH3"/>
      <c r="AI3"/>
      <c r="AJ3"/>
      <c r="AK3"/>
    </row>
    <row r="4" spans="1:37" ht="12.75" customHeight="1">
      <c r="A4" s="839"/>
      <c r="B4" s="839"/>
      <c r="C4" s="839"/>
      <c r="D4" s="839"/>
      <c r="E4" s="839"/>
      <c r="F4" s="839"/>
      <c r="G4" s="839"/>
      <c r="H4" s="839"/>
      <c r="I4" s="839"/>
      <c r="J4" s="839"/>
      <c r="K4" s="839"/>
      <c r="L4" s="839"/>
      <c r="M4" s="839"/>
      <c r="N4" s="839"/>
      <c r="O4" s="839"/>
      <c r="P4" s="839"/>
      <c r="Q4" s="839"/>
      <c r="R4" s="839"/>
      <c r="S4" s="839"/>
      <c r="T4" s="839"/>
      <c r="U4" s="839"/>
      <c r="V4" s="839"/>
      <c r="W4" s="839"/>
      <c r="X4" s="839"/>
      <c r="Y4" s="839"/>
      <c r="Z4" s="839"/>
      <c r="AA4" s="839"/>
      <c r="AB4" s="839"/>
      <c r="AC4" s="839"/>
      <c r="AD4" s="839"/>
      <c r="AE4" s="839"/>
      <c r="AH4"/>
      <c r="AI4"/>
      <c r="AJ4"/>
      <c r="AK4"/>
    </row>
    <row r="5" spans="1:37">
      <c r="H5" s="291"/>
      <c r="I5" s="292"/>
      <c r="J5" s="292"/>
      <c r="K5" s="292"/>
      <c r="AJ5" s="292"/>
      <c r="AK5" s="292"/>
    </row>
    <row r="6" spans="1:37" ht="22.7" customHeight="1">
      <c r="A6" s="842" t="s">
        <v>7</v>
      </c>
      <c r="B6" s="841" t="s">
        <v>8</v>
      </c>
      <c r="C6" s="841" t="s">
        <v>5</v>
      </c>
      <c r="D6" s="841" t="s">
        <v>196</v>
      </c>
      <c r="E6" s="841" t="s">
        <v>197</v>
      </c>
      <c r="F6" s="841" t="s">
        <v>193</v>
      </c>
      <c r="G6" s="841" t="s">
        <v>192</v>
      </c>
      <c r="H6" s="841" t="s">
        <v>194</v>
      </c>
      <c r="I6" s="841" t="s">
        <v>195</v>
      </c>
      <c r="J6" s="845" t="s">
        <v>199</v>
      </c>
      <c r="K6" s="846"/>
      <c r="L6" s="834" t="s">
        <v>198</v>
      </c>
      <c r="M6" s="834"/>
      <c r="N6" s="834" t="s">
        <v>201</v>
      </c>
      <c r="O6" s="834"/>
      <c r="P6" s="852" t="s">
        <v>30</v>
      </c>
      <c r="Q6" s="852"/>
      <c r="R6" s="840" t="s">
        <v>22</v>
      </c>
      <c r="S6" s="840"/>
      <c r="T6" s="840" t="s">
        <v>31</v>
      </c>
      <c r="U6" s="840"/>
      <c r="V6" s="840"/>
      <c r="W6" s="840"/>
      <c r="X6" s="840"/>
      <c r="Y6" s="840"/>
      <c r="Z6" s="840" t="s">
        <v>32</v>
      </c>
      <c r="AA6" s="840"/>
      <c r="AB6" s="840"/>
      <c r="AC6" s="840"/>
      <c r="AD6" s="840"/>
      <c r="AE6" s="840"/>
      <c r="AF6" s="847" t="s">
        <v>312</v>
      </c>
      <c r="AG6" s="848"/>
      <c r="AH6" s="834" t="s">
        <v>406</v>
      </c>
      <c r="AI6" s="834"/>
      <c r="AJ6" s="835" t="s">
        <v>407</v>
      </c>
      <c r="AK6" s="836"/>
    </row>
    <row r="7" spans="1:37" ht="22.7" customHeight="1">
      <c r="A7" s="843"/>
      <c r="B7" s="841"/>
      <c r="C7" s="841"/>
      <c r="D7" s="841"/>
      <c r="E7" s="841"/>
      <c r="F7" s="841"/>
      <c r="G7" s="841"/>
      <c r="H7" s="841"/>
      <c r="I7" s="841"/>
      <c r="J7" s="837"/>
      <c r="K7" s="838"/>
      <c r="L7" s="834"/>
      <c r="M7" s="834"/>
      <c r="N7" s="834"/>
      <c r="O7" s="834"/>
      <c r="P7" s="852"/>
      <c r="Q7" s="852"/>
      <c r="R7" s="840"/>
      <c r="S7" s="840"/>
      <c r="T7" s="840" t="s">
        <v>35</v>
      </c>
      <c r="U7" s="840"/>
      <c r="V7" s="851" t="s">
        <v>33</v>
      </c>
      <c r="W7" s="851"/>
      <c r="X7" s="840" t="s">
        <v>34</v>
      </c>
      <c r="Y7" s="840"/>
      <c r="Z7" s="840" t="s">
        <v>35</v>
      </c>
      <c r="AA7" s="840"/>
      <c r="AB7" s="840" t="s">
        <v>25</v>
      </c>
      <c r="AC7" s="840"/>
      <c r="AD7" s="840" t="s">
        <v>26</v>
      </c>
      <c r="AE7" s="840"/>
      <c r="AF7" s="849"/>
      <c r="AG7" s="850"/>
      <c r="AH7" s="834"/>
      <c r="AI7" s="834"/>
      <c r="AJ7" s="837"/>
      <c r="AK7" s="838"/>
    </row>
    <row r="8" spans="1:37" s="1" customFormat="1">
      <c r="A8" s="844"/>
      <c r="B8" s="841"/>
      <c r="C8" s="841"/>
      <c r="D8" s="841"/>
      <c r="E8" s="841"/>
      <c r="F8" s="841"/>
      <c r="G8" s="841"/>
      <c r="H8" s="841"/>
      <c r="I8" s="841"/>
      <c r="J8" s="455" t="s">
        <v>36</v>
      </c>
      <c r="K8" s="453" t="s">
        <v>37</v>
      </c>
      <c r="L8" s="295" t="s">
        <v>36</v>
      </c>
      <c r="M8" s="296" t="s">
        <v>37</v>
      </c>
      <c r="N8" s="295" t="s">
        <v>36</v>
      </c>
      <c r="O8" s="296" t="s">
        <v>37</v>
      </c>
      <c r="P8" s="295" t="s">
        <v>36</v>
      </c>
      <c r="Q8" s="296" t="s">
        <v>37</v>
      </c>
      <c r="R8" s="295" t="s">
        <v>36</v>
      </c>
      <c r="S8" s="297" t="s">
        <v>37</v>
      </c>
      <c r="T8" s="298" t="s">
        <v>36</v>
      </c>
      <c r="U8" s="297" t="s">
        <v>37</v>
      </c>
      <c r="V8" s="299" t="s">
        <v>36</v>
      </c>
      <c r="W8" s="300" t="s">
        <v>37</v>
      </c>
      <c r="X8" s="298" t="s">
        <v>36</v>
      </c>
      <c r="Y8" s="300" t="s">
        <v>37</v>
      </c>
      <c r="Z8" s="298" t="s">
        <v>36</v>
      </c>
      <c r="AA8" s="297" t="s">
        <v>37</v>
      </c>
      <c r="AB8" s="299" t="s">
        <v>36</v>
      </c>
      <c r="AC8" s="300" t="s">
        <v>37</v>
      </c>
      <c r="AD8" s="299" t="s">
        <v>36</v>
      </c>
      <c r="AE8" s="300" t="s">
        <v>37</v>
      </c>
      <c r="AF8" s="524" t="s">
        <v>331</v>
      </c>
      <c r="AG8" s="524" t="s">
        <v>332</v>
      </c>
      <c r="AH8" s="295" t="s">
        <v>36</v>
      </c>
      <c r="AI8" s="296" t="s">
        <v>37</v>
      </c>
      <c r="AJ8" s="455" t="s">
        <v>36</v>
      </c>
      <c r="AK8" s="453" t="s">
        <v>37</v>
      </c>
    </row>
    <row r="9" spans="1:37" s="428" customFormat="1" ht="12.75" customHeight="1">
      <c r="A9" s="442">
        <v>46113</v>
      </c>
      <c r="B9" s="452" t="s">
        <v>427</v>
      </c>
      <c r="C9" s="504" t="s">
        <v>460</v>
      </c>
      <c r="D9" s="422">
        <f>+'1'!F42</f>
        <v>1605.8333333333333</v>
      </c>
      <c r="E9" s="422">
        <f>+'1'!G42</f>
        <v>1220.4333333333334</v>
      </c>
      <c r="F9" s="50">
        <f t="shared" ref="F9:F38" si="0">1-(E9/D9)</f>
        <v>0.23999999999999988</v>
      </c>
      <c r="G9" s="448">
        <f>+P9/N9</f>
        <v>0.98062101195624096</v>
      </c>
      <c r="H9" s="443">
        <f>+P9/L9</f>
        <v>0.92668690758116412</v>
      </c>
      <c r="I9" s="443">
        <f>+R9/P9</f>
        <v>0.95339841034784978</v>
      </c>
      <c r="J9" s="449">
        <f>+R9/L9</f>
        <v>0.88350182457804671</v>
      </c>
      <c r="K9" s="449">
        <f>+S9/M9</f>
        <v>0.88350182457804671</v>
      </c>
      <c r="L9" s="423">
        <f>+SUM(Efficiency1!K6:K7)</f>
        <v>71.413548047999996</v>
      </c>
      <c r="M9" s="424">
        <f>L9</f>
        <v>71.413548047999996</v>
      </c>
      <c r="N9" s="423">
        <f>+SUM(Efficiency1!C6:C7)</f>
        <v>67.485806639999993</v>
      </c>
      <c r="O9" s="424">
        <f>N9</f>
        <v>67.485806639999993</v>
      </c>
      <c r="P9" s="577">
        <f>'1'!I38</f>
        <v>66.177999999999997</v>
      </c>
      <c r="Q9" s="424">
        <f>P9</f>
        <v>66.177999999999997</v>
      </c>
      <c r="R9" s="14">
        <f>'1'!I40</f>
        <v>63.094000000000001</v>
      </c>
      <c r="S9" s="424">
        <f>R9</f>
        <v>63.094000000000001</v>
      </c>
      <c r="T9" s="569">
        <f t="shared" ref="T9:T38" si="1">+AF9+AG9</f>
        <v>147.37</v>
      </c>
      <c r="U9" s="426">
        <f>T9</f>
        <v>147.37</v>
      </c>
      <c r="V9" s="427">
        <f t="shared" ref="V9:V38" si="2">T9/(P9)</f>
        <v>2.2268729789355981</v>
      </c>
      <c r="W9" s="427">
        <f t="shared" ref="W9:W38" si="3">U9/(Q9)</f>
        <v>2.2268729789355981</v>
      </c>
      <c r="X9" s="423">
        <f t="shared" ref="X9:X38" si="4">IF(AND(R9&gt;0,T9&gt;0),T9/(R9),0)</f>
        <v>2.3357213047199417</v>
      </c>
      <c r="Y9" s="427">
        <f t="shared" ref="Y9:Y38" si="5">IF(AND(S9&gt;0,U9&gt;0),U9/(S9),0)</f>
        <v>2.3357213047199417</v>
      </c>
      <c r="Z9" s="426">
        <f>'1'!I46</f>
        <v>55686.020000001132</v>
      </c>
      <c r="AA9" s="426">
        <f>Z9</f>
        <v>55686.020000001132</v>
      </c>
      <c r="AB9" s="427">
        <f t="shared" ref="AB9:AB38" si="6">IF(AND(L9&gt;0,Z9&gt;0),(Z9/(P9*1000)*1000),0)</f>
        <v>841.45818852188233</v>
      </c>
      <c r="AC9" s="427">
        <f t="shared" ref="AC9:AC38" si="7">IF(AND(M9&gt;0,AA9&gt;0),(AA9/(Q9*1000)*1000),0)</f>
        <v>841.45818852188233</v>
      </c>
      <c r="AD9" s="427">
        <f t="shared" ref="AD9:AD38" si="8">IF(AND(R9&gt;0,Z9&gt;0),(Z9/(R9*1000)*1000),0)</f>
        <v>882.5882017307689</v>
      </c>
      <c r="AE9" s="427">
        <f t="shared" ref="AE9:AE38" si="9">IF(AND(S9&gt;0,AA9&gt;0),(AA9/(S9*1000)*1000),0)</f>
        <v>882.5882017307689</v>
      </c>
      <c r="AF9" s="506">
        <v>0.14099999999999999</v>
      </c>
      <c r="AG9" s="525">
        <v>147.22900000000001</v>
      </c>
      <c r="AH9" s="423">
        <f>+SUM(Efficiency2!K6:K7)</f>
        <v>71.413548047999996</v>
      </c>
      <c r="AI9" s="424">
        <f>AH9</f>
        <v>71.413548047999996</v>
      </c>
      <c r="AJ9" s="449">
        <f>+R9/AH9</f>
        <v>0.88350182457804671</v>
      </c>
      <c r="AK9" s="449">
        <f>+S9/AI9</f>
        <v>0.88350182457804671</v>
      </c>
    </row>
    <row r="10" spans="1:37" s="428" customFormat="1" ht="12.75" customHeight="1">
      <c r="A10" s="442">
        <f t="shared" ref="A10:A38" si="10">A9+1</f>
        <v>46114</v>
      </c>
      <c r="B10" s="452" t="s">
        <v>427</v>
      </c>
      <c r="C10" s="504" t="s">
        <v>490</v>
      </c>
      <c r="D10" s="422">
        <f>+'2'!F42</f>
        <v>1685</v>
      </c>
      <c r="E10" s="422">
        <f>+'2'!G42</f>
        <v>1280.5999999999999</v>
      </c>
      <c r="F10" s="50">
        <f t="shared" si="0"/>
        <v>0.2400000000000001</v>
      </c>
      <c r="G10" s="448">
        <f t="shared" ref="G10:G41" si="11">+P10/N10</f>
        <v>1.0187128665497098</v>
      </c>
      <c r="H10" s="443">
        <f t="shared" ref="H10:H41" si="12">+P10/L10</f>
        <v>1.0093182216183445</v>
      </c>
      <c r="I10" s="443">
        <f t="shared" ref="I10:I41" si="13">+R10/P10</f>
        <v>0.93954956789943844</v>
      </c>
      <c r="J10" s="449">
        <f t="shared" ref="J10:J41" si="14">+R10/L10</f>
        <v>0.94830449899454505</v>
      </c>
      <c r="K10" s="449">
        <f t="shared" ref="K10:K38" si="15">+S10/M10</f>
        <v>0.91513347202202944</v>
      </c>
      <c r="L10" s="423">
        <f>+SUM(Efficiency1!K10:K11)</f>
        <v>68.099434378378362</v>
      </c>
      <c r="M10" s="424">
        <f t="shared" ref="M10:O38" si="16">M9+L10</f>
        <v>139.51298242637836</v>
      </c>
      <c r="N10" s="423">
        <f>+SUM(Efficiency1!C10:C11)</f>
        <v>67.471416389189187</v>
      </c>
      <c r="O10" s="424">
        <f t="shared" si="16"/>
        <v>134.95722302918918</v>
      </c>
      <c r="P10" s="577">
        <f>'2'!I38</f>
        <v>68.733999999999995</v>
      </c>
      <c r="Q10" s="424">
        <f t="shared" ref="Q10:Q38" si="17">Q9+P10</f>
        <v>134.91199999999998</v>
      </c>
      <c r="R10" s="14">
        <f>'2'!I40</f>
        <v>64.578999999999994</v>
      </c>
      <c r="S10" s="424">
        <f t="shared" ref="S10:S38" si="18">S9+R10</f>
        <v>127.673</v>
      </c>
      <c r="T10" s="569">
        <f t="shared" si="1"/>
        <v>140.45600000000002</v>
      </c>
      <c r="U10" s="425">
        <f t="shared" ref="U10:U38" si="19">T10+U9</f>
        <v>287.82600000000002</v>
      </c>
      <c r="V10" s="427">
        <f t="shared" si="2"/>
        <v>2.0434719352867581</v>
      </c>
      <c r="W10" s="427">
        <f t="shared" si="3"/>
        <v>2.1334351280834918</v>
      </c>
      <c r="X10" s="423">
        <f t="shared" si="4"/>
        <v>2.1749485126743995</v>
      </c>
      <c r="Y10" s="427">
        <f t="shared" si="5"/>
        <v>2.2543999122758924</v>
      </c>
      <c r="Z10" s="426">
        <f>'2'!I46</f>
        <v>60550.420000000136</v>
      </c>
      <c r="AA10" s="425">
        <f t="shared" ref="AA10:AA38" si="20">Z10+AA9</f>
        <v>116236.44000000127</v>
      </c>
      <c r="AB10" s="427">
        <f t="shared" si="6"/>
        <v>880.93840020950529</v>
      </c>
      <c r="AC10" s="427">
        <f t="shared" si="7"/>
        <v>861.57228415560724</v>
      </c>
      <c r="AD10" s="427">
        <f t="shared" si="8"/>
        <v>937.61780145248679</v>
      </c>
      <c r="AE10" s="427">
        <f t="shared" si="9"/>
        <v>910.42303384428408</v>
      </c>
      <c r="AF10" s="506">
        <v>1.0900000000000001</v>
      </c>
      <c r="AG10" s="525">
        <v>139.36600000000001</v>
      </c>
      <c r="AH10" s="423">
        <f>+SUM(Efficiency2!K10:K11)</f>
        <v>68.099434378378362</v>
      </c>
      <c r="AI10" s="424">
        <f t="shared" ref="AI10:AI38" si="21">AI9+AH10</f>
        <v>139.51298242637836</v>
      </c>
      <c r="AJ10" s="449">
        <f t="shared" ref="AJ10:AJ41" si="22">+R10/AH10</f>
        <v>0.94830449899454505</v>
      </c>
      <c r="AK10" s="449">
        <f t="shared" ref="AK10:AK38" si="23">+S10/AI10</f>
        <v>0.91513347202202944</v>
      </c>
    </row>
    <row r="11" spans="1:37" s="428" customFormat="1" ht="12.75" customHeight="1">
      <c r="A11" s="442">
        <f t="shared" si="10"/>
        <v>46115</v>
      </c>
      <c r="B11" s="452" t="s">
        <v>427</v>
      </c>
      <c r="C11" s="504" t="s">
        <v>491</v>
      </c>
      <c r="D11" s="422">
        <f>+'3'!F42</f>
        <v>1700</v>
      </c>
      <c r="E11" s="422">
        <f>+'3'!G42</f>
        <v>1292</v>
      </c>
      <c r="F11" s="50">
        <f t="shared" si="0"/>
        <v>0.24</v>
      </c>
      <c r="G11" s="448">
        <f t="shared" si="11"/>
        <v>0.97533449156085628</v>
      </c>
      <c r="H11" s="443">
        <f>+P11/L11</f>
        <v>0.97533449156085628</v>
      </c>
      <c r="I11" s="443">
        <f t="shared" si="13"/>
        <v>1.0306361009189207</v>
      </c>
      <c r="J11" s="449">
        <f t="shared" si="14"/>
        <v>1.0052149374740189</v>
      </c>
      <c r="K11" s="449">
        <f t="shared" si="15"/>
        <v>0.94320346245799869</v>
      </c>
      <c r="L11" s="423">
        <f>+Efficiency1!K15</f>
        <v>63.151668000000001</v>
      </c>
      <c r="M11" s="424">
        <f t="shared" si="16"/>
        <v>202.66465042637836</v>
      </c>
      <c r="N11" s="423">
        <f>+Efficiency1!C15</f>
        <v>63.151668000000001</v>
      </c>
      <c r="O11" s="424">
        <f t="shared" si="16"/>
        <v>198.10889102918918</v>
      </c>
      <c r="P11" s="577">
        <f>'3'!I38</f>
        <v>61.594000000000001</v>
      </c>
      <c r="Q11" s="424">
        <f t="shared" si="17"/>
        <v>196.50599999999997</v>
      </c>
      <c r="R11" s="14">
        <f>'3'!I40</f>
        <v>63.481000000000002</v>
      </c>
      <c r="S11" s="424">
        <f t="shared" si="18"/>
        <v>191.154</v>
      </c>
      <c r="T11" s="569">
        <f t="shared" si="1"/>
        <v>134.74599999999998</v>
      </c>
      <c r="U11" s="425">
        <f t="shared" si="19"/>
        <v>422.572</v>
      </c>
      <c r="V11" s="427">
        <f t="shared" si="2"/>
        <v>2.1876481475468386</v>
      </c>
      <c r="W11" s="427">
        <f t="shared" si="3"/>
        <v>2.1504279767538907</v>
      </c>
      <c r="X11" s="423">
        <f t="shared" si="4"/>
        <v>2.1226193664245989</v>
      </c>
      <c r="Y11" s="427">
        <f t="shared" si="5"/>
        <v>2.2106364501919917</v>
      </c>
      <c r="Z11" s="426">
        <f>'3'!I46</f>
        <v>55092.219999999499</v>
      </c>
      <c r="AA11" s="425">
        <f t="shared" si="20"/>
        <v>171328.66000000076</v>
      </c>
      <c r="AB11" s="427">
        <f t="shared" si="6"/>
        <v>894.44134168911751</v>
      </c>
      <c r="AC11" s="427">
        <f t="shared" si="7"/>
        <v>871.87495547210153</v>
      </c>
      <c r="AD11" s="427">
        <f t="shared" si="8"/>
        <v>867.85368850521411</v>
      </c>
      <c r="AE11" s="427">
        <f t="shared" si="9"/>
        <v>896.2860311581278</v>
      </c>
      <c r="AF11" s="506">
        <v>3.0880000000000001</v>
      </c>
      <c r="AG11" s="525">
        <v>131.65799999999999</v>
      </c>
      <c r="AH11" s="423">
        <f>+Efficiency2!K15</f>
        <v>63.151668000000001</v>
      </c>
      <c r="AI11" s="424">
        <f t="shared" si="21"/>
        <v>202.66465042637836</v>
      </c>
      <c r="AJ11" s="449">
        <f t="shared" si="22"/>
        <v>1.0052149374740189</v>
      </c>
      <c r="AK11" s="449">
        <f t="shared" si="23"/>
        <v>0.94320346245799869</v>
      </c>
    </row>
    <row r="12" spans="1:37" s="428" customFormat="1" ht="12.75" customHeight="1">
      <c r="A12" s="442">
        <f t="shared" si="10"/>
        <v>46116</v>
      </c>
      <c r="B12" s="452" t="s">
        <v>427</v>
      </c>
      <c r="C12" s="504" t="s">
        <v>528</v>
      </c>
      <c r="D12" s="422">
        <f>+'4'!F42</f>
        <v>1651.25</v>
      </c>
      <c r="E12" s="422">
        <f>+'4'!G42</f>
        <v>1254.95</v>
      </c>
      <c r="F12" s="50">
        <f t="shared" si="0"/>
        <v>0.24</v>
      </c>
      <c r="G12" s="448">
        <f t="shared" si="11"/>
        <v>0.93030329146566015</v>
      </c>
      <c r="H12" s="443">
        <f t="shared" si="12"/>
        <v>0.90399180633240495</v>
      </c>
      <c r="I12" s="443">
        <f t="shared" si="13"/>
        <v>0.97984759290693058</v>
      </c>
      <c r="J12" s="449">
        <f t="shared" si="14"/>
        <v>0.88577419544239522</v>
      </c>
      <c r="K12" s="449">
        <f t="shared" si="15"/>
        <v>0.92987355695749951</v>
      </c>
      <c r="L12" s="423">
        <f>+SUM(Efficiency1!K19:K20)</f>
        <v>61.259404799999999</v>
      </c>
      <c r="M12" s="424">
        <f t="shared" si="16"/>
        <v>263.92405522637836</v>
      </c>
      <c r="N12" s="423">
        <f>+SUM(Efficiency1!C19:C20)</f>
        <v>59.52682368</v>
      </c>
      <c r="O12" s="424">
        <f t="shared" si="16"/>
        <v>257.63571470918919</v>
      </c>
      <c r="P12" s="577">
        <f>'4'!I38</f>
        <v>55.378</v>
      </c>
      <c r="Q12" s="424">
        <f t="shared" si="17"/>
        <v>251.88399999999996</v>
      </c>
      <c r="R12" s="14">
        <f>'4'!I40</f>
        <v>54.262</v>
      </c>
      <c r="S12" s="424">
        <f t="shared" si="18"/>
        <v>245.416</v>
      </c>
      <c r="T12" s="569">
        <f t="shared" si="1"/>
        <v>130.66199999999998</v>
      </c>
      <c r="U12" s="425">
        <f t="shared" si="19"/>
        <v>553.23399999999992</v>
      </c>
      <c r="V12" s="427">
        <f t="shared" si="2"/>
        <v>2.3594568240095342</v>
      </c>
      <c r="W12" s="427">
        <f t="shared" si="3"/>
        <v>2.1963840498007019</v>
      </c>
      <c r="X12" s="423">
        <f t="shared" si="4"/>
        <v>2.4079834875234969</v>
      </c>
      <c r="Y12" s="427">
        <f t="shared" si="5"/>
        <v>2.254270300224924</v>
      </c>
      <c r="Z12" s="426">
        <f>'4'!I46</f>
        <v>52377.380000000005</v>
      </c>
      <c r="AA12" s="425">
        <f t="shared" si="20"/>
        <v>223706.04000000076</v>
      </c>
      <c r="AB12" s="427">
        <f t="shared" si="6"/>
        <v>945.81566687132079</v>
      </c>
      <c r="AC12" s="427">
        <f t="shared" si="7"/>
        <v>888.13120325229386</v>
      </c>
      <c r="AD12" s="427">
        <f t="shared" si="8"/>
        <v>965.26814345213973</v>
      </c>
      <c r="AE12" s="427">
        <f t="shared" si="9"/>
        <v>911.53812302376684</v>
      </c>
      <c r="AF12" s="506">
        <v>1.141</v>
      </c>
      <c r="AG12" s="525">
        <v>129.52099999999999</v>
      </c>
      <c r="AH12" s="423">
        <f>+SUM(Efficiency2!K19:K20)</f>
        <v>61.259404799999999</v>
      </c>
      <c r="AI12" s="424">
        <f t="shared" si="21"/>
        <v>263.92405522637836</v>
      </c>
      <c r="AJ12" s="449">
        <f t="shared" si="22"/>
        <v>0.88577419544239522</v>
      </c>
      <c r="AK12" s="449">
        <f t="shared" si="23"/>
        <v>0.92987355695749951</v>
      </c>
    </row>
    <row r="13" spans="1:37" s="428" customFormat="1" ht="12.75" customHeight="1">
      <c r="A13" s="442">
        <f t="shared" si="10"/>
        <v>46117</v>
      </c>
      <c r="B13" s="452" t="s">
        <v>529</v>
      </c>
      <c r="C13" s="504" t="s">
        <v>530</v>
      </c>
      <c r="D13" s="422">
        <f>+'5'!F42</f>
        <v>1507.9080459770114</v>
      </c>
      <c r="E13" s="422">
        <f>+'5'!G42</f>
        <v>1146.0101149425286</v>
      </c>
      <c r="F13" s="50">
        <f t="shared" si="0"/>
        <v>0.24</v>
      </c>
      <c r="G13" s="448">
        <f t="shared" si="11"/>
        <v>0.90576209449794221</v>
      </c>
      <c r="H13" s="443">
        <f t="shared" si="12"/>
        <v>0.80378155891684266</v>
      </c>
      <c r="I13" s="443">
        <f t="shared" si="13"/>
        <v>0.95651115124703212</v>
      </c>
      <c r="J13" s="449">
        <f t="shared" si="14"/>
        <v>0.76882602427068336</v>
      </c>
      <c r="K13" s="449">
        <f t="shared" si="15"/>
        <v>0.8995158465493841</v>
      </c>
      <c r="L13" s="423">
        <f>+SUM(Efficiency1!K23:K25)</f>
        <v>61.306457523614426</v>
      </c>
      <c r="M13" s="424">
        <f t="shared" si="16"/>
        <v>325.23051274999278</v>
      </c>
      <c r="N13" s="423">
        <f>+SUM(Efficiency1!C23:C25)</f>
        <v>54.403910584615389</v>
      </c>
      <c r="O13" s="424">
        <f t="shared" si="16"/>
        <v>312.03962529380459</v>
      </c>
      <c r="P13" s="577">
        <f>'5'!I38</f>
        <v>49.277000000000001</v>
      </c>
      <c r="Q13" s="424">
        <f t="shared" si="17"/>
        <v>301.16099999999994</v>
      </c>
      <c r="R13" s="14">
        <f>'5'!I40</f>
        <v>47.134</v>
      </c>
      <c r="S13" s="424">
        <f t="shared" si="18"/>
        <v>292.55</v>
      </c>
      <c r="T13" s="569">
        <f t="shared" si="1"/>
        <v>113.06100000000001</v>
      </c>
      <c r="U13" s="425">
        <f t="shared" si="19"/>
        <v>666.29499999999996</v>
      </c>
      <c r="V13" s="427">
        <f t="shared" si="2"/>
        <v>2.2943969803356534</v>
      </c>
      <c r="W13" s="427">
        <f t="shared" si="3"/>
        <v>2.2124212630453481</v>
      </c>
      <c r="X13" s="423">
        <f t="shared" si="4"/>
        <v>2.3987143038995207</v>
      </c>
      <c r="Y13" s="427">
        <f t="shared" si="5"/>
        <v>2.2775423004614592</v>
      </c>
      <c r="Z13" s="426">
        <f>'5'!I46</f>
        <v>48364.880000001576</v>
      </c>
      <c r="AA13" s="425">
        <f t="shared" si="20"/>
        <v>272070.92000000237</v>
      </c>
      <c r="AB13" s="427">
        <f t="shared" si="6"/>
        <v>981.48994459893208</v>
      </c>
      <c r="AC13" s="427">
        <f t="shared" si="7"/>
        <v>903.40688203320622</v>
      </c>
      <c r="AD13" s="427">
        <f t="shared" si="8"/>
        <v>1026.114482114855</v>
      </c>
      <c r="AE13" s="427">
        <f t="shared" si="9"/>
        <v>929.99801743292551</v>
      </c>
      <c r="AF13" s="506">
        <v>0.14399999999999999</v>
      </c>
      <c r="AG13" s="525">
        <v>112.917</v>
      </c>
      <c r="AH13" s="423">
        <f>+SUM(Efficiency2!K23:K25)</f>
        <v>61.306457523614426</v>
      </c>
      <c r="AI13" s="424">
        <f t="shared" si="21"/>
        <v>325.23051274999278</v>
      </c>
      <c r="AJ13" s="449">
        <f t="shared" si="22"/>
        <v>0.76882602427068336</v>
      </c>
      <c r="AK13" s="449">
        <f t="shared" si="23"/>
        <v>0.8995158465493841</v>
      </c>
    </row>
    <row r="14" spans="1:37" s="428" customFormat="1" ht="12.75" customHeight="1">
      <c r="A14" s="442">
        <f t="shared" si="10"/>
        <v>46118</v>
      </c>
      <c r="B14" s="452" t="s">
        <v>523</v>
      </c>
      <c r="C14" s="504" t="s">
        <v>547</v>
      </c>
      <c r="D14" s="422">
        <f>+'6'!F42</f>
        <v>1618.4444444444443</v>
      </c>
      <c r="E14" s="422">
        <f>+'6'!G42</f>
        <v>1230.0177777777778</v>
      </c>
      <c r="F14" s="50">
        <f t="shared" si="0"/>
        <v>0.23999999999999988</v>
      </c>
      <c r="G14" s="448">
        <f t="shared" si="11"/>
        <v>0.97204715762080685</v>
      </c>
      <c r="H14" s="443">
        <f t="shared" si="12"/>
        <v>0.92585403757260043</v>
      </c>
      <c r="I14" s="443">
        <f t="shared" si="13"/>
        <v>0.97941293664497275</v>
      </c>
      <c r="J14" s="449">
        <f t="shared" si="14"/>
        <v>0.90679342184358558</v>
      </c>
      <c r="K14" s="449">
        <f t="shared" si="15"/>
        <v>0.90072892351478073</v>
      </c>
      <c r="L14" s="423">
        <f>+SUM(Efficiency1!K29:K30)</f>
        <v>65.055610880000003</v>
      </c>
      <c r="M14" s="424">
        <f t="shared" si="16"/>
        <v>390.2861236299928</v>
      </c>
      <c r="N14" s="423">
        <f>+SUM(Efficiency1!C29:C30)</f>
        <v>61.964071935999996</v>
      </c>
      <c r="O14" s="424">
        <f t="shared" si="16"/>
        <v>374.00369722980457</v>
      </c>
      <c r="P14" s="577">
        <f>'6'!I38</f>
        <v>60.231999999999999</v>
      </c>
      <c r="Q14" s="424">
        <f t="shared" si="17"/>
        <v>361.39299999999992</v>
      </c>
      <c r="R14" s="14">
        <f>'6'!I40</f>
        <v>58.991999999999997</v>
      </c>
      <c r="S14" s="424">
        <f t="shared" si="18"/>
        <v>351.54200000000003</v>
      </c>
      <c r="T14" s="569">
        <f t="shared" si="1"/>
        <v>128.078</v>
      </c>
      <c r="U14" s="425">
        <f t="shared" si="19"/>
        <v>794.37299999999993</v>
      </c>
      <c r="V14" s="427">
        <f t="shared" si="2"/>
        <v>2.1264112099880461</v>
      </c>
      <c r="W14" s="427">
        <f t="shared" si="3"/>
        <v>2.1980862938684482</v>
      </c>
      <c r="X14" s="423">
        <f t="shared" si="4"/>
        <v>2.1711079468402499</v>
      </c>
      <c r="Y14" s="427">
        <f t="shared" si="5"/>
        <v>2.2596816312133399</v>
      </c>
      <c r="Z14" s="426">
        <f>'6'!I46</f>
        <v>52380.899999998946</v>
      </c>
      <c r="AA14" s="425">
        <f t="shared" si="20"/>
        <v>324451.82000000135</v>
      </c>
      <c r="AB14" s="427">
        <f t="shared" si="6"/>
        <v>869.65234426880966</v>
      </c>
      <c r="AC14" s="427">
        <f t="shared" si="7"/>
        <v>897.78114130600591</v>
      </c>
      <c r="AD14" s="427">
        <f t="shared" si="8"/>
        <v>887.9322620016095</v>
      </c>
      <c r="AE14" s="427">
        <f t="shared" si="9"/>
        <v>922.93899448714888</v>
      </c>
      <c r="AF14" s="506">
        <v>0.159</v>
      </c>
      <c r="AG14" s="525">
        <v>127.919</v>
      </c>
      <c r="AH14" s="423">
        <f>+SUM(Efficiency2!K29:K30)</f>
        <v>65.055610880000003</v>
      </c>
      <c r="AI14" s="424">
        <f t="shared" si="21"/>
        <v>390.2861236299928</v>
      </c>
      <c r="AJ14" s="449">
        <f t="shared" si="22"/>
        <v>0.90679342184358558</v>
      </c>
      <c r="AK14" s="449">
        <f t="shared" si="23"/>
        <v>0.90072892351478073</v>
      </c>
    </row>
    <row r="15" spans="1:37" s="428" customFormat="1" ht="12.75" customHeight="1">
      <c r="A15" s="442">
        <f t="shared" si="10"/>
        <v>46119</v>
      </c>
      <c r="B15" s="452" t="s">
        <v>523</v>
      </c>
      <c r="C15" s="429" t="s">
        <v>559</v>
      </c>
      <c r="D15" s="422">
        <f>+'7'!F42</f>
        <v>1696.8611111111111</v>
      </c>
      <c r="E15" s="422">
        <f>+'7'!G42</f>
        <v>1289.6144444444444</v>
      </c>
      <c r="F15" s="50">
        <f t="shared" si="0"/>
        <v>0.24</v>
      </c>
      <c r="G15" s="448">
        <f t="shared" si="11"/>
        <v>0.96445399811577048</v>
      </c>
      <c r="H15" s="443">
        <f t="shared" si="12"/>
        <v>0.96256625374929061</v>
      </c>
      <c r="I15" s="443">
        <f t="shared" si="13"/>
        <v>0.98104811861571684</v>
      </c>
      <c r="J15" s="449">
        <f t="shared" si="14"/>
        <v>0.94432381228372031</v>
      </c>
      <c r="K15" s="449">
        <f t="shared" si="15"/>
        <v>0.90686825456373543</v>
      </c>
      <c r="L15" s="423">
        <f>+SUM(Efficiency1!K33:K34)</f>
        <v>63.971700400000003</v>
      </c>
      <c r="M15" s="424">
        <f t="shared" si="16"/>
        <v>454.25782402999278</v>
      </c>
      <c r="N15" s="423">
        <f>+SUM(Efficiency1!C33:C34)</f>
        <v>63.846487359999998</v>
      </c>
      <c r="O15" s="424">
        <f t="shared" si="16"/>
        <v>437.8501845898046</v>
      </c>
      <c r="P15" s="577">
        <f>'7'!I38</f>
        <v>61.576999999999998</v>
      </c>
      <c r="Q15" s="424">
        <f t="shared" si="17"/>
        <v>422.96999999999991</v>
      </c>
      <c r="R15" s="14">
        <f>'7'!I40</f>
        <v>60.41</v>
      </c>
      <c r="S15" s="424">
        <f t="shared" si="18"/>
        <v>411.952</v>
      </c>
      <c r="T15" s="569">
        <f t="shared" si="1"/>
        <v>131.434</v>
      </c>
      <c r="U15" s="425">
        <f t="shared" si="19"/>
        <v>925.8069999999999</v>
      </c>
      <c r="V15" s="427">
        <f t="shared" si="2"/>
        <v>2.1344657907985125</v>
      </c>
      <c r="W15" s="427">
        <f t="shared" si="3"/>
        <v>2.1888242664964421</v>
      </c>
      <c r="X15" s="423">
        <f t="shared" si="4"/>
        <v>2.1756993875186228</v>
      </c>
      <c r="Y15" s="427">
        <f t="shared" si="5"/>
        <v>2.2473661980036508</v>
      </c>
      <c r="Z15" s="426">
        <f>'7'!I46</f>
        <v>54932.300000003022</v>
      </c>
      <c r="AA15" s="425">
        <f t="shared" si="20"/>
        <v>379384.12000000436</v>
      </c>
      <c r="AB15" s="427">
        <f t="shared" si="6"/>
        <v>892.09120288424276</v>
      </c>
      <c r="AC15" s="427">
        <f t="shared" si="7"/>
        <v>896.95278624962623</v>
      </c>
      <c r="AD15" s="427">
        <f t="shared" si="8"/>
        <v>909.32461512999544</v>
      </c>
      <c r="AE15" s="427">
        <f t="shared" si="9"/>
        <v>920.94253699461194</v>
      </c>
      <c r="AF15" s="506">
        <v>1.375</v>
      </c>
      <c r="AG15" s="525">
        <v>130.059</v>
      </c>
      <c r="AH15" s="423">
        <f>+SUM(Efficiency2!K33:K34)</f>
        <v>63.971700400000003</v>
      </c>
      <c r="AI15" s="424">
        <f t="shared" si="21"/>
        <v>454.25782402999278</v>
      </c>
      <c r="AJ15" s="449">
        <f t="shared" si="22"/>
        <v>0.94432381228372031</v>
      </c>
      <c r="AK15" s="449">
        <f t="shared" si="23"/>
        <v>0.90686825456373543</v>
      </c>
    </row>
    <row r="16" spans="1:37" s="428" customFormat="1" ht="12.75" customHeight="1">
      <c r="A16" s="442">
        <f t="shared" si="10"/>
        <v>46120</v>
      </c>
      <c r="B16" s="452" t="s">
        <v>523</v>
      </c>
      <c r="C16" s="429" t="s">
        <v>577</v>
      </c>
      <c r="D16" s="422">
        <f>+'8'!F42</f>
        <v>1678.5138888888889</v>
      </c>
      <c r="E16" s="422">
        <f>+'8'!G42</f>
        <v>1275.6705555555557</v>
      </c>
      <c r="F16" s="50">
        <f t="shared" si="0"/>
        <v>0.24</v>
      </c>
      <c r="G16" s="448">
        <f t="shared" si="11"/>
        <v>0.97539545786414328</v>
      </c>
      <c r="H16" s="443">
        <f t="shared" si="12"/>
        <v>0.97539545786414328</v>
      </c>
      <c r="I16" s="443">
        <f t="shared" si="13"/>
        <v>0.95030966209928425</v>
      </c>
      <c r="J16" s="449">
        <f t="shared" si="14"/>
        <v>0.92692772797605072</v>
      </c>
      <c r="K16" s="449">
        <f t="shared" si="15"/>
        <v>0.90934195733146672</v>
      </c>
      <c r="L16" s="423">
        <f>+SUM(Efficiency1!K37:K38)</f>
        <v>63.898185599999998</v>
      </c>
      <c r="M16" s="424">
        <f t="shared" si="16"/>
        <v>518.15600962999281</v>
      </c>
      <c r="N16" s="423">
        <f>+SUM(Efficiency1!C37:C38)</f>
        <v>63.898185599999998</v>
      </c>
      <c r="O16" s="424">
        <f t="shared" si="16"/>
        <v>501.74837018980458</v>
      </c>
      <c r="P16" s="577">
        <f>'8'!I38</f>
        <v>62.326000000000008</v>
      </c>
      <c r="Q16" s="424">
        <f t="shared" si="17"/>
        <v>485.29599999999994</v>
      </c>
      <c r="R16" s="14">
        <f>'8'!I40</f>
        <v>59.228999999999999</v>
      </c>
      <c r="S16" s="424">
        <f t="shared" si="18"/>
        <v>471.18099999999998</v>
      </c>
      <c r="T16" s="569">
        <f t="shared" si="1"/>
        <v>133.09800000000001</v>
      </c>
      <c r="U16" s="425">
        <f t="shared" si="19"/>
        <v>1058.905</v>
      </c>
      <c r="V16" s="427">
        <f t="shared" si="2"/>
        <v>2.135513268940731</v>
      </c>
      <c r="W16" s="427">
        <f t="shared" si="3"/>
        <v>2.1819775971778053</v>
      </c>
      <c r="X16" s="423">
        <f t="shared" si="4"/>
        <v>2.2471762143544551</v>
      </c>
      <c r="Y16" s="427">
        <f t="shared" si="5"/>
        <v>2.2473423164346609</v>
      </c>
      <c r="Z16" s="426">
        <f>'8'!I46</f>
        <v>58562.919999997881</v>
      </c>
      <c r="AA16" s="425">
        <f t="shared" si="20"/>
        <v>437947.04000000225</v>
      </c>
      <c r="AB16" s="427">
        <f t="shared" si="6"/>
        <v>939.62262940021628</v>
      </c>
      <c r="AC16" s="427">
        <f t="shared" si="7"/>
        <v>902.43282450298841</v>
      </c>
      <c r="AD16" s="427">
        <f t="shared" si="8"/>
        <v>988.75415759168447</v>
      </c>
      <c r="AE16" s="427">
        <f t="shared" si="9"/>
        <v>929.46668053253904</v>
      </c>
      <c r="AF16" s="506">
        <v>0.57799999999999996</v>
      </c>
      <c r="AG16" s="525">
        <v>132.52000000000001</v>
      </c>
      <c r="AH16" s="423">
        <f>+SUM(Efficiency2!K37:K38)</f>
        <v>63.898185599999998</v>
      </c>
      <c r="AI16" s="424">
        <f t="shared" si="21"/>
        <v>518.15600962999281</v>
      </c>
      <c r="AJ16" s="449">
        <f t="shared" si="22"/>
        <v>0.92692772797605072</v>
      </c>
      <c r="AK16" s="449">
        <f t="shared" si="23"/>
        <v>0.90934195733146672</v>
      </c>
    </row>
    <row r="17" spans="1:37" s="428" customFormat="1" ht="12.75" customHeight="1">
      <c r="A17" s="442">
        <f t="shared" si="10"/>
        <v>46121</v>
      </c>
      <c r="B17" s="452" t="s">
        <v>523</v>
      </c>
      <c r="C17" s="429" t="s">
        <v>582</v>
      </c>
      <c r="D17" s="422">
        <f>+'9'!F42</f>
        <v>1693.3333333333333</v>
      </c>
      <c r="E17" s="422">
        <f>+'9'!G42</f>
        <v>1286.9333333333334</v>
      </c>
      <c r="F17" s="50">
        <f t="shared" si="0"/>
        <v>0.23999999999999988</v>
      </c>
      <c r="G17" s="448">
        <f t="shared" si="11"/>
        <v>0.96473999921101938</v>
      </c>
      <c r="H17" s="443">
        <f t="shared" si="12"/>
        <v>0.96095670509646625</v>
      </c>
      <c r="I17" s="443">
        <f t="shared" si="13"/>
        <v>0.98199147468748493</v>
      </c>
      <c r="J17" s="449">
        <f t="shared" si="14"/>
        <v>0.94365129194850539</v>
      </c>
      <c r="K17" s="449">
        <f t="shared" si="15"/>
        <v>0.91317566690724805</v>
      </c>
      <c r="L17" s="423">
        <f>+Efficiency1!K41</f>
        <v>65.18191680000001</v>
      </c>
      <c r="M17" s="424">
        <f t="shared" si="16"/>
        <v>583.33792642999288</v>
      </c>
      <c r="N17" s="423">
        <f>+Efficiency1!C41</f>
        <v>64.926301440000003</v>
      </c>
      <c r="O17" s="424">
        <f t="shared" si="16"/>
        <v>566.67467162980461</v>
      </c>
      <c r="P17" s="577">
        <f>'9'!I38</f>
        <v>62.637000000000008</v>
      </c>
      <c r="Q17" s="424">
        <f t="shared" si="17"/>
        <v>547.93299999999999</v>
      </c>
      <c r="R17" s="14">
        <f>'9'!I40</f>
        <v>61.509</v>
      </c>
      <c r="S17" s="424">
        <f t="shared" si="18"/>
        <v>532.68999999999994</v>
      </c>
      <c r="T17" s="569">
        <f t="shared" si="1"/>
        <v>133.25200000000001</v>
      </c>
      <c r="U17" s="425">
        <f t="shared" si="19"/>
        <v>1192.1569999999999</v>
      </c>
      <c r="V17" s="427">
        <f t="shared" si="2"/>
        <v>2.1273688075737982</v>
      </c>
      <c r="W17" s="427">
        <f t="shared" si="3"/>
        <v>2.1757349894968909</v>
      </c>
      <c r="X17" s="423">
        <f t="shared" si="4"/>
        <v>2.1663821554569251</v>
      </c>
      <c r="Y17" s="427">
        <f t="shared" si="5"/>
        <v>2.2379939552084704</v>
      </c>
      <c r="Z17" s="426">
        <f>'9'!I46</f>
        <v>53424.779999999591</v>
      </c>
      <c r="AA17" s="425">
        <f t="shared" si="20"/>
        <v>491371.82000000181</v>
      </c>
      <c r="AB17" s="427">
        <f t="shared" si="6"/>
        <v>852.92686431341838</v>
      </c>
      <c r="AC17" s="427">
        <f t="shared" si="7"/>
        <v>896.77354713076568</v>
      </c>
      <c r="AD17" s="427">
        <f t="shared" si="8"/>
        <v>868.56850217040744</v>
      </c>
      <c r="AE17" s="427">
        <f t="shared" si="9"/>
        <v>922.43484953725795</v>
      </c>
      <c r="AF17" s="506">
        <v>0.36499999999999999</v>
      </c>
      <c r="AG17" s="525">
        <v>132.887</v>
      </c>
      <c r="AH17" s="423">
        <f>+Efficiency2!K41</f>
        <v>65.18191680000001</v>
      </c>
      <c r="AI17" s="424">
        <f t="shared" si="21"/>
        <v>583.33792642999288</v>
      </c>
      <c r="AJ17" s="449">
        <f t="shared" si="22"/>
        <v>0.94365129194850539</v>
      </c>
      <c r="AK17" s="449">
        <f t="shared" si="23"/>
        <v>0.91317566690724805</v>
      </c>
    </row>
    <row r="18" spans="1:37" s="428" customFormat="1" ht="12.75" customHeight="1">
      <c r="A18" s="442">
        <f t="shared" si="10"/>
        <v>46122</v>
      </c>
      <c r="B18" s="452" t="s">
        <v>593</v>
      </c>
      <c r="C18" s="429" t="s">
        <v>594</v>
      </c>
      <c r="D18" s="422">
        <f>+'10'!F42</f>
        <v>1277.5</v>
      </c>
      <c r="E18" s="422">
        <f>+'10'!G42</f>
        <v>1269.6783333333333</v>
      </c>
      <c r="F18" s="50">
        <f t="shared" si="0"/>
        <v>6.1226353555120516E-3</v>
      </c>
      <c r="G18" s="448">
        <f t="shared" si="11"/>
        <v>0.98792045230906311</v>
      </c>
      <c r="H18" s="443">
        <f t="shared" si="12"/>
        <v>0.98448671990179426</v>
      </c>
      <c r="I18" s="443">
        <f>+R18/P18</f>
        <v>0.84423570928150704</v>
      </c>
      <c r="J18" s="449">
        <f t="shared" si="14"/>
        <v>0.83113884425451567</v>
      </c>
      <c r="K18" s="449">
        <f t="shared" si="15"/>
        <v>0.90346802185403419</v>
      </c>
      <c r="L18" s="423">
        <f>+SUM(Efficiency1!K45:K47)</f>
        <v>78.292574639999998</v>
      </c>
      <c r="M18" s="424">
        <f t="shared" si="16"/>
        <v>661.63050106999287</v>
      </c>
      <c r="N18" s="423">
        <f>+SUM(Efficiency1!C45:C47)</f>
        <v>78.020451768000001</v>
      </c>
      <c r="O18" s="424">
        <f t="shared" si="16"/>
        <v>644.69512339780465</v>
      </c>
      <c r="P18" s="577">
        <f>'10'!I38</f>
        <v>77.078000000000003</v>
      </c>
      <c r="Q18" s="424">
        <f t="shared" si="17"/>
        <v>625.01099999999997</v>
      </c>
      <c r="R18" s="14">
        <f>'10'!I40</f>
        <v>65.072000000000003</v>
      </c>
      <c r="S18" s="424">
        <f t="shared" si="18"/>
        <v>597.76199999999994</v>
      </c>
      <c r="T18" s="569">
        <f t="shared" si="1"/>
        <v>152.95599999999999</v>
      </c>
      <c r="U18" s="425">
        <f t="shared" si="19"/>
        <v>1345.1129999999998</v>
      </c>
      <c r="V18" s="427">
        <f t="shared" si="2"/>
        <v>1.9844313552505253</v>
      </c>
      <c r="W18" s="427">
        <f t="shared" si="3"/>
        <v>2.1521429222845678</v>
      </c>
      <c r="X18" s="423">
        <f t="shared" si="4"/>
        <v>2.3505655274157853</v>
      </c>
      <c r="Y18" s="427">
        <f t="shared" si="5"/>
        <v>2.2502484266313347</v>
      </c>
      <c r="Z18" s="426">
        <f>'10'!I46</f>
        <v>57711.140000000254</v>
      </c>
      <c r="AA18" s="425">
        <f t="shared" si="20"/>
        <v>549082.96000000206</v>
      </c>
      <c r="AB18" s="427">
        <f t="shared" si="6"/>
        <v>748.73686395599589</v>
      </c>
      <c r="AC18" s="427">
        <f t="shared" si="7"/>
        <v>878.51727409597925</v>
      </c>
      <c r="AD18" s="427">
        <f t="shared" si="8"/>
        <v>886.88130071306023</v>
      </c>
      <c r="AE18" s="427">
        <f t="shared" si="9"/>
        <v>918.56451229753986</v>
      </c>
      <c r="AF18" s="506">
        <v>3.6589999999999998</v>
      </c>
      <c r="AG18" s="525">
        <v>149.297</v>
      </c>
      <c r="AH18" s="423">
        <f>+SUM(Efficiency2!K45:K47)</f>
        <v>78.292574639999998</v>
      </c>
      <c r="AI18" s="424">
        <f t="shared" si="21"/>
        <v>661.63050106999287</v>
      </c>
      <c r="AJ18" s="449">
        <f t="shared" si="22"/>
        <v>0.83113884425451567</v>
      </c>
      <c r="AK18" s="449">
        <f t="shared" si="23"/>
        <v>0.90346802185403419</v>
      </c>
    </row>
    <row r="19" spans="1:37" s="428" customFormat="1" ht="12.75" customHeight="1">
      <c r="A19" s="442">
        <f t="shared" si="10"/>
        <v>46123</v>
      </c>
      <c r="B19" s="446" t="s">
        <v>231</v>
      </c>
      <c r="C19" s="429" t="s">
        <v>613</v>
      </c>
      <c r="D19" s="422">
        <f>+'11'!F42</f>
        <v>1260</v>
      </c>
      <c r="E19" s="422">
        <f>+'11'!G42</f>
        <v>1255.5899999999999</v>
      </c>
      <c r="F19" s="50">
        <f t="shared" si="0"/>
        <v>3.5000000000000586E-3</v>
      </c>
      <c r="G19" s="448">
        <f t="shared" si="11"/>
        <v>0.98595509179757057</v>
      </c>
      <c r="H19" s="443">
        <f t="shared" si="12"/>
        <v>0.98250424897627897</v>
      </c>
      <c r="I19" s="443">
        <f t="shared" si="13"/>
        <v>0.97959480771563745</v>
      </c>
      <c r="J19" s="449">
        <f t="shared" si="14"/>
        <v>0.96245606085571489</v>
      </c>
      <c r="K19" s="449">
        <f t="shared" si="15"/>
        <v>0.91010622676596453</v>
      </c>
      <c r="L19" s="423">
        <f>+Efficiency1!K50</f>
        <v>83.897856000000004</v>
      </c>
      <c r="M19" s="424">
        <f t="shared" si="16"/>
        <v>745.52835706999292</v>
      </c>
      <c r="N19" s="423">
        <f>+Efficiency1!C50</f>
        <v>83.604213504000001</v>
      </c>
      <c r="O19" s="424">
        <f t="shared" si="16"/>
        <v>728.29933690180462</v>
      </c>
      <c r="P19" s="577">
        <f>'11'!I38</f>
        <v>82.43</v>
      </c>
      <c r="Q19" s="424">
        <f t="shared" si="17"/>
        <v>707.44100000000003</v>
      </c>
      <c r="R19" s="14">
        <f>'11'!I40</f>
        <v>80.748000000000005</v>
      </c>
      <c r="S19" s="424">
        <f t="shared" si="18"/>
        <v>678.51</v>
      </c>
      <c r="T19" s="569">
        <f t="shared" si="1"/>
        <v>152.95599999999999</v>
      </c>
      <c r="U19" s="425">
        <f t="shared" si="19"/>
        <v>1498.0689999999997</v>
      </c>
      <c r="V19" s="427">
        <f t="shared" si="2"/>
        <v>1.8555865582918838</v>
      </c>
      <c r="W19" s="427">
        <f t="shared" si="3"/>
        <v>2.117588604562076</v>
      </c>
      <c r="X19" s="423">
        <f t="shared" si="4"/>
        <v>1.8942388665973149</v>
      </c>
      <c r="Y19" s="427">
        <f t="shared" si="5"/>
        <v>2.2078805028665749</v>
      </c>
      <c r="Z19" s="426">
        <f>'11'!I46</f>
        <v>56529.659999999814</v>
      </c>
      <c r="AA19" s="425">
        <f t="shared" si="20"/>
        <v>605612.62000000186</v>
      </c>
      <c r="AB19" s="427">
        <f t="shared" si="6"/>
        <v>685.78988232439417</v>
      </c>
      <c r="AC19" s="427">
        <f t="shared" si="7"/>
        <v>856.06095773358038</v>
      </c>
      <c r="AD19" s="427">
        <f t="shared" si="8"/>
        <v>700.07504829840764</v>
      </c>
      <c r="AE19" s="427">
        <f t="shared" si="9"/>
        <v>892.56255618929993</v>
      </c>
      <c r="AF19" s="506">
        <v>3.6589999999999998</v>
      </c>
      <c r="AG19" s="525">
        <v>149.297</v>
      </c>
      <c r="AH19" s="423">
        <f>+Efficiency2!K50</f>
        <v>83.897856000000004</v>
      </c>
      <c r="AI19" s="424">
        <f t="shared" si="21"/>
        <v>745.52835706999292</v>
      </c>
      <c r="AJ19" s="449">
        <f t="shared" si="22"/>
        <v>0.96245606085571489</v>
      </c>
      <c r="AK19" s="449">
        <f t="shared" si="23"/>
        <v>0.91010622676596453</v>
      </c>
    </row>
    <row r="20" spans="1:37" s="428" customFormat="1" ht="12.75" customHeight="1">
      <c r="A20" s="442">
        <f t="shared" si="10"/>
        <v>46124</v>
      </c>
      <c r="B20" s="446" t="s">
        <v>231</v>
      </c>
      <c r="C20" s="429" t="s">
        <v>614</v>
      </c>
      <c r="D20" s="422">
        <f>+'12'!F42</f>
        <v>1260</v>
      </c>
      <c r="E20" s="422">
        <f>+'12'!G42</f>
        <v>1255.5899999999999</v>
      </c>
      <c r="F20" s="50">
        <f t="shared" si="0"/>
        <v>3.5000000000000586E-3</v>
      </c>
      <c r="G20" s="448">
        <f t="shared" si="11"/>
        <v>1.0164114229221559</v>
      </c>
      <c r="H20" s="443">
        <f t="shared" si="12"/>
        <v>1.0114134008592692</v>
      </c>
      <c r="I20" s="443">
        <f t="shared" si="13"/>
        <v>1.0836341537526588</v>
      </c>
      <c r="J20" s="449">
        <f t="shared" si="14"/>
        <v>1.0960021047342328</v>
      </c>
      <c r="K20" s="449">
        <f t="shared" si="15"/>
        <v>0.92839434958834022</v>
      </c>
      <c r="L20" s="423">
        <f>+SUM(Efficiency1!K54:K55)</f>
        <v>81.346559112328762</v>
      </c>
      <c r="M20" s="424">
        <f t="shared" si="16"/>
        <v>826.87491618232173</v>
      </c>
      <c r="N20" s="423">
        <f>+SUM(Efficiency1!C54:C55)</f>
        <v>80.946551902635605</v>
      </c>
      <c r="O20" s="424">
        <f t="shared" si="16"/>
        <v>809.24588880444026</v>
      </c>
      <c r="P20" s="577">
        <f>'12'!I38</f>
        <v>82.275000000000006</v>
      </c>
      <c r="Q20" s="424">
        <f t="shared" si="17"/>
        <v>789.71600000000001</v>
      </c>
      <c r="R20" s="14">
        <f>'12'!I40</f>
        <v>89.156000000000006</v>
      </c>
      <c r="S20" s="424">
        <f t="shared" si="18"/>
        <v>767.66599999999994</v>
      </c>
      <c r="T20" s="569">
        <f t="shared" si="1"/>
        <v>157.511</v>
      </c>
      <c r="U20" s="425">
        <f t="shared" si="19"/>
        <v>1655.5799999999997</v>
      </c>
      <c r="V20" s="427">
        <f t="shared" si="2"/>
        <v>1.9144454573078089</v>
      </c>
      <c r="W20" s="427">
        <f t="shared" si="3"/>
        <v>2.096424537428645</v>
      </c>
      <c r="X20" s="423">
        <f t="shared" si="4"/>
        <v>1.7666898470097356</v>
      </c>
      <c r="Y20" s="427">
        <f t="shared" si="5"/>
        <v>2.1566410392019444</v>
      </c>
      <c r="Z20" s="426">
        <f>'12'!I46</f>
        <v>58914.159999999392</v>
      </c>
      <c r="AA20" s="425">
        <f t="shared" si="20"/>
        <v>664526.78000000119</v>
      </c>
      <c r="AB20" s="427">
        <f t="shared" si="6"/>
        <v>716.06393193557449</v>
      </c>
      <c r="AC20" s="427">
        <f t="shared" si="7"/>
        <v>841.47564440887754</v>
      </c>
      <c r="AD20" s="427">
        <f t="shared" si="8"/>
        <v>660.79860020637307</v>
      </c>
      <c r="AE20" s="427">
        <f t="shared" si="9"/>
        <v>865.64571050430948</v>
      </c>
      <c r="AF20" s="506">
        <v>3.0510000000000002</v>
      </c>
      <c r="AG20" s="525">
        <v>154.46</v>
      </c>
      <c r="AH20" s="423">
        <f>+SUM(Efficiency2!K54:K55)</f>
        <v>81.346559112328762</v>
      </c>
      <c r="AI20" s="424">
        <f t="shared" si="21"/>
        <v>826.87491618232173</v>
      </c>
      <c r="AJ20" s="449">
        <f t="shared" si="22"/>
        <v>1.0960021047342328</v>
      </c>
      <c r="AK20" s="449">
        <f t="shared" si="23"/>
        <v>0.92839434958834022</v>
      </c>
    </row>
    <row r="21" spans="1:37" s="428" customFormat="1" ht="12.75" customHeight="1">
      <c r="A21" s="442">
        <f t="shared" si="10"/>
        <v>46125</v>
      </c>
      <c r="B21" s="446" t="s">
        <v>231</v>
      </c>
      <c r="C21" s="429" t="s">
        <v>637</v>
      </c>
      <c r="D21" s="422">
        <f>+'13'!F42</f>
        <v>1165.2830188679245</v>
      </c>
      <c r="E21" s="422">
        <f>+'13'!G42</f>
        <v>1161.2045283018865</v>
      </c>
      <c r="F21" s="50">
        <f t="shared" si="0"/>
        <v>3.5000000000002807E-3</v>
      </c>
      <c r="G21" s="448">
        <f t="shared" si="11"/>
        <v>0.81803667673509184</v>
      </c>
      <c r="H21" s="443">
        <f t="shared" si="12"/>
        <v>0.74795897113528742</v>
      </c>
      <c r="I21" s="443">
        <f t="shared" si="13"/>
        <v>0.97448596989937386</v>
      </c>
      <c r="J21" s="449">
        <f t="shared" si="14"/>
        <v>0.72887552343170847</v>
      </c>
      <c r="K21" s="449">
        <f t="shared" si="15"/>
        <v>0.91146560145020183</v>
      </c>
      <c r="L21" s="423">
        <f>+Efficiency1!K58</f>
        <v>76.663296000000003</v>
      </c>
      <c r="M21" s="424">
        <f t="shared" si="16"/>
        <v>903.53821218232179</v>
      </c>
      <c r="N21" s="423">
        <f>+Efficiency1!C58</f>
        <v>70.095879110037714</v>
      </c>
      <c r="O21" s="424">
        <f t="shared" si="16"/>
        <v>879.34176791447794</v>
      </c>
      <c r="P21" s="577">
        <f>'13'!I38</f>
        <v>57.341000000000001</v>
      </c>
      <c r="Q21" s="424">
        <f t="shared" si="17"/>
        <v>847.05700000000002</v>
      </c>
      <c r="R21" s="14">
        <f>'13'!I40</f>
        <v>55.878</v>
      </c>
      <c r="S21" s="424">
        <f t="shared" si="18"/>
        <v>823.54399999999998</v>
      </c>
      <c r="T21" s="569">
        <f t="shared" si="1"/>
        <v>117.17399999999999</v>
      </c>
      <c r="U21" s="425">
        <f t="shared" si="19"/>
        <v>1772.7539999999997</v>
      </c>
      <c r="V21" s="427">
        <f t="shared" si="2"/>
        <v>2.0434593048603964</v>
      </c>
      <c r="W21" s="427">
        <f t="shared" si="3"/>
        <v>2.0928390887508157</v>
      </c>
      <c r="X21" s="423">
        <f t="shared" si="4"/>
        <v>2.0969612369805648</v>
      </c>
      <c r="Y21" s="427">
        <f t="shared" si="5"/>
        <v>2.1525917255180049</v>
      </c>
      <c r="Z21" s="426">
        <f>'13'!I46</f>
        <v>42079.139999998428</v>
      </c>
      <c r="AA21" s="425">
        <f t="shared" si="20"/>
        <v>706605.91999999958</v>
      </c>
      <c r="AB21" s="427">
        <f t="shared" si="6"/>
        <v>733.84035855667719</v>
      </c>
      <c r="AC21" s="427">
        <f t="shared" si="7"/>
        <v>834.18934026871818</v>
      </c>
      <c r="AD21" s="427">
        <f t="shared" si="8"/>
        <v>753.05379576932648</v>
      </c>
      <c r="AE21" s="427">
        <f t="shared" si="9"/>
        <v>858.00627531740815</v>
      </c>
      <c r="AF21" s="506">
        <v>5.9550000000000001</v>
      </c>
      <c r="AG21" s="525">
        <v>111.21899999999999</v>
      </c>
      <c r="AH21" s="423">
        <f>+Efficiency2!K58</f>
        <v>60.745014400000002</v>
      </c>
      <c r="AI21" s="424">
        <f t="shared" si="21"/>
        <v>887.61993058232179</v>
      </c>
      <c r="AJ21" s="449">
        <f t="shared" si="22"/>
        <v>0.91987796121092036</v>
      </c>
      <c r="AK21" s="449">
        <f t="shared" si="23"/>
        <v>0.92781152340700046</v>
      </c>
    </row>
    <row r="22" spans="1:37" s="428" customFormat="1" ht="12.75" customHeight="1">
      <c r="A22" s="442">
        <f t="shared" si="10"/>
        <v>46126</v>
      </c>
      <c r="B22" s="446" t="s">
        <v>231</v>
      </c>
      <c r="C22" s="429" t="s">
        <v>637</v>
      </c>
      <c r="D22" s="422">
        <f>+'14'!F42</f>
        <v>1266.6666666666667</v>
      </c>
      <c r="E22" s="422">
        <f>+'14'!G42</f>
        <v>1262.2333333333331</v>
      </c>
      <c r="F22" s="50">
        <f t="shared" si="0"/>
        <v>3.5000000000002807E-3</v>
      </c>
      <c r="G22" s="448">
        <f t="shared" si="11"/>
        <v>0.99023407128519891</v>
      </c>
      <c r="H22" s="443">
        <f t="shared" si="12"/>
        <v>0.98417830911697168</v>
      </c>
      <c r="I22" s="443">
        <f t="shared" si="13"/>
        <v>0.95408736047486931</v>
      </c>
      <c r="J22" s="449">
        <f t="shared" si="14"/>
        <v>0.93899208518203148</v>
      </c>
      <c r="K22" s="449">
        <f t="shared" si="15"/>
        <v>0.91367216154916076</v>
      </c>
      <c r="L22" s="423">
        <f>+Efficiency1!K63</f>
        <v>78.7408128</v>
      </c>
      <c r="M22" s="424">
        <f t="shared" si="16"/>
        <v>982.27902498232174</v>
      </c>
      <c r="N22" s="423">
        <f>+Efficiency1!C63</f>
        <v>78.259274495999989</v>
      </c>
      <c r="O22" s="424">
        <f t="shared" si="16"/>
        <v>957.60104241047793</v>
      </c>
      <c r="P22" s="577">
        <f>'14'!I38</f>
        <v>77.495000000000005</v>
      </c>
      <c r="Q22" s="424">
        <f t="shared" si="17"/>
        <v>924.55200000000002</v>
      </c>
      <c r="R22" s="14">
        <f>'14'!I40</f>
        <v>73.936999999999998</v>
      </c>
      <c r="S22" s="424">
        <f t="shared" si="18"/>
        <v>897.48099999999999</v>
      </c>
      <c r="T22" s="569">
        <f t="shared" si="1"/>
        <v>152.643</v>
      </c>
      <c r="U22" s="425">
        <f t="shared" si="19"/>
        <v>1925.3969999999997</v>
      </c>
      <c r="V22" s="427">
        <f t="shared" si="2"/>
        <v>1.9697141751080713</v>
      </c>
      <c r="W22" s="427">
        <f t="shared" si="3"/>
        <v>2.0825188848220542</v>
      </c>
      <c r="X22" s="423">
        <f t="shared" si="4"/>
        <v>2.0645008588392821</v>
      </c>
      <c r="Y22" s="427">
        <f t="shared" si="5"/>
        <v>2.1453345530434627</v>
      </c>
      <c r="Z22" s="426">
        <f>'14'!I46</f>
        <v>56622.340000001226</v>
      </c>
      <c r="AA22" s="425">
        <f t="shared" si="20"/>
        <v>763228.26000000082</v>
      </c>
      <c r="AB22" s="427">
        <f t="shared" si="6"/>
        <v>730.65797793407603</v>
      </c>
      <c r="AC22" s="427">
        <f t="shared" si="7"/>
        <v>825.51144770656583</v>
      </c>
      <c r="AD22" s="427">
        <f t="shared" si="8"/>
        <v>765.81873757389712</v>
      </c>
      <c r="AE22" s="427">
        <f t="shared" si="9"/>
        <v>850.41160759949332</v>
      </c>
      <c r="AF22" s="506">
        <v>0.17599999999999999</v>
      </c>
      <c r="AG22" s="525">
        <v>152.46700000000001</v>
      </c>
      <c r="AH22" s="423">
        <f>+Efficiency2!K63</f>
        <v>78.7408128</v>
      </c>
      <c r="AI22" s="424">
        <f t="shared" si="21"/>
        <v>966.36074338232174</v>
      </c>
      <c r="AJ22" s="449">
        <f t="shared" si="22"/>
        <v>0.93899208518203148</v>
      </c>
      <c r="AK22" s="449">
        <f t="shared" si="23"/>
        <v>0.92872253570520835</v>
      </c>
    </row>
    <row r="23" spans="1:37" s="428" customFormat="1" ht="12.75" customHeight="1">
      <c r="A23" s="442">
        <f t="shared" si="10"/>
        <v>46127</v>
      </c>
      <c r="B23" s="446" t="s">
        <v>231</v>
      </c>
      <c r="C23" s="429" t="s">
        <v>637</v>
      </c>
      <c r="D23" s="422">
        <f>+'15'!F42</f>
        <v>1273.3333333333333</v>
      </c>
      <c r="E23" s="422">
        <f>+'15'!G42</f>
        <v>1268.8766666666666</v>
      </c>
      <c r="F23" s="50">
        <f t="shared" si="0"/>
        <v>3.5000000000000586E-3</v>
      </c>
      <c r="G23" s="448">
        <f t="shared" si="11"/>
        <v>1.0182528618189233</v>
      </c>
      <c r="H23" s="443">
        <f t="shared" si="12"/>
        <v>1.0146889768025571</v>
      </c>
      <c r="I23" s="443">
        <f t="shared" si="13"/>
        <v>1.0076369492463702</v>
      </c>
      <c r="J23" s="449">
        <f t="shared" si="14"/>
        <v>1.0224381050192495</v>
      </c>
      <c r="K23" s="449">
        <f t="shared" si="15"/>
        <v>0.92170507129414136</v>
      </c>
      <c r="L23" s="423">
        <f>+Efficiency1!K67</f>
        <v>78.331391999999994</v>
      </c>
      <c r="M23" s="424">
        <f t="shared" si="16"/>
        <v>1060.6104169823218</v>
      </c>
      <c r="N23" s="423">
        <f>+Efficiency1!C67</f>
        <v>78.057232127999995</v>
      </c>
      <c r="O23" s="424">
        <f t="shared" si="16"/>
        <v>1035.6582745384778</v>
      </c>
      <c r="P23" s="577">
        <f>'15'!I38</f>
        <v>79.481999999999999</v>
      </c>
      <c r="Q23" s="424">
        <f t="shared" si="17"/>
        <v>1004.034</v>
      </c>
      <c r="R23" s="14">
        <f>'15'!I40</f>
        <v>80.088999999999999</v>
      </c>
      <c r="S23" s="424">
        <f t="shared" si="18"/>
        <v>977.56999999999994</v>
      </c>
      <c r="T23" s="569">
        <f t="shared" si="1"/>
        <v>154.47900000000001</v>
      </c>
      <c r="U23" s="425">
        <f t="shared" si="19"/>
        <v>2079.8759999999997</v>
      </c>
      <c r="V23" s="427">
        <f t="shared" si="2"/>
        <v>1.9435721295387636</v>
      </c>
      <c r="W23" s="427">
        <f t="shared" si="3"/>
        <v>2.0715194903758238</v>
      </c>
      <c r="X23" s="423">
        <f t="shared" si="4"/>
        <v>1.9288416636491905</v>
      </c>
      <c r="Y23" s="427">
        <f t="shared" si="5"/>
        <v>2.1275980236709389</v>
      </c>
      <c r="Z23" s="426">
        <f>'15'!I46</f>
        <v>56872.360000000044</v>
      </c>
      <c r="AA23" s="425">
        <f t="shared" si="20"/>
        <v>820100.62000000081</v>
      </c>
      <c r="AB23" s="427">
        <f t="shared" si="6"/>
        <v>715.53760599884311</v>
      </c>
      <c r="AC23" s="427">
        <f t="shared" si="7"/>
        <v>816.80562610429604</v>
      </c>
      <c r="AD23" s="427">
        <f t="shared" si="8"/>
        <v>710.11449762139682</v>
      </c>
      <c r="AE23" s="427">
        <f t="shared" si="9"/>
        <v>838.91754043188814</v>
      </c>
      <c r="AF23" s="506">
        <v>0.54400000000000004</v>
      </c>
      <c r="AG23" s="525">
        <v>153.935</v>
      </c>
      <c r="AH23" s="423">
        <f>+Efficiency2!K67</f>
        <v>78.331391999999994</v>
      </c>
      <c r="AI23" s="424">
        <f t="shared" si="21"/>
        <v>1044.6921353823218</v>
      </c>
      <c r="AJ23" s="449">
        <f t="shared" si="22"/>
        <v>1.0224381050192495</v>
      </c>
      <c r="AK23" s="449">
        <f t="shared" si="23"/>
        <v>0.93574936279408527</v>
      </c>
    </row>
    <row r="24" spans="1:37" s="428" customFormat="1" ht="12.75" customHeight="1">
      <c r="A24" s="442">
        <f t="shared" si="10"/>
        <v>46128</v>
      </c>
      <c r="B24" s="446" t="s">
        <v>231</v>
      </c>
      <c r="C24" s="429" t="s">
        <v>637</v>
      </c>
      <c r="D24" s="422">
        <f>+'16'!F42</f>
        <v>1300</v>
      </c>
      <c r="E24" s="422">
        <f>+'16'!G42</f>
        <v>1295.45</v>
      </c>
      <c r="F24" s="50">
        <f t="shared" si="0"/>
        <v>3.4999999999999476E-3</v>
      </c>
      <c r="G24" s="448">
        <f t="shared" si="11"/>
        <v>1.012511446678503</v>
      </c>
      <c r="H24" s="443">
        <f t="shared" si="12"/>
        <v>1.0089676566151284</v>
      </c>
      <c r="I24" s="443">
        <f t="shared" si="13"/>
        <v>0.99139907546257866</v>
      </c>
      <c r="J24" s="449">
        <f t="shared" si="14"/>
        <v>1.0002896019398828</v>
      </c>
      <c r="K24" s="449">
        <f t="shared" si="15"/>
        <v>0.92721501980754695</v>
      </c>
      <c r="L24" s="423">
        <f>+Efficiency1!K71</f>
        <v>79.97184</v>
      </c>
      <c r="M24" s="424">
        <f t="shared" si="16"/>
        <v>1140.5822569823217</v>
      </c>
      <c r="N24" s="423">
        <f>+Efficiency1!C71</f>
        <v>79.691938560000011</v>
      </c>
      <c r="O24" s="424">
        <f t="shared" si="16"/>
        <v>1115.3502130984778</v>
      </c>
      <c r="P24" s="577">
        <f>'16'!I38</f>
        <v>80.688999999999993</v>
      </c>
      <c r="Q24" s="424">
        <f t="shared" si="17"/>
        <v>1084.723</v>
      </c>
      <c r="R24" s="14">
        <f>'16'!I40</f>
        <v>79.995000000000005</v>
      </c>
      <c r="S24" s="424">
        <f t="shared" si="18"/>
        <v>1057.5650000000001</v>
      </c>
      <c r="T24" s="569">
        <f t="shared" si="1"/>
        <v>154.684</v>
      </c>
      <c r="U24" s="425">
        <f t="shared" si="19"/>
        <v>2234.56</v>
      </c>
      <c r="V24" s="427">
        <f t="shared" si="2"/>
        <v>1.9170394973292519</v>
      </c>
      <c r="W24" s="427">
        <f t="shared" si="3"/>
        <v>2.0600282284048554</v>
      </c>
      <c r="X24" s="423">
        <f t="shared" si="4"/>
        <v>1.9336708544284016</v>
      </c>
      <c r="Y24" s="427">
        <f t="shared" si="5"/>
        <v>2.1129292289362827</v>
      </c>
      <c r="Z24" s="426">
        <f>'16'!I46</f>
        <v>59216.34000000159</v>
      </c>
      <c r="AA24" s="425">
        <f t="shared" si="20"/>
        <v>879316.96000000241</v>
      </c>
      <c r="AB24" s="427">
        <f t="shared" si="6"/>
        <v>733.88367683329318</v>
      </c>
      <c r="AC24" s="427">
        <f t="shared" si="7"/>
        <v>810.63733321779137</v>
      </c>
      <c r="AD24" s="427">
        <f t="shared" si="8"/>
        <v>740.25051565724846</v>
      </c>
      <c r="AE24" s="427">
        <f t="shared" si="9"/>
        <v>831.45429358952163</v>
      </c>
      <c r="AF24" s="506">
        <v>0.14899999999999999</v>
      </c>
      <c r="AG24" s="525">
        <v>154.535</v>
      </c>
      <c r="AH24" s="423">
        <f>+Efficiency2!K71</f>
        <v>79.97184</v>
      </c>
      <c r="AI24" s="424">
        <f t="shared" si="21"/>
        <v>1124.6639753823217</v>
      </c>
      <c r="AJ24" s="449">
        <f t="shared" si="22"/>
        <v>1.0002896019398828</v>
      </c>
      <c r="AK24" s="449">
        <f t="shared" si="23"/>
        <v>0.94033864616361362</v>
      </c>
    </row>
    <row r="25" spans="1:37" s="428" customFormat="1" ht="12.75" customHeight="1">
      <c r="A25" s="442">
        <f t="shared" si="10"/>
        <v>46129</v>
      </c>
      <c r="B25" s="446" t="s">
        <v>231</v>
      </c>
      <c r="C25" s="467" t="s">
        <v>653</v>
      </c>
      <c r="D25" s="422">
        <f>+'17'!F42</f>
        <v>1276.25</v>
      </c>
      <c r="E25" s="422">
        <f>+'17'!G42</f>
        <v>1271.7831250000002</v>
      </c>
      <c r="F25" s="50">
        <f t="shared" si="0"/>
        <v>3.4999999999998366E-3</v>
      </c>
      <c r="G25" s="448">
        <f t="shared" si="11"/>
        <v>0.9816719506125281</v>
      </c>
      <c r="H25" s="443">
        <f t="shared" si="12"/>
        <v>0.9768831596197336</v>
      </c>
      <c r="I25" s="443">
        <f t="shared" si="13"/>
        <v>1.0167912508745443</v>
      </c>
      <c r="J25" s="449">
        <f t="shared" si="14"/>
        <v>0.99328624982802594</v>
      </c>
      <c r="K25" s="449">
        <f t="shared" si="15"/>
        <v>0.9317169429582024</v>
      </c>
      <c r="L25" s="423">
        <f>+SUM(Efficiency1!K75:K76)</f>
        <v>83.398919510204081</v>
      </c>
      <c r="M25" s="424">
        <f t="shared" si="16"/>
        <v>1223.9811764925257</v>
      </c>
      <c r="N25" s="423">
        <f>+SUM(Efficiency1!C75:C76)</f>
        <v>82.992082995918366</v>
      </c>
      <c r="O25" s="424">
        <f t="shared" si="16"/>
        <v>1198.342296094396</v>
      </c>
      <c r="P25" s="577">
        <f>'17'!I38</f>
        <v>81.471000000000004</v>
      </c>
      <c r="Q25" s="424">
        <f t="shared" si="17"/>
        <v>1166.194</v>
      </c>
      <c r="R25" s="14">
        <f>'17'!I40</f>
        <v>82.838999999999999</v>
      </c>
      <c r="S25" s="424">
        <f t="shared" si="18"/>
        <v>1140.404</v>
      </c>
      <c r="T25" s="569">
        <f t="shared" si="1"/>
        <v>155.52799999999999</v>
      </c>
      <c r="U25" s="425">
        <f>T25+U24</f>
        <v>2390.0879999999997</v>
      </c>
      <c r="V25" s="427">
        <f>T25/(P25)</f>
        <v>1.9089982938714387</v>
      </c>
      <c r="W25" s="427">
        <f t="shared" si="3"/>
        <v>2.0494771881865281</v>
      </c>
      <c r="X25" s="423">
        <f>IF(AND(R25&gt;0,T25&gt;0),T25/(R25),0)</f>
        <v>1.877473170849479</v>
      </c>
      <c r="Y25" s="427">
        <f t="shared" si="5"/>
        <v>2.0958256898432484</v>
      </c>
      <c r="Z25" s="426">
        <f>'17'!I46</f>
        <v>56579.839999998316</v>
      </c>
      <c r="AA25" s="425">
        <f t="shared" si="20"/>
        <v>935896.80000000075</v>
      </c>
      <c r="AB25" s="427">
        <f t="shared" si="6"/>
        <v>694.47828061516759</v>
      </c>
      <c r="AC25" s="427">
        <f t="shared" si="7"/>
        <v>802.52239335822401</v>
      </c>
      <c r="AD25" s="427">
        <f t="shared" si="8"/>
        <v>683.00969350183277</v>
      </c>
      <c r="AE25" s="427">
        <f t="shared" si="9"/>
        <v>820.67127088295092</v>
      </c>
      <c r="AF25" s="506">
        <v>0.14399999999999999</v>
      </c>
      <c r="AG25" s="525">
        <v>155.38399999999999</v>
      </c>
      <c r="AH25" s="423">
        <f>+SUM(Efficiency2!K75:K76)</f>
        <v>83.398919510204081</v>
      </c>
      <c r="AI25" s="424">
        <f t="shared" si="21"/>
        <v>1208.0628948925257</v>
      </c>
      <c r="AJ25" s="449">
        <f t="shared" si="22"/>
        <v>0.99328624982802594</v>
      </c>
      <c r="AK25" s="449">
        <f t="shared" si="23"/>
        <v>0.9439938970242564</v>
      </c>
    </row>
    <row r="26" spans="1:37" s="428" customFormat="1" ht="12.75" customHeight="1">
      <c r="A26" s="442">
        <f t="shared" si="10"/>
        <v>46130</v>
      </c>
      <c r="B26" s="446" t="s">
        <v>231</v>
      </c>
      <c r="C26" s="467" t="s">
        <v>667</v>
      </c>
      <c r="D26" s="422">
        <f>+'18'!F42</f>
        <v>1300</v>
      </c>
      <c r="E26" s="422">
        <f>+'18'!G42</f>
        <v>1295.45</v>
      </c>
      <c r="F26" s="50">
        <f t="shared" si="0"/>
        <v>3.4999999999999476E-3</v>
      </c>
      <c r="G26" s="448">
        <f t="shared" si="11"/>
        <v>0.99694381263456533</v>
      </c>
      <c r="H26" s="443">
        <f t="shared" si="12"/>
        <v>0.99345450929034451</v>
      </c>
      <c r="I26" s="443">
        <f t="shared" si="13"/>
        <v>0.95022601957180475</v>
      </c>
      <c r="J26" s="449">
        <f t="shared" si="14"/>
        <v>0.9440063239886245</v>
      </c>
      <c r="K26" s="449">
        <f t="shared" si="15"/>
        <v>0.93248022486220539</v>
      </c>
      <c r="L26" s="423">
        <f>+SUM(Efficiency1!K79:K80)</f>
        <v>81.054541750000013</v>
      </c>
      <c r="M26" s="424">
        <f t="shared" si="16"/>
        <v>1305.0357182425257</v>
      </c>
      <c r="N26" s="423">
        <f>+SUM(Efficiency1!C79:C80)</f>
        <v>80.770850853875018</v>
      </c>
      <c r="O26" s="424">
        <f t="shared" si="16"/>
        <v>1279.1131469482712</v>
      </c>
      <c r="P26" s="577">
        <f>'18'!I38</f>
        <v>80.524000000000001</v>
      </c>
      <c r="Q26" s="424">
        <f t="shared" si="17"/>
        <v>1246.7179999999998</v>
      </c>
      <c r="R26" s="14">
        <f>'18'!I40</f>
        <v>76.516000000000005</v>
      </c>
      <c r="S26" s="424">
        <f t="shared" si="18"/>
        <v>1216.92</v>
      </c>
      <c r="T26" s="569">
        <f t="shared" si="1"/>
        <v>151.24699999999999</v>
      </c>
      <c r="U26" s="425">
        <f t="shared" si="19"/>
        <v>2541.3349999999996</v>
      </c>
      <c r="V26" s="427">
        <f t="shared" si="2"/>
        <v>1.8782847349858425</v>
      </c>
      <c r="W26" s="427">
        <f t="shared" si="3"/>
        <v>2.0384200757508912</v>
      </c>
      <c r="X26" s="423">
        <f t="shared" si="4"/>
        <v>1.9766715458204818</v>
      </c>
      <c r="Y26" s="427">
        <f t="shared" si="5"/>
        <v>2.088333662032015</v>
      </c>
      <c r="Z26" s="426">
        <f>'18'!I46</f>
        <v>53373.779999999271</v>
      </c>
      <c r="AA26" s="425">
        <f t="shared" si="20"/>
        <v>989270.58000000007</v>
      </c>
      <c r="AB26" s="427">
        <f t="shared" si="6"/>
        <v>662.83070885697771</v>
      </c>
      <c r="AC26" s="427">
        <f t="shared" si="7"/>
        <v>793.49987727778068</v>
      </c>
      <c r="AD26" s="427">
        <f t="shared" si="8"/>
        <v>697.55057765695119</v>
      </c>
      <c r="AE26" s="427">
        <f t="shared" si="9"/>
        <v>812.92983926634463</v>
      </c>
      <c r="AF26" s="506">
        <v>0.14199999999999999</v>
      </c>
      <c r="AG26" s="525">
        <v>151.10499999999999</v>
      </c>
      <c r="AH26" s="423">
        <f>+SUM(Efficiency2!K79:K80)</f>
        <v>81.054541750000013</v>
      </c>
      <c r="AI26" s="424">
        <f t="shared" si="21"/>
        <v>1289.1174366425257</v>
      </c>
      <c r="AJ26" s="449">
        <f t="shared" si="22"/>
        <v>0.9440063239886245</v>
      </c>
      <c r="AK26" s="449">
        <f t="shared" si="23"/>
        <v>0.94399467838200835</v>
      </c>
    </row>
    <row r="27" spans="1:37" s="428" customFormat="1" ht="12.75" customHeight="1">
      <c r="A27" s="442">
        <f t="shared" si="10"/>
        <v>46131</v>
      </c>
      <c r="B27" s="446" t="s">
        <v>231</v>
      </c>
      <c r="C27" s="467" t="s">
        <v>668</v>
      </c>
      <c r="D27" s="422">
        <f>+'19'!F42</f>
        <v>1182.3611111111111</v>
      </c>
      <c r="E27" s="422">
        <f>+'19'!G42</f>
        <v>1178.2228472222221</v>
      </c>
      <c r="F27" s="50">
        <f t="shared" si="0"/>
        <v>3.5000000000000586E-3</v>
      </c>
      <c r="G27" s="448">
        <f t="shared" si="11"/>
        <v>0.98092484375258093</v>
      </c>
      <c r="H27" s="443">
        <f t="shared" si="12"/>
        <v>0.97749160679944669</v>
      </c>
      <c r="I27" s="443">
        <f t="shared" si="13"/>
        <v>1.0276103359608817</v>
      </c>
      <c r="J27" s="449">
        <f t="shared" si="14"/>
        <v>1.0044804784621215</v>
      </c>
      <c r="K27" s="449">
        <f t="shared" si="15"/>
        <v>0.93628485075703105</v>
      </c>
      <c r="L27" s="423">
        <f>+SUM(Efficiency1!K83:K84)</f>
        <v>72.807786281690142</v>
      </c>
      <c r="M27" s="424">
        <f t="shared" si="16"/>
        <v>1377.8435045242159</v>
      </c>
      <c r="N27" s="423">
        <f>+SUM(Efficiency1!C83:C84)</f>
        <v>72.552959029704212</v>
      </c>
      <c r="O27" s="424">
        <f t="shared" si="16"/>
        <v>1351.6661059779753</v>
      </c>
      <c r="P27" s="577">
        <f>'19'!I38</f>
        <v>71.169000000000011</v>
      </c>
      <c r="Q27" s="424">
        <f t="shared" si="17"/>
        <v>1317.8869999999999</v>
      </c>
      <c r="R27" s="14">
        <f>'19'!I40</f>
        <v>73.134</v>
      </c>
      <c r="S27" s="424">
        <f t="shared" si="18"/>
        <v>1290.0540000000001</v>
      </c>
      <c r="T27" s="569">
        <f t="shared" si="1"/>
        <v>145.72399999999999</v>
      </c>
      <c r="U27" s="425">
        <f t="shared" si="19"/>
        <v>2687.0589999999997</v>
      </c>
      <c r="V27" s="427">
        <f t="shared" si="2"/>
        <v>2.047576894434374</v>
      </c>
      <c r="W27" s="427">
        <f t="shared" si="3"/>
        <v>2.0389145655128247</v>
      </c>
      <c r="X27" s="423">
        <f t="shared" si="4"/>
        <v>1.9925615992561598</v>
      </c>
      <c r="Y27" s="427">
        <f t="shared" si="5"/>
        <v>2.0829042815261993</v>
      </c>
      <c r="Z27" s="426">
        <f>'19'!I46</f>
        <v>60142.460000000792</v>
      </c>
      <c r="AA27" s="425">
        <f t="shared" si="20"/>
        <v>1049413.040000001</v>
      </c>
      <c r="AB27" s="427">
        <f t="shared" si="6"/>
        <v>845.06540769156197</v>
      </c>
      <c r="AC27" s="427">
        <f t="shared" si="7"/>
        <v>796.28453729341049</v>
      </c>
      <c r="AD27" s="427">
        <f t="shared" si="8"/>
        <v>822.35977794187102</v>
      </c>
      <c r="AE27" s="427">
        <f t="shared" si="9"/>
        <v>813.46442862081813</v>
      </c>
      <c r="AF27" s="506">
        <v>0.5</v>
      </c>
      <c r="AG27" s="525">
        <v>145.22399999999999</v>
      </c>
      <c r="AH27" s="423">
        <f>+SUM(Efficiency2!K83:K84)</f>
        <v>72.807786281690142</v>
      </c>
      <c r="AI27" s="424">
        <f t="shared" si="21"/>
        <v>1361.9252229242159</v>
      </c>
      <c r="AJ27" s="449">
        <f t="shared" si="22"/>
        <v>1.0044804784621215</v>
      </c>
      <c r="AK27" s="449">
        <f t="shared" si="23"/>
        <v>0.94722821656103873</v>
      </c>
    </row>
    <row r="28" spans="1:37" s="428" customFormat="1" ht="12.75" customHeight="1">
      <c r="A28" s="442">
        <f t="shared" si="10"/>
        <v>46132</v>
      </c>
      <c r="B28" s="446" t="s">
        <v>231</v>
      </c>
      <c r="C28" s="446" t="s">
        <v>690</v>
      </c>
      <c r="D28" s="422">
        <f>+'20'!F42</f>
        <v>1131.9444444444443</v>
      </c>
      <c r="E28" s="422">
        <f>+'20'!G42</f>
        <v>1127.9826388888889</v>
      </c>
      <c r="F28" s="50">
        <f t="shared" si="0"/>
        <v>3.4999999999998366E-3</v>
      </c>
      <c r="G28" s="448">
        <f t="shared" si="11"/>
        <v>1.0689045725022022</v>
      </c>
      <c r="H28" s="443">
        <f t="shared" si="12"/>
        <v>1.0397197704510688</v>
      </c>
      <c r="I28" s="443">
        <f t="shared" si="13"/>
        <v>1.0343196136592061</v>
      </c>
      <c r="J28" s="449">
        <f t="shared" si="14"/>
        <v>1.0754025512867882</v>
      </c>
      <c r="K28" s="449">
        <f t="shared" si="15"/>
        <v>0.94378080773120521</v>
      </c>
      <c r="L28" s="423">
        <f>+SUM(Efficiency1!K87:K90)</f>
        <v>78.469220571428565</v>
      </c>
      <c r="M28" s="424">
        <f t="shared" si="16"/>
        <v>1456.3127250956445</v>
      </c>
      <c r="N28" s="423">
        <f>+SUM(Efficiency1!C87:C90)</f>
        <v>76.326738699428574</v>
      </c>
      <c r="O28" s="424">
        <f t="shared" si="16"/>
        <v>1427.9928446774038</v>
      </c>
      <c r="P28" s="577">
        <f>'20'!I38</f>
        <v>81.585999999999999</v>
      </c>
      <c r="Q28" s="424">
        <f t="shared" si="17"/>
        <v>1399.473</v>
      </c>
      <c r="R28" s="14">
        <f>'20'!I40</f>
        <v>84.385999999999996</v>
      </c>
      <c r="S28" s="424">
        <f t="shared" si="18"/>
        <v>1374.44</v>
      </c>
      <c r="T28" s="569">
        <f t="shared" si="1"/>
        <v>149.94</v>
      </c>
      <c r="U28" s="425">
        <f t="shared" si="19"/>
        <v>2836.9989999999998</v>
      </c>
      <c r="V28" s="427">
        <f t="shared" si="2"/>
        <v>1.837815311450494</v>
      </c>
      <c r="W28" s="427">
        <f t="shared" si="3"/>
        <v>2.0271909497360792</v>
      </c>
      <c r="X28" s="423">
        <f t="shared" si="4"/>
        <v>1.7768350200270189</v>
      </c>
      <c r="Y28" s="427">
        <f t="shared" si="5"/>
        <v>2.0641126567911292</v>
      </c>
      <c r="Z28" s="426">
        <f>'20'!I46</f>
        <v>50584.180000000109</v>
      </c>
      <c r="AA28" s="425">
        <f t="shared" si="20"/>
        <v>1099997.2200000011</v>
      </c>
      <c r="AB28" s="427">
        <f t="shared" si="6"/>
        <v>620.01054102419664</v>
      </c>
      <c r="AC28" s="427">
        <f t="shared" si="7"/>
        <v>786.00817593479906</v>
      </c>
      <c r="AD28" s="427">
        <f t="shared" si="8"/>
        <v>599.43805844571511</v>
      </c>
      <c r="AE28" s="427">
        <f t="shared" si="9"/>
        <v>800.32392829079561</v>
      </c>
      <c r="AF28" s="506">
        <v>0.215</v>
      </c>
      <c r="AG28" s="525">
        <v>149.72499999999999</v>
      </c>
      <c r="AH28" s="423">
        <f>+SUM(Efficiency2!K87:K90)</f>
        <v>78.469220571428565</v>
      </c>
      <c r="AI28" s="424">
        <f t="shared" si="21"/>
        <v>1440.3944434956445</v>
      </c>
      <c r="AJ28" s="449">
        <f t="shared" si="22"/>
        <v>1.0754025512867882</v>
      </c>
      <c r="AK28" s="449">
        <f t="shared" si="23"/>
        <v>0.95421084565170788</v>
      </c>
    </row>
    <row r="29" spans="1:37" s="428" customFormat="1" ht="12.75" customHeight="1">
      <c r="A29" s="442">
        <f t="shared" si="10"/>
        <v>46133</v>
      </c>
      <c r="B29" s="446" t="s">
        <v>707</v>
      </c>
      <c r="C29" s="429" t="s">
        <v>706</v>
      </c>
      <c r="D29" s="422">
        <f>+'21'!F42</f>
        <v>1322.7083333333333</v>
      </c>
      <c r="E29" s="422">
        <f>+'21'!G42</f>
        <v>1156.4576041666667</v>
      </c>
      <c r="F29" s="50">
        <f t="shared" si="0"/>
        <v>0.1256896361631753</v>
      </c>
      <c r="G29" s="448">
        <f t="shared" si="11"/>
        <v>1.0152535754491709</v>
      </c>
      <c r="H29" s="443">
        <f t="shared" si="12"/>
        <v>0.98024663398072709</v>
      </c>
      <c r="I29" s="443">
        <f t="shared" si="13"/>
        <v>0.88466819883497405</v>
      </c>
      <c r="J29" s="449">
        <f t="shared" si="14"/>
        <v>0.86719302409777588</v>
      </c>
      <c r="K29" s="449">
        <f t="shared" si="15"/>
        <v>0.94024070535764159</v>
      </c>
      <c r="L29" s="423">
        <f>+SUM(Efficiency1!K93:K94)</f>
        <v>70.577135999999996</v>
      </c>
      <c r="M29" s="424">
        <f t="shared" si="16"/>
        <v>1526.8898610956444</v>
      </c>
      <c r="N29" s="423">
        <f>+SUM(Efficiency1!C93:C94)</f>
        <v>68.143566960000001</v>
      </c>
      <c r="O29" s="424">
        <f t="shared" si="16"/>
        <v>1496.1364116374039</v>
      </c>
      <c r="P29" s="577">
        <f>'21'!I38</f>
        <v>69.182999999999993</v>
      </c>
      <c r="Q29" s="424">
        <f t="shared" si="17"/>
        <v>1468.6559999999999</v>
      </c>
      <c r="R29" s="14">
        <f>'21'!I40</f>
        <v>61.204000000000001</v>
      </c>
      <c r="S29" s="424">
        <f t="shared" si="18"/>
        <v>1435.644</v>
      </c>
      <c r="T29" s="569">
        <f t="shared" si="1"/>
        <v>142.21899999999999</v>
      </c>
      <c r="U29" s="425">
        <f t="shared" si="19"/>
        <v>2979.2179999999998</v>
      </c>
      <c r="V29" s="427">
        <f t="shared" si="2"/>
        <v>2.055692872526488</v>
      </c>
      <c r="W29" s="427">
        <f t="shared" si="3"/>
        <v>2.0285335708293841</v>
      </c>
      <c r="X29" s="423">
        <f t="shared" si="4"/>
        <v>2.3236879942487416</v>
      </c>
      <c r="Y29" s="427">
        <f t="shared" si="5"/>
        <v>2.0751788047733282</v>
      </c>
      <c r="Z29" s="426">
        <f>'21'!I46</f>
        <v>55331.339999999866</v>
      </c>
      <c r="AA29" s="425">
        <f t="shared" si="20"/>
        <v>1155328.560000001</v>
      </c>
      <c r="AB29" s="427">
        <f t="shared" si="6"/>
        <v>799.78231646502559</v>
      </c>
      <c r="AC29" s="427">
        <f t="shared" si="7"/>
        <v>786.65702519854949</v>
      </c>
      <c r="AD29" s="427">
        <f t="shared" si="8"/>
        <v>904.0477746552491</v>
      </c>
      <c r="AE29" s="427">
        <f t="shared" si="9"/>
        <v>804.74585621505128</v>
      </c>
      <c r="AF29" s="506">
        <v>0.14000000000000001</v>
      </c>
      <c r="AG29" s="525">
        <v>142.07900000000001</v>
      </c>
      <c r="AH29" s="423">
        <f>+SUM(Efficiency2!K93:K94)</f>
        <v>70.577135999999996</v>
      </c>
      <c r="AI29" s="424">
        <f t="shared" si="21"/>
        <v>1510.9715794956446</v>
      </c>
      <c r="AJ29" s="449">
        <f t="shared" si="22"/>
        <v>0.86719302409777588</v>
      </c>
      <c r="AK29" s="449">
        <f t="shared" si="23"/>
        <v>0.95014626316082751</v>
      </c>
    </row>
    <row r="30" spans="1:37" s="428" customFormat="1" ht="12.75" customHeight="1">
      <c r="A30" s="442">
        <f t="shared" si="10"/>
        <v>46134</v>
      </c>
      <c r="B30" s="446" t="s">
        <v>593</v>
      </c>
      <c r="C30" s="446" t="s">
        <v>725</v>
      </c>
      <c r="D30" s="422">
        <f>+'22'!F42</f>
        <v>1691.3888888888889</v>
      </c>
      <c r="E30" s="422">
        <f>+'22'!G42</f>
        <v>1361.707986111111</v>
      </c>
      <c r="F30" s="50">
        <f t="shared" si="0"/>
        <v>0.19491726884545912</v>
      </c>
      <c r="G30" s="448">
        <f t="shared" si="11"/>
        <v>0.92980396227222806</v>
      </c>
      <c r="H30" s="443">
        <f t="shared" si="12"/>
        <v>0.92965876101282918</v>
      </c>
      <c r="I30" s="443">
        <f t="shared" si="13"/>
        <v>0.9289330551089523</v>
      </c>
      <c r="J30" s="449">
        <f t="shared" si="14"/>
        <v>0.86359075307645083</v>
      </c>
      <c r="K30" s="449">
        <f t="shared" si="15"/>
        <v>0.93720852671895671</v>
      </c>
      <c r="L30" s="423">
        <f>+SUM(Efficiency1!K97:K98)</f>
        <v>62.889742400000003</v>
      </c>
      <c r="M30" s="424">
        <f t="shared" si="16"/>
        <v>1589.7796034956443</v>
      </c>
      <c r="N30" s="423">
        <f>+SUM(Efficiency1!C97:C98)</f>
        <v>62.879921330000009</v>
      </c>
      <c r="O30" s="424">
        <f t="shared" si="16"/>
        <v>1559.016332967404</v>
      </c>
      <c r="P30" s="577">
        <f>'22'!I38</f>
        <v>58.465999999999994</v>
      </c>
      <c r="Q30" s="424">
        <f t="shared" si="17"/>
        <v>1527.1219999999998</v>
      </c>
      <c r="R30" s="14">
        <f>'22'!I40</f>
        <v>54.311</v>
      </c>
      <c r="S30" s="424">
        <f t="shared" si="18"/>
        <v>1489.9549999999999</v>
      </c>
      <c r="T30" s="569">
        <f t="shared" si="1"/>
        <v>132.523</v>
      </c>
      <c r="U30" s="425">
        <f t="shared" si="19"/>
        <v>3111.741</v>
      </c>
      <c r="V30" s="427">
        <f t="shared" si="2"/>
        <v>2.2666678069305237</v>
      </c>
      <c r="W30" s="427">
        <f t="shared" si="3"/>
        <v>2.0376505609898885</v>
      </c>
      <c r="X30" s="423">
        <f t="shared" si="4"/>
        <v>2.4400765959013828</v>
      </c>
      <c r="Y30" s="427">
        <f t="shared" si="5"/>
        <v>2.0884798534183919</v>
      </c>
      <c r="Z30" s="426">
        <f>'22'!I46</f>
        <v>52838.200000000223</v>
      </c>
      <c r="AA30" s="425">
        <f t="shared" si="20"/>
        <v>1208166.7600000012</v>
      </c>
      <c r="AB30" s="427">
        <f t="shared" si="6"/>
        <v>903.74234597886334</v>
      </c>
      <c r="AC30" s="427">
        <f t="shared" si="7"/>
        <v>791.13964699611518</v>
      </c>
      <c r="AD30" s="427">
        <f t="shared" si="8"/>
        <v>972.88210491429402</v>
      </c>
      <c r="AE30" s="427">
        <f t="shared" si="9"/>
        <v>810.87466399992024</v>
      </c>
      <c r="AF30" s="506">
        <v>0.14199999999999999</v>
      </c>
      <c r="AG30" s="525">
        <v>132.381</v>
      </c>
      <c r="AH30" s="423">
        <f>+SUM(Efficiency2!K97:K98)</f>
        <v>62.889742400000003</v>
      </c>
      <c r="AI30" s="424">
        <f t="shared" si="21"/>
        <v>1573.8613218956446</v>
      </c>
      <c r="AJ30" s="449">
        <f t="shared" si="22"/>
        <v>0.86359075307645083</v>
      </c>
      <c r="AK30" s="449">
        <f t="shared" si="23"/>
        <v>0.94668760155146114</v>
      </c>
    </row>
    <row r="31" spans="1:37" s="428" customFormat="1" ht="12.75" customHeight="1">
      <c r="A31" s="442">
        <f t="shared" si="10"/>
        <v>46135</v>
      </c>
      <c r="B31" s="446" t="s">
        <v>593</v>
      </c>
      <c r="C31" s="446" t="s">
        <v>725</v>
      </c>
      <c r="D31" s="422">
        <f>+'23'!F42</f>
        <v>1127.25</v>
      </c>
      <c r="E31" s="422">
        <f>+'23'!G42</f>
        <v>1042.7057321428572</v>
      </c>
      <c r="F31" s="50">
        <f t="shared" si="0"/>
        <v>7.5000459398662955E-2</v>
      </c>
      <c r="G31" s="448">
        <f t="shared" si="11"/>
        <v>0.94830674432735806</v>
      </c>
      <c r="H31" s="443">
        <f t="shared" si="12"/>
        <v>0.9027427621468469</v>
      </c>
      <c r="I31" s="443">
        <f t="shared" si="13"/>
        <v>0.92608765971211371</v>
      </c>
      <c r="J31" s="449">
        <f t="shared" si="14"/>
        <v>0.83601893191862275</v>
      </c>
      <c r="K31" s="449">
        <f t="shared" si="15"/>
        <v>0.93263007925164543</v>
      </c>
      <c r="L31" s="423">
        <f>+SUM(Efficiency1!K103:K104)</f>
        <v>75.340399116859942</v>
      </c>
      <c r="M31" s="424">
        <f t="shared" si="16"/>
        <v>1665.1200026125043</v>
      </c>
      <c r="N31" s="423">
        <f>+SUM(Efficiency1!C103:C104)</f>
        <v>71.720464297912585</v>
      </c>
      <c r="O31" s="424">
        <f t="shared" si="16"/>
        <v>1630.7367972653165</v>
      </c>
      <c r="P31" s="577">
        <f>'23'!I38</f>
        <v>68.013000000000005</v>
      </c>
      <c r="Q31" s="424">
        <f t="shared" si="17"/>
        <v>1595.1349999999998</v>
      </c>
      <c r="R31" s="14">
        <f>'23'!I40</f>
        <v>62.985999999999997</v>
      </c>
      <c r="S31" s="424">
        <f t="shared" si="18"/>
        <v>1552.941</v>
      </c>
      <c r="T31" s="569">
        <f t="shared" si="1"/>
        <v>136.57900000000001</v>
      </c>
      <c r="U31" s="425">
        <f t="shared" si="19"/>
        <v>3248.32</v>
      </c>
      <c r="V31" s="427">
        <f t="shared" si="2"/>
        <v>2.0081307985238115</v>
      </c>
      <c r="W31" s="427">
        <f t="shared" si="3"/>
        <v>2.0363919041335063</v>
      </c>
      <c r="X31" s="423">
        <f t="shared" si="4"/>
        <v>2.1684025021433335</v>
      </c>
      <c r="Y31" s="427">
        <f t="shared" si="5"/>
        <v>2.0917214498168315</v>
      </c>
      <c r="Z31" s="426">
        <f>'23'!I46</f>
        <v>53960.440000000322</v>
      </c>
      <c r="AA31" s="425">
        <f t="shared" si="20"/>
        <v>1262127.2000000016</v>
      </c>
      <c r="AB31" s="427">
        <f t="shared" si="6"/>
        <v>793.38420596062986</v>
      </c>
      <c r="AC31" s="427">
        <f t="shared" si="7"/>
        <v>791.23534998605248</v>
      </c>
      <c r="AD31" s="427">
        <f t="shared" si="8"/>
        <v>856.70529959039027</v>
      </c>
      <c r="AE31" s="427">
        <f t="shared" si="9"/>
        <v>812.73351659850664</v>
      </c>
      <c r="AF31" s="506">
        <v>0.16300000000000001</v>
      </c>
      <c r="AG31" s="525">
        <v>136.416</v>
      </c>
      <c r="AH31" s="423">
        <f>+SUM(Efficiency2!K103:K104)</f>
        <v>75.340399116859942</v>
      </c>
      <c r="AI31" s="424">
        <f t="shared" si="21"/>
        <v>1649.2017210125045</v>
      </c>
      <c r="AJ31" s="449">
        <f t="shared" si="22"/>
        <v>0.83601893191862275</v>
      </c>
      <c r="AK31" s="449">
        <f t="shared" si="23"/>
        <v>0.94163193029327752</v>
      </c>
    </row>
    <row r="32" spans="1:37" s="428" customFormat="1" ht="12.75" customHeight="1">
      <c r="A32" s="442">
        <f t="shared" si="10"/>
        <v>46136</v>
      </c>
      <c r="B32" s="446" t="s">
        <v>707</v>
      </c>
      <c r="C32" s="429" t="s">
        <v>746</v>
      </c>
      <c r="D32" s="422">
        <f>+'24'!F42</f>
        <v>1107.7063515655964</v>
      </c>
      <c r="E32" s="422">
        <f>+'24'!G42</f>
        <v>1055.1137543351169</v>
      </c>
      <c r="F32" s="50">
        <f t="shared" si="0"/>
        <v>4.7478826095153082E-2</v>
      </c>
      <c r="G32" s="448">
        <f t="shared" si="11"/>
        <v>0.93387154468006062</v>
      </c>
      <c r="H32" s="443">
        <f t="shared" si="12"/>
        <v>0.93097601632271021</v>
      </c>
      <c r="I32" s="443">
        <f t="shared" si="13"/>
        <v>1.0412951981389595</v>
      </c>
      <c r="J32" s="449">
        <f t="shared" si="14"/>
        <v>0.96942085537937561</v>
      </c>
      <c r="K32" s="449">
        <f t="shared" si="15"/>
        <v>0.93431424611065472</v>
      </c>
      <c r="L32" s="423">
        <f>+SUM(Efficiency1!K109:K112)</f>
        <v>79.880682956521724</v>
      </c>
      <c r="M32" s="424">
        <f t="shared" si="16"/>
        <v>1745.000685569026</v>
      </c>
      <c r="N32" s="423">
        <f>+SUM(Efficiency1!C109:C112)</f>
        <v>79.633007798173935</v>
      </c>
      <c r="O32" s="424">
        <f t="shared" si="16"/>
        <v>1710.3698050634903</v>
      </c>
      <c r="P32" s="577">
        <f>'24'!I38</f>
        <v>74.367000000000004</v>
      </c>
      <c r="Q32" s="424">
        <f t="shared" si="17"/>
        <v>1669.5019999999997</v>
      </c>
      <c r="R32" s="14">
        <f>'24'!I40</f>
        <v>77.438000000000002</v>
      </c>
      <c r="S32" s="424">
        <f t="shared" si="18"/>
        <v>1630.3790000000001</v>
      </c>
      <c r="T32" s="569">
        <f t="shared" si="1"/>
        <v>142.70099999999999</v>
      </c>
      <c r="U32" s="425">
        <f t="shared" si="19"/>
        <v>3391.0210000000002</v>
      </c>
      <c r="V32" s="427">
        <f t="shared" si="2"/>
        <v>1.9188753075961109</v>
      </c>
      <c r="W32" s="427">
        <f t="shared" si="3"/>
        <v>2.0311571953792211</v>
      </c>
      <c r="X32" s="423">
        <f t="shared" si="4"/>
        <v>1.8427774477646632</v>
      </c>
      <c r="Y32" s="427">
        <f t="shared" si="5"/>
        <v>2.079897373555474</v>
      </c>
      <c r="Z32" s="426">
        <f>+'24'!I46</f>
        <v>48027.620000000308</v>
      </c>
      <c r="AA32" s="425">
        <f t="shared" si="20"/>
        <v>1310154.8200000019</v>
      </c>
      <c r="AB32" s="427">
        <f t="shared" si="6"/>
        <v>645.81897884814919</v>
      </c>
      <c r="AC32" s="427">
        <f t="shared" si="7"/>
        <v>784.75786192529392</v>
      </c>
      <c r="AD32" s="427">
        <f t="shared" si="8"/>
        <v>620.20739171983143</v>
      </c>
      <c r="AE32" s="427">
        <f t="shared" si="9"/>
        <v>803.58911639563667</v>
      </c>
      <c r="AF32" s="506">
        <v>0.17799999999999999</v>
      </c>
      <c r="AG32" s="525">
        <v>142.523</v>
      </c>
      <c r="AH32" s="423">
        <f>+SUM(Efficiency2!K109:K112)</f>
        <v>79.880682956521724</v>
      </c>
      <c r="AI32" s="424">
        <f t="shared" si="21"/>
        <v>1729.0824039690262</v>
      </c>
      <c r="AJ32" s="449">
        <f t="shared" si="22"/>
        <v>0.96942085537937561</v>
      </c>
      <c r="AK32" s="449">
        <f t="shared" si="23"/>
        <v>0.94291573163751063</v>
      </c>
    </row>
    <row r="33" spans="1:37" s="428" customFormat="1" ht="12.75" customHeight="1">
      <c r="A33" s="442">
        <f t="shared" si="10"/>
        <v>46137</v>
      </c>
      <c r="B33" s="446" t="s">
        <v>593</v>
      </c>
      <c r="C33" s="429" t="s">
        <v>770</v>
      </c>
      <c r="D33" s="422">
        <f>+'25'!F42</f>
        <v>1660.5833333333333</v>
      </c>
      <c r="E33" s="422">
        <f>+'25'!G42</f>
        <v>1280.1208055555555</v>
      </c>
      <c r="F33" s="50">
        <f t="shared" si="0"/>
        <v>0.2291137819708603</v>
      </c>
      <c r="G33" s="448">
        <f t="shared" si="11"/>
        <v>1.0003068694476926</v>
      </c>
      <c r="H33" s="443">
        <f t="shared" si="12"/>
        <v>1.000099226786038</v>
      </c>
      <c r="I33" s="443">
        <f t="shared" si="13"/>
        <v>0.93630049917837099</v>
      </c>
      <c r="J33" s="449">
        <f t="shared" si="14"/>
        <v>0.93639340526767023</v>
      </c>
      <c r="K33" s="449">
        <f t="shared" si="15"/>
        <v>0.93438835769541484</v>
      </c>
      <c r="L33" s="423">
        <f>+SUM(Efficiency1!K114:K116)</f>
        <v>64.499599911999994</v>
      </c>
      <c r="M33" s="424">
        <f t="shared" si="16"/>
        <v>1809.5002854810259</v>
      </c>
      <c r="N33" s="423">
        <f>+SUM(Efficiency1!C114:C116)</f>
        <v>64.486211151999996</v>
      </c>
      <c r="O33" s="424">
        <f t="shared" si="16"/>
        <v>1774.8560162154902</v>
      </c>
      <c r="P33" s="577">
        <f>'25'!I38</f>
        <v>64.506</v>
      </c>
      <c r="Q33" s="424">
        <f t="shared" si="17"/>
        <v>1734.0079999999998</v>
      </c>
      <c r="R33" s="14">
        <f>'25'!I40</f>
        <v>60.396999999999998</v>
      </c>
      <c r="S33" s="424">
        <f t="shared" si="18"/>
        <v>1690.7760000000001</v>
      </c>
      <c r="T33" s="569">
        <f t="shared" si="1"/>
        <v>135.602</v>
      </c>
      <c r="U33" s="425">
        <f t="shared" si="19"/>
        <v>3526.623</v>
      </c>
      <c r="V33" s="427">
        <f t="shared" si="2"/>
        <v>2.1021610392831676</v>
      </c>
      <c r="W33" s="427">
        <f t="shared" si="3"/>
        <v>2.0337985753237589</v>
      </c>
      <c r="X33" s="423">
        <f t="shared" si="4"/>
        <v>2.2451777406162559</v>
      </c>
      <c r="Y33" s="427">
        <f t="shared" si="5"/>
        <v>2.085801430822297</v>
      </c>
      <c r="Z33" s="426">
        <f>+'25'!I46</f>
        <v>57017.39999999982</v>
      </c>
      <c r="AA33" s="425">
        <f t="shared" si="20"/>
        <v>1367172.2200000018</v>
      </c>
      <c r="AB33" s="427">
        <f t="shared" si="6"/>
        <v>883.90847363035721</v>
      </c>
      <c r="AC33" s="427">
        <f t="shared" si="7"/>
        <v>788.44631627997217</v>
      </c>
      <c r="AD33" s="427">
        <f t="shared" si="8"/>
        <v>944.04357832342362</v>
      </c>
      <c r="AE33" s="427">
        <f t="shared" si="9"/>
        <v>808.60635589812125</v>
      </c>
      <c r="AF33" s="506">
        <v>0.14699999999999999</v>
      </c>
      <c r="AG33" s="525">
        <v>135.45500000000001</v>
      </c>
      <c r="AH33" s="423">
        <f>+SUM(Efficiency2!K114:K116)</f>
        <v>64.499599911999994</v>
      </c>
      <c r="AI33" s="424">
        <f t="shared" si="21"/>
        <v>1793.5820038810261</v>
      </c>
      <c r="AJ33" s="449">
        <f t="shared" si="22"/>
        <v>0.93639340526767023</v>
      </c>
      <c r="AK33" s="449">
        <f t="shared" si="23"/>
        <v>0.94268118008623514</v>
      </c>
    </row>
    <row r="34" spans="1:37" s="428" customFormat="1" ht="12.75" customHeight="1">
      <c r="A34" s="442">
        <f t="shared" si="10"/>
        <v>46138</v>
      </c>
      <c r="B34" s="446" t="s">
        <v>523</v>
      </c>
      <c r="C34" s="429" t="s">
        <v>771</v>
      </c>
      <c r="D34" s="422">
        <f>+'26'!F42</f>
        <v>1700</v>
      </c>
      <c r="E34" s="422">
        <f>+'26'!G42</f>
        <v>1301.4444444444443</v>
      </c>
      <c r="F34" s="50">
        <f t="shared" si="0"/>
        <v>0.23444444444444446</v>
      </c>
      <c r="G34" s="448">
        <f t="shared" si="11"/>
        <v>0.98882499073606345</v>
      </c>
      <c r="H34" s="443">
        <f t="shared" si="12"/>
        <v>0.98882499073606345</v>
      </c>
      <c r="I34" s="443">
        <f t="shared" si="13"/>
        <v>1.0155770411295273</v>
      </c>
      <c r="J34" s="449">
        <f t="shared" si="14"/>
        <v>1.0042279582866636</v>
      </c>
      <c r="K34" s="449">
        <f t="shared" si="15"/>
        <v>0.93684233332993194</v>
      </c>
      <c r="L34" s="423">
        <f>+SUM(Efficiency1!K119:K120)</f>
        <v>65.896392800000001</v>
      </c>
      <c r="M34" s="424">
        <f t="shared" si="16"/>
        <v>1875.396678281026</v>
      </c>
      <c r="N34" s="423">
        <f>+SUM(Efficiency1!C119:C120)</f>
        <v>65.896392800000001</v>
      </c>
      <c r="O34" s="424">
        <f t="shared" si="16"/>
        <v>1840.7524090154902</v>
      </c>
      <c r="P34" s="577">
        <f>'26'!I38</f>
        <v>65.16</v>
      </c>
      <c r="Q34" s="424">
        <f t="shared" si="17"/>
        <v>1799.1679999999999</v>
      </c>
      <c r="R34" s="14">
        <f>'26'!I40</f>
        <v>66.174999999999997</v>
      </c>
      <c r="S34" s="424">
        <f t="shared" si="18"/>
        <v>1756.951</v>
      </c>
      <c r="T34" s="569">
        <f t="shared" si="1"/>
        <v>139.161</v>
      </c>
      <c r="U34" s="425">
        <f t="shared" si="19"/>
        <v>3665.7840000000001</v>
      </c>
      <c r="V34" s="427">
        <f t="shared" si="2"/>
        <v>2.1356813996316761</v>
      </c>
      <c r="W34" s="427">
        <f t="shared" si="3"/>
        <v>2.03748843910074</v>
      </c>
      <c r="X34" s="423">
        <f t="shared" si="4"/>
        <v>2.1029240649792218</v>
      </c>
      <c r="Y34" s="427">
        <f t="shared" si="5"/>
        <v>2.0864463493859535</v>
      </c>
      <c r="Z34" s="426">
        <f>'26'!I46</f>
        <v>58864.099999999511</v>
      </c>
      <c r="AA34" s="425">
        <f t="shared" si="20"/>
        <v>1426036.3200000012</v>
      </c>
      <c r="AB34" s="427">
        <f t="shared" si="6"/>
        <v>903.37783916512444</v>
      </c>
      <c r="AC34" s="427">
        <f t="shared" si="7"/>
        <v>792.60876138303991</v>
      </c>
      <c r="AD34" s="427">
        <f t="shared" si="8"/>
        <v>889.52172270494157</v>
      </c>
      <c r="AE34" s="427">
        <f t="shared" si="9"/>
        <v>811.65400742536428</v>
      </c>
      <c r="AF34" s="506">
        <v>0.17100000000000001</v>
      </c>
      <c r="AG34" s="525">
        <v>138.99</v>
      </c>
      <c r="AH34" s="423">
        <f>+SUM(Efficiency2!K119:K120)</f>
        <v>65.896392800000001</v>
      </c>
      <c r="AI34" s="424">
        <f t="shared" si="21"/>
        <v>1859.4783966810262</v>
      </c>
      <c r="AJ34" s="449">
        <f t="shared" si="22"/>
        <v>1.0042279582866636</v>
      </c>
      <c r="AK34" s="449">
        <f t="shared" si="23"/>
        <v>0.94486228134511974</v>
      </c>
    </row>
    <row r="35" spans="1:37" s="428" customFormat="1" ht="12.75" customHeight="1">
      <c r="A35" s="442">
        <f t="shared" si="10"/>
        <v>46139</v>
      </c>
      <c r="B35" s="446" t="s">
        <v>523</v>
      </c>
      <c r="C35" s="429" t="s">
        <v>786</v>
      </c>
      <c r="D35" s="422">
        <f>+'27'!F42</f>
        <v>1717.7083333333333</v>
      </c>
      <c r="E35" s="422">
        <f>+'27'!G42</f>
        <v>1415.0138888888889</v>
      </c>
      <c r="F35" s="50">
        <f t="shared" si="0"/>
        <v>0.17621993127147761</v>
      </c>
      <c r="G35" s="448">
        <f t="shared" si="11"/>
        <v>0.98159762470764744</v>
      </c>
      <c r="H35" s="443">
        <f t="shared" si="12"/>
        <v>0.98159762470764744</v>
      </c>
      <c r="I35" s="443">
        <f t="shared" si="13"/>
        <v>0.94255896826743601</v>
      </c>
      <c r="J35" s="449">
        <f t="shared" si="14"/>
        <v>0.92521364439820597</v>
      </c>
      <c r="K35" s="449">
        <f t="shared" si="15"/>
        <v>0.93648162522631284</v>
      </c>
      <c r="L35" s="423">
        <f>+SUM(Efficiency1!K124:K126)</f>
        <v>60.0347826</v>
      </c>
      <c r="M35" s="424">
        <f t="shared" si="16"/>
        <v>1935.4314608810259</v>
      </c>
      <c r="N35" s="423">
        <f>+SUM(Efficiency1!C124:C126)</f>
        <v>60.0347826</v>
      </c>
      <c r="O35" s="424">
        <f t="shared" si="16"/>
        <v>1900.7871916154902</v>
      </c>
      <c r="P35" s="577">
        <f>'27'!I38</f>
        <v>58.93</v>
      </c>
      <c r="Q35" s="424">
        <f t="shared" si="17"/>
        <v>1858.098</v>
      </c>
      <c r="R35" s="14">
        <f>'27'!I40</f>
        <v>55.545000000000002</v>
      </c>
      <c r="S35" s="424">
        <f t="shared" si="18"/>
        <v>1812.4960000000001</v>
      </c>
      <c r="T35" s="569">
        <f t="shared" si="1"/>
        <v>129.77200000000002</v>
      </c>
      <c r="U35" s="425">
        <f t="shared" si="19"/>
        <v>3795.556</v>
      </c>
      <c r="V35" s="427">
        <f t="shared" si="2"/>
        <v>2.202138129984728</v>
      </c>
      <c r="W35" s="427">
        <f t="shared" si="3"/>
        <v>2.0427103414351664</v>
      </c>
      <c r="X35" s="423">
        <f t="shared" si="4"/>
        <v>2.3363399045818709</v>
      </c>
      <c r="Y35" s="427">
        <f t="shared" si="5"/>
        <v>2.0941044835409293</v>
      </c>
      <c r="Z35" s="426">
        <f>'27'!I46</f>
        <v>55384.94000000025</v>
      </c>
      <c r="AA35" s="425">
        <f t="shared" si="20"/>
        <v>1481421.2600000014</v>
      </c>
      <c r="AB35" s="427">
        <f t="shared" si="6"/>
        <v>939.84286441541235</v>
      </c>
      <c r="AC35" s="427">
        <f t="shared" si="7"/>
        <v>797.27832439408542</v>
      </c>
      <c r="AD35" s="427">
        <f t="shared" si="8"/>
        <v>997.11837249077769</v>
      </c>
      <c r="AE35" s="427">
        <f t="shared" si="9"/>
        <v>817.3376713658962</v>
      </c>
      <c r="AF35" s="506">
        <v>0.151</v>
      </c>
      <c r="AG35" s="525">
        <v>129.62100000000001</v>
      </c>
      <c r="AH35" s="423">
        <f>+SUM(Efficiency2!K124:K126)</f>
        <v>60.0347826</v>
      </c>
      <c r="AI35" s="424">
        <f t="shared" si="21"/>
        <v>1919.5131792810262</v>
      </c>
      <c r="AJ35" s="449">
        <f t="shared" si="22"/>
        <v>0.92521364439820597</v>
      </c>
      <c r="AK35" s="449">
        <f t="shared" si="23"/>
        <v>0.94424774967103353</v>
      </c>
    </row>
    <row r="36" spans="1:37" s="428" customFormat="1" ht="12.75" customHeight="1">
      <c r="A36" s="442">
        <f t="shared" si="10"/>
        <v>46140</v>
      </c>
      <c r="B36" s="429" t="s">
        <v>802</v>
      </c>
      <c r="C36" s="429" t="s">
        <v>803</v>
      </c>
      <c r="D36" s="422">
        <f>+'28'!F42</f>
        <v>1460.5109489051094</v>
      </c>
      <c r="E36" s="422">
        <f>+'28'!G42</f>
        <v>1172.4496350364964</v>
      </c>
      <c r="F36" s="50">
        <f t="shared" si="0"/>
        <v>0.19723324503973205</v>
      </c>
      <c r="G36" s="448">
        <f t="shared" si="11"/>
        <v>0.95980160904096867</v>
      </c>
      <c r="H36" s="443">
        <f t="shared" si="12"/>
        <v>0.92583921119075829</v>
      </c>
      <c r="I36" s="443">
        <f t="shared" si="13"/>
        <v>0.91430737651866778</v>
      </c>
      <c r="J36" s="449">
        <f t="shared" si="14"/>
        <v>0.84650162026193498</v>
      </c>
      <c r="K36" s="449">
        <f t="shared" si="15"/>
        <v>0.93384570229127561</v>
      </c>
      <c r="L36" s="423">
        <f>+SUM(Efficiency1!K129:K130)</f>
        <v>58.408630080000002</v>
      </c>
      <c r="M36" s="424">
        <f t="shared" si="16"/>
        <v>1993.8400909610259</v>
      </c>
      <c r="N36" s="423">
        <f>+SUM(Efficiency1!C129:C130)</f>
        <v>56.341851785426364</v>
      </c>
      <c r="O36" s="424">
        <f t="shared" si="16"/>
        <v>1957.1290434009165</v>
      </c>
      <c r="P36" s="577">
        <f>'28'!I38</f>
        <v>54.076999999999998</v>
      </c>
      <c r="Q36" s="424">
        <f t="shared" si="17"/>
        <v>1912.175</v>
      </c>
      <c r="R36" s="14">
        <f>'28'!I40</f>
        <v>49.442999999999998</v>
      </c>
      <c r="S36" s="424">
        <f t="shared" si="18"/>
        <v>1861.9390000000001</v>
      </c>
      <c r="T36" s="569">
        <f t="shared" si="1"/>
        <v>121.961</v>
      </c>
      <c r="U36" s="425">
        <f t="shared" si="19"/>
        <v>3917.5169999999998</v>
      </c>
      <c r="V36" s="427">
        <f t="shared" si="2"/>
        <v>2.2553211161861788</v>
      </c>
      <c r="W36" s="427">
        <f t="shared" si="3"/>
        <v>2.0487230509759828</v>
      </c>
      <c r="X36" s="423">
        <f t="shared" si="4"/>
        <v>2.4666990271625915</v>
      </c>
      <c r="Y36" s="427">
        <f t="shared" si="5"/>
        <v>2.1039985735300673</v>
      </c>
      <c r="Z36" s="426">
        <f>'28'!I46</f>
        <v>54769.200000000244</v>
      </c>
      <c r="AA36" s="425">
        <f t="shared" si="20"/>
        <v>1536190.4600000016</v>
      </c>
      <c r="AB36" s="427">
        <f t="shared" si="6"/>
        <v>1012.8002662869658</v>
      </c>
      <c r="AC36" s="427">
        <f t="shared" si="7"/>
        <v>803.37336279367821</v>
      </c>
      <c r="AD36" s="427">
        <f t="shared" si="8"/>
        <v>1107.7240458710078</v>
      </c>
      <c r="AE36" s="427">
        <f t="shared" si="9"/>
        <v>825.04875831055779</v>
      </c>
      <c r="AF36" s="506">
        <f>0.267</f>
        <v>0.26700000000000002</v>
      </c>
      <c r="AG36" s="525">
        <v>121.694</v>
      </c>
      <c r="AH36" s="423">
        <f>+SUM(Efficiency2!K129:K130)</f>
        <v>55.569430080000004</v>
      </c>
      <c r="AI36" s="424">
        <f t="shared" si="21"/>
        <v>1975.0826093610262</v>
      </c>
      <c r="AJ36" s="449">
        <f t="shared" si="22"/>
        <v>0.8897517921061967</v>
      </c>
      <c r="AK36" s="449">
        <f t="shared" si="23"/>
        <v>0.94271449263702944</v>
      </c>
    </row>
    <row r="37" spans="1:37" s="428" customFormat="1" ht="12.75" customHeight="1">
      <c r="A37" s="442">
        <f t="shared" si="10"/>
        <v>46141</v>
      </c>
      <c r="B37" s="452" t="s">
        <v>798</v>
      </c>
      <c r="C37" s="429" t="s">
        <v>582</v>
      </c>
      <c r="D37" s="422">
        <f>+'29'!F42</f>
        <v>1450</v>
      </c>
      <c r="E37" s="422">
        <f>+'29'!G42</f>
        <v>1160</v>
      </c>
      <c r="F37" s="50">
        <f t="shared" si="0"/>
        <v>0.19999999999999996</v>
      </c>
      <c r="G37" s="448">
        <f t="shared" si="11"/>
        <v>0.85367357001972388</v>
      </c>
      <c r="H37" s="443">
        <f t="shared" si="12"/>
        <v>0.82521778435239979</v>
      </c>
      <c r="I37" s="443">
        <f t="shared" si="13"/>
        <v>1.0172206315614756</v>
      </c>
      <c r="J37" s="449">
        <f t="shared" si="14"/>
        <v>0.83942855577470965</v>
      </c>
      <c r="K37" s="449">
        <f t="shared" si="15"/>
        <v>0.93115861492112129</v>
      </c>
      <c r="L37" s="423">
        <f>+Efficiency1!K135</f>
        <v>58.406399999999998</v>
      </c>
      <c r="M37" s="424">
        <f t="shared" si="16"/>
        <v>2052.2464909610258</v>
      </c>
      <c r="N37" s="423">
        <f>+Efficiency1!C135</f>
        <v>56.459519999999998</v>
      </c>
      <c r="O37" s="424">
        <f t="shared" si="16"/>
        <v>2013.5885634009164</v>
      </c>
      <c r="P37" s="577">
        <f>'29'!I38</f>
        <v>48.198</v>
      </c>
      <c r="Q37" s="424">
        <f t="shared" si="17"/>
        <v>1960.373</v>
      </c>
      <c r="R37" s="14">
        <f>'29'!I40</f>
        <v>49.027999999999999</v>
      </c>
      <c r="S37" s="424">
        <f t="shared" si="18"/>
        <v>1910.9670000000001</v>
      </c>
      <c r="T37" s="569">
        <f t="shared" si="1"/>
        <v>108.4</v>
      </c>
      <c r="U37" s="425">
        <f t="shared" si="19"/>
        <v>4025.9169999999999</v>
      </c>
      <c r="V37" s="427">
        <f t="shared" si="2"/>
        <v>2.2490559774264494</v>
      </c>
      <c r="W37" s="427">
        <f t="shared" si="3"/>
        <v>2.0536484638382593</v>
      </c>
      <c r="X37" s="423">
        <f t="shared" si="4"/>
        <v>2.2109814799706293</v>
      </c>
      <c r="Y37" s="427">
        <f t="shared" si="5"/>
        <v>2.1067433398902229</v>
      </c>
      <c r="Z37" s="426">
        <f>'29'!I46</f>
        <v>52782.69999999943</v>
      </c>
      <c r="AA37" s="425">
        <f t="shared" si="20"/>
        <v>1588973.1600000011</v>
      </c>
      <c r="AB37" s="427">
        <f t="shared" si="6"/>
        <v>1095.1222042408281</v>
      </c>
      <c r="AC37" s="427">
        <f t="shared" si="7"/>
        <v>810.54633990572256</v>
      </c>
      <c r="AD37" s="427">
        <f t="shared" si="8"/>
        <v>1076.5827690299304</v>
      </c>
      <c r="AE37" s="427">
        <f t="shared" si="9"/>
        <v>831.5021452489766</v>
      </c>
      <c r="AF37" s="506">
        <f>0.235</f>
        <v>0.23499999999999999</v>
      </c>
      <c r="AG37" s="525">
        <v>108.16500000000001</v>
      </c>
      <c r="AH37" s="423">
        <f>+Efficiency2!K135</f>
        <v>48.063600000000001</v>
      </c>
      <c r="AI37" s="424">
        <f t="shared" si="21"/>
        <v>2023.1462093610262</v>
      </c>
      <c r="AJ37" s="449">
        <f t="shared" si="22"/>
        <v>1.0200650804350901</v>
      </c>
      <c r="AK37" s="449">
        <f t="shared" si="23"/>
        <v>0.94455209967427123</v>
      </c>
    </row>
    <row r="38" spans="1:37" s="428" customFormat="1" ht="12.75" customHeight="1">
      <c r="A38" s="442">
        <f t="shared" si="10"/>
        <v>46142</v>
      </c>
      <c r="B38" s="452" t="s">
        <v>798</v>
      </c>
      <c r="C38" s="429" t="s">
        <v>582</v>
      </c>
      <c r="D38" s="422">
        <f>+'30'!F42</f>
        <v>1443.4177215189873</v>
      </c>
      <c r="E38" s="422">
        <f>+'30'!G42</f>
        <v>1154.7341772151899</v>
      </c>
      <c r="F38" s="50">
        <f t="shared" si="0"/>
        <v>0.19999999999999996</v>
      </c>
      <c r="G38" s="448">
        <f t="shared" si="11"/>
        <v>0.90170987197389674</v>
      </c>
      <c r="H38" s="443">
        <f t="shared" si="12"/>
        <v>0.86769600591715978</v>
      </c>
      <c r="I38" s="443">
        <f t="shared" si="13"/>
        <v>1.0108328893624579</v>
      </c>
      <c r="J38" s="449">
        <f t="shared" si="14"/>
        <v>0.87709566074950696</v>
      </c>
      <c r="K38" s="449">
        <f t="shared" si="15"/>
        <v>0.92966257426941035</v>
      </c>
      <c r="L38" s="423">
        <f>+Efficiency1!K140</f>
        <v>58.406399999999998</v>
      </c>
      <c r="M38" s="424">
        <f t="shared" si="16"/>
        <v>2110.6528909610256</v>
      </c>
      <c r="N38" s="423">
        <f>+Efficiency1!C140</f>
        <v>56.203221873417718</v>
      </c>
      <c r="O38" s="424">
        <f t="shared" si="16"/>
        <v>2069.791785274334</v>
      </c>
      <c r="P38" s="577">
        <f>'30'!I38</f>
        <v>50.679000000000002</v>
      </c>
      <c r="Q38" s="424">
        <f t="shared" si="17"/>
        <v>2011.0520000000001</v>
      </c>
      <c r="R38" s="14">
        <f>'30'!I40</f>
        <v>51.228000000000002</v>
      </c>
      <c r="S38" s="424">
        <f t="shared" si="18"/>
        <v>1962.1950000000002</v>
      </c>
      <c r="T38" s="569">
        <f t="shared" si="1"/>
        <v>118.66499999999999</v>
      </c>
      <c r="U38" s="425">
        <f t="shared" si="19"/>
        <v>4144.5820000000003</v>
      </c>
      <c r="V38" s="427">
        <f t="shared" si="2"/>
        <v>2.3415023974427274</v>
      </c>
      <c r="W38" s="427">
        <f t="shared" si="3"/>
        <v>2.0609024530444762</v>
      </c>
      <c r="X38" s="423">
        <f t="shared" si="4"/>
        <v>2.3164089950808151</v>
      </c>
      <c r="Y38" s="427">
        <f t="shared" si="5"/>
        <v>2.1122171853460028</v>
      </c>
      <c r="Z38" s="426">
        <f>'30'!I46</f>
        <v>58088.740000000558</v>
      </c>
      <c r="AA38" s="425">
        <f t="shared" si="20"/>
        <v>1647061.9000000015</v>
      </c>
      <c r="AB38" s="427">
        <f t="shared" si="6"/>
        <v>1146.2092780047074</v>
      </c>
      <c r="AC38" s="427">
        <f t="shared" si="7"/>
        <v>819.00512766452653</v>
      </c>
      <c r="AD38" s="427">
        <f t="shared" si="8"/>
        <v>1133.9255875693088</v>
      </c>
      <c r="AE38" s="427">
        <f t="shared" si="9"/>
        <v>839.39766435038382</v>
      </c>
      <c r="AF38" s="506">
        <f>0.145</f>
        <v>0.14499999999999999</v>
      </c>
      <c r="AG38" s="525">
        <v>118.52</v>
      </c>
      <c r="AH38" s="423">
        <f>+Efficiency2!K140</f>
        <v>51.26784</v>
      </c>
      <c r="AI38" s="424">
        <f t="shared" si="21"/>
        <v>2074.4140493610262</v>
      </c>
      <c r="AJ38" s="449">
        <f t="shared" si="22"/>
        <v>0.99922290465133701</v>
      </c>
      <c r="AK38" s="449">
        <f t="shared" si="23"/>
        <v>0.94590325427289101</v>
      </c>
    </row>
    <row r="39" spans="1:37" s="428" customFormat="1" ht="12.75" customHeight="1">
      <c r="A39" s="442"/>
      <c r="B39" s="452"/>
      <c r="C39" s="421"/>
      <c r="D39" s="422"/>
      <c r="E39" s="422"/>
      <c r="F39" s="50"/>
      <c r="G39" s="448"/>
      <c r="H39" s="443"/>
      <c r="I39" s="443"/>
      <c r="J39" s="449"/>
      <c r="K39" s="449"/>
      <c r="L39" s="423"/>
      <c r="M39" s="424"/>
      <c r="N39" s="424"/>
      <c r="O39" s="424"/>
      <c r="P39" s="577"/>
      <c r="Q39" s="424"/>
      <c r="R39" s="14"/>
      <c r="S39" s="424"/>
      <c r="T39" s="569"/>
      <c r="U39" s="425"/>
      <c r="V39" s="427"/>
      <c r="W39" s="427"/>
      <c r="X39" s="423"/>
      <c r="Y39" s="427"/>
      <c r="Z39" s="426"/>
      <c r="AA39" s="425"/>
      <c r="AB39" s="427"/>
      <c r="AC39" s="427"/>
      <c r="AD39" s="427"/>
      <c r="AE39" s="427"/>
      <c r="AF39" s="506"/>
      <c r="AG39" s="525"/>
      <c r="AH39" s="423"/>
      <c r="AI39" s="424"/>
      <c r="AJ39" s="449"/>
      <c r="AK39" s="449"/>
    </row>
    <row r="40" spans="1:37" s="428" customFormat="1" ht="12.75" customHeight="1" thickBot="1">
      <c r="A40" s="442"/>
      <c r="B40" s="430"/>
      <c r="C40" s="430"/>
      <c r="D40" s="430"/>
      <c r="E40" s="430"/>
      <c r="F40" s="444"/>
      <c r="G40" s="448"/>
      <c r="H40" s="443"/>
      <c r="I40" s="443"/>
      <c r="J40" s="449"/>
      <c r="K40" s="454"/>
      <c r="L40" s="431"/>
      <c r="M40" s="432"/>
      <c r="N40" s="432"/>
      <c r="O40" s="432"/>
      <c r="P40" s="432"/>
      <c r="Q40" s="432"/>
      <c r="R40" s="432"/>
      <c r="S40" s="432"/>
      <c r="T40" s="433"/>
      <c r="U40" s="433"/>
      <c r="V40" s="434"/>
      <c r="W40" s="434"/>
      <c r="X40" s="431"/>
      <c r="Y40" s="434"/>
      <c r="Z40" s="433"/>
      <c r="AA40" s="433"/>
      <c r="AB40" s="434"/>
      <c r="AC40" s="434"/>
      <c r="AD40" s="434"/>
      <c r="AE40" s="434"/>
      <c r="AF40" s="506"/>
      <c r="AG40" s="525"/>
      <c r="AH40" s="431"/>
      <c r="AI40" s="432"/>
      <c r="AJ40" s="449"/>
      <c r="AK40" s="454"/>
    </row>
    <row r="41" spans="1:37" s="428" customFormat="1" ht="12.75" customHeight="1" thickTop="1" thickBot="1">
      <c r="A41" s="435"/>
      <c r="B41" s="436"/>
      <c r="C41" s="436"/>
      <c r="D41" s="436"/>
      <c r="E41" s="436"/>
      <c r="F41" s="445"/>
      <c r="G41" s="448">
        <f t="shared" si="11"/>
        <v>0.97162043752794758</v>
      </c>
      <c r="H41" s="443">
        <f t="shared" si="12"/>
        <v>0.95281038801426277</v>
      </c>
      <c r="I41" s="443">
        <f t="shared" si="13"/>
        <v>0.97570575002535986</v>
      </c>
      <c r="J41" s="449">
        <f t="shared" si="14"/>
        <v>0.92966257426941035</v>
      </c>
      <c r="K41" s="454"/>
      <c r="L41" s="438">
        <f>SUM(L9:L39)</f>
        <v>2110.6528909610256</v>
      </c>
      <c r="M41" s="438"/>
      <c r="N41" s="437">
        <f>SUM(N9:N39)</f>
        <v>2069.791785274334</v>
      </c>
      <c r="O41" s="438"/>
      <c r="P41" s="437">
        <f>SUM(P9:P39)</f>
        <v>2011.0520000000001</v>
      </c>
      <c r="Q41" s="438"/>
      <c r="R41" s="437">
        <f>SUM(R9:R39)</f>
        <v>1962.1950000000002</v>
      </c>
      <c r="S41" s="438"/>
      <c r="T41" s="439">
        <f>SUM(T9:T40)</f>
        <v>4144.5820000000003</v>
      </c>
      <c r="U41" s="439"/>
      <c r="V41" s="440">
        <f>T41/P41</f>
        <v>2.0609024530444762</v>
      </c>
      <c r="W41" s="440"/>
      <c r="X41" s="441">
        <f>T41/R41</f>
        <v>2.1122171853460028</v>
      </c>
      <c r="Y41" s="440"/>
      <c r="Z41" s="439">
        <f>SUM(Z9:Z39)</f>
        <v>1647061.9000000015</v>
      </c>
      <c r="AA41" s="439"/>
      <c r="AB41" s="440">
        <f>Z41/P41</f>
        <v>819.00512766452653</v>
      </c>
      <c r="AC41" s="440"/>
      <c r="AD41" s="440">
        <f>Z41/R41</f>
        <v>839.39766435038382</v>
      </c>
      <c r="AE41" s="440"/>
      <c r="AF41" s="506"/>
      <c r="AG41" s="525"/>
      <c r="AH41" s="438">
        <f>SUM(AH9:AH39)</f>
        <v>2074.4140493610262</v>
      </c>
      <c r="AI41" s="438"/>
      <c r="AJ41" s="449">
        <f t="shared" si="22"/>
        <v>0.94590325427289101</v>
      </c>
      <c r="AK41" s="454"/>
    </row>
    <row r="42" spans="1:37" ht="12.75" customHeight="1" thickTop="1">
      <c r="S42" s="292"/>
      <c r="T42" s="292"/>
      <c r="U42" s="292"/>
      <c r="X42" s="292"/>
      <c r="Z42" s="292"/>
      <c r="AA42" s="292"/>
    </row>
    <row r="43" spans="1:37" ht="12.75" customHeight="1">
      <c r="S43" s="292"/>
      <c r="T43" s="292"/>
      <c r="U43" s="292"/>
      <c r="X43" s="292"/>
      <c r="Z43" s="292"/>
      <c r="AA43" s="292"/>
    </row>
    <row r="44" spans="1:37">
      <c r="S44" s="292"/>
      <c r="T44" s="292"/>
      <c r="U44" s="292"/>
      <c r="X44" s="292"/>
      <c r="Z44" s="292"/>
      <c r="AA44" s="292"/>
    </row>
    <row r="45" spans="1:37">
      <c r="R45" s="301"/>
      <c r="S45" s="302"/>
    </row>
    <row r="46" spans="1:37">
      <c r="R46" s="303"/>
    </row>
    <row r="47" spans="1:37">
      <c r="R47" s="303"/>
    </row>
    <row r="48" spans="1:37">
      <c r="R48" s="303"/>
    </row>
    <row r="49" spans="18:37">
      <c r="R49" s="303"/>
      <c r="AJ49"/>
      <c r="AK49"/>
    </row>
    <row r="50" spans="18:37">
      <c r="R50" s="303"/>
      <c r="AJ50"/>
      <c r="AK50"/>
    </row>
    <row r="51" spans="18:37">
      <c r="R51" s="303"/>
      <c r="AJ51"/>
      <c r="AK51"/>
    </row>
    <row r="52" spans="18:37">
      <c r="R52" s="303"/>
      <c r="AJ52"/>
      <c r="AK52"/>
    </row>
    <row r="53" spans="18:37">
      <c r="R53" s="303"/>
      <c r="AJ53"/>
      <c r="AK53"/>
    </row>
    <row r="54" spans="18:37">
      <c r="R54" s="303"/>
      <c r="AJ54"/>
      <c r="AK54"/>
    </row>
    <row r="55" spans="18:37">
      <c r="R55" s="303"/>
      <c r="AJ55"/>
      <c r="AK55"/>
    </row>
    <row r="56" spans="18:37">
      <c r="R56" s="303"/>
      <c r="AJ56"/>
      <c r="AK56"/>
    </row>
    <row r="57" spans="18:37">
      <c r="R57" s="303"/>
      <c r="AJ57"/>
      <c r="AK57"/>
    </row>
    <row r="58" spans="18:37">
      <c r="R58" s="303"/>
      <c r="AJ58"/>
      <c r="AK58"/>
    </row>
    <row r="59" spans="18:37">
      <c r="R59" s="303"/>
      <c r="AJ59"/>
      <c r="AK59"/>
    </row>
    <row r="60" spans="18:37">
      <c r="AJ60"/>
      <c r="AK60"/>
    </row>
    <row r="65536" spans="3:35">
      <c r="C65536" s="304"/>
      <c r="AH65536"/>
      <c r="AI65536"/>
    </row>
  </sheetData>
  <mergeCells count="26">
    <mergeCell ref="J6:K7"/>
    <mergeCell ref="AF6:AG7"/>
    <mergeCell ref="N6:O7"/>
    <mergeCell ref="T7:U7"/>
    <mergeCell ref="V7:W7"/>
    <mergeCell ref="X7:Y7"/>
    <mergeCell ref="T6:Y6"/>
    <mergeCell ref="P6:Q7"/>
    <mergeCell ref="R6:S7"/>
    <mergeCell ref="Z6:AE6"/>
    <mergeCell ref="AH6:AI7"/>
    <mergeCell ref="AJ6:AK7"/>
    <mergeCell ref="A3:AE4"/>
    <mergeCell ref="Z7:AA7"/>
    <mergeCell ref="AB7:AC7"/>
    <mergeCell ref="AD7:AE7"/>
    <mergeCell ref="D6:D8"/>
    <mergeCell ref="A6:A8"/>
    <mergeCell ref="B6:B8"/>
    <mergeCell ref="C6:C8"/>
    <mergeCell ref="L6:M7"/>
    <mergeCell ref="H6:H8"/>
    <mergeCell ref="I6:I8"/>
    <mergeCell ref="E6:E8"/>
    <mergeCell ref="F6:F8"/>
    <mergeCell ref="G6:G8"/>
  </mergeCells>
  <pageMargins left="0.23622047244094491" right="0.11811023622047245" top="0.27559055118110237" bottom="0" header="0" footer="0"/>
  <pageSetup paperSize="9" scale="57" firstPageNumber="4294963191" fitToWidth="2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Y45"/>
  <sheetViews>
    <sheetView zoomScaleNormal="100" workbookViewId="0">
      <pane xSplit="3" ySplit="6" topLeftCell="AI25" activePane="bottomRight" state="frozen"/>
      <selection pane="topRight" activeCell="D1" sqref="D1"/>
      <selection pane="bottomLeft" activeCell="A7" sqref="A7"/>
      <selection pane="bottomRight" activeCell="AK42" sqref="AK42"/>
    </sheetView>
  </sheetViews>
  <sheetFormatPr defaultColWidth="9.140625" defaultRowHeight="12.75"/>
  <cols>
    <col min="1" max="3" width="10.85546875" customWidth="1"/>
    <col min="4" max="4" width="12.85546875" bestFit="1" customWidth="1"/>
    <col min="5" max="5" width="13.28515625" bestFit="1" customWidth="1"/>
    <col min="6" max="6" width="14.5703125" bestFit="1" customWidth="1"/>
    <col min="7" max="7" width="15.5703125" bestFit="1" customWidth="1"/>
    <col min="8" max="8" width="18.85546875" customWidth="1"/>
    <col min="9" max="9" width="12.85546875" customWidth="1"/>
    <col min="10" max="10" width="11.5703125" customWidth="1"/>
    <col min="11" max="11" width="12" customWidth="1"/>
    <col min="12" max="12" width="12.28515625" bestFit="1" customWidth="1"/>
    <col min="13" max="13" width="13" bestFit="1" customWidth="1"/>
    <col min="14" max="15" width="11" bestFit="1" customWidth="1"/>
    <col min="16" max="16" width="13.5703125" customWidth="1"/>
    <col min="17" max="17" width="12.42578125" customWidth="1"/>
    <col min="18" max="19" width="13.140625" customWidth="1"/>
    <col min="20" max="20" width="13" bestFit="1" customWidth="1"/>
    <col min="21" max="21" width="13.7109375" bestFit="1" customWidth="1"/>
    <col min="22" max="43" width="13.5703125" customWidth="1"/>
    <col min="44" max="44" width="13.85546875" bestFit="1" customWidth="1"/>
    <col min="45" max="46" width="10.85546875" bestFit="1" customWidth="1"/>
    <col min="49" max="49" width="39" bestFit="1" customWidth="1"/>
  </cols>
  <sheetData>
    <row r="2" spans="1:51" ht="24.75" customHeight="1">
      <c r="A2" s="853" t="s">
        <v>20</v>
      </c>
      <c r="B2" s="853"/>
      <c r="C2" s="853"/>
      <c r="D2" s="853"/>
      <c r="E2" s="853"/>
      <c r="F2" s="853"/>
      <c r="G2" s="853"/>
      <c r="H2" s="853"/>
      <c r="I2" s="853"/>
      <c r="J2" s="853"/>
      <c r="K2" s="853"/>
      <c r="L2" s="853"/>
      <c r="M2" s="853"/>
      <c r="N2" s="853"/>
      <c r="O2" s="853"/>
      <c r="P2" s="853"/>
      <c r="Q2" s="853"/>
      <c r="R2" s="853"/>
      <c r="S2" s="853"/>
      <c r="T2" s="853"/>
      <c r="U2" s="853"/>
      <c r="V2" s="853"/>
      <c r="W2" s="853"/>
      <c r="X2" s="853"/>
      <c r="Y2" s="853"/>
      <c r="Z2" s="853"/>
      <c r="AA2" s="853"/>
      <c r="AB2" s="853"/>
      <c r="AC2" s="853"/>
      <c r="AD2" s="853"/>
      <c r="AE2" s="853"/>
      <c r="AF2" s="853"/>
      <c r="AG2" s="853"/>
      <c r="AH2" s="853"/>
      <c r="AI2" s="853"/>
      <c r="AJ2" s="853"/>
      <c r="AK2" s="853"/>
      <c r="AL2" s="853"/>
      <c r="AM2" s="853"/>
      <c r="AN2" s="853"/>
      <c r="AO2" s="853"/>
      <c r="AP2" s="853"/>
      <c r="AQ2" s="853"/>
      <c r="AR2" s="853"/>
      <c r="AS2" s="305"/>
      <c r="AT2" s="305"/>
      <c r="AU2" s="305"/>
      <c r="AV2" s="305"/>
      <c r="AW2" s="305"/>
    </row>
    <row r="3" spans="1:51" ht="12.75" customHeight="1">
      <c r="A3" s="305"/>
      <c r="B3" s="305"/>
      <c r="C3" s="305"/>
      <c r="D3" s="306"/>
      <c r="E3" s="307"/>
      <c r="F3" s="308"/>
      <c r="G3" s="309"/>
      <c r="H3" s="310"/>
      <c r="I3" s="311"/>
      <c r="J3" s="311"/>
      <c r="K3" s="311"/>
      <c r="L3" s="312"/>
      <c r="M3" s="311"/>
      <c r="N3" s="311"/>
      <c r="O3" s="311"/>
      <c r="P3" s="313"/>
      <c r="Q3" s="311"/>
      <c r="R3" s="311"/>
      <c r="S3" s="311"/>
      <c r="T3" s="314"/>
      <c r="U3" s="311"/>
      <c r="V3" s="311"/>
      <c r="W3" s="311"/>
      <c r="X3" s="311"/>
      <c r="Y3" s="311"/>
      <c r="Z3" s="311"/>
      <c r="AA3" s="311"/>
      <c r="AB3" s="311"/>
      <c r="AC3" s="311"/>
      <c r="AD3" s="311"/>
      <c r="AE3" s="311"/>
      <c r="AF3" s="311"/>
      <c r="AG3" s="311"/>
      <c r="AH3" s="311"/>
      <c r="AI3" s="311"/>
      <c r="AJ3" s="311"/>
      <c r="AK3" s="311"/>
      <c r="AL3" s="311"/>
      <c r="AM3" s="311"/>
      <c r="AN3" s="311"/>
      <c r="AO3" s="311"/>
      <c r="AP3" s="311"/>
      <c r="AQ3" s="311"/>
      <c r="AR3" s="311"/>
      <c r="AS3" s="6"/>
      <c r="AT3" s="6"/>
      <c r="AU3" s="305"/>
      <c r="AV3" s="305"/>
      <c r="AW3" s="305"/>
    </row>
    <row r="4" spans="1:51">
      <c r="A4" s="854" t="s">
        <v>7</v>
      </c>
      <c r="B4" s="857" t="s">
        <v>21</v>
      </c>
      <c r="C4" s="857" t="s">
        <v>22</v>
      </c>
      <c r="D4" s="895"/>
      <c r="E4" s="896"/>
      <c r="F4" s="896"/>
      <c r="G4" s="896"/>
      <c r="H4" s="896"/>
      <c r="I4" s="896"/>
      <c r="J4" s="896"/>
      <c r="K4" s="896"/>
      <c r="L4" s="896"/>
      <c r="M4" s="896"/>
      <c r="N4" s="896"/>
      <c r="O4" s="896"/>
      <c r="P4" s="896"/>
      <c r="Q4" s="896"/>
      <c r="R4" s="896"/>
      <c r="S4" s="896"/>
      <c r="T4" s="896"/>
      <c r="U4" s="896"/>
      <c r="V4" s="896"/>
      <c r="W4" s="896"/>
      <c r="X4" s="896"/>
      <c r="Y4" s="896"/>
      <c r="Z4" s="896"/>
      <c r="AA4" s="896"/>
      <c r="AB4" s="896"/>
      <c r="AC4" s="896"/>
      <c r="AD4" s="896"/>
      <c r="AE4" s="896"/>
      <c r="AF4" s="896"/>
      <c r="AG4" s="896"/>
      <c r="AH4" s="896"/>
      <c r="AI4" s="896"/>
      <c r="AJ4" s="896"/>
      <c r="AK4" s="896"/>
      <c r="AL4" s="896"/>
      <c r="AM4" s="896"/>
      <c r="AN4" s="896"/>
      <c r="AO4" s="896"/>
      <c r="AP4" s="896"/>
      <c r="AQ4" s="897"/>
      <c r="AR4" s="875" t="s">
        <v>147</v>
      </c>
      <c r="AS4" s="876"/>
      <c r="AT4" s="877"/>
    </row>
    <row r="5" spans="1:51" ht="14.25" customHeight="1">
      <c r="A5" s="855"/>
      <c r="B5" s="858"/>
      <c r="C5" s="858"/>
      <c r="D5" s="860" t="s">
        <v>175</v>
      </c>
      <c r="E5" s="861"/>
      <c r="F5" s="861"/>
      <c r="G5" s="862"/>
      <c r="H5" s="872" t="s">
        <v>176</v>
      </c>
      <c r="I5" s="873"/>
      <c r="J5" s="873"/>
      <c r="K5" s="874"/>
      <c r="L5" s="884" t="s">
        <v>420</v>
      </c>
      <c r="M5" s="885"/>
      <c r="N5" s="885"/>
      <c r="O5" s="886"/>
      <c r="P5" s="881" t="s">
        <v>177</v>
      </c>
      <c r="Q5" s="882"/>
      <c r="R5" s="882"/>
      <c r="S5" s="883"/>
      <c r="T5" s="887" t="s">
        <v>179</v>
      </c>
      <c r="U5" s="888"/>
      <c r="V5" s="888"/>
      <c r="W5" s="888"/>
      <c r="X5" s="889" t="s">
        <v>180</v>
      </c>
      <c r="Y5" s="890"/>
      <c r="Z5" s="890"/>
      <c r="AA5" s="891"/>
      <c r="AB5" s="863" t="s">
        <v>181</v>
      </c>
      <c r="AC5" s="864"/>
      <c r="AD5" s="864"/>
      <c r="AE5" s="865"/>
      <c r="AF5" s="866" t="s">
        <v>182</v>
      </c>
      <c r="AG5" s="867"/>
      <c r="AH5" s="867"/>
      <c r="AI5" s="868"/>
      <c r="AJ5" s="892" t="s">
        <v>183</v>
      </c>
      <c r="AK5" s="893"/>
      <c r="AL5" s="893"/>
      <c r="AM5" s="894"/>
      <c r="AN5" s="869" t="s">
        <v>184</v>
      </c>
      <c r="AO5" s="870"/>
      <c r="AP5" s="870"/>
      <c r="AQ5" s="871"/>
      <c r="AR5" s="878"/>
      <c r="AS5" s="879"/>
      <c r="AT5" s="880"/>
    </row>
    <row r="6" spans="1:51" ht="14.25" customHeight="1">
      <c r="A6" s="856"/>
      <c r="B6" s="859"/>
      <c r="C6" s="859"/>
      <c r="D6" s="386" t="s">
        <v>23</v>
      </c>
      <c r="E6" s="387" t="s">
        <v>24</v>
      </c>
      <c r="F6" s="388" t="s">
        <v>25</v>
      </c>
      <c r="G6" s="388" t="s">
        <v>26</v>
      </c>
      <c r="H6" s="389" t="s">
        <v>23</v>
      </c>
      <c r="I6" s="390" t="s">
        <v>24</v>
      </c>
      <c r="J6" s="391" t="s">
        <v>25</v>
      </c>
      <c r="K6" s="391" t="s">
        <v>26</v>
      </c>
      <c r="L6" s="399" t="s">
        <v>23</v>
      </c>
      <c r="M6" s="400" t="s">
        <v>24</v>
      </c>
      <c r="N6" s="401" t="s">
        <v>25</v>
      </c>
      <c r="O6" s="401" t="s">
        <v>26</v>
      </c>
      <c r="P6" s="395" t="s">
        <v>23</v>
      </c>
      <c r="Q6" s="396" t="s">
        <v>24</v>
      </c>
      <c r="R6" s="397" t="s">
        <v>25</v>
      </c>
      <c r="S6" s="397" t="s">
        <v>26</v>
      </c>
      <c r="T6" s="392" t="s">
        <v>23</v>
      </c>
      <c r="U6" s="393" t="s">
        <v>24</v>
      </c>
      <c r="V6" s="394" t="s">
        <v>25</v>
      </c>
      <c r="W6" s="394" t="s">
        <v>26</v>
      </c>
      <c r="X6" s="403" t="s">
        <v>23</v>
      </c>
      <c r="Y6" s="403" t="s">
        <v>24</v>
      </c>
      <c r="Z6" s="403" t="s">
        <v>25</v>
      </c>
      <c r="AA6" s="403" t="s">
        <v>26</v>
      </c>
      <c r="AB6" s="398" t="s">
        <v>23</v>
      </c>
      <c r="AC6" s="398" t="s">
        <v>24</v>
      </c>
      <c r="AD6" s="398" t="s">
        <v>25</v>
      </c>
      <c r="AE6" s="398" t="s">
        <v>26</v>
      </c>
      <c r="AF6" s="402" t="s">
        <v>23</v>
      </c>
      <c r="AG6" s="402" t="s">
        <v>24</v>
      </c>
      <c r="AH6" s="402" t="s">
        <v>25</v>
      </c>
      <c r="AI6" s="402" t="s">
        <v>26</v>
      </c>
      <c r="AJ6" s="404" t="s">
        <v>23</v>
      </c>
      <c r="AK6" s="404" t="s">
        <v>24</v>
      </c>
      <c r="AL6" s="404" t="s">
        <v>25</v>
      </c>
      <c r="AM6" s="404" t="s">
        <v>26</v>
      </c>
      <c r="AN6" s="405" t="s">
        <v>23</v>
      </c>
      <c r="AO6" s="405" t="s">
        <v>24</v>
      </c>
      <c r="AP6" s="405" t="s">
        <v>25</v>
      </c>
      <c r="AQ6" s="405" t="s">
        <v>26</v>
      </c>
      <c r="AR6" s="406" t="s">
        <v>24</v>
      </c>
      <c r="AS6" s="407" t="s">
        <v>25</v>
      </c>
      <c r="AT6" s="407" t="s">
        <v>26</v>
      </c>
      <c r="AV6" s="345"/>
    </row>
    <row r="7" spans="1:51">
      <c r="A7" s="315">
        <f>A8-1</f>
        <v>46112</v>
      </c>
      <c r="B7" s="316">
        <v>0</v>
      </c>
      <c r="C7" s="316">
        <v>0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347"/>
      <c r="AS7" s="107"/>
      <c r="AT7" s="107"/>
    </row>
    <row r="8" spans="1:51" ht="15">
      <c r="A8" s="315">
        <f>+Report1!A9</f>
        <v>46113</v>
      </c>
      <c r="B8" s="323">
        <f>+Report1!P9</f>
        <v>66.177999999999997</v>
      </c>
      <c r="C8" s="323">
        <f>+Report1!R9</f>
        <v>63.094000000000001</v>
      </c>
      <c r="D8" s="324">
        <f>+D7+E8</f>
        <v>0</v>
      </c>
      <c r="E8" s="324">
        <f>+[8]DailyApr!$D7</f>
        <v>0</v>
      </c>
      <c r="F8" s="324">
        <f t="shared" ref="F8:F20" si="0">E8/B8</f>
        <v>0</v>
      </c>
      <c r="G8" s="324">
        <f t="shared" ref="G8:G20" si="1">E8/C8</f>
        <v>0</v>
      </c>
      <c r="H8" s="324">
        <f>+H7+I8</f>
        <v>0</v>
      </c>
      <c r="I8" s="324">
        <f>+[8]DailyApr!$E7</f>
        <v>0</v>
      </c>
      <c r="J8" s="324">
        <f t="shared" ref="J8:J20" si="2">I8/B8</f>
        <v>0</v>
      </c>
      <c r="K8" s="324">
        <f t="shared" ref="K8:K20" si="3">I8/C8</f>
        <v>0</v>
      </c>
      <c r="L8" s="324">
        <f>+L7+M8</f>
        <v>5500</v>
      </c>
      <c r="M8" s="324">
        <f>+[8]DailyApr!$F7</f>
        <v>5500</v>
      </c>
      <c r="N8" s="324">
        <f t="shared" ref="N8:N20" si="4">M8/B8</f>
        <v>83.109190365378225</v>
      </c>
      <c r="O8" s="324">
        <f t="shared" ref="O8:O20" si="5">M8/C8</f>
        <v>87.171521856277934</v>
      </c>
      <c r="P8" s="324">
        <f>+P7+Q8</f>
        <v>8500</v>
      </c>
      <c r="Q8" s="324">
        <f>+[8]DailyApr!$G7</f>
        <v>8500</v>
      </c>
      <c r="R8" s="324">
        <f t="shared" ref="R8:R20" si="6">Q8/B8</f>
        <v>128.44147601922089</v>
      </c>
      <c r="S8" s="324">
        <f t="shared" ref="S8:S20" si="7">Q8/C8</f>
        <v>134.71962468697498</v>
      </c>
      <c r="T8" s="324">
        <f>+T7+U8</f>
        <v>6600.0000000003638</v>
      </c>
      <c r="U8" s="324">
        <f>+[8]DailyApr!$H7</f>
        <v>6600.0000000003638</v>
      </c>
      <c r="V8" s="324">
        <f t="shared" ref="V8:V20" si="8">U8/B8</f>
        <v>99.731028438459361</v>
      </c>
      <c r="W8" s="324">
        <f t="shared" ref="W8:W20" si="9">U8/C8</f>
        <v>104.60582622753928</v>
      </c>
      <c r="X8" s="324">
        <f>+X7+Y8</f>
        <v>19833.009999999271</v>
      </c>
      <c r="Y8" s="324">
        <f>+[8]DailyApr!$I7</f>
        <v>19833.009999999271</v>
      </c>
      <c r="Z8" s="324">
        <f>Y8/B8</f>
        <v>299.69189156516171</v>
      </c>
      <c r="AA8" s="324">
        <f>Y8/C8</f>
        <v>314.34066630740278</v>
      </c>
      <c r="AB8" s="324">
        <f>+AB7+AC8</f>
        <v>6383.0100000015009</v>
      </c>
      <c r="AC8" s="324">
        <f>+[8]DailyApr!$J7</f>
        <v>6383.0100000015009</v>
      </c>
      <c r="AD8" s="324">
        <f>AC8/B8</f>
        <v>96.452144217134105</v>
      </c>
      <c r="AE8" s="418">
        <f>AC8/C8</f>
        <v>101.16667194981299</v>
      </c>
      <c r="AF8" s="324">
        <f>+AF7+AG8</f>
        <v>8000</v>
      </c>
      <c r="AG8" s="324">
        <f>+[8]DailyApr!$K7</f>
        <v>8000</v>
      </c>
      <c r="AH8" s="324">
        <f>AG8/B8</f>
        <v>120.88609507691379</v>
      </c>
      <c r="AI8" s="447">
        <f>AG8/C8</f>
        <v>126.79494088185881</v>
      </c>
      <c r="AJ8" s="324">
        <f>+AJ7+AK8</f>
        <v>370</v>
      </c>
      <c r="AK8" s="324">
        <f>+[8]DailyApr!$L7</f>
        <v>370</v>
      </c>
      <c r="AL8" s="324">
        <f>AK8/B8</f>
        <v>5.5909818973072625</v>
      </c>
      <c r="AM8" s="447">
        <f>AK8/C8</f>
        <v>5.8642660157859696</v>
      </c>
      <c r="AN8" s="324">
        <f>+AN7+AO8</f>
        <v>500</v>
      </c>
      <c r="AO8" s="324">
        <f>+[8]DailyApr!$M7</f>
        <v>500</v>
      </c>
      <c r="AP8" s="324">
        <f>AO8/B8</f>
        <v>7.5553809423071119</v>
      </c>
      <c r="AQ8" s="447">
        <f>AO8/C8</f>
        <v>7.9246838051161754</v>
      </c>
      <c r="AR8" s="324">
        <f>+E8+I8+M8+Q8+U8+Y8+AC8+AG8+AK8+AO8</f>
        <v>55686.020000001132</v>
      </c>
      <c r="AS8" s="7">
        <f t="shared" ref="AS8:AS20" si="10">AR8/B8</f>
        <v>841.45818852188245</v>
      </c>
      <c r="AT8" s="322">
        <f t="shared" ref="AT8:AT20" si="11">AR8/C8</f>
        <v>882.5882017307689</v>
      </c>
      <c r="AX8" s="409" t="s">
        <v>186</v>
      </c>
      <c r="AY8" s="409" t="s">
        <v>187</v>
      </c>
    </row>
    <row r="9" spans="1:51" ht="15">
      <c r="A9" s="315">
        <f t="shared" ref="A9:A37" si="12">A8+1</f>
        <v>46114</v>
      </c>
      <c r="B9" s="323">
        <f>+Report1!P10</f>
        <v>68.733999999999995</v>
      </c>
      <c r="C9" s="323">
        <f>+Report1!R10</f>
        <v>64.578999999999994</v>
      </c>
      <c r="D9" s="324">
        <f t="shared" ref="D9:D20" si="13">+D8+E9</f>
        <v>0</v>
      </c>
      <c r="E9" s="324">
        <f>+[8]DailyApr!$D8</f>
        <v>0</v>
      </c>
      <c r="F9" s="324">
        <f t="shared" si="0"/>
        <v>0</v>
      </c>
      <c r="G9" s="324">
        <f t="shared" si="1"/>
        <v>0</v>
      </c>
      <c r="H9" s="324">
        <f t="shared" ref="H9:H20" si="14">+H8+I9</f>
        <v>0</v>
      </c>
      <c r="I9" s="324">
        <f>+[8]DailyApr!$E8</f>
        <v>0</v>
      </c>
      <c r="J9" s="324">
        <f t="shared" si="2"/>
        <v>0</v>
      </c>
      <c r="K9" s="324">
        <f t="shared" si="3"/>
        <v>0</v>
      </c>
      <c r="L9" s="324">
        <f t="shared" ref="L9:L20" si="15">+L8+M9</f>
        <v>11500</v>
      </c>
      <c r="M9" s="324">
        <f>+[8]DailyApr!$F8</f>
        <v>6000</v>
      </c>
      <c r="N9" s="324">
        <f t="shared" si="4"/>
        <v>87.293042744493277</v>
      </c>
      <c r="O9" s="324">
        <f t="shared" si="5"/>
        <v>92.909459731491665</v>
      </c>
      <c r="P9" s="324">
        <f t="shared" ref="P9:P20" si="16">+P8+Q9</f>
        <v>17200.000000000728</v>
      </c>
      <c r="Q9" s="324">
        <f>+[8]DailyApr!$G8</f>
        <v>8700.0000000007276</v>
      </c>
      <c r="R9" s="324">
        <f t="shared" si="6"/>
        <v>126.57491197952582</v>
      </c>
      <c r="S9" s="324">
        <f t="shared" si="7"/>
        <v>134.71871661067419</v>
      </c>
      <c r="T9" s="324">
        <f t="shared" ref="T9:T20" si="17">+T8+U9</f>
        <v>14300.000000000182</v>
      </c>
      <c r="U9" s="324">
        <f>+[8]DailyApr!$H8</f>
        <v>7699.9999999998181</v>
      </c>
      <c r="V9" s="324">
        <f t="shared" si="8"/>
        <v>112.02607152209706</v>
      </c>
      <c r="W9" s="324">
        <f t="shared" si="9"/>
        <v>119.2338066554115</v>
      </c>
      <c r="X9" s="324">
        <f t="shared" ref="X9:X20" si="18">+X8+Y9</f>
        <v>41538.22</v>
      </c>
      <c r="Y9" s="324">
        <f>+[8]DailyApr!$I8</f>
        <v>21705.210000000727</v>
      </c>
      <c r="Z9" s="324">
        <f t="shared" ref="Z9:Z20" si="19">Y9/B9</f>
        <v>315.78563738471104</v>
      </c>
      <c r="AA9" s="324">
        <f t="shared" ref="AA9:AA20" si="20">Y9/C9</f>
        <v>336.10322240977297</v>
      </c>
      <c r="AB9" s="324">
        <f t="shared" ref="AB9:AB20" si="21">+AB8+AC9</f>
        <v>13808.219999999998</v>
      </c>
      <c r="AC9" s="324">
        <f>+[8]DailyApr!$J8</f>
        <v>7425.2099999984976</v>
      </c>
      <c r="AD9" s="324">
        <f t="shared" ref="AD9:AD20" si="22">AC9/B9</f>
        <v>108.02819565278462</v>
      </c>
      <c r="AE9" s="418">
        <f t="shared" ref="AE9:AE20" si="23">AC9/C9</f>
        <v>114.97870824878828</v>
      </c>
      <c r="AF9" s="324">
        <f t="shared" ref="AF9:AF20" si="24">+AF8+AG9</f>
        <v>16100.000000000364</v>
      </c>
      <c r="AG9" s="324">
        <f>+[8]DailyApr!$K8</f>
        <v>8100.0000000003638</v>
      </c>
      <c r="AH9" s="324">
        <f t="shared" ref="AH9:AH20" si="25">AG9/B9</f>
        <v>117.8456077050712</v>
      </c>
      <c r="AI9" s="447">
        <f t="shared" ref="AI9:AI20" si="26">AG9/C9</f>
        <v>125.42777063751939</v>
      </c>
      <c r="AJ9" s="324">
        <f t="shared" ref="AJ9:AJ20" si="27">+AJ8+AK9</f>
        <v>740</v>
      </c>
      <c r="AK9" s="324">
        <f>+[8]DailyApr!$L8</f>
        <v>370</v>
      </c>
      <c r="AL9" s="324">
        <f t="shared" ref="AL9:AL20" si="28">AK9/B9</f>
        <v>5.3830709692437519</v>
      </c>
      <c r="AM9" s="447">
        <f t="shared" ref="AM9:AM20" si="29">AK9/C9</f>
        <v>5.7294166834419862</v>
      </c>
      <c r="AN9" s="324">
        <f t="shared" ref="AN9:AN20" si="30">+AN8+AO9</f>
        <v>1050</v>
      </c>
      <c r="AO9" s="324">
        <f>+[8]DailyApr!$M8</f>
        <v>550</v>
      </c>
      <c r="AP9" s="324">
        <f t="shared" ref="AP9:AP20" si="31">AO9/B9</f>
        <v>8.0018622515785491</v>
      </c>
      <c r="AQ9" s="447">
        <f t="shared" ref="AQ9:AQ20" si="32">AO9/C9</f>
        <v>8.5167004753867364</v>
      </c>
      <c r="AR9" s="324">
        <f t="shared" ref="AR9:AR20" si="33">+E9+I9+M9+Q9+U9+Y9+AC9+AG9+AK9+AO9</f>
        <v>60550.420000000136</v>
      </c>
      <c r="AS9" s="321">
        <f>AR9/B9</f>
        <v>880.9384002095054</v>
      </c>
      <c r="AT9" s="322">
        <f t="shared" si="11"/>
        <v>937.61780145248679</v>
      </c>
      <c r="AX9" s="409" t="s">
        <v>188</v>
      </c>
      <c r="AY9" s="409" t="s">
        <v>188</v>
      </c>
    </row>
    <row r="10" spans="1:51">
      <c r="A10" s="315">
        <f t="shared" si="12"/>
        <v>46115</v>
      </c>
      <c r="B10" s="323">
        <f>+Report1!P11</f>
        <v>61.594000000000001</v>
      </c>
      <c r="C10" s="323">
        <f>+Report1!R11</f>
        <v>63.481000000000002</v>
      </c>
      <c r="D10" s="324">
        <f t="shared" si="13"/>
        <v>0</v>
      </c>
      <c r="E10" s="324">
        <f>+[8]DailyApr!$D9</f>
        <v>0</v>
      </c>
      <c r="F10" s="324">
        <f t="shared" si="0"/>
        <v>0</v>
      </c>
      <c r="G10" s="324">
        <f t="shared" si="1"/>
        <v>0</v>
      </c>
      <c r="H10" s="324">
        <f t="shared" si="14"/>
        <v>0</v>
      </c>
      <c r="I10" s="324">
        <f>+[8]DailyApr!$E9</f>
        <v>0</v>
      </c>
      <c r="J10" s="324">
        <f t="shared" si="2"/>
        <v>0</v>
      </c>
      <c r="K10" s="324">
        <f t="shared" si="3"/>
        <v>0</v>
      </c>
      <c r="L10" s="324">
        <f t="shared" si="15"/>
        <v>17300</v>
      </c>
      <c r="M10" s="324">
        <f>+[8]DailyApr!$F9</f>
        <v>5800</v>
      </c>
      <c r="N10" s="324">
        <f t="shared" si="4"/>
        <v>94.165016072994121</v>
      </c>
      <c r="O10" s="324">
        <f t="shared" si="5"/>
        <v>91.365920511649151</v>
      </c>
      <c r="P10" s="324">
        <f t="shared" si="16"/>
        <v>25700</v>
      </c>
      <c r="Q10" s="324">
        <f>+[8]DailyApr!$G9</f>
        <v>8499.9999999992724</v>
      </c>
      <c r="R10" s="324">
        <f t="shared" si="6"/>
        <v>138.00045458972096</v>
      </c>
      <c r="S10" s="324">
        <f t="shared" si="7"/>
        <v>133.89833178430194</v>
      </c>
      <c r="T10" s="324">
        <f t="shared" si="17"/>
        <v>21600.000000000364</v>
      </c>
      <c r="U10" s="324">
        <f>+[8]DailyApr!$H9</f>
        <v>7300.0000000001819</v>
      </c>
      <c r="V10" s="324">
        <f t="shared" si="8"/>
        <v>118.51803747118521</v>
      </c>
      <c r="W10" s="324">
        <f t="shared" si="9"/>
        <v>114.99503788535438</v>
      </c>
      <c r="X10" s="324">
        <f t="shared" si="18"/>
        <v>60139.329999999274</v>
      </c>
      <c r="Y10" s="324">
        <f>+[8]DailyApr!$I9</f>
        <v>18601.109999999273</v>
      </c>
      <c r="Z10" s="324">
        <f t="shared" si="19"/>
        <v>301.99548657335572</v>
      </c>
      <c r="AA10" s="324">
        <f t="shared" si="20"/>
        <v>293.01854098075444</v>
      </c>
      <c r="AB10" s="324">
        <f t="shared" si="21"/>
        <v>20139.330000000409</v>
      </c>
      <c r="AC10" s="324">
        <f>+[8]DailyApr!$J9</f>
        <v>6331.1100000004099</v>
      </c>
      <c r="AD10" s="324">
        <f t="shared" si="22"/>
        <v>102.78777153619524</v>
      </c>
      <c r="AE10" s="418">
        <f t="shared" si="23"/>
        <v>99.732360863886981</v>
      </c>
      <c r="AF10" s="324">
        <f t="shared" si="24"/>
        <v>23700.000000000728</v>
      </c>
      <c r="AG10" s="324">
        <f>+[8]DailyApr!$K9</f>
        <v>7600.0000000003638</v>
      </c>
      <c r="AH10" s="324">
        <f t="shared" si="25"/>
        <v>123.38864175082578</v>
      </c>
      <c r="AI10" s="447">
        <f t="shared" si="26"/>
        <v>119.72086136009773</v>
      </c>
      <c r="AJ10" s="324">
        <f t="shared" si="27"/>
        <v>1140</v>
      </c>
      <c r="AK10" s="324">
        <f>+[8]DailyApr!$L9</f>
        <v>400</v>
      </c>
      <c r="AL10" s="324">
        <f t="shared" si="28"/>
        <v>6.4941390395168357</v>
      </c>
      <c r="AM10" s="447">
        <f t="shared" si="29"/>
        <v>6.301097966320631</v>
      </c>
      <c r="AN10" s="324">
        <f t="shared" si="30"/>
        <v>1610</v>
      </c>
      <c r="AO10" s="324">
        <f>+[8]DailyApr!$M9</f>
        <v>560</v>
      </c>
      <c r="AP10" s="324">
        <f t="shared" si="31"/>
        <v>9.0917946553235698</v>
      </c>
      <c r="AQ10" s="447">
        <f t="shared" si="32"/>
        <v>8.8215371528488831</v>
      </c>
      <c r="AR10" s="324">
        <f t="shared" si="33"/>
        <v>55092.219999999499</v>
      </c>
      <c r="AS10" s="321">
        <f t="shared" si="10"/>
        <v>894.44134168911739</v>
      </c>
      <c r="AT10" s="322">
        <f t="shared" si="11"/>
        <v>867.85368850521411</v>
      </c>
      <c r="AV10" s="20" t="s">
        <v>28</v>
      </c>
      <c r="AW10" t="s">
        <v>175</v>
      </c>
      <c r="AX10" s="13">
        <f>+F39</f>
        <v>0</v>
      </c>
      <c r="AY10" s="13">
        <f>+G39</f>
        <v>0</v>
      </c>
    </row>
    <row r="11" spans="1:51">
      <c r="A11" s="315">
        <f t="shared" si="12"/>
        <v>46116</v>
      </c>
      <c r="B11" s="323">
        <f>+Report1!P12</f>
        <v>55.378</v>
      </c>
      <c r="C11" s="323">
        <f>+Report1!R12</f>
        <v>54.262</v>
      </c>
      <c r="D11" s="324">
        <f t="shared" si="13"/>
        <v>0</v>
      </c>
      <c r="E11" s="324">
        <f>+[8]DailyApr!$D10</f>
        <v>0</v>
      </c>
      <c r="F11" s="324">
        <f t="shared" si="0"/>
        <v>0</v>
      </c>
      <c r="G11" s="324">
        <f t="shared" si="1"/>
        <v>0</v>
      </c>
      <c r="H11" s="324">
        <f t="shared" si="14"/>
        <v>0</v>
      </c>
      <c r="I11" s="324">
        <f>+[8]DailyApr!$E10</f>
        <v>0</v>
      </c>
      <c r="J11" s="324">
        <f t="shared" si="2"/>
        <v>0</v>
      </c>
      <c r="K11" s="324">
        <f t="shared" si="3"/>
        <v>0</v>
      </c>
      <c r="L11" s="324">
        <f t="shared" si="15"/>
        <v>23100</v>
      </c>
      <c r="M11" s="324">
        <f>+[8]DailyApr!$F10</f>
        <v>5800</v>
      </c>
      <c r="N11" s="324">
        <f t="shared" si="4"/>
        <v>104.73473220412438</v>
      </c>
      <c r="O11" s="324">
        <f t="shared" si="5"/>
        <v>106.88879879105083</v>
      </c>
      <c r="P11" s="324">
        <f t="shared" si="16"/>
        <v>33799.999999999636</v>
      </c>
      <c r="Q11" s="324">
        <f>+[8]DailyApr!$G10</f>
        <v>8099.9999999996362</v>
      </c>
      <c r="R11" s="324">
        <f t="shared" si="6"/>
        <v>146.26747083678782</v>
      </c>
      <c r="S11" s="324">
        <f t="shared" si="7"/>
        <v>149.27573624266773</v>
      </c>
      <c r="T11" s="324">
        <f t="shared" si="17"/>
        <v>28600.000000000364</v>
      </c>
      <c r="U11" s="324">
        <f>+[8]DailyApr!$H10</f>
        <v>7000</v>
      </c>
      <c r="V11" s="324">
        <f t="shared" si="8"/>
        <v>126.40398714290873</v>
      </c>
      <c r="W11" s="324">
        <f t="shared" si="9"/>
        <v>129.00372267885444</v>
      </c>
      <c r="X11" s="324">
        <f t="shared" si="18"/>
        <v>77353.019999998913</v>
      </c>
      <c r="Y11" s="324">
        <f>+[8]DailyApr!$I10</f>
        <v>17213.689999999635</v>
      </c>
      <c r="Z11" s="324">
        <f t="shared" si="19"/>
        <v>310.83986420599581</v>
      </c>
      <c r="AA11" s="324">
        <f t="shared" si="20"/>
        <v>317.23287014853184</v>
      </c>
      <c r="AB11" s="324">
        <f t="shared" si="21"/>
        <v>26023.020000001139</v>
      </c>
      <c r="AC11" s="324">
        <f>+[8]DailyApr!$J10</f>
        <v>5883.6900000007281</v>
      </c>
      <c r="AD11" s="324">
        <f t="shared" si="22"/>
        <v>106.24598215899324</v>
      </c>
      <c r="AE11" s="418">
        <f t="shared" si="23"/>
        <v>108.43113044120615</v>
      </c>
      <c r="AF11" s="324">
        <f t="shared" si="24"/>
        <v>31200.000000000728</v>
      </c>
      <c r="AG11" s="324">
        <f>+[8]DailyApr!$K10</f>
        <v>7500</v>
      </c>
      <c r="AH11" s="324">
        <f t="shared" si="25"/>
        <v>135.43284336740223</v>
      </c>
      <c r="AI11" s="447">
        <f t="shared" si="26"/>
        <v>138.21827429877263</v>
      </c>
      <c r="AJ11" s="324">
        <f t="shared" si="27"/>
        <v>1520</v>
      </c>
      <c r="AK11" s="324">
        <f>+[8]DailyApr!$L10</f>
        <v>380</v>
      </c>
      <c r="AL11" s="324">
        <f t="shared" si="28"/>
        <v>6.8619307306150459</v>
      </c>
      <c r="AM11" s="447">
        <f t="shared" si="29"/>
        <v>7.0030592311378124</v>
      </c>
      <c r="AN11" s="324">
        <f t="shared" si="30"/>
        <v>2110</v>
      </c>
      <c r="AO11" s="324">
        <f>+[8]DailyApr!$M10</f>
        <v>500</v>
      </c>
      <c r="AP11" s="324">
        <f t="shared" si="31"/>
        <v>9.0288562244934809</v>
      </c>
      <c r="AQ11" s="447">
        <f t="shared" si="32"/>
        <v>9.2145516199181738</v>
      </c>
      <c r="AR11" s="324">
        <f t="shared" si="33"/>
        <v>52377.380000000005</v>
      </c>
      <c r="AS11" s="321">
        <f t="shared" si="10"/>
        <v>945.81566687132079</v>
      </c>
      <c r="AT11" s="322">
        <f t="shared" si="11"/>
        <v>965.26814345213973</v>
      </c>
      <c r="AV11" s="20"/>
      <c r="AW11" t="s">
        <v>176</v>
      </c>
      <c r="AX11" s="13">
        <f>+J39</f>
        <v>0</v>
      </c>
      <c r="AY11" s="13">
        <f>+K39</f>
        <v>0</v>
      </c>
    </row>
    <row r="12" spans="1:51">
      <c r="A12" s="315">
        <f t="shared" si="12"/>
        <v>46117</v>
      </c>
      <c r="B12" s="323">
        <f>+Report1!P13</f>
        <v>49.277000000000001</v>
      </c>
      <c r="C12" s="323">
        <f>+Report1!R13</f>
        <v>47.134</v>
      </c>
      <c r="D12" s="324">
        <f t="shared" si="13"/>
        <v>0</v>
      </c>
      <c r="E12" s="324">
        <f>+[8]DailyApr!$D11</f>
        <v>0</v>
      </c>
      <c r="F12" s="324">
        <f t="shared" si="0"/>
        <v>0</v>
      </c>
      <c r="G12" s="324">
        <f t="shared" si="1"/>
        <v>0</v>
      </c>
      <c r="H12" s="324">
        <f t="shared" si="14"/>
        <v>0</v>
      </c>
      <c r="I12" s="324">
        <f>+[8]DailyApr!$E11</f>
        <v>0</v>
      </c>
      <c r="J12" s="324">
        <f t="shared" si="2"/>
        <v>0</v>
      </c>
      <c r="K12" s="324">
        <f t="shared" si="3"/>
        <v>0</v>
      </c>
      <c r="L12" s="324">
        <f t="shared" si="15"/>
        <v>29100</v>
      </c>
      <c r="M12" s="324">
        <f>+[8]DailyApr!$F11</f>
        <v>6000</v>
      </c>
      <c r="N12" s="324">
        <f t="shared" si="4"/>
        <v>121.76065913103476</v>
      </c>
      <c r="O12" s="324">
        <f t="shared" si="5"/>
        <v>127.29664361183011</v>
      </c>
      <c r="P12" s="324">
        <f t="shared" si="16"/>
        <v>41900</v>
      </c>
      <c r="Q12" s="324">
        <f>+[8]DailyApr!$G11</f>
        <v>8100.0000000003638</v>
      </c>
      <c r="R12" s="324">
        <f t="shared" si="6"/>
        <v>164.37688982690432</v>
      </c>
      <c r="S12" s="324">
        <f t="shared" si="7"/>
        <v>171.85046887597835</v>
      </c>
      <c r="T12" s="324">
        <f t="shared" si="17"/>
        <v>34800.000000000182</v>
      </c>
      <c r="U12" s="324">
        <f>+[8]DailyApr!$H11</f>
        <v>6199.9999999998181</v>
      </c>
      <c r="V12" s="324">
        <f t="shared" si="8"/>
        <v>125.81934776873223</v>
      </c>
      <c r="W12" s="324">
        <f>U12/C12</f>
        <v>131.5398650655539</v>
      </c>
      <c r="X12" s="324">
        <f t="shared" si="18"/>
        <v>91210.46000000037</v>
      </c>
      <c r="Y12" s="324">
        <f>+[8]DailyApr!$I11</f>
        <v>13857.440000001456</v>
      </c>
      <c r="Z12" s="324">
        <f t="shared" si="19"/>
        <v>281.21517137815727</v>
      </c>
      <c r="AA12" s="324">
        <f t="shared" si="20"/>
        <v>294.00093350875068</v>
      </c>
      <c r="AB12" s="324">
        <f t="shared" si="21"/>
        <v>31950.46000000144</v>
      </c>
      <c r="AC12" s="324">
        <f>+[8]DailyApr!$J11</f>
        <v>5927.4400000002997</v>
      </c>
      <c r="AD12" s="324">
        <f t="shared" si="22"/>
        <v>120.28816689328286</v>
      </c>
      <c r="AE12" s="418">
        <f t="shared" si="23"/>
        <v>125.75720286842406</v>
      </c>
      <c r="AF12" s="324">
        <f t="shared" si="24"/>
        <v>38600.000000000364</v>
      </c>
      <c r="AG12" s="324">
        <f>+[8]DailyApr!$K11</f>
        <v>7399.9999999996362</v>
      </c>
      <c r="AH12" s="324">
        <f t="shared" si="25"/>
        <v>150.17147959493548</v>
      </c>
      <c r="AI12" s="447">
        <f t="shared" si="26"/>
        <v>156.99919378791608</v>
      </c>
      <c r="AJ12" s="324">
        <f t="shared" si="27"/>
        <v>1870</v>
      </c>
      <c r="AK12" s="324">
        <f>+[8]DailyApr!$L11</f>
        <v>350</v>
      </c>
      <c r="AL12" s="324">
        <f t="shared" si="28"/>
        <v>7.1027051159770274</v>
      </c>
      <c r="AM12" s="447">
        <f t="shared" si="29"/>
        <v>7.4256375440234228</v>
      </c>
      <c r="AN12" s="324">
        <f t="shared" si="30"/>
        <v>2640</v>
      </c>
      <c r="AO12" s="324">
        <f>+[8]DailyApr!$M11</f>
        <v>530</v>
      </c>
      <c r="AP12" s="324">
        <f t="shared" si="31"/>
        <v>10.75552488990807</v>
      </c>
      <c r="AQ12" s="447">
        <f t="shared" si="32"/>
        <v>11.244536852378326</v>
      </c>
      <c r="AR12" s="324">
        <f>+E12+I12+M12+Q12+U12+Y12+AC12+AG12+AK12+AO12</f>
        <v>48364.880000001576</v>
      </c>
      <c r="AS12" s="321">
        <f t="shared" si="10"/>
        <v>981.48994459893208</v>
      </c>
      <c r="AT12" s="322">
        <f t="shared" si="11"/>
        <v>1026.114482114855</v>
      </c>
      <c r="AV12" s="20"/>
      <c r="AW12" t="s">
        <v>177</v>
      </c>
      <c r="AX12" s="13">
        <f>+N39</f>
        <v>0</v>
      </c>
      <c r="AY12" s="13">
        <f>+O39</f>
        <v>0</v>
      </c>
    </row>
    <row r="13" spans="1:51">
      <c r="A13" s="315">
        <f t="shared" si="12"/>
        <v>46118</v>
      </c>
      <c r="B13" s="323">
        <f>+Report1!P14</f>
        <v>60.231999999999999</v>
      </c>
      <c r="C13" s="323">
        <f>+Report1!R14</f>
        <v>58.991999999999997</v>
      </c>
      <c r="D13" s="324">
        <f t="shared" si="13"/>
        <v>0</v>
      </c>
      <c r="E13" s="324">
        <f>+[8]DailyApr!$D12</f>
        <v>0</v>
      </c>
      <c r="F13" s="324">
        <f t="shared" si="0"/>
        <v>0</v>
      </c>
      <c r="G13" s="324">
        <f t="shared" si="1"/>
        <v>0</v>
      </c>
      <c r="H13" s="324">
        <f t="shared" si="14"/>
        <v>0</v>
      </c>
      <c r="I13" s="324">
        <f>+[8]DailyApr!$E12</f>
        <v>0</v>
      </c>
      <c r="J13" s="324">
        <f t="shared" si="2"/>
        <v>0</v>
      </c>
      <c r="K13" s="324">
        <f t="shared" si="3"/>
        <v>0</v>
      </c>
      <c r="L13" s="324">
        <f t="shared" si="15"/>
        <v>35100</v>
      </c>
      <c r="M13" s="324">
        <f>+[8]DailyApr!$F12</f>
        <v>6000</v>
      </c>
      <c r="N13" s="324">
        <f t="shared" si="4"/>
        <v>99.614822685615621</v>
      </c>
      <c r="O13" s="324">
        <f t="shared" si="5"/>
        <v>101.70870626525631</v>
      </c>
      <c r="P13" s="324">
        <f t="shared" si="16"/>
        <v>50200.000000001091</v>
      </c>
      <c r="Q13" s="324">
        <f>+[8]DailyApr!$G12</f>
        <v>8300.0000000010914</v>
      </c>
      <c r="R13" s="324">
        <f t="shared" si="6"/>
        <v>137.80050471511973</v>
      </c>
      <c r="S13" s="324">
        <f t="shared" si="7"/>
        <v>140.6970436669564</v>
      </c>
      <c r="T13" s="324">
        <f t="shared" si="17"/>
        <v>42199.999999999818</v>
      </c>
      <c r="U13" s="324">
        <f>+[8]DailyApr!$H12</f>
        <v>7399.9999999996362</v>
      </c>
      <c r="V13" s="324">
        <f t="shared" si="8"/>
        <v>122.85828131225323</v>
      </c>
      <c r="W13" s="324">
        <f t="shared" si="9"/>
        <v>125.44073772714329</v>
      </c>
      <c r="X13" s="324">
        <f t="shared" si="18"/>
        <v>107530.91</v>
      </c>
      <c r="Y13" s="324">
        <f>+[8]DailyApr!$I12</f>
        <v>16320.449999999637</v>
      </c>
      <c r="Z13" s="324">
        <f t="shared" si="19"/>
        <v>270.95978881656987</v>
      </c>
      <c r="AA13" s="324">
        <f t="shared" si="20"/>
        <v>276.65530919446093</v>
      </c>
      <c r="AB13" s="324">
        <f t="shared" si="21"/>
        <v>38110.91000000076</v>
      </c>
      <c r="AC13" s="324">
        <f>+[8]DailyApr!$J12</f>
        <v>6160.4499999993168</v>
      </c>
      <c r="AD13" s="324">
        <f t="shared" si="22"/>
        <v>102.27868906892212</v>
      </c>
      <c r="AE13" s="418">
        <f t="shared" si="23"/>
        <v>104.42856658528812</v>
      </c>
      <c r="AF13" s="324">
        <f t="shared" si="24"/>
        <v>45899.999999999636</v>
      </c>
      <c r="AG13" s="324">
        <f>+[8]DailyApr!$K12</f>
        <v>7299.9999999992724</v>
      </c>
      <c r="AH13" s="324">
        <f t="shared" si="25"/>
        <v>121.19803426748693</v>
      </c>
      <c r="AI13" s="447">
        <f t="shared" si="26"/>
        <v>123.74559262271617</v>
      </c>
      <c r="AJ13" s="324">
        <f t="shared" si="27"/>
        <v>2220</v>
      </c>
      <c r="AK13" s="324">
        <f>+[8]DailyApr!$L12</f>
        <v>350</v>
      </c>
      <c r="AL13" s="324">
        <f t="shared" si="28"/>
        <v>5.810864656660911</v>
      </c>
      <c r="AM13" s="447">
        <f t="shared" si="29"/>
        <v>5.933007865473285</v>
      </c>
      <c r="AN13" s="324">
        <f t="shared" si="30"/>
        <v>3190</v>
      </c>
      <c r="AO13" s="324">
        <f>+[8]DailyApr!$M12</f>
        <v>550</v>
      </c>
      <c r="AP13" s="324">
        <f t="shared" si="31"/>
        <v>9.1313587461814318</v>
      </c>
      <c r="AQ13" s="447">
        <f t="shared" si="32"/>
        <v>9.3232980743151614</v>
      </c>
      <c r="AR13" s="324">
        <f t="shared" si="33"/>
        <v>52380.899999998946</v>
      </c>
      <c r="AS13" s="321">
        <f t="shared" si="10"/>
        <v>869.65234426880977</v>
      </c>
      <c r="AT13" s="322">
        <f t="shared" si="11"/>
        <v>887.9322620016095</v>
      </c>
      <c r="AV13" s="20"/>
      <c r="AW13" t="s">
        <v>178</v>
      </c>
      <c r="AX13" s="13">
        <f>+R39</f>
        <v>0</v>
      </c>
      <c r="AY13" s="13">
        <f>+S39</f>
        <v>0</v>
      </c>
    </row>
    <row r="14" spans="1:51">
      <c r="A14" s="315">
        <f t="shared" si="12"/>
        <v>46119</v>
      </c>
      <c r="B14" s="323">
        <f>+Report1!P15</f>
        <v>61.576999999999998</v>
      </c>
      <c r="C14" s="323">
        <f>+Report1!R15</f>
        <v>60.41</v>
      </c>
      <c r="D14" s="324">
        <f t="shared" si="13"/>
        <v>0</v>
      </c>
      <c r="E14" s="324">
        <f>+[8]DailyApr!$D13</f>
        <v>0</v>
      </c>
      <c r="F14" s="324">
        <f t="shared" si="0"/>
        <v>0</v>
      </c>
      <c r="G14" s="324">
        <f t="shared" si="1"/>
        <v>0</v>
      </c>
      <c r="H14" s="324">
        <f t="shared" si="14"/>
        <v>0</v>
      </c>
      <c r="I14" s="324">
        <f>+[8]DailyApr!$E13</f>
        <v>0</v>
      </c>
      <c r="J14" s="324">
        <f t="shared" si="2"/>
        <v>0</v>
      </c>
      <c r="K14" s="324">
        <f t="shared" si="3"/>
        <v>0</v>
      </c>
      <c r="L14" s="324">
        <f t="shared" si="15"/>
        <v>41100</v>
      </c>
      <c r="M14" s="324">
        <f>+[8]DailyApr!$F13</f>
        <v>6000</v>
      </c>
      <c r="N14" s="324">
        <f t="shared" si="4"/>
        <v>97.438978839501772</v>
      </c>
      <c r="O14" s="324">
        <f t="shared" si="5"/>
        <v>99.321304419798054</v>
      </c>
      <c r="P14" s="324">
        <f t="shared" si="16"/>
        <v>58700.000000001091</v>
      </c>
      <c r="Q14" s="324">
        <f>+[8]DailyApr!$G13</f>
        <v>8500</v>
      </c>
      <c r="R14" s="324">
        <f t="shared" si="6"/>
        <v>138.03855335596083</v>
      </c>
      <c r="S14" s="324">
        <f t="shared" si="7"/>
        <v>140.70518126138057</v>
      </c>
      <c r="T14" s="324">
        <f t="shared" si="17"/>
        <v>50100.000000000364</v>
      </c>
      <c r="U14" s="324">
        <f>+[8]DailyApr!$H13</f>
        <v>7900.0000000005457</v>
      </c>
      <c r="V14" s="324">
        <f t="shared" si="8"/>
        <v>128.29465547201951</v>
      </c>
      <c r="W14" s="324">
        <f t="shared" si="9"/>
        <v>130.7730508194098</v>
      </c>
      <c r="X14" s="324">
        <f t="shared" si="18"/>
        <v>125622.06000000038</v>
      </c>
      <c r="Y14" s="324">
        <f>+[8]DailyApr!$I13</f>
        <v>18091.150000000365</v>
      </c>
      <c r="Z14" s="324">
        <f t="shared" si="19"/>
        <v>293.79719700538135</v>
      </c>
      <c r="AA14" s="324">
        <f t="shared" si="20"/>
        <v>299.4727694090443</v>
      </c>
      <c r="AB14" s="324">
        <f t="shared" si="21"/>
        <v>44232.060000001416</v>
      </c>
      <c r="AC14" s="324">
        <f>+[8]DailyApr!$J13</f>
        <v>6121.150000000659</v>
      </c>
      <c r="AD14" s="324">
        <f t="shared" si="22"/>
        <v>99.406434220580067</v>
      </c>
      <c r="AE14" s="418">
        <f t="shared" si="23"/>
        <v>101.32676709155206</v>
      </c>
      <c r="AF14" s="324">
        <f t="shared" si="24"/>
        <v>53300.000000001091</v>
      </c>
      <c r="AG14" s="324">
        <f>+[8]DailyApr!$K13</f>
        <v>7400.0000000014552</v>
      </c>
      <c r="AH14" s="324">
        <f t="shared" si="25"/>
        <v>120.17474056874248</v>
      </c>
      <c r="AI14" s="447">
        <f t="shared" si="26"/>
        <v>122.49627545110835</v>
      </c>
      <c r="AJ14" s="324">
        <f t="shared" si="27"/>
        <v>2580</v>
      </c>
      <c r="AK14" s="324">
        <f>+[8]DailyApr!$L13</f>
        <v>360</v>
      </c>
      <c r="AL14" s="324">
        <f t="shared" si="28"/>
        <v>5.846338730370106</v>
      </c>
      <c r="AM14" s="447">
        <f t="shared" si="29"/>
        <v>5.9592782651878835</v>
      </c>
      <c r="AN14" s="324">
        <f t="shared" si="30"/>
        <v>3750</v>
      </c>
      <c r="AO14" s="324">
        <f>+[8]DailyApr!$M13</f>
        <v>560</v>
      </c>
      <c r="AP14" s="324">
        <f t="shared" si="31"/>
        <v>9.0943046916868315</v>
      </c>
      <c r="AQ14" s="447">
        <f t="shared" si="32"/>
        <v>9.2699884125144845</v>
      </c>
      <c r="AR14" s="324">
        <f t="shared" si="33"/>
        <v>54932.300000003022</v>
      </c>
      <c r="AS14" s="321">
        <f t="shared" si="10"/>
        <v>892.09120288424288</v>
      </c>
      <c r="AT14" s="322">
        <f t="shared" si="11"/>
        <v>909.32461512999544</v>
      </c>
      <c r="AV14" s="20"/>
      <c r="AW14" t="s">
        <v>179</v>
      </c>
      <c r="AX14" s="13">
        <f>+V39</f>
        <v>0</v>
      </c>
      <c r="AY14" s="13">
        <f>+W39</f>
        <v>0</v>
      </c>
    </row>
    <row r="15" spans="1:51">
      <c r="A15" s="315">
        <f t="shared" si="12"/>
        <v>46120</v>
      </c>
      <c r="B15" s="323">
        <f>+Report1!P16</f>
        <v>62.326000000000008</v>
      </c>
      <c r="C15" s="323">
        <f>+Report1!R16</f>
        <v>59.228999999999999</v>
      </c>
      <c r="D15" s="324">
        <f t="shared" si="13"/>
        <v>0</v>
      </c>
      <c r="E15" s="324">
        <f>+[8]DailyApr!$D14</f>
        <v>0</v>
      </c>
      <c r="F15" s="324">
        <f t="shared" si="0"/>
        <v>0</v>
      </c>
      <c r="G15" s="324">
        <f t="shared" si="1"/>
        <v>0</v>
      </c>
      <c r="H15" s="324">
        <f t="shared" si="14"/>
        <v>0</v>
      </c>
      <c r="I15" s="324">
        <f>+[8]DailyApr!$E14</f>
        <v>0</v>
      </c>
      <c r="J15" s="324">
        <f t="shared" si="2"/>
        <v>0</v>
      </c>
      <c r="K15" s="324">
        <f t="shared" si="3"/>
        <v>0</v>
      </c>
      <c r="L15" s="324">
        <f t="shared" si="15"/>
        <v>47200</v>
      </c>
      <c r="M15" s="324">
        <f>+[8]DailyApr!$F14</f>
        <v>6100</v>
      </c>
      <c r="N15" s="324">
        <f t="shared" si="4"/>
        <v>97.872476975900895</v>
      </c>
      <c r="O15" s="324">
        <f t="shared" si="5"/>
        <v>102.99008931435614</v>
      </c>
      <c r="P15" s="324">
        <f t="shared" si="16"/>
        <v>67400.000000000364</v>
      </c>
      <c r="Q15" s="324">
        <f>+[8]DailyApr!$G14</f>
        <v>8699.9999999992724</v>
      </c>
      <c r="R15" s="324">
        <f t="shared" si="6"/>
        <v>139.58861470332238</v>
      </c>
      <c r="S15" s="324">
        <f t="shared" si="7"/>
        <v>146.88750443193828</v>
      </c>
      <c r="T15" s="324">
        <f t="shared" si="17"/>
        <v>58000</v>
      </c>
      <c r="U15" s="324">
        <f>+[8]DailyApr!$H14</f>
        <v>7899.9999999996362</v>
      </c>
      <c r="V15" s="324">
        <f t="shared" si="8"/>
        <v>126.75288001796417</v>
      </c>
      <c r="W15" s="324">
        <f t="shared" si="9"/>
        <v>133.3806074726846</v>
      </c>
      <c r="X15" s="324">
        <f t="shared" si="18"/>
        <v>145508.52000000037</v>
      </c>
      <c r="Y15" s="324">
        <f>+[8]DailyApr!$I14</f>
        <v>19886.46</v>
      </c>
      <c r="Z15" s="324">
        <f t="shared" si="19"/>
        <v>319.07165548888099</v>
      </c>
      <c r="AA15" s="324">
        <f t="shared" si="20"/>
        <v>335.7554576305526</v>
      </c>
      <c r="AB15" s="324">
        <f t="shared" si="21"/>
        <v>51548.520000001481</v>
      </c>
      <c r="AC15" s="324">
        <f>+[8]DailyApr!$J14</f>
        <v>7316.4600000000673</v>
      </c>
      <c r="AD15" s="324">
        <f t="shared" si="22"/>
        <v>117.39017424509942</v>
      </c>
      <c r="AE15" s="418">
        <f t="shared" si="23"/>
        <v>123.52833915818378</v>
      </c>
      <c r="AF15" s="324">
        <f t="shared" si="24"/>
        <v>61000</v>
      </c>
      <c r="AG15" s="324">
        <f>+[8]DailyApr!$K14</f>
        <v>7699.9999999989086</v>
      </c>
      <c r="AH15" s="324">
        <f t="shared" si="25"/>
        <v>123.54394634661149</v>
      </c>
      <c r="AI15" s="447">
        <f t="shared" si="26"/>
        <v>130.00388323285736</v>
      </c>
      <c r="AJ15" s="324">
        <f t="shared" si="27"/>
        <v>2950</v>
      </c>
      <c r="AK15" s="324">
        <f>+[8]DailyApr!$L14</f>
        <v>370</v>
      </c>
      <c r="AL15" s="324">
        <f t="shared" si="28"/>
        <v>5.936527291980874</v>
      </c>
      <c r="AM15" s="447">
        <f t="shared" si="29"/>
        <v>6.2469398436576675</v>
      </c>
      <c r="AN15" s="324">
        <f t="shared" si="30"/>
        <v>4340</v>
      </c>
      <c r="AO15" s="324">
        <f>+[8]DailyApr!$M14</f>
        <v>590</v>
      </c>
      <c r="AP15" s="324">
        <f t="shared" si="31"/>
        <v>9.4663543304559887</v>
      </c>
      <c r="AQ15" s="447">
        <f t="shared" si="32"/>
        <v>9.9613365074541189</v>
      </c>
      <c r="AR15" s="324">
        <f t="shared" si="33"/>
        <v>58562.919999997881</v>
      </c>
      <c r="AS15" s="321">
        <f t="shared" si="10"/>
        <v>939.62262940021617</v>
      </c>
      <c r="AT15" s="322">
        <f t="shared" si="11"/>
        <v>988.75415759168447</v>
      </c>
      <c r="AV15" s="20"/>
      <c r="AW15" t="s">
        <v>180</v>
      </c>
      <c r="AX15" s="13">
        <f>+Z39</f>
        <v>0</v>
      </c>
      <c r="AY15" s="13">
        <f>+AA39</f>
        <v>0</v>
      </c>
    </row>
    <row r="16" spans="1:51">
      <c r="A16" s="315">
        <f t="shared" si="12"/>
        <v>46121</v>
      </c>
      <c r="B16" s="323">
        <f>+Report1!P17</f>
        <v>62.637000000000008</v>
      </c>
      <c r="C16" s="323">
        <f>+Report1!R17</f>
        <v>61.509</v>
      </c>
      <c r="D16" s="324">
        <f t="shared" si="13"/>
        <v>0</v>
      </c>
      <c r="E16" s="324">
        <f>+[8]DailyApr!$D15</f>
        <v>0</v>
      </c>
      <c r="F16" s="324">
        <f t="shared" si="0"/>
        <v>0</v>
      </c>
      <c r="G16" s="324">
        <f t="shared" si="1"/>
        <v>0</v>
      </c>
      <c r="H16" s="324">
        <f t="shared" si="14"/>
        <v>0</v>
      </c>
      <c r="I16" s="324">
        <f>+[8]DailyApr!$E15</f>
        <v>0</v>
      </c>
      <c r="J16" s="324">
        <f t="shared" si="2"/>
        <v>0</v>
      </c>
      <c r="K16" s="324">
        <f t="shared" si="3"/>
        <v>0</v>
      </c>
      <c r="L16" s="324">
        <f t="shared" si="15"/>
        <v>52900</v>
      </c>
      <c r="M16" s="324">
        <f>+[8]DailyApr!$F15</f>
        <v>5700</v>
      </c>
      <c r="N16" s="324">
        <f t="shared" si="4"/>
        <v>91.000526845155406</v>
      </c>
      <c r="O16" s="324">
        <f t="shared" si="5"/>
        <v>92.669365458713358</v>
      </c>
      <c r="P16" s="324">
        <f t="shared" si="16"/>
        <v>75700.000000000364</v>
      </c>
      <c r="Q16" s="324">
        <f>+[8]DailyApr!$G15</f>
        <v>8300</v>
      </c>
      <c r="R16" s="324">
        <f t="shared" si="6"/>
        <v>132.50953909031401</v>
      </c>
      <c r="S16" s="324">
        <f t="shared" si="7"/>
        <v>134.93960233461769</v>
      </c>
      <c r="T16" s="324">
        <f t="shared" si="17"/>
        <v>65500</v>
      </c>
      <c r="U16" s="324">
        <f>+[8]DailyApr!$H15</f>
        <v>7500</v>
      </c>
      <c r="V16" s="324">
        <f t="shared" si="8"/>
        <v>119.73753532257291</v>
      </c>
      <c r="W16" s="324">
        <f t="shared" si="9"/>
        <v>121.93337560357021</v>
      </c>
      <c r="X16" s="324">
        <f t="shared" si="18"/>
        <v>163185.91000000038</v>
      </c>
      <c r="Y16" s="324">
        <f>+[8]DailyApr!$I15</f>
        <v>17677.39</v>
      </c>
      <c r="Z16" s="324">
        <f t="shared" si="19"/>
        <v>282.21961460478627</v>
      </c>
      <c r="AA16" s="324">
        <f t="shared" si="20"/>
        <v>287.39517794143944</v>
      </c>
      <c r="AB16" s="324">
        <f t="shared" si="21"/>
        <v>57385.910000001066</v>
      </c>
      <c r="AC16" s="324">
        <f>+[8]DailyApr!$J15</f>
        <v>5837.3899999995883</v>
      </c>
      <c r="AD16" s="324">
        <f t="shared" si="22"/>
        <v>93.193958842211273</v>
      </c>
      <c r="AE16" s="418">
        <f t="shared" si="23"/>
        <v>94.903022321929939</v>
      </c>
      <c r="AF16" s="324">
        <f t="shared" si="24"/>
        <v>68500</v>
      </c>
      <c r="AG16" s="324">
        <f>+[8]DailyApr!$K15</f>
        <v>7500</v>
      </c>
      <c r="AH16" s="324">
        <f t="shared" si="25"/>
        <v>119.73753532257291</v>
      </c>
      <c r="AI16" s="447">
        <f t="shared" si="26"/>
        <v>121.93337560357021</v>
      </c>
      <c r="AJ16" s="324">
        <f t="shared" si="27"/>
        <v>3320</v>
      </c>
      <c r="AK16" s="324">
        <f>+[8]DailyApr!$L15</f>
        <v>370</v>
      </c>
      <c r="AL16" s="324">
        <f t="shared" si="28"/>
        <v>5.9070517425802631</v>
      </c>
      <c r="AM16" s="447">
        <f t="shared" si="29"/>
        <v>6.0153798631094633</v>
      </c>
      <c r="AN16" s="324">
        <f t="shared" si="30"/>
        <v>4880</v>
      </c>
      <c r="AO16" s="324">
        <f>+[8]DailyApr!$M15</f>
        <v>540</v>
      </c>
      <c r="AP16" s="324">
        <f t="shared" si="31"/>
        <v>8.6211025432252484</v>
      </c>
      <c r="AQ16" s="447">
        <f t="shared" si="32"/>
        <v>8.7792030434570556</v>
      </c>
      <c r="AR16" s="324">
        <f t="shared" si="33"/>
        <v>53424.779999999591</v>
      </c>
      <c r="AS16" s="321">
        <f t="shared" si="10"/>
        <v>852.92686431341838</v>
      </c>
      <c r="AT16" s="322">
        <f t="shared" si="11"/>
        <v>868.56850217040744</v>
      </c>
      <c r="AV16" s="20"/>
      <c r="AX16" s="18">
        <f>SUM(AX10:AX15)</f>
        <v>0</v>
      </c>
      <c r="AY16" s="18">
        <f>SUM(AY10:AY15)</f>
        <v>0</v>
      </c>
    </row>
    <row r="17" spans="1:51">
      <c r="A17" s="315">
        <f t="shared" si="12"/>
        <v>46122</v>
      </c>
      <c r="B17" s="323">
        <f>+Report1!P18</f>
        <v>77.078000000000003</v>
      </c>
      <c r="C17" s="323">
        <f>+Report1!R18</f>
        <v>65.072000000000003</v>
      </c>
      <c r="D17" s="324">
        <f t="shared" si="13"/>
        <v>0</v>
      </c>
      <c r="E17" s="324">
        <f>+[8]DailyApr!$D16</f>
        <v>0</v>
      </c>
      <c r="F17" s="324">
        <f t="shared" si="0"/>
        <v>0</v>
      </c>
      <c r="G17" s="324">
        <f t="shared" si="1"/>
        <v>0</v>
      </c>
      <c r="H17" s="324">
        <f t="shared" si="14"/>
        <v>0</v>
      </c>
      <c r="I17" s="324">
        <f>+[8]DailyApr!$E16</f>
        <v>0</v>
      </c>
      <c r="J17" s="324">
        <f t="shared" si="2"/>
        <v>0</v>
      </c>
      <c r="K17" s="324">
        <f t="shared" si="3"/>
        <v>0</v>
      </c>
      <c r="L17" s="324">
        <f t="shared" si="15"/>
        <v>58900</v>
      </c>
      <c r="M17" s="324">
        <f>+[8]DailyApr!$F16</f>
        <v>6000</v>
      </c>
      <c r="N17" s="324">
        <f t="shared" si="4"/>
        <v>77.843223747372789</v>
      </c>
      <c r="O17" s="324">
        <f t="shared" si="5"/>
        <v>92.205556921563797</v>
      </c>
      <c r="P17" s="324">
        <f t="shared" si="16"/>
        <v>84700.000000000364</v>
      </c>
      <c r="Q17" s="324">
        <f>+[8]DailyApr!$G16</f>
        <v>9000</v>
      </c>
      <c r="R17" s="324">
        <f t="shared" si="6"/>
        <v>116.76483562105918</v>
      </c>
      <c r="S17" s="324">
        <f t="shared" si="7"/>
        <v>138.30833538234572</v>
      </c>
      <c r="T17" s="324">
        <f t="shared" si="17"/>
        <v>70800.000000000175</v>
      </c>
      <c r="U17" s="324">
        <f>+[8]DailyApr!$H16</f>
        <v>5300.0000000001819</v>
      </c>
      <c r="V17" s="324">
        <f t="shared" si="8"/>
        <v>68.761514310181653</v>
      </c>
      <c r="W17" s="324">
        <f t="shared" si="9"/>
        <v>81.448241947384147</v>
      </c>
      <c r="X17" s="324">
        <f t="shared" si="18"/>
        <v>176886.47999999966</v>
      </c>
      <c r="Y17" s="324">
        <f>+[8]DailyApr!$I16</f>
        <v>13700.569999999272</v>
      </c>
      <c r="Z17" s="324">
        <f t="shared" si="19"/>
        <v>177.74942266274775</v>
      </c>
      <c r="AA17" s="324">
        <f t="shared" si="20"/>
        <v>210.54478116546704</v>
      </c>
      <c r="AB17" s="324">
        <f t="shared" si="21"/>
        <v>65226.480000001138</v>
      </c>
      <c r="AC17" s="324">
        <f>+[8]DailyApr!$J16</f>
        <v>7840.5700000000697</v>
      </c>
      <c r="AD17" s="324">
        <f t="shared" si="22"/>
        <v>101.72254080282401</v>
      </c>
      <c r="AE17" s="418">
        <f t="shared" si="23"/>
        <v>120.49068723875199</v>
      </c>
      <c r="AF17" s="324">
        <f t="shared" si="24"/>
        <v>83200.000000000728</v>
      </c>
      <c r="AG17" s="324">
        <f>+[8]DailyApr!$K16</f>
        <v>14700.000000000728</v>
      </c>
      <c r="AH17" s="324">
        <f t="shared" si="25"/>
        <v>190.71589818107276</v>
      </c>
      <c r="AI17" s="447">
        <f t="shared" si="26"/>
        <v>225.90361445784251</v>
      </c>
      <c r="AJ17" s="324">
        <f t="shared" si="27"/>
        <v>3790</v>
      </c>
      <c r="AK17" s="324">
        <f>+[8]DailyApr!$L16</f>
        <v>470</v>
      </c>
      <c r="AL17" s="324">
        <f t="shared" si="28"/>
        <v>6.0977191935442017</v>
      </c>
      <c r="AM17" s="447">
        <f t="shared" si="29"/>
        <v>7.2227686255224981</v>
      </c>
      <c r="AN17" s="324">
        <f t="shared" si="30"/>
        <v>5580</v>
      </c>
      <c r="AO17" s="324">
        <f>+[8]DailyApr!$M16</f>
        <v>700</v>
      </c>
      <c r="AP17" s="324">
        <f t="shared" si="31"/>
        <v>9.0817094371934921</v>
      </c>
      <c r="AQ17" s="447">
        <f t="shared" si="32"/>
        <v>10.757314974182444</v>
      </c>
      <c r="AR17" s="324">
        <f t="shared" si="33"/>
        <v>57711.140000000254</v>
      </c>
      <c r="AS17" s="321">
        <f t="shared" si="10"/>
        <v>748.73686395599589</v>
      </c>
      <c r="AT17" s="322">
        <f t="shared" si="11"/>
        <v>886.88130071306023</v>
      </c>
      <c r="AV17" s="20" t="s">
        <v>189</v>
      </c>
      <c r="AW17" t="s">
        <v>181</v>
      </c>
      <c r="AX17" s="13">
        <f>+AD39</f>
        <v>0</v>
      </c>
      <c r="AY17" s="13">
        <f>+AE39</f>
        <v>0</v>
      </c>
    </row>
    <row r="18" spans="1:51">
      <c r="A18" s="315">
        <f t="shared" si="12"/>
        <v>46123</v>
      </c>
      <c r="B18" s="323">
        <f>+Report1!P19</f>
        <v>82.43</v>
      </c>
      <c r="C18" s="323">
        <f>+Report1!R19</f>
        <v>80.748000000000005</v>
      </c>
      <c r="D18" s="324">
        <f t="shared" si="13"/>
        <v>0</v>
      </c>
      <c r="E18" s="324">
        <f>+[8]DailyApr!$D17</f>
        <v>0</v>
      </c>
      <c r="F18" s="318">
        <f t="shared" si="0"/>
        <v>0</v>
      </c>
      <c r="G18" s="318">
        <f t="shared" si="1"/>
        <v>0</v>
      </c>
      <c r="H18" s="324">
        <f t="shared" si="14"/>
        <v>0</v>
      </c>
      <c r="I18" s="324">
        <f>+[8]DailyApr!$E17</f>
        <v>0</v>
      </c>
      <c r="J18" s="318">
        <f t="shared" si="2"/>
        <v>0</v>
      </c>
      <c r="K18" s="318">
        <f t="shared" si="3"/>
        <v>0</v>
      </c>
      <c r="L18" s="324">
        <f t="shared" si="15"/>
        <v>64800</v>
      </c>
      <c r="M18" s="324">
        <f>+[8]DailyApr!$F17</f>
        <v>5900</v>
      </c>
      <c r="N18" s="318">
        <f t="shared" si="4"/>
        <v>71.575882567026568</v>
      </c>
      <c r="O18" s="318">
        <f t="shared" si="5"/>
        <v>73.066825184524689</v>
      </c>
      <c r="P18" s="324">
        <f t="shared" si="16"/>
        <v>92800.000000000364</v>
      </c>
      <c r="Q18" s="324">
        <f>+[8]DailyApr!$G17</f>
        <v>8100</v>
      </c>
      <c r="R18" s="318">
        <f t="shared" si="6"/>
        <v>98.265194710663579</v>
      </c>
      <c r="S18" s="318">
        <f t="shared" si="7"/>
        <v>100.31208203299153</v>
      </c>
      <c r="T18" s="324">
        <f t="shared" si="17"/>
        <v>76000</v>
      </c>
      <c r="U18" s="324">
        <f>+[8]DailyApr!$H17</f>
        <v>5199.9999999998181</v>
      </c>
      <c r="V18" s="318">
        <f t="shared" si="8"/>
        <v>63.083828703139851</v>
      </c>
      <c r="W18" s="318">
        <f t="shared" si="9"/>
        <v>64.397879823646633</v>
      </c>
      <c r="X18" s="324">
        <f t="shared" si="18"/>
        <v>190006.31000000003</v>
      </c>
      <c r="Y18" s="324">
        <f>+[8]DailyApr!$I17</f>
        <v>13119.830000000364</v>
      </c>
      <c r="Z18" s="324">
        <f t="shared" si="19"/>
        <v>159.16329006430138</v>
      </c>
      <c r="AA18" s="324">
        <f t="shared" si="20"/>
        <v>162.47869916283204</v>
      </c>
      <c r="AB18" s="324">
        <f t="shared" si="21"/>
        <v>73306.310000001133</v>
      </c>
      <c r="AC18" s="324">
        <f>+[8]DailyApr!$J17</f>
        <v>8079.8299999999981</v>
      </c>
      <c r="AD18" s="324">
        <f t="shared" si="22"/>
        <v>98.020502244328483</v>
      </c>
      <c r="AE18" s="418">
        <f t="shared" si="23"/>
        <v>100.0622925645217</v>
      </c>
      <c r="AF18" s="324">
        <f t="shared" si="24"/>
        <v>98100.000000000364</v>
      </c>
      <c r="AG18" s="324">
        <f>+[8]DailyApr!$K17</f>
        <v>14899.999999999636</v>
      </c>
      <c r="AH18" s="324">
        <f t="shared" si="25"/>
        <v>180.75943224553725</v>
      </c>
      <c r="AI18" s="447">
        <f t="shared" si="26"/>
        <v>184.52469411006632</v>
      </c>
      <c r="AJ18" s="324">
        <f t="shared" si="27"/>
        <v>4270</v>
      </c>
      <c r="AK18" s="324">
        <f>+[8]DailyApr!$L17</f>
        <v>480</v>
      </c>
      <c r="AL18" s="324">
        <f t="shared" si="28"/>
        <v>5.8231226495208048</v>
      </c>
      <c r="AM18" s="447">
        <f t="shared" si="29"/>
        <v>5.9444196760291277</v>
      </c>
      <c r="AN18" s="324">
        <f t="shared" si="30"/>
        <v>6330</v>
      </c>
      <c r="AO18" s="324">
        <f>+[8]DailyApr!$M17</f>
        <v>750</v>
      </c>
      <c r="AP18" s="324">
        <f t="shared" si="31"/>
        <v>9.0986291398762571</v>
      </c>
      <c r="AQ18" s="447">
        <f t="shared" si="32"/>
        <v>9.288155743795512</v>
      </c>
      <c r="AR18" s="324">
        <f t="shared" si="33"/>
        <v>56529.659999999814</v>
      </c>
      <c r="AS18" s="321">
        <f t="shared" si="10"/>
        <v>685.78988232439417</v>
      </c>
      <c r="AT18" s="322">
        <f t="shared" si="11"/>
        <v>700.07504829840752</v>
      </c>
      <c r="AV18" s="20"/>
      <c r="AW18" t="s">
        <v>182</v>
      </c>
      <c r="AX18" s="13">
        <f>+AH39</f>
        <v>0</v>
      </c>
      <c r="AY18" s="13">
        <f>+AI39</f>
        <v>0</v>
      </c>
    </row>
    <row r="19" spans="1:51">
      <c r="A19" s="315">
        <f t="shared" si="12"/>
        <v>46124</v>
      </c>
      <c r="B19" s="323">
        <f>+Report1!P20</f>
        <v>82.275000000000006</v>
      </c>
      <c r="C19" s="323">
        <f>+Report1!R20</f>
        <v>89.156000000000006</v>
      </c>
      <c r="D19" s="324">
        <f t="shared" si="13"/>
        <v>0</v>
      </c>
      <c r="E19" s="324">
        <f>+[8]DailyApr!$D18</f>
        <v>0</v>
      </c>
      <c r="F19" s="318">
        <f t="shared" si="0"/>
        <v>0</v>
      </c>
      <c r="G19" s="318">
        <f t="shared" si="1"/>
        <v>0</v>
      </c>
      <c r="H19" s="324">
        <f t="shared" si="14"/>
        <v>0</v>
      </c>
      <c r="I19" s="324">
        <f>+[8]DailyApr!$E18</f>
        <v>0</v>
      </c>
      <c r="J19" s="318">
        <f t="shared" si="2"/>
        <v>0</v>
      </c>
      <c r="K19" s="318">
        <f t="shared" si="3"/>
        <v>0</v>
      </c>
      <c r="L19" s="324">
        <f t="shared" si="15"/>
        <v>70800</v>
      </c>
      <c r="M19" s="324">
        <f>+[8]DailyApr!$F18</f>
        <v>6000</v>
      </c>
      <c r="N19" s="318">
        <f t="shared" si="4"/>
        <v>72.926162260711024</v>
      </c>
      <c r="O19" s="318">
        <f t="shared" si="5"/>
        <v>67.297770200547347</v>
      </c>
      <c r="P19" s="324">
        <f t="shared" si="16"/>
        <v>101800.00000000036</v>
      </c>
      <c r="Q19" s="324">
        <f>+[8]DailyApr!$G18</f>
        <v>9000</v>
      </c>
      <c r="R19" s="318">
        <f t="shared" si="6"/>
        <v>109.38924339106654</v>
      </c>
      <c r="S19" s="318">
        <f t="shared" si="7"/>
        <v>100.94665530082102</v>
      </c>
      <c r="T19" s="324">
        <f t="shared" si="17"/>
        <v>81300.000000000175</v>
      </c>
      <c r="U19" s="324">
        <f>+[8]DailyApr!$H18</f>
        <v>5300.0000000001819</v>
      </c>
      <c r="V19" s="318">
        <f t="shared" si="8"/>
        <v>64.418109996963622</v>
      </c>
      <c r="W19" s="318">
        <f t="shared" si="9"/>
        <v>59.446363677152199</v>
      </c>
      <c r="X19" s="324">
        <f t="shared" si="18"/>
        <v>204358.38999999929</v>
      </c>
      <c r="Y19" s="324">
        <f>+[8]DailyApr!$I18</f>
        <v>14352.079999999272</v>
      </c>
      <c r="Z19" s="324">
        <f t="shared" si="19"/>
        <v>174.44035247644206</v>
      </c>
      <c r="AA19" s="324">
        <f t="shared" si="20"/>
        <v>160.97716362330377</v>
      </c>
      <c r="AB19" s="324">
        <f t="shared" si="21"/>
        <v>81398.390000001426</v>
      </c>
      <c r="AC19" s="324">
        <f>+[8]DailyApr!$J18</f>
        <v>8092.0800000002973</v>
      </c>
      <c r="AD19" s="324">
        <f t="shared" si="22"/>
        <v>98.354056517779355</v>
      </c>
      <c r="AE19" s="418">
        <f t="shared" si="23"/>
        <v>90.763156714077539</v>
      </c>
      <c r="AF19" s="324">
        <f t="shared" si="24"/>
        <v>113000</v>
      </c>
      <c r="AG19" s="324">
        <f>+[8]DailyApr!$K18</f>
        <v>14899.999999999636</v>
      </c>
      <c r="AH19" s="324">
        <f t="shared" si="25"/>
        <v>181.09996961409462</v>
      </c>
      <c r="AI19" s="447">
        <f t="shared" si="26"/>
        <v>167.12279599802184</v>
      </c>
      <c r="AJ19" s="324">
        <f t="shared" si="27"/>
        <v>4780</v>
      </c>
      <c r="AK19" s="324">
        <f>+[8]DailyApr!$L18</f>
        <v>510</v>
      </c>
      <c r="AL19" s="324">
        <f t="shared" si="28"/>
        <v>6.198723792160437</v>
      </c>
      <c r="AM19" s="447">
        <f t="shared" si="29"/>
        <v>5.7203104670465246</v>
      </c>
      <c r="AN19" s="324">
        <f t="shared" si="30"/>
        <v>7090</v>
      </c>
      <c r="AO19" s="324">
        <f>+[8]DailyApr!$M18</f>
        <v>760</v>
      </c>
      <c r="AP19" s="324">
        <f t="shared" si="31"/>
        <v>9.2373138863567306</v>
      </c>
      <c r="AQ19" s="447">
        <f t="shared" si="32"/>
        <v>8.5243842254026649</v>
      </c>
      <c r="AR19" s="324">
        <f t="shared" si="33"/>
        <v>58914.159999999392</v>
      </c>
      <c r="AS19" s="321">
        <f t="shared" si="10"/>
        <v>716.06393193557449</v>
      </c>
      <c r="AT19" s="322">
        <f t="shared" si="11"/>
        <v>660.79860020637295</v>
      </c>
      <c r="AV19" s="20"/>
      <c r="AX19" s="18">
        <f>SUM(AX17:AX18)</f>
        <v>0</v>
      </c>
      <c r="AY19" s="18">
        <f>SUM(AY17:AY18)</f>
        <v>0</v>
      </c>
    </row>
    <row r="20" spans="1:51">
      <c r="A20" s="617">
        <f t="shared" si="12"/>
        <v>46125</v>
      </c>
      <c r="B20" s="618">
        <f>+Report1!P21</f>
        <v>57.341000000000001</v>
      </c>
      <c r="C20" s="618">
        <f>+Report1!R21</f>
        <v>55.878</v>
      </c>
      <c r="D20" s="619">
        <f t="shared" si="13"/>
        <v>0</v>
      </c>
      <c r="E20" s="619">
        <f>+[8]DailyApr!$D19</f>
        <v>0</v>
      </c>
      <c r="F20" s="620">
        <f t="shared" si="0"/>
        <v>0</v>
      </c>
      <c r="G20" s="620">
        <f t="shared" si="1"/>
        <v>0</v>
      </c>
      <c r="H20" s="619">
        <f t="shared" si="14"/>
        <v>0</v>
      </c>
      <c r="I20" s="619">
        <f>+[8]DailyApr!$E19</f>
        <v>0</v>
      </c>
      <c r="J20" s="620">
        <f t="shared" si="2"/>
        <v>0</v>
      </c>
      <c r="K20" s="620">
        <f t="shared" si="3"/>
        <v>0</v>
      </c>
      <c r="L20" s="619">
        <f t="shared" si="15"/>
        <v>75500</v>
      </c>
      <c r="M20" s="619">
        <f>+[8]DailyApr!$F19</f>
        <v>4700</v>
      </c>
      <c r="N20" s="620">
        <f t="shared" si="4"/>
        <v>81.965783645210237</v>
      </c>
      <c r="O20" s="620">
        <f t="shared" si="5"/>
        <v>84.111815025591468</v>
      </c>
      <c r="P20" s="619">
        <f t="shared" si="16"/>
        <v>108100.00000000036</v>
      </c>
      <c r="Q20" s="619">
        <f>+[8]DailyApr!$G19</f>
        <v>6300</v>
      </c>
      <c r="R20" s="620">
        <f t="shared" si="6"/>
        <v>109.86902914145202</v>
      </c>
      <c r="S20" s="620">
        <f t="shared" si="7"/>
        <v>112.74562439600558</v>
      </c>
      <c r="T20" s="619">
        <f t="shared" si="17"/>
        <v>85100.000000000349</v>
      </c>
      <c r="U20" s="619">
        <f>+[8]DailyApr!$H19</f>
        <v>3800.0000000001819</v>
      </c>
      <c r="V20" s="620">
        <f t="shared" si="8"/>
        <v>66.270208053577406</v>
      </c>
      <c r="W20" s="620">
        <f t="shared" si="9"/>
        <v>68.005297254736789</v>
      </c>
      <c r="X20" s="619">
        <f t="shared" si="18"/>
        <v>214062.95999999892</v>
      </c>
      <c r="Y20" s="619">
        <f>+[8]DailyApr!$I19</f>
        <v>9704.5699999996359</v>
      </c>
      <c r="Z20" s="619">
        <f t="shared" si="19"/>
        <v>169.2431244659081</v>
      </c>
      <c r="AA20" s="619">
        <f t="shared" si="20"/>
        <v>173.67425462614332</v>
      </c>
      <c r="AB20" s="619">
        <f t="shared" si="21"/>
        <v>87102.960000000399</v>
      </c>
      <c r="AC20" s="619">
        <f>+[8]DailyApr!$J19</f>
        <v>5704.5699999989756</v>
      </c>
      <c r="AD20" s="619">
        <f t="shared" si="22"/>
        <v>99.485010725292128</v>
      </c>
      <c r="AE20" s="621">
        <f t="shared" si="23"/>
        <v>102.0897312000962</v>
      </c>
      <c r="AF20" s="619">
        <f t="shared" si="24"/>
        <v>123899.99999999964</v>
      </c>
      <c r="AG20" s="619">
        <f>+[8]DailyApr!$K19</f>
        <v>10899.999999999636</v>
      </c>
      <c r="AH20" s="619">
        <f t="shared" si="25"/>
        <v>190.0908599431408</v>
      </c>
      <c r="AI20" s="622">
        <f t="shared" si="26"/>
        <v>195.06782633593966</v>
      </c>
      <c r="AJ20" s="619">
        <f t="shared" si="27"/>
        <v>5170</v>
      </c>
      <c r="AK20" s="619">
        <f>+[8]DailyApr!$L19</f>
        <v>390</v>
      </c>
      <c r="AL20" s="619">
        <f t="shared" si="28"/>
        <v>6.8014160897089342</v>
      </c>
      <c r="AM20" s="622">
        <f t="shared" si="29"/>
        <v>6.9794910340384408</v>
      </c>
      <c r="AN20" s="619">
        <f t="shared" si="30"/>
        <v>7670</v>
      </c>
      <c r="AO20" s="619">
        <f>+[8]DailyApr!$M19</f>
        <v>580</v>
      </c>
      <c r="AP20" s="619">
        <f t="shared" si="31"/>
        <v>10.114926492387646</v>
      </c>
      <c r="AQ20" s="622">
        <f t="shared" si="32"/>
        <v>10.379755896775118</v>
      </c>
      <c r="AR20" s="619">
        <f t="shared" si="33"/>
        <v>42079.139999998428</v>
      </c>
      <c r="AS20" s="623">
        <f t="shared" si="10"/>
        <v>733.84035855667719</v>
      </c>
      <c r="AT20" s="624">
        <f t="shared" si="11"/>
        <v>753.05379576932648</v>
      </c>
      <c r="AV20" s="20" t="s">
        <v>190</v>
      </c>
      <c r="AW20" t="s">
        <v>183</v>
      </c>
      <c r="AX20" s="13">
        <f>+AL39</f>
        <v>0</v>
      </c>
      <c r="AY20" s="13">
        <f>+AM39</f>
        <v>0</v>
      </c>
    </row>
    <row r="21" spans="1:51">
      <c r="A21" s="617">
        <f t="shared" si="12"/>
        <v>46126</v>
      </c>
      <c r="B21" s="618">
        <f>+Report1!P22</f>
        <v>77.495000000000005</v>
      </c>
      <c r="C21" s="618">
        <f>+Report1!R22</f>
        <v>73.936999999999998</v>
      </c>
      <c r="D21" s="619">
        <f t="shared" ref="D21:D37" si="34">+D20+E21</f>
        <v>0</v>
      </c>
      <c r="E21" s="619">
        <f>+[8]DailyApr!$D20</f>
        <v>0</v>
      </c>
      <c r="F21" s="620">
        <f t="shared" ref="F21:F37" si="35">E21/B21</f>
        <v>0</v>
      </c>
      <c r="G21" s="620">
        <f t="shared" ref="G21:G37" si="36">E21/C21</f>
        <v>0</v>
      </c>
      <c r="H21" s="619">
        <f t="shared" ref="H21:H37" si="37">+H20+I21</f>
        <v>0</v>
      </c>
      <c r="I21" s="619">
        <f>+[8]DailyApr!$E20</f>
        <v>0</v>
      </c>
      <c r="J21" s="620">
        <f t="shared" ref="J21:J37" si="38">I21/B21</f>
        <v>0</v>
      </c>
      <c r="K21" s="620">
        <f t="shared" ref="K21:K37" si="39">I21/C21</f>
        <v>0</v>
      </c>
      <c r="L21" s="619">
        <f t="shared" ref="L21:L37" si="40">+L20+M21</f>
        <v>81400</v>
      </c>
      <c r="M21" s="619">
        <f>+[8]DailyApr!$F20</f>
        <v>5900</v>
      </c>
      <c r="N21" s="620">
        <f t="shared" ref="N21:N37" si="41">M21/B21</f>
        <v>76.133944125427448</v>
      </c>
      <c r="O21" s="620">
        <f t="shared" ref="O21:O37" si="42">M21/C21</f>
        <v>79.797665580156078</v>
      </c>
      <c r="P21" s="619">
        <f t="shared" ref="P21:P37" si="43">+P20+Q21</f>
        <v>116999.99999999964</v>
      </c>
      <c r="Q21" s="619">
        <f>+[8]DailyApr!$G20</f>
        <v>8899.9999999992724</v>
      </c>
      <c r="R21" s="620">
        <f t="shared" ref="R21:R37" si="44">Q21/B21</f>
        <v>114.84611910444896</v>
      </c>
      <c r="S21" s="620">
        <f t="shared" ref="S21:S37" si="45">Q21/C21</f>
        <v>120.37274977344595</v>
      </c>
      <c r="T21" s="619">
        <f t="shared" ref="T21:T37" si="46">+T20+U21</f>
        <v>90400.000000000524</v>
      </c>
      <c r="U21" s="619">
        <f>+[8]DailyApr!$H20</f>
        <v>5300.0000000001819</v>
      </c>
      <c r="V21" s="620">
        <f t="shared" ref="V21:V37" si="47">U21/B21</f>
        <v>68.391509129623614</v>
      </c>
      <c r="W21" s="620">
        <f t="shared" ref="W21:W37" si="48">U21/C21</f>
        <v>71.682648741498596</v>
      </c>
      <c r="X21" s="619">
        <f t="shared" ref="X21:X37" si="49">+X20+Y21</f>
        <v>227174.13</v>
      </c>
      <c r="Y21" s="619">
        <f>+[8]DailyApr!$I20</f>
        <v>13111.170000001091</v>
      </c>
      <c r="Z21" s="619">
        <f t="shared" ref="Z21:Z37" si="50">Y21/B21</f>
        <v>169.18730240662094</v>
      </c>
      <c r="AA21" s="619">
        <f t="shared" ref="AA21:AA37" si="51">Y21/C21</f>
        <v>177.32894220756984</v>
      </c>
      <c r="AB21" s="619">
        <f t="shared" ref="AB21:AB37" si="52">+AB20+AC21</f>
        <v>95074.130000000354</v>
      </c>
      <c r="AC21" s="619">
        <f>+[8]DailyApr!$J20</f>
        <v>7971.1699999999564</v>
      </c>
      <c r="AD21" s="619">
        <f t="shared" ref="AD21:AD37" si="53">AC21/B21</f>
        <v>102.86044260920002</v>
      </c>
      <c r="AE21" s="621">
        <f t="shared" ref="AE21:AE37" si="54">AC21/C21</f>
        <v>107.81029795636768</v>
      </c>
      <c r="AF21" s="619">
        <f t="shared" ref="AF21:AF37" si="55">+AF20+AG21</f>
        <v>138100.00000000035</v>
      </c>
      <c r="AG21" s="619">
        <f>+[8]DailyApr!$K20</f>
        <v>14200.000000000728</v>
      </c>
      <c r="AH21" s="619">
        <f t="shared" ref="AH21:AH37" si="56">AG21/B21</f>
        <v>183.23762823408899</v>
      </c>
      <c r="AI21" s="622">
        <f t="shared" ref="AI21:AI37" si="57">AG21/C21</f>
        <v>192.05539851496175</v>
      </c>
      <c r="AJ21" s="619">
        <f t="shared" ref="AJ21:AJ37" si="58">+AJ20+AK21</f>
        <v>5670</v>
      </c>
      <c r="AK21" s="619">
        <f>+[8]DailyApr!$L20</f>
        <v>500</v>
      </c>
      <c r="AL21" s="619">
        <f t="shared" ref="AL21:AL37" si="59">AK21/B21</f>
        <v>6.452029163171817</v>
      </c>
      <c r="AM21" s="622">
        <f t="shared" ref="AM21:AM37" si="60">AK21/C21</f>
        <v>6.7625140322166173</v>
      </c>
      <c r="AN21" s="619">
        <f t="shared" ref="AN21:AN37" si="61">+AN20+AO21</f>
        <v>8410</v>
      </c>
      <c r="AO21" s="619">
        <f>+[8]DailyApr!$M20</f>
        <v>740</v>
      </c>
      <c r="AP21" s="619">
        <f t="shared" ref="AP21:AP37" si="62">AO21/B21</f>
        <v>9.549003161494289</v>
      </c>
      <c r="AQ21" s="622">
        <f t="shared" ref="AQ21:AQ37" si="63">AO21/C21</f>
        <v>10.008520767680594</v>
      </c>
      <c r="AR21" s="619">
        <f t="shared" ref="AR21:AR37" si="64">+E21+I21+M21+Q21+U21+Y21+AC21+AG21+AK21+AO21</f>
        <v>56622.340000001226</v>
      </c>
      <c r="AS21" s="623">
        <f t="shared" ref="AS21:AS37" si="65">AR21/B21</f>
        <v>730.65797793407603</v>
      </c>
      <c r="AT21" s="624">
        <f t="shared" ref="AT21:AT37" si="66">AR21/C21</f>
        <v>765.81873757389712</v>
      </c>
      <c r="AW21" t="s">
        <v>184</v>
      </c>
      <c r="AX21" s="13">
        <f>+AP39</f>
        <v>0</v>
      </c>
      <c r="AY21" s="13">
        <f>+AQ39</f>
        <v>0</v>
      </c>
    </row>
    <row r="22" spans="1:51">
      <c r="A22" s="617">
        <f t="shared" si="12"/>
        <v>46127</v>
      </c>
      <c r="B22" s="618">
        <f>+Report1!P23</f>
        <v>79.481999999999999</v>
      </c>
      <c r="C22" s="618">
        <f>+Report1!R23</f>
        <v>80.088999999999999</v>
      </c>
      <c r="D22" s="619">
        <f t="shared" si="34"/>
        <v>0</v>
      </c>
      <c r="E22" s="619">
        <f>+[8]DailyApr!$D21</f>
        <v>0</v>
      </c>
      <c r="F22" s="620">
        <f t="shared" si="35"/>
        <v>0</v>
      </c>
      <c r="G22" s="620">
        <f t="shared" si="36"/>
        <v>0</v>
      </c>
      <c r="H22" s="619">
        <f t="shared" si="37"/>
        <v>0</v>
      </c>
      <c r="I22" s="619">
        <f>+[8]DailyApr!$E21</f>
        <v>0</v>
      </c>
      <c r="J22" s="620">
        <f t="shared" si="38"/>
        <v>0</v>
      </c>
      <c r="K22" s="620">
        <f t="shared" si="39"/>
        <v>0</v>
      </c>
      <c r="L22" s="619">
        <f t="shared" si="40"/>
        <v>87400</v>
      </c>
      <c r="M22" s="619">
        <f>+[8]DailyApr!$F21</f>
        <v>6000</v>
      </c>
      <c r="N22" s="620">
        <f t="shared" si="41"/>
        <v>75.488789914697662</v>
      </c>
      <c r="O22" s="620">
        <f t="shared" si="42"/>
        <v>74.916655221066563</v>
      </c>
      <c r="P22" s="619">
        <f t="shared" si="43"/>
        <v>126200.00000000036</v>
      </c>
      <c r="Q22" s="619">
        <f>+[8]DailyApr!$G21</f>
        <v>9200.0000000007276</v>
      </c>
      <c r="R22" s="620">
        <f t="shared" si="44"/>
        <v>115.74947786921224</v>
      </c>
      <c r="S22" s="620">
        <f t="shared" si="45"/>
        <v>114.87220467231116</v>
      </c>
      <c r="T22" s="619">
        <f t="shared" si="46"/>
        <v>95699.999999999796</v>
      </c>
      <c r="U22" s="619">
        <f>+[8]DailyApr!$H21</f>
        <v>5299.9999999992724</v>
      </c>
      <c r="V22" s="620">
        <f t="shared" si="47"/>
        <v>66.681764424640448</v>
      </c>
      <c r="W22" s="620">
        <f t="shared" si="48"/>
        <v>66.176378778599712</v>
      </c>
      <c r="X22" s="619">
        <f t="shared" si="49"/>
        <v>240870.30999999965</v>
      </c>
      <c r="Y22" s="619">
        <f>+[8]DailyApr!$I21</f>
        <v>13696.179999999636</v>
      </c>
      <c r="Z22" s="619">
        <f t="shared" si="50"/>
        <v>172.31800910897607</v>
      </c>
      <c r="AA22" s="619">
        <f t="shared" si="51"/>
        <v>171.01199915094003</v>
      </c>
      <c r="AB22" s="619">
        <f t="shared" si="52"/>
        <v>102520.31000000077</v>
      </c>
      <c r="AC22" s="619">
        <f>+[8]DailyApr!$J21</f>
        <v>7446.1800000004096</v>
      </c>
      <c r="AD22" s="619">
        <f t="shared" si="53"/>
        <v>93.683852947842396</v>
      </c>
      <c r="AE22" s="621">
        <f t="shared" si="54"/>
        <v>92.973816629005356</v>
      </c>
      <c r="AF22" s="619">
        <f t="shared" si="55"/>
        <v>152100.00000000035</v>
      </c>
      <c r="AG22" s="619">
        <f>+[8]DailyApr!$K21</f>
        <v>14000</v>
      </c>
      <c r="AH22" s="619">
        <f t="shared" si="56"/>
        <v>176.14050980096121</v>
      </c>
      <c r="AI22" s="622">
        <f t="shared" si="57"/>
        <v>174.80552884915531</v>
      </c>
      <c r="AJ22" s="619">
        <f t="shared" si="58"/>
        <v>6170</v>
      </c>
      <c r="AK22" s="619">
        <f>+[8]DailyApr!$L21</f>
        <v>500</v>
      </c>
      <c r="AL22" s="619">
        <f t="shared" si="59"/>
        <v>6.2907324928914727</v>
      </c>
      <c r="AM22" s="622">
        <f t="shared" si="60"/>
        <v>6.2430546017555475</v>
      </c>
      <c r="AN22" s="619">
        <f t="shared" si="61"/>
        <v>9140</v>
      </c>
      <c r="AO22" s="619">
        <f>+[8]DailyApr!$M21</f>
        <v>730</v>
      </c>
      <c r="AP22" s="619">
        <f t="shared" si="62"/>
        <v>9.1844694396215498</v>
      </c>
      <c r="AQ22" s="622">
        <f t="shared" si="63"/>
        <v>9.114859718563098</v>
      </c>
      <c r="AR22" s="619">
        <f t="shared" si="64"/>
        <v>56872.360000000044</v>
      </c>
      <c r="AS22" s="623">
        <f t="shared" si="65"/>
        <v>715.53760599884311</v>
      </c>
      <c r="AT22" s="624">
        <f t="shared" si="66"/>
        <v>710.11449762139671</v>
      </c>
      <c r="AW22" t="s">
        <v>184</v>
      </c>
      <c r="AX22" s="13">
        <f>+AP40</f>
        <v>9.4576569874871588</v>
      </c>
      <c r="AY22" s="13">
        <f>+AQ40</f>
        <v>9.6931446670692889</v>
      </c>
    </row>
    <row r="23" spans="1:51">
      <c r="A23" s="617">
        <f t="shared" si="12"/>
        <v>46128</v>
      </c>
      <c r="B23" s="618">
        <f>+Report1!P24</f>
        <v>80.688999999999993</v>
      </c>
      <c r="C23" s="618">
        <f>+Report1!R24</f>
        <v>79.995000000000005</v>
      </c>
      <c r="D23" s="619">
        <f t="shared" si="34"/>
        <v>0</v>
      </c>
      <c r="E23" s="619">
        <f>+[8]DailyApr!$D22</f>
        <v>0</v>
      </c>
      <c r="F23" s="620">
        <f t="shared" si="35"/>
        <v>0</v>
      </c>
      <c r="G23" s="620">
        <f t="shared" si="36"/>
        <v>0</v>
      </c>
      <c r="H23" s="619">
        <f t="shared" si="37"/>
        <v>0</v>
      </c>
      <c r="I23" s="619">
        <f>+[8]DailyApr!$E22</f>
        <v>0</v>
      </c>
      <c r="J23" s="620">
        <f t="shared" si="38"/>
        <v>0</v>
      </c>
      <c r="K23" s="620">
        <f t="shared" si="39"/>
        <v>0</v>
      </c>
      <c r="L23" s="619">
        <f t="shared" si="40"/>
        <v>93500</v>
      </c>
      <c r="M23" s="619">
        <f>+[8]DailyApr!$F22</f>
        <v>6100</v>
      </c>
      <c r="N23" s="620">
        <f t="shared" si="41"/>
        <v>75.598904435548846</v>
      </c>
      <c r="O23" s="620">
        <f t="shared" si="42"/>
        <v>76.254765922870178</v>
      </c>
      <c r="P23" s="619">
        <f t="shared" si="43"/>
        <v>134300.00000000111</v>
      </c>
      <c r="Q23" s="619">
        <f>+[8]DailyApr!$G22</f>
        <v>8100.0000000007276</v>
      </c>
      <c r="R23" s="620">
        <f t="shared" si="44"/>
        <v>100.3854304800001</v>
      </c>
      <c r="S23" s="620">
        <f t="shared" si="45"/>
        <v>101.25632852054163</v>
      </c>
      <c r="T23" s="619">
        <f t="shared" si="46"/>
        <v>100999.99999999997</v>
      </c>
      <c r="U23" s="619">
        <f>+[8]DailyApr!$H22</f>
        <v>5300.0000000001819</v>
      </c>
      <c r="V23" s="620">
        <f t="shared" si="47"/>
        <v>65.684294017774192</v>
      </c>
      <c r="W23" s="620">
        <f t="shared" si="48"/>
        <v>66.254140883807509</v>
      </c>
      <c r="X23" s="619">
        <f t="shared" si="49"/>
        <v>255373.48</v>
      </c>
      <c r="Y23" s="619">
        <f>+[8]DailyApr!$I22</f>
        <v>14503.170000000364</v>
      </c>
      <c r="Z23" s="619">
        <f t="shared" si="50"/>
        <v>179.74160046599121</v>
      </c>
      <c r="AA23" s="619">
        <f t="shared" si="51"/>
        <v>181.30095630977391</v>
      </c>
      <c r="AB23" s="619">
        <f t="shared" si="52"/>
        <v>111873.48000000072</v>
      </c>
      <c r="AC23" s="619">
        <f>+[8]DailyApr!$J22</f>
        <v>9353.1699999999546</v>
      </c>
      <c r="AD23" s="619">
        <f t="shared" si="53"/>
        <v>115.91629590154737</v>
      </c>
      <c r="AE23" s="621">
        <f t="shared" si="54"/>
        <v>116.92193262078823</v>
      </c>
      <c r="AF23" s="619">
        <f t="shared" si="55"/>
        <v>166700.0000000007</v>
      </c>
      <c r="AG23" s="619">
        <f>+[8]DailyApr!$K22</f>
        <v>14600.000000000364</v>
      </c>
      <c r="AH23" s="619">
        <f t="shared" si="56"/>
        <v>180.94164012443289</v>
      </c>
      <c r="AI23" s="622">
        <f t="shared" si="57"/>
        <v>182.51140696293973</v>
      </c>
      <c r="AJ23" s="619">
        <f t="shared" si="58"/>
        <v>6690</v>
      </c>
      <c r="AK23" s="619">
        <f>+[8]DailyApr!$L22</f>
        <v>520</v>
      </c>
      <c r="AL23" s="619">
        <f t="shared" si="59"/>
        <v>6.4444967715549835</v>
      </c>
      <c r="AM23" s="622">
        <f t="shared" si="60"/>
        <v>6.5004062753922121</v>
      </c>
      <c r="AN23" s="619">
        <f t="shared" si="61"/>
        <v>9880</v>
      </c>
      <c r="AO23" s="619">
        <f>+[8]DailyApr!$M22</f>
        <v>740</v>
      </c>
      <c r="AP23" s="619">
        <f t="shared" si="62"/>
        <v>9.1710146364436298</v>
      </c>
      <c r="AQ23" s="622">
        <f t="shared" si="63"/>
        <v>9.2505781611350706</v>
      </c>
      <c r="AR23" s="619">
        <f t="shared" si="64"/>
        <v>59216.34000000159</v>
      </c>
      <c r="AS23" s="623">
        <f t="shared" si="65"/>
        <v>733.88367683329318</v>
      </c>
      <c r="AT23" s="624">
        <f t="shared" si="66"/>
        <v>740.25051565724846</v>
      </c>
    </row>
    <row r="24" spans="1:51">
      <c r="A24" s="617">
        <f t="shared" si="12"/>
        <v>46129</v>
      </c>
      <c r="B24" s="618">
        <f>+Report1!P25</f>
        <v>81.471000000000004</v>
      </c>
      <c r="C24" s="618">
        <f>+Report1!R25</f>
        <v>82.838999999999999</v>
      </c>
      <c r="D24" s="619">
        <f t="shared" si="34"/>
        <v>0</v>
      </c>
      <c r="E24" s="619">
        <f>+[8]DailyApr!$D23</f>
        <v>0</v>
      </c>
      <c r="F24" s="620">
        <f t="shared" si="35"/>
        <v>0</v>
      </c>
      <c r="G24" s="620">
        <f t="shared" si="36"/>
        <v>0</v>
      </c>
      <c r="H24" s="619">
        <f t="shared" si="37"/>
        <v>0</v>
      </c>
      <c r="I24" s="619">
        <f>+[8]DailyApr!$E23</f>
        <v>0</v>
      </c>
      <c r="J24" s="620">
        <f t="shared" si="38"/>
        <v>0</v>
      </c>
      <c r="K24" s="620">
        <f t="shared" si="39"/>
        <v>0</v>
      </c>
      <c r="L24" s="619">
        <f t="shared" si="40"/>
        <v>99400</v>
      </c>
      <c r="M24" s="619">
        <f>+[8]DailyApr!$F23</f>
        <v>5900</v>
      </c>
      <c r="N24" s="620">
        <f t="shared" si="41"/>
        <v>72.418406549569781</v>
      </c>
      <c r="O24" s="620">
        <f t="shared" si="42"/>
        <v>71.22249182148505</v>
      </c>
      <c r="P24" s="619">
        <f t="shared" si="43"/>
        <v>143100</v>
      </c>
      <c r="Q24" s="619">
        <f>+[8]DailyApr!$G23</f>
        <v>8799.9999999989086</v>
      </c>
      <c r="R24" s="620">
        <f t="shared" si="44"/>
        <v>108.01389451459916</v>
      </c>
      <c r="S24" s="620">
        <f t="shared" si="45"/>
        <v>106.23015729304927</v>
      </c>
      <c r="T24" s="619">
        <f t="shared" si="46"/>
        <v>106300.00000000015</v>
      </c>
      <c r="U24" s="619">
        <f>+[8]DailyApr!$H23</f>
        <v>5300.0000000001819</v>
      </c>
      <c r="V24" s="620">
        <f t="shared" si="47"/>
        <v>65.053822832666611</v>
      </c>
      <c r="W24" s="620">
        <f t="shared" si="48"/>
        <v>63.979526551505714</v>
      </c>
      <c r="X24" s="619">
        <f t="shared" si="49"/>
        <v>268468.40000000037</v>
      </c>
      <c r="Y24" s="619">
        <f>+[8]DailyApr!$I23</f>
        <v>13094.920000000364</v>
      </c>
      <c r="Z24" s="619">
        <f t="shared" si="50"/>
        <v>160.73105767696927</v>
      </c>
      <c r="AA24" s="619">
        <f t="shared" si="51"/>
        <v>158.07675128864864</v>
      </c>
      <c r="AB24" s="619">
        <f t="shared" si="52"/>
        <v>119718.39999999995</v>
      </c>
      <c r="AC24" s="619">
        <f>+[8]DailyApr!$J23</f>
        <v>7844.919999999227</v>
      </c>
      <c r="AD24" s="619">
        <f t="shared" si="53"/>
        <v>96.290950154033055</v>
      </c>
      <c r="AE24" s="621">
        <f t="shared" si="54"/>
        <v>94.700805176296512</v>
      </c>
      <c r="AF24" s="619">
        <f t="shared" si="55"/>
        <v>181100.00000000035</v>
      </c>
      <c r="AG24" s="619">
        <f>+[8]DailyApr!$K23</f>
        <v>14399.999999999636</v>
      </c>
      <c r="AH24" s="619">
        <f t="shared" si="56"/>
        <v>176.75000920572518</v>
      </c>
      <c r="AI24" s="622">
        <f t="shared" si="57"/>
        <v>173.83116647955234</v>
      </c>
      <c r="AJ24" s="619">
        <f t="shared" si="58"/>
        <v>7180</v>
      </c>
      <c r="AK24" s="619">
        <f>+[8]DailyApr!$L23</f>
        <v>490</v>
      </c>
      <c r="AL24" s="619">
        <f t="shared" si="59"/>
        <v>6.0144100354727446</v>
      </c>
      <c r="AM24" s="622">
        <f t="shared" si="60"/>
        <v>5.9150883038182496</v>
      </c>
      <c r="AN24" s="619">
        <f t="shared" si="61"/>
        <v>10630</v>
      </c>
      <c r="AO24" s="619">
        <f>+[8]DailyApr!$M23</f>
        <v>750</v>
      </c>
      <c r="AP24" s="619">
        <f t="shared" si="62"/>
        <v>9.2057296461317524</v>
      </c>
      <c r="AQ24" s="622">
        <f t="shared" si="63"/>
        <v>9.0537065874769134</v>
      </c>
      <c r="AR24" s="619">
        <f t="shared" si="64"/>
        <v>56579.839999998316</v>
      </c>
      <c r="AS24" s="623">
        <f t="shared" si="65"/>
        <v>694.47828061516748</v>
      </c>
      <c r="AT24" s="624">
        <f t="shared" si="66"/>
        <v>683.00969350183266</v>
      </c>
      <c r="AW24" s="20" t="s">
        <v>2</v>
      </c>
      <c r="AX24" s="18">
        <f>+AX16+AX19+AX22</f>
        <v>9.4576569874871588</v>
      </c>
      <c r="AY24" s="18">
        <f>+AY16+AY19+AY22</f>
        <v>9.6931446670692889</v>
      </c>
    </row>
    <row r="25" spans="1:51">
      <c r="A25" s="617">
        <f t="shared" si="12"/>
        <v>46130</v>
      </c>
      <c r="B25" s="618">
        <f>+Report1!P26</f>
        <v>80.524000000000001</v>
      </c>
      <c r="C25" s="618">
        <f>+Report1!R26</f>
        <v>76.516000000000005</v>
      </c>
      <c r="D25" s="619">
        <f t="shared" si="34"/>
        <v>0</v>
      </c>
      <c r="E25" s="619">
        <f>+[8]DailyApr!$D24</f>
        <v>0</v>
      </c>
      <c r="F25" s="620">
        <f t="shared" si="35"/>
        <v>0</v>
      </c>
      <c r="G25" s="620">
        <f t="shared" si="36"/>
        <v>0</v>
      </c>
      <c r="H25" s="619">
        <f t="shared" si="37"/>
        <v>0</v>
      </c>
      <c r="I25" s="619">
        <f>+[8]DailyApr!$E24</f>
        <v>0</v>
      </c>
      <c r="J25" s="620">
        <f t="shared" si="38"/>
        <v>0</v>
      </c>
      <c r="K25" s="620">
        <f t="shared" si="39"/>
        <v>0</v>
      </c>
      <c r="L25" s="619">
        <f t="shared" si="40"/>
        <v>105200</v>
      </c>
      <c r="M25" s="619">
        <f>+[8]DailyApr!$F24</f>
        <v>5800</v>
      </c>
      <c r="N25" s="620">
        <f t="shared" si="41"/>
        <v>72.028215190502209</v>
      </c>
      <c r="O25" s="620">
        <f t="shared" si="42"/>
        <v>75.801139630926855</v>
      </c>
      <c r="P25" s="619">
        <f t="shared" si="43"/>
        <v>151400.00000000035</v>
      </c>
      <c r="Q25" s="619">
        <f>+[8]DailyApr!$G24</f>
        <v>8300.0000000003638</v>
      </c>
      <c r="R25" s="620">
        <f t="shared" si="44"/>
        <v>103.07485966917147</v>
      </c>
      <c r="S25" s="620">
        <f t="shared" si="45"/>
        <v>108.47404464426215</v>
      </c>
      <c r="T25" s="619">
        <f t="shared" si="46"/>
        <v>111400.00000000051</v>
      </c>
      <c r="U25" s="619">
        <f>+[8]DailyApr!$H24</f>
        <v>5100.0000000003638</v>
      </c>
      <c r="V25" s="620">
        <f t="shared" si="47"/>
        <v>63.335154736480597</v>
      </c>
      <c r="W25" s="620">
        <f t="shared" si="48"/>
        <v>66.652726227199068</v>
      </c>
      <c r="X25" s="619">
        <f t="shared" si="49"/>
        <v>280685.28999999928</v>
      </c>
      <c r="Y25" s="619">
        <f>+[8]DailyApr!$I24</f>
        <v>12216.889999998908</v>
      </c>
      <c r="Z25" s="619">
        <f t="shared" si="50"/>
        <v>151.71737618596825</v>
      </c>
      <c r="AA25" s="619">
        <f t="shared" si="51"/>
        <v>159.66451461130885</v>
      </c>
      <c r="AB25" s="619">
        <f t="shared" si="52"/>
        <v>126705.29000000031</v>
      </c>
      <c r="AC25" s="619">
        <f>+[8]DailyApr!$J24</f>
        <v>6986.8900000003632</v>
      </c>
      <c r="AD25" s="619">
        <f t="shared" si="53"/>
        <v>86.767795936619677</v>
      </c>
      <c r="AE25" s="621">
        <f t="shared" si="54"/>
        <v>91.312797323440364</v>
      </c>
      <c r="AF25" s="619">
        <f t="shared" si="55"/>
        <v>194899.99999999962</v>
      </c>
      <c r="AG25" s="619">
        <f>+[8]DailyApr!$K24</f>
        <v>13799.999999999272</v>
      </c>
      <c r="AH25" s="619">
        <f t="shared" si="56"/>
        <v>171.37747752222035</v>
      </c>
      <c r="AI25" s="622">
        <f t="shared" si="57"/>
        <v>180.3544356735751</v>
      </c>
      <c r="AJ25" s="619">
        <f t="shared" si="58"/>
        <v>7660</v>
      </c>
      <c r="AK25" s="619">
        <f>+[8]DailyApr!$L24</f>
        <v>480</v>
      </c>
      <c r="AL25" s="619">
        <f t="shared" si="59"/>
        <v>5.960955739903631</v>
      </c>
      <c r="AM25" s="622">
        <f t="shared" si="60"/>
        <v>6.2731977625594642</v>
      </c>
      <c r="AN25" s="619">
        <f t="shared" si="61"/>
        <v>11320</v>
      </c>
      <c r="AO25" s="619">
        <f>+[8]DailyApr!$M24</f>
        <v>690</v>
      </c>
      <c r="AP25" s="619">
        <f t="shared" si="62"/>
        <v>8.5688738761114696</v>
      </c>
      <c r="AQ25" s="622">
        <f t="shared" si="63"/>
        <v>9.0177217836792298</v>
      </c>
      <c r="AR25" s="619">
        <f t="shared" si="64"/>
        <v>53373.779999999271</v>
      </c>
      <c r="AS25" s="623">
        <f t="shared" si="65"/>
        <v>662.83070885697771</v>
      </c>
      <c r="AT25" s="624">
        <f t="shared" si="66"/>
        <v>697.55057765695108</v>
      </c>
    </row>
    <row r="26" spans="1:51">
      <c r="A26" s="617">
        <f t="shared" si="12"/>
        <v>46131</v>
      </c>
      <c r="B26" s="618">
        <f>+Report1!P27</f>
        <v>71.169000000000011</v>
      </c>
      <c r="C26" s="618">
        <f>+Report1!R27</f>
        <v>73.134</v>
      </c>
      <c r="D26" s="619">
        <f t="shared" si="34"/>
        <v>0</v>
      </c>
      <c r="E26" s="619">
        <f>+[8]DailyApr!$D25</f>
        <v>0</v>
      </c>
      <c r="F26" s="620">
        <f t="shared" si="35"/>
        <v>0</v>
      </c>
      <c r="G26" s="620">
        <f t="shared" si="36"/>
        <v>0</v>
      </c>
      <c r="H26" s="619">
        <f t="shared" si="37"/>
        <v>0</v>
      </c>
      <c r="I26" s="619">
        <f>+[8]DailyApr!$E25</f>
        <v>0</v>
      </c>
      <c r="J26" s="620">
        <f t="shared" si="38"/>
        <v>0</v>
      </c>
      <c r="K26" s="620">
        <f t="shared" si="39"/>
        <v>0</v>
      </c>
      <c r="L26" s="619">
        <f t="shared" si="40"/>
        <v>111300</v>
      </c>
      <c r="M26" s="619">
        <f>+[8]DailyApr!$F25</f>
        <v>6100</v>
      </c>
      <c r="N26" s="620">
        <f t="shared" si="41"/>
        <v>85.711475501974164</v>
      </c>
      <c r="O26" s="620">
        <f t="shared" si="42"/>
        <v>83.408537752618486</v>
      </c>
      <c r="P26" s="619">
        <f t="shared" si="43"/>
        <v>160300.00000000035</v>
      </c>
      <c r="Q26" s="619">
        <f>+[8]DailyApr!$G25</f>
        <v>8900</v>
      </c>
      <c r="R26" s="620">
        <f t="shared" si="44"/>
        <v>125.05444786353607</v>
      </c>
      <c r="S26" s="620">
        <f t="shared" si="45"/>
        <v>121.69442393414828</v>
      </c>
      <c r="T26" s="619">
        <f t="shared" si="46"/>
        <v>116699.99999999978</v>
      </c>
      <c r="U26" s="619">
        <f>+[8]DailyApr!$H25</f>
        <v>5299.9999999992724</v>
      </c>
      <c r="V26" s="620">
        <f t="shared" si="47"/>
        <v>74.470626255803396</v>
      </c>
      <c r="W26" s="620">
        <f t="shared" si="48"/>
        <v>72.4697131293143</v>
      </c>
      <c r="X26" s="619">
        <f t="shared" si="49"/>
        <v>295147.51999999967</v>
      </c>
      <c r="Y26" s="619">
        <f>+[8]DailyApr!$I25</f>
        <v>14462.230000000363</v>
      </c>
      <c r="Z26" s="619">
        <f t="shared" si="50"/>
        <v>203.20968399163064</v>
      </c>
      <c r="AA26" s="619">
        <f t="shared" si="51"/>
        <v>197.74974703968556</v>
      </c>
      <c r="AB26" s="619">
        <f t="shared" si="52"/>
        <v>135593.52000000075</v>
      </c>
      <c r="AC26" s="619">
        <f>+[8]DailyApr!$J25</f>
        <v>8888.2300000004325</v>
      </c>
      <c r="AD26" s="619">
        <f t="shared" si="53"/>
        <v>124.889066869008</v>
      </c>
      <c r="AE26" s="621">
        <f t="shared" si="54"/>
        <v>121.53348647688398</v>
      </c>
      <c r="AF26" s="619">
        <f t="shared" si="55"/>
        <v>210100.00000000035</v>
      </c>
      <c r="AG26" s="619">
        <f>+[8]DailyApr!$K25</f>
        <v>15200.000000000728</v>
      </c>
      <c r="AH26" s="619">
        <f t="shared" si="56"/>
        <v>213.57613567706059</v>
      </c>
      <c r="AI26" s="622">
        <f t="shared" si="57"/>
        <v>207.83766784260027</v>
      </c>
      <c r="AJ26" s="619">
        <f t="shared" si="58"/>
        <v>8187</v>
      </c>
      <c r="AK26" s="619">
        <f>+[8]DailyApr!$L25</f>
        <v>527</v>
      </c>
      <c r="AL26" s="619">
        <f t="shared" si="59"/>
        <v>7.4049094409082592</v>
      </c>
      <c r="AM26" s="622">
        <f t="shared" si="60"/>
        <v>7.2059507205950721</v>
      </c>
      <c r="AN26" s="619">
        <f t="shared" si="61"/>
        <v>12085</v>
      </c>
      <c r="AO26" s="619">
        <f>+[8]DailyApr!$M25</f>
        <v>765</v>
      </c>
      <c r="AP26" s="619">
        <f t="shared" si="62"/>
        <v>10.749062091641022</v>
      </c>
      <c r="AQ26" s="622">
        <f t="shared" si="63"/>
        <v>10.460251046025105</v>
      </c>
      <c r="AR26" s="619">
        <f t="shared" si="64"/>
        <v>60142.460000000792</v>
      </c>
      <c r="AS26" s="623">
        <f t="shared" si="65"/>
        <v>845.06540769156209</v>
      </c>
      <c r="AT26" s="624">
        <f t="shared" si="66"/>
        <v>822.35977794187102</v>
      </c>
      <c r="AW26" s="20" t="s">
        <v>191</v>
      </c>
      <c r="AY26" s="410">
        <f>+AY24/AX24-1</f>
        <v>2.489915630199846E-2</v>
      </c>
    </row>
    <row r="27" spans="1:51">
      <c r="A27" s="617">
        <f t="shared" si="12"/>
        <v>46132</v>
      </c>
      <c r="B27" s="618">
        <f>+Report1!P28</f>
        <v>81.585999999999999</v>
      </c>
      <c r="C27" s="618">
        <f>+Report1!R28</f>
        <v>84.385999999999996</v>
      </c>
      <c r="D27" s="619">
        <f t="shared" si="34"/>
        <v>0</v>
      </c>
      <c r="E27" s="619">
        <f>+[8]DailyApr!$D26</f>
        <v>0</v>
      </c>
      <c r="F27" s="620">
        <f t="shared" si="35"/>
        <v>0</v>
      </c>
      <c r="G27" s="620">
        <f t="shared" si="36"/>
        <v>0</v>
      </c>
      <c r="H27" s="619">
        <f t="shared" si="37"/>
        <v>0</v>
      </c>
      <c r="I27" s="619">
        <f>+[8]DailyApr!$E26</f>
        <v>0</v>
      </c>
      <c r="J27" s="620">
        <f t="shared" si="38"/>
        <v>0</v>
      </c>
      <c r="K27" s="620">
        <f t="shared" si="39"/>
        <v>0</v>
      </c>
      <c r="L27" s="619">
        <f t="shared" si="40"/>
        <v>116900</v>
      </c>
      <c r="M27" s="619">
        <f>+[8]DailyApr!$F26</f>
        <v>5600</v>
      </c>
      <c r="N27" s="620">
        <f t="shared" si="41"/>
        <v>68.63922731841248</v>
      </c>
      <c r="O27" s="620">
        <f t="shared" si="42"/>
        <v>66.361718768516113</v>
      </c>
      <c r="P27" s="619">
        <f t="shared" si="43"/>
        <v>167700.00000000035</v>
      </c>
      <c r="Q27" s="619">
        <f>+[8]DailyApr!$G26</f>
        <v>7400</v>
      </c>
      <c r="R27" s="620">
        <f t="shared" si="44"/>
        <v>90.701836099330762</v>
      </c>
      <c r="S27" s="620">
        <f t="shared" si="45"/>
        <v>87.692271229824854</v>
      </c>
      <c r="T27" s="619">
        <f t="shared" si="46"/>
        <v>120999.99999999997</v>
      </c>
      <c r="U27" s="619">
        <f>+[8]DailyApr!$H26</f>
        <v>4300.0000000001819</v>
      </c>
      <c r="V27" s="620">
        <f t="shared" si="47"/>
        <v>52.70512097664038</v>
      </c>
      <c r="W27" s="620">
        <f t="shared" si="48"/>
        <v>50.956319768684168</v>
      </c>
      <c r="X27" s="619">
        <f t="shared" si="49"/>
        <v>305939.60999999969</v>
      </c>
      <c r="Y27" s="619">
        <f>+[8]DailyApr!$I26</f>
        <v>10792.09</v>
      </c>
      <c r="Z27" s="619">
        <f t="shared" si="50"/>
        <v>132.27869977692251</v>
      </c>
      <c r="AA27" s="619">
        <f t="shared" si="51"/>
        <v>127.88957884009197</v>
      </c>
      <c r="AB27" s="619">
        <f t="shared" si="52"/>
        <v>143967.61000000068</v>
      </c>
      <c r="AC27" s="619">
        <f>+[8]DailyApr!$J26</f>
        <v>8374.089999999931</v>
      </c>
      <c r="AD27" s="619">
        <f t="shared" si="53"/>
        <v>102.64126198122142</v>
      </c>
      <c r="AE27" s="621">
        <f t="shared" si="54"/>
        <v>99.235536700399734</v>
      </c>
      <c r="AF27" s="619">
        <f t="shared" si="55"/>
        <v>223100.00000000035</v>
      </c>
      <c r="AG27" s="619">
        <f>+[8]DailyApr!$K26</f>
        <v>13000</v>
      </c>
      <c r="AH27" s="619">
        <f t="shared" si="56"/>
        <v>159.34106341774324</v>
      </c>
      <c r="AI27" s="622">
        <f t="shared" si="57"/>
        <v>154.05398999834097</v>
      </c>
      <c r="AJ27" s="619">
        <f t="shared" si="58"/>
        <v>8630</v>
      </c>
      <c r="AK27" s="619">
        <f>+[8]DailyApr!$L26</f>
        <v>443</v>
      </c>
      <c r="AL27" s="619">
        <f t="shared" si="59"/>
        <v>5.4298531610815584</v>
      </c>
      <c r="AM27" s="622">
        <f t="shared" si="60"/>
        <v>5.2496859668665419</v>
      </c>
      <c r="AN27" s="619">
        <f t="shared" si="61"/>
        <v>12760</v>
      </c>
      <c r="AO27" s="619">
        <f>+[8]DailyApr!$M26</f>
        <v>675</v>
      </c>
      <c r="AP27" s="619">
        <f t="shared" si="62"/>
        <v>8.2734782928443611</v>
      </c>
      <c r="AQ27" s="622">
        <f t="shared" si="63"/>
        <v>7.9989571729907807</v>
      </c>
      <c r="AR27" s="619">
        <f t="shared" si="64"/>
        <v>50584.180000000109</v>
      </c>
      <c r="AS27" s="623">
        <f t="shared" si="65"/>
        <v>620.01054102419664</v>
      </c>
      <c r="AT27" s="624">
        <f t="shared" si="66"/>
        <v>599.43805844571511</v>
      </c>
    </row>
    <row r="28" spans="1:51">
      <c r="A28" s="617">
        <f t="shared" si="12"/>
        <v>46133</v>
      </c>
      <c r="B28" s="618">
        <f>+Report1!P29</f>
        <v>69.182999999999993</v>
      </c>
      <c r="C28" s="618">
        <f>+Report1!R29</f>
        <v>61.204000000000001</v>
      </c>
      <c r="D28" s="619">
        <f t="shared" si="34"/>
        <v>0</v>
      </c>
      <c r="E28" s="619">
        <f>+[8]DailyApr!$D27</f>
        <v>0</v>
      </c>
      <c r="F28" s="620">
        <f t="shared" si="35"/>
        <v>0</v>
      </c>
      <c r="G28" s="620">
        <f t="shared" si="36"/>
        <v>0</v>
      </c>
      <c r="H28" s="619">
        <f t="shared" si="37"/>
        <v>0</v>
      </c>
      <c r="I28" s="619">
        <f>+[8]DailyApr!$E27</f>
        <v>0</v>
      </c>
      <c r="J28" s="620">
        <f t="shared" si="38"/>
        <v>0</v>
      </c>
      <c r="K28" s="620">
        <f t="shared" si="39"/>
        <v>0</v>
      </c>
      <c r="L28" s="619">
        <f t="shared" si="40"/>
        <v>122800</v>
      </c>
      <c r="M28" s="619">
        <f>+[8]DailyApr!$F27</f>
        <v>5900</v>
      </c>
      <c r="N28" s="620">
        <f t="shared" si="41"/>
        <v>85.281066157871166</v>
      </c>
      <c r="O28" s="620">
        <f t="shared" si="42"/>
        <v>96.398928174629106</v>
      </c>
      <c r="P28" s="619">
        <f t="shared" si="43"/>
        <v>174800.00000000035</v>
      </c>
      <c r="Q28" s="619">
        <f>+[8]DailyApr!$G27</f>
        <v>7100</v>
      </c>
      <c r="R28" s="620">
        <f t="shared" si="44"/>
        <v>102.62636774930259</v>
      </c>
      <c r="S28" s="620">
        <f t="shared" si="45"/>
        <v>116.00548983726554</v>
      </c>
      <c r="T28" s="619">
        <f t="shared" si="46"/>
        <v>126699.9999999998</v>
      </c>
      <c r="U28" s="619">
        <f>+[8]DailyApr!$H27</f>
        <v>5699.9999999998181</v>
      </c>
      <c r="V28" s="620">
        <f t="shared" si="47"/>
        <v>82.390182559296633</v>
      </c>
      <c r="W28" s="620">
        <f t="shared" si="48"/>
        <v>93.131167897520058</v>
      </c>
      <c r="X28" s="619">
        <f t="shared" si="49"/>
        <v>320653.27999999968</v>
      </c>
      <c r="Y28" s="619">
        <f>+[8]DailyApr!$I27</f>
        <v>14713.67</v>
      </c>
      <c r="Z28" s="619">
        <f t="shared" si="50"/>
        <v>212.67753638899731</v>
      </c>
      <c r="AA28" s="619">
        <f t="shared" si="51"/>
        <v>240.40373178223646</v>
      </c>
      <c r="AB28" s="619">
        <f t="shared" si="52"/>
        <v>153025.28000000073</v>
      </c>
      <c r="AC28" s="619">
        <f>+[8]DailyApr!$J27</f>
        <v>9057.6700000000455</v>
      </c>
      <c r="AD28" s="619">
        <f t="shared" si="53"/>
        <v>130.92334822138454</v>
      </c>
      <c r="AE28" s="621">
        <f t="shared" si="54"/>
        <v>147.99147114567751</v>
      </c>
      <c r="AF28" s="619">
        <f t="shared" si="55"/>
        <v>235100.00000000035</v>
      </c>
      <c r="AG28" s="619">
        <f>+[8]DailyApr!$K27</f>
        <v>12000</v>
      </c>
      <c r="AH28" s="619">
        <f t="shared" si="56"/>
        <v>173.45301591431422</v>
      </c>
      <c r="AI28" s="622">
        <f t="shared" si="57"/>
        <v>196.06561662636429</v>
      </c>
      <c r="AJ28" s="619">
        <f t="shared" si="58"/>
        <v>8990</v>
      </c>
      <c r="AK28" s="619">
        <f>+[8]DailyApr!$L27</f>
        <v>360</v>
      </c>
      <c r="AL28" s="619">
        <f t="shared" si="59"/>
        <v>5.2035904774294268</v>
      </c>
      <c r="AM28" s="622">
        <f t="shared" si="60"/>
        <v>5.8819684987909282</v>
      </c>
      <c r="AN28" s="619">
        <f t="shared" si="61"/>
        <v>13260</v>
      </c>
      <c r="AO28" s="619">
        <f>+[8]DailyApr!$M27</f>
        <v>500</v>
      </c>
      <c r="AP28" s="619">
        <f t="shared" si="62"/>
        <v>7.2272089964297592</v>
      </c>
      <c r="AQ28" s="622">
        <f t="shared" si="63"/>
        <v>8.1694006927651781</v>
      </c>
      <c r="AR28" s="619">
        <f t="shared" si="64"/>
        <v>55331.339999999866</v>
      </c>
      <c r="AS28" s="623">
        <f t="shared" si="65"/>
        <v>799.7823164650257</v>
      </c>
      <c r="AT28" s="624">
        <f t="shared" si="66"/>
        <v>904.0477746552491</v>
      </c>
    </row>
    <row r="29" spans="1:51">
      <c r="A29" s="617">
        <f t="shared" si="12"/>
        <v>46134</v>
      </c>
      <c r="B29" s="618">
        <f>+Report1!P30</f>
        <v>58.465999999999994</v>
      </c>
      <c r="C29" s="618">
        <f>+Report1!R30</f>
        <v>54.311</v>
      </c>
      <c r="D29" s="619">
        <f t="shared" si="34"/>
        <v>0</v>
      </c>
      <c r="E29" s="619">
        <f>+[8]DailyApr!$D28</f>
        <v>0</v>
      </c>
      <c r="F29" s="620">
        <f t="shared" si="35"/>
        <v>0</v>
      </c>
      <c r="G29" s="620">
        <f t="shared" si="36"/>
        <v>0</v>
      </c>
      <c r="H29" s="619">
        <f t="shared" si="37"/>
        <v>0</v>
      </c>
      <c r="I29" s="619">
        <f>+[8]DailyApr!$E28</f>
        <v>0</v>
      </c>
      <c r="J29" s="620">
        <f t="shared" si="38"/>
        <v>0</v>
      </c>
      <c r="K29" s="620">
        <f t="shared" si="39"/>
        <v>0</v>
      </c>
      <c r="L29" s="619">
        <f t="shared" si="40"/>
        <v>128700</v>
      </c>
      <c r="M29" s="619">
        <f>+[8]DailyApr!$F28</f>
        <v>5900</v>
      </c>
      <c r="N29" s="620">
        <f t="shared" si="41"/>
        <v>100.91335134950228</v>
      </c>
      <c r="O29" s="620">
        <f t="shared" si="42"/>
        <v>108.63361013422696</v>
      </c>
      <c r="P29" s="619">
        <f t="shared" si="43"/>
        <v>177900.00000000035</v>
      </c>
      <c r="Q29" s="619">
        <f>+[8]DailyApr!$G28</f>
        <v>3100</v>
      </c>
      <c r="R29" s="620">
        <f t="shared" si="44"/>
        <v>53.022269353128323</v>
      </c>
      <c r="S29" s="620">
        <f t="shared" si="45"/>
        <v>57.078676511203994</v>
      </c>
      <c r="T29" s="619">
        <f t="shared" si="46"/>
        <v>134499.99999999997</v>
      </c>
      <c r="U29" s="619">
        <f>+[8]DailyApr!$H28</f>
        <v>7800.0000000001819</v>
      </c>
      <c r="V29" s="620">
        <f t="shared" si="47"/>
        <v>133.4108712756163</v>
      </c>
      <c r="W29" s="620">
        <f t="shared" si="48"/>
        <v>143.61731509271016</v>
      </c>
      <c r="X29" s="619">
        <f t="shared" si="49"/>
        <v>340546.37999999966</v>
      </c>
      <c r="Y29" s="619">
        <f>+[8]DailyApr!$I28</f>
        <v>19893.099999999999</v>
      </c>
      <c r="Z29" s="619">
        <f t="shared" si="50"/>
        <v>340.25074402216671</v>
      </c>
      <c r="AA29" s="619">
        <f t="shared" si="51"/>
        <v>366.28123216291357</v>
      </c>
      <c r="AB29" s="619">
        <f t="shared" si="52"/>
        <v>160170.38000000076</v>
      </c>
      <c r="AC29" s="619">
        <f>+[8]DailyApr!$J28</f>
        <v>7145.1000000000449</v>
      </c>
      <c r="AD29" s="619">
        <f t="shared" si="53"/>
        <v>122.20948927581921</v>
      </c>
      <c r="AE29" s="621">
        <f t="shared" si="54"/>
        <v>131.55898436780845</v>
      </c>
      <c r="AF29" s="619">
        <f t="shared" si="55"/>
        <v>243100.00000000035</v>
      </c>
      <c r="AG29" s="619">
        <f>+[8]DailyApr!$K28</f>
        <v>8000</v>
      </c>
      <c r="AH29" s="619">
        <f t="shared" si="56"/>
        <v>136.83166284678276</v>
      </c>
      <c r="AI29" s="622">
        <f t="shared" si="57"/>
        <v>147.29981035149416</v>
      </c>
      <c r="AJ29" s="619">
        <f t="shared" si="58"/>
        <v>9370</v>
      </c>
      <c r="AK29" s="619">
        <f>+[8]DailyApr!$L28</f>
        <v>380</v>
      </c>
      <c r="AL29" s="619">
        <f t="shared" si="59"/>
        <v>6.499503985222181</v>
      </c>
      <c r="AM29" s="622">
        <f t="shared" si="60"/>
        <v>6.9967409916959733</v>
      </c>
      <c r="AN29" s="619">
        <f t="shared" si="61"/>
        <v>13880</v>
      </c>
      <c r="AO29" s="619">
        <f>+[8]DailyApr!$M28</f>
        <v>620</v>
      </c>
      <c r="AP29" s="619">
        <f t="shared" si="62"/>
        <v>10.604453870625663</v>
      </c>
      <c r="AQ29" s="622">
        <f t="shared" si="63"/>
        <v>11.415735302240799</v>
      </c>
      <c r="AR29" s="619">
        <f t="shared" si="64"/>
        <v>52838.200000000223</v>
      </c>
      <c r="AS29" s="623">
        <f t="shared" si="65"/>
        <v>903.74234597886345</v>
      </c>
      <c r="AT29" s="624">
        <f t="shared" si="66"/>
        <v>972.88210491429402</v>
      </c>
    </row>
    <row r="30" spans="1:51">
      <c r="A30" s="617">
        <f t="shared" si="12"/>
        <v>46135</v>
      </c>
      <c r="B30" s="618">
        <f>+Report1!P31</f>
        <v>68.013000000000005</v>
      </c>
      <c r="C30" s="618">
        <f>+Report1!R31</f>
        <v>62.985999999999997</v>
      </c>
      <c r="D30" s="619">
        <f t="shared" si="34"/>
        <v>0</v>
      </c>
      <c r="E30" s="619">
        <f>+[8]DailyApr!$D29</f>
        <v>0</v>
      </c>
      <c r="F30" s="620">
        <f t="shared" si="35"/>
        <v>0</v>
      </c>
      <c r="G30" s="620">
        <f t="shared" si="36"/>
        <v>0</v>
      </c>
      <c r="H30" s="619">
        <f t="shared" si="37"/>
        <v>0</v>
      </c>
      <c r="I30" s="619">
        <f>+[8]DailyApr!$E29</f>
        <v>0</v>
      </c>
      <c r="J30" s="620">
        <f t="shared" si="38"/>
        <v>0</v>
      </c>
      <c r="K30" s="620">
        <f t="shared" si="39"/>
        <v>0</v>
      </c>
      <c r="L30" s="619">
        <f t="shared" si="40"/>
        <v>134700</v>
      </c>
      <c r="M30" s="619">
        <f>+[8]DailyApr!$F29</f>
        <v>6000</v>
      </c>
      <c r="N30" s="620">
        <f t="shared" si="41"/>
        <v>88.218428829782539</v>
      </c>
      <c r="O30" s="620">
        <f t="shared" si="42"/>
        <v>95.259263963420452</v>
      </c>
      <c r="P30" s="619">
        <f t="shared" si="43"/>
        <v>190500.0000000007</v>
      </c>
      <c r="Q30" s="619">
        <f>+[8]DailyApr!$G29</f>
        <v>12600.000000000364</v>
      </c>
      <c r="R30" s="620">
        <f t="shared" si="44"/>
        <v>185.25870054254867</v>
      </c>
      <c r="S30" s="620">
        <f t="shared" si="45"/>
        <v>200.04445432318872</v>
      </c>
      <c r="T30" s="619">
        <f t="shared" si="46"/>
        <v>139600.00000000035</v>
      </c>
      <c r="U30" s="619">
        <f>+[8]DailyApr!$H29</f>
        <v>5100.0000000003638</v>
      </c>
      <c r="V30" s="620">
        <f t="shared" si="47"/>
        <v>74.9856645053205</v>
      </c>
      <c r="W30" s="620">
        <f t="shared" si="48"/>
        <v>80.970374368913156</v>
      </c>
      <c r="X30" s="619">
        <f t="shared" si="49"/>
        <v>351928.59999999893</v>
      </c>
      <c r="Y30" s="619">
        <f>+[8]DailyApr!$I29</f>
        <v>11382.219999999272</v>
      </c>
      <c r="Z30" s="619">
        <f t="shared" si="50"/>
        <v>167.35359416581051</v>
      </c>
      <c r="AA30" s="619">
        <f t="shared" si="51"/>
        <v>180.71031657827569</v>
      </c>
      <c r="AB30" s="619">
        <f t="shared" si="52"/>
        <v>168168.60000000146</v>
      </c>
      <c r="AC30" s="619">
        <f>+[8]DailyApr!$J29</f>
        <v>7998.2200000006869</v>
      </c>
      <c r="AD30" s="619">
        <f t="shared" si="53"/>
        <v>117.59840030583398</v>
      </c>
      <c r="AE30" s="621">
        <f t="shared" si="54"/>
        <v>126.98409170292902</v>
      </c>
      <c r="AF30" s="619">
        <f t="shared" si="55"/>
        <v>253000</v>
      </c>
      <c r="AG30" s="619">
        <f>+[8]DailyApr!$K29</f>
        <v>9899.9999999996362</v>
      </c>
      <c r="AH30" s="619">
        <f t="shared" si="56"/>
        <v>145.56040756913583</v>
      </c>
      <c r="AI30" s="622">
        <f t="shared" si="57"/>
        <v>157.17778553963797</v>
      </c>
      <c r="AJ30" s="619">
        <f t="shared" si="58"/>
        <v>9730</v>
      </c>
      <c r="AK30" s="619">
        <f>+[8]DailyApr!$L29</f>
        <v>360</v>
      </c>
      <c r="AL30" s="619">
        <f t="shared" si="59"/>
        <v>5.2931057297869524</v>
      </c>
      <c r="AM30" s="622">
        <f t="shared" si="60"/>
        <v>5.7155558378052271</v>
      </c>
      <c r="AN30" s="619">
        <f t="shared" si="61"/>
        <v>14500</v>
      </c>
      <c r="AO30" s="619">
        <f>+[8]DailyApr!$M29</f>
        <v>620</v>
      </c>
      <c r="AP30" s="619">
        <f t="shared" si="62"/>
        <v>9.1159043124108621</v>
      </c>
      <c r="AQ30" s="622">
        <f t="shared" si="63"/>
        <v>9.8434572762201125</v>
      </c>
      <c r="AR30" s="619">
        <f t="shared" si="64"/>
        <v>53960.440000000322</v>
      </c>
      <c r="AS30" s="623">
        <f t="shared" si="65"/>
        <v>793.38420596062986</v>
      </c>
      <c r="AT30" s="624">
        <f t="shared" si="66"/>
        <v>856.70529959039027</v>
      </c>
    </row>
    <row r="31" spans="1:51">
      <c r="A31" s="617">
        <f t="shared" si="12"/>
        <v>46136</v>
      </c>
      <c r="B31" s="618">
        <f>+Report1!P32</f>
        <v>74.367000000000004</v>
      </c>
      <c r="C31" s="618">
        <f>+Report1!R32</f>
        <v>77.438000000000002</v>
      </c>
      <c r="D31" s="619">
        <f t="shared" si="34"/>
        <v>0</v>
      </c>
      <c r="E31" s="619">
        <f>+[8]DailyApr!$D30</f>
        <v>0</v>
      </c>
      <c r="F31" s="620">
        <f t="shared" si="35"/>
        <v>0</v>
      </c>
      <c r="G31" s="620">
        <f t="shared" si="36"/>
        <v>0</v>
      </c>
      <c r="H31" s="619">
        <f t="shared" si="37"/>
        <v>0</v>
      </c>
      <c r="I31" s="619">
        <f>+[8]DailyApr!$E30</f>
        <v>0</v>
      </c>
      <c r="J31" s="620">
        <f t="shared" si="38"/>
        <v>0</v>
      </c>
      <c r="K31" s="620">
        <f t="shared" si="39"/>
        <v>0</v>
      </c>
      <c r="L31" s="619">
        <f t="shared" si="40"/>
        <v>140600</v>
      </c>
      <c r="M31" s="619">
        <f>+[8]DailyApr!$F30</f>
        <v>5900</v>
      </c>
      <c r="N31" s="620">
        <f t="shared" si="41"/>
        <v>79.336264741081393</v>
      </c>
      <c r="O31" s="620">
        <f t="shared" si="42"/>
        <v>76.189984245460877</v>
      </c>
      <c r="P31" s="619">
        <f t="shared" si="43"/>
        <v>198200.00000000105</v>
      </c>
      <c r="Q31" s="619">
        <f>+[8]DailyApr!$G30</f>
        <v>7700.0000000003638</v>
      </c>
      <c r="R31" s="620">
        <f t="shared" si="44"/>
        <v>103.5405488993823</v>
      </c>
      <c r="S31" s="620">
        <f t="shared" si="45"/>
        <v>99.434386218657039</v>
      </c>
      <c r="T31" s="619">
        <f t="shared" si="46"/>
        <v>144500</v>
      </c>
      <c r="U31" s="619">
        <f>+[8]DailyApr!$H30</f>
        <v>4899.9999999996362</v>
      </c>
      <c r="V31" s="620">
        <f t="shared" si="47"/>
        <v>65.88944020868982</v>
      </c>
      <c r="W31" s="620">
        <f t="shared" si="48"/>
        <v>63.276427593683152</v>
      </c>
      <c r="X31" s="619">
        <f t="shared" si="49"/>
        <v>362742.41000000038</v>
      </c>
      <c r="Y31" s="619">
        <f>+[8]DailyApr!$I30</f>
        <v>10813.810000001455</v>
      </c>
      <c r="Z31" s="619">
        <f t="shared" si="50"/>
        <v>145.41140559658791</v>
      </c>
      <c r="AA31" s="619">
        <f t="shared" si="51"/>
        <v>139.6447480565285</v>
      </c>
      <c r="AB31" s="619">
        <f t="shared" si="52"/>
        <v>176422.41000000067</v>
      </c>
      <c r="AC31" s="619">
        <f>+[8]DailyApr!$J30</f>
        <v>8253.809999999221</v>
      </c>
      <c r="AD31" s="619">
        <f t="shared" si="53"/>
        <v>110.987534793648</v>
      </c>
      <c r="AE31" s="621">
        <f t="shared" si="54"/>
        <v>106.5860430279607</v>
      </c>
      <c r="AF31" s="619">
        <f t="shared" si="55"/>
        <v>262399.99999999965</v>
      </c>
      <c r="AG31" s="619">
        <f>+[8]DailyApr!$K30</f>
        <v>9399.9999999996362</v>
      </c>
      <c r="AH31" s="619">
        <f t="shared" si="56"/>
        <v>126.40015060442987</v>
      </c>
      <c r="AI31" s="622">
        <f t="shared" si="57"/>
        <v>121.3874325266618</v>
      </c>
      <c r="AJ31" s="619">
        <f t="shared" si="58"/>
        <v>10180</v>
      </c>
      <c r="AK31" s="619">
        <f>+[8]DailyApr!$L30</f>
        <v>450</v>
      </c>
      <c r="AL31" s="619">
        <f t="shared" si="59"/>
        <v>6.0510710395740039</v>
      </c>
      <c r="AM31" s="622">
        <f t="shared" si="60"/>
        <v>5.8111004932978636</v>
      </c>
      <c r="AN31" s="619">
        <f t="shared" si="61"/>
        <v>15110</v>
      </c>
      <c r="AO31" s="619">
        <f>+[8]DailyApr!$M30</f>
        <v>610</v>
      </c>
      <c r="AP31" s="619">
        <f t="shared" si="62"/>
        <v>8.202562964755872</v>
      </c>
      <c r="AQ31" s="622">
        <f t="shared" si="63"/>
        <v>7.877269557581549</v>
      </c>
      <c r="AR31" s="619">
        <f t="shared" si="64"/>
        <v>48027.620000000308</v>
      </c>
      <c r="AS31" s="623">
        <f t="shared" si="65"/>
        <v>645.81897884814907</v>
      </c>
      <c r="AT31" s="624">
        <f t="shared" si="66"/>
        <v>620.20739171983143</v>
      </c>
    </row>
    <row r="32" spans="1:51">
      <c r="A32" s="617">
        <f t="shared" si="12"/>
        <v>46137</v>
      </c>
      <c r="B32" s="618">
        <f>+Report1!P33</f>
        <v>64.506</v>
      </c>
      <c r="C32" s="618">
        <f>+Report1!R33</f>
        <v>60.396999999999998</v>
      </c>
      <c r="D32" s="619">
        <f t="shared" si="34"/>
        <v>0</v>
      </c>
      <c r="E32" s="619">
        <f>+[8]DailyApr!$D31</f>
        <v>0</v>
      </c>
      <c r="F32" s="620">
        <f t="shared" si="35"/>
        <v>0</v>
      </c>
      <c r="G32" s="620">
        <f t="shared" si="36"/>
        <v>0</v>
      </c>
      <c r="H32" s="619">
        <f t="shared" si="37"/>
        <v>0</v>
      </c>
      <c r="I32" s="619">
        <f>+[8]DailyApr!$E31</f>
        <v>0</v>
      </c>
      <c r="J32" s="620">
        <f t="shared" si="38"/>
        <v>0</v>
      </c>
      <c r="K32" s="620">
        <f t="shared" si="39"/>
        <v>0</v>
      </c>
      <c r="L32" s="619">
        <f t="shared" si="40"/>
        <v>146400</v>
      </c>
      <c r="M32" s="619">
        <f>+[8]DailyApr!$F31</f>
        <v>5800</v>
      </c>
      <c r="N32" s="620">
        <f t="shared" si="41"/>
        <v>89.914116516293063</v>
      </c>
      <c r="O32" s="620">
        <f t="shared" si="42"/>
        <v>96.031259830786297</v>
      </c>
      <c r="P32" s="619">
        <f t="shared" si="43"/>
        <v>205999.99999999959</v>
      </c>
      <c r="Q32" s="619">
        <f>+[8]DailyApr!$G31</f>
        <v>7799.9999999985448</v>
      </c>
      <c r="R32" s="620">
        <f t="shared" si="44"/>
        <v>120.91898428050948</v>
      </c>
      <c r="S32" s="620">
        <f t="shared" si="45"/>
        <v>129.14548735861956</v>
      </c>
      <c r="T32" s="619">
        <f t="shared" si="46"/>
        <v>152400.00000000055</v>
      </c>
      <c r="U32" s="619">
        <f>+[8]DailyApr!$H31</f>
        <v>7900.0000000005457</v>
      </c>
      <c r="V32" s="620">
        <f t="shared" si="47"/>
        <v>122.46922766875245</v>
      </c>
      <c r="W32" s="620">
        <f t="shared" si="48"/>
        <v>130.80119873504555</v>
      </c>
      <c r="X32" s="619">
        <f t="shared" si="49"/>
        <v>381246.11000000004</v>
      </c>
      <c r="Y32" s="619">
        <f>+[8]DailyApr!$I31</f>
        <v>18503.699999999637</v>
      </c>
      <c r="Z32" s="619">
        <f t="shared" si="50"/>
        <v>286.85238582456884</v>
      </c>
      <c r="AA32" s="619">
        <f t="shared" si="51"/>
        <v>306.36786595360098</v>
      </c>
      <c r="AB32" s="619">
        <f t="shared" si="52"/>
        <v>184576.11000000031</v>
      </c>
      <c r="AC32" s="619">
        <f>+[8]DailyApr!$J31</f>
        <v>8153.6999999996369</v>
      </c>
      <c r="AD32" s="619">
        <f t="shared" si="53"/>
        <v>126.40219514463207</v>
      </c>
      <c r="AE32" s="621">
        <f t="shared" si="54"/>
        <v>135.0017384969392</v>
      </c>
      <c r="AF32" s="619">
        <f t="shared" si="55"/>
        <v>270300.00000000111</v>
      </c>
      <c r="AG32" s="619">
        <f>+[8]DailyApr!$K31</f>
        <v>7900.0000000014552</v>
      </c>
      <c r="AH32" s="619">
        <f t="shared" si="56"/>
        <v>122.46922766876655</v>
      </c>
      <c r="AI32" s="622">
        <f t="shared" si="57"/>
        <v>130.80119873506061</v>
      </c>
      <c r="AJ32" s="619">
        <f t="shared" si="58"/>
        <v>10550</v>
      </c>
      <c r="AK32" s="619">
        <f>+[8]DailyApr!$L31</f>
        <v>370</v>
      </c>
      <c r="AL32" s="619">
        <f t="shared" si="59"/>
        <v>5.7359005363842126</v>
      </c>
      <c r="AM32" s="622">
        <f t="shared" si="60"/>
        <v>6.1261320926536085</v>
      </c>
      <c r="AN32" s="619">
        <f t="shared" si="61"/>
        <v>15700</v>
      </c>
      <c r="AO32" s="619">
        <f>+[8]DailyApr!$M31</f>
        <v>590</v>
      </c>
      <c r="AP32" s="619">
        <f t="shared" si="62"/>
        <v>9.1464359904505006</v>
      </c>
      <c r="AQ32" s="622">
        <f t="shared" si="63"/>
        <v>9.768697120717917</v>
      </c>
      <c r="AR32" s="619">
        <f t="shared" si="64"/>
        <v>57017.39999999982</v>
      </c>
      <c r="AS32" s="623">
        <f t="shared" si="65"/>
        <v>883.90847363035721</v>
      </c>
      <c r="AT32" s="624">
        <f t="shared" si="66"/>
        <v>944.04357832342373</v>
      </c>
    </row>
    <row r="33" spans="1:46">
      <c r="A33" s="617">
        <f t="shared" si="12"/>
        <v>46138</v>
      </c>
      <c r="B33" s="618">
        <f>+Report1!P34</f>
        <v>65.16</v>
      </c>
      <c r="C33" s="618">
        <f>+Report1!R34</f>
        <v>66.174999999999997</v>
      </c>
      <c r="D33" s="619">
        <f t="shared" si="34"/>
        <v>0</v>
      </c>
      <c r="E33" s="619">
        <f>+[8]DailyApr!$D32</f>
        <v>0</v>
      </c>
      <c r="F33" s="620">
        <f t="shared" si="35"/>
        <v>0</v>
      </c>
      <c r="G33" s="620">
        <f t="shared" si="36"/>
        <v>0</v>
      </c>
      <c r="H33" s="619">
        <f t="shared" si="37"/>
        <v>0</v>
      </c>
      <c r="I33" s="619">
        <f>+[8]DailyApr!$E32</f>
        <v>0</v>
      </c>
      <c r="J33" s="620">
        <f t="shared" si="38"/>
        <v>0</v>
      </c>
      <c r="K33" s="620">
        <f t="shared" si="39"/>
        <v>0</v>
      </c>
      <c r="L33" s="619">
        <f t="shared" si="40"/>
        <v>152300</v>
      </c>
      <c r="M33" s="619">
        <f>+[8]DailyApr!$F32</f>
        <v>5900</v>
      </c>
      <c r="N33" s="620">
        <f t="shared" si="41"/>
        <v>90.546347452424811</v>
      </c>
      <c r="O33" s="620">
        <f t="shared" si="42"/>
        <v>89.15753683415187</v>
      </c>
      <c r="P33" s="619">
        <f t="shared" si="43"/>
        <v>213300.00000000032</v>
      </c>
      <c r="Q33" s="619">
        <f>+[8]DailyApr!$G32</f>
        <v>7300.0000000007276</v>
      </c>
      <c r="R33" s="620">
        <f t="shared" si="44"/>
        <v>112.03192142419779</v>
      </c>
      <c r="S33" s="620">
        <f t="shared" si="45"/>
        <v>110.31356252362264</v>
      </c>
      <c r="T33" s="619">
        <f t="shared" si="46"/>
        <v>160500</v>
      </c>
      <c r="U33" s="619">
        <f>+[8]DailyApr!$H32</f>
        <v>8099.9999999994543</v>
      </c>
      <c r="V33" s="620">
        <f t="shared" si="47"/>
        <v>124.309392265185</v>
      </c>
      <c r="W33" s="620">
        <f t="shared" si="48"/>
        <v>122.40272006043755</v>
      </c>
      <c r="X33" s="619">
        <f t="shared" si="49"/>
        <v>400705.71999999968</v>
      </c>
      <c r="Y33" s="619">
        <f>+[8]DailyApr!$I32</f>
        <v>19459.609999999637</v>
      </c>
      <c r="Z33" s="619">
        <f t="shared" si="50"/>
        <v>298.64349294044871</v>
      </c>
      <c r="AA33" s="619">
        <f t="shared" si="51"/>
        <v>294.06286361918609</v>
      </c>
      <c r="AB33" s="619">
        <f t="shared" si="52"/>
        <v>193881.72000000073</v>
      </c>
      <c r="AC33" s="619">
        <f>+[8]DailyApr!$J32</f>
        <v>9305.6100000004117</v>
      </c>
      <c r="AD33" s="619">
        <f t="shared" si="53"/>
        <v>142.81169429098239</v>
      </c>
      <c r="AE33" s="621">
        <f t="shared" si="54"/>
        <v>140.62123158293028</v>
      </c>
      <c r="AF33" s="619">
        <f t="shared" si="55"/>
        <v>278100.00000000035</v>
      </c>
      <c r="AG33" s="619">
        <f>+[8]DailyApr!$K32</f>
        <v>7799.9999999992724</v>
      </c>
      <c r="AH33" s="619">
        <f t="shared" si="56"/>
        <v>119.70534069980468</v>
      </c>
      <c r="AI33" s="622">
        <f t="shared" si="57"/>
        <v>117.86928598412199</v>
      </c>
      <c r="AJ33" s="619">
        <f t="shared" si="58"/>
        <v>10928.760000000009</v>
      </c>
      <c r="AK33" s="619">
        <f>+[8]DailyApr!$L32</f>
        <v>378.76000000000931</v>
      </c>
      <c r="AL33" s="619">
        <f t="shared" si="59"/>
        <v>5.8127685696747902</v>
      </c>
      <c r="AM33" s="622">
        <f t="shared" si="60"/>
        <v>5.7236116358142706</v>
      </c>
      <c r="AN33" s="619">
        <f t="shared" si="61"/>
        <v>16320.119999999995</v>
      </c>
      <c r="AO33" s="619">
        <f>+[8]DailyApr!$M32</f>
        <v>620.11999999999534</v>
      </c>
      <c r="AP33" s="619">
        <f t="shared" si="62"/>
        <v>9.5168815224063135</v>
      </c>
      <c r="AQ33" s="622">
        <f t="shared" si="63"/>
        <v>9.370910464676923</v>
      </c>
      <c r="AR33" s="619">
        <f t="shared" si="64"/>
        <v>58864.099999999511</v>
      </c>
      <c r="AS33" s="623">
        <f t="shared" si="65"/>
        <v>903.37783916512456</v>
      </c>
      <c r="AT33" s="624">
        <f t="shared" si="66"/>
        <v>889.52172270494168</v>
      </c>
    </row>
    <row r="34" spans="1:46">
      <c r="A34" s="617">
        <f t="shared" si="12"/>
        <v>46139</v>
      </c>
      <c r="B34" s="618">
        <f>+Report1!P35</f>
        <v>58.93</v>
      </c>
      <c r="C34" s="618">
        <f>+Report1!R35</f>
        <v>55.545000000000002</v>
      </c>
      <c r="D34" s="619">
        <f t="shared" si="34"/>
        <v>0</v>
      </c>
      <c r="E34" s="619">
        <f>+[8]DailyApr!$D33</f>
        <v>0</v>
      </c>
      <c r="F34" s="620">
        <f t="shared" si="35"/>
        <v>0</v>
      </c>
      <c r="G34" s="620">
        <f t="shared" si="36"/>
        <v>0</v>
      </c>
      <c r="H34" s="619">
        <f t="shared" si="37"/>
        <v>0</v>
      </c>
      <c r="I34" s="619">
        <f>+[8]DailyApr!$E33</f>
        <v>0</v>
      </c>
      <c r="J34" s="620">
        <f t="shared" si="38"/>
        <v>0</v>
      </c>
      <c r="K34" s="620">
        <f t="shared" si="39"/>
        <v>0</v>
      </c>
      <c r="L34" s="619">
        <f t="shared" si="40"/>
        <v>158000</v>
      </c>
      <c r="M34" s="619">
        <f>+[8]DailyApr!$F33</f>
        <v>5700</v>
      </c>
      <c r="N34" s="620">
        <f t="shared" si="41"/>
        <v>96.724927880536228</v>
      </c>
      <c r="O34" s="620">
        <f t="shared" si="42"/>
        <v>102.61949770456387</v>
      </c>
      <c r="P34" s="619">
        <f t="shared" si="43"/>
        <v>221600.00000000032</v>
      </c>
      <c r="Q34" s="619">
        <f>+[8]DailyApr!$G33</f>
        <v>8300</v>
      </c>
      <c r="R34" s="620">
        <f t="shared" si="44"/>
        <v>140.8450704225352</v>
      </c>
      <c r="S34" s="620">
        <f t="shared" si="45"/>
        <v>149.42839139436492</v>
      </c>
      <c r="T34" s="619">
        <f t="shared" si="46"/>
        <v>168600.00000000035</v>
      </c>
      <c r="U34" s="619">
        <f>+[8]DailyApr!$H33</f>
        <v>8100.0000000003638</v>
      </c>
      <c r="V34" s="620">
        <f t="shared" si="47"/>
        <v>137.45121330392607</v>
      </c>
      <c r="W34" s="620">
        <f t="shared" si="48"/>
        <v>145.82770726438679</v>
      </c>
      <c r="X34" s="619">
        <f t="shared" si="49"/>
        <v>418211.56999999966</v>
      </c>
      <c r="Y34" s="619">
        <f>+[8]DailyApr!$I33</f>
        <v>17505.849999999999</v>
      </c>
      <c r="Z34" s="619">
        <f t="shared" si="50"/>
        <v>297.0617681995588</v>
      </c>
      <c r="AA34" s="619">
        <f t="shared" si="51"/>
        <v>315.16518138446304</v>
      </c>
      <c r="AB34" s="619">
        <f t="shared" si="52"/>
        <v>200648.57000000068</v>
      </c>
      <c r="AC34" s="619">
        <f>+[8]DailyApr!$J33</f>
        <v>6766.8499999999576</v>
      </c>
      <c r="AD34" s="619">
        <f t="shared" si="53"/>
        <v>114.82861021550922</v>
      </c>
      <c r="AE34" s="621">
        <f t="shared" si="54"/>
        <v>121.82644702493397</v>
      </c>
      <c r="AF34" s="619">
        <f t="shared" si="55"/>
        <v>286100.00000000035</v>
      </c>
      <c r="AG34" s="619">
        <f>+[8]DailyApr!$K33</f>
        <v>8000</v>
      </c>
      <c r="AH34" s="619">
        <f t="shared" si="56"/>
        <v>135.75428474461225</v>
      </c>
      <c r="AI34" s="622">
        <f t="shared" si="57"/>
        <v>144.02736519938787</v>
      </c>
      <c r="AJ34" s="619">
        <f t="shared" si="58"/>
        <v>11263.439999999944</v>
      </c>
      <c r="AK34" s="619">
        <f>+[8]DailyApr!$L33</f>
        <v>334.67999999993481</v>
      </c>
      <c r="AL34" s="619">
        <f t="shared" si="59"/>
        <v>5.679280502289747</v>
      </c>
      <c r="AM34" s="622">
        <f t="shared" si="60"/>
        <v>6.0253848231152185</v>
      </c>
      <c r="AN34" s="619">
        <f t="shared" si="61"/>
        <v>16997.679999999993</v>
      </c>
      <c r="AO34" s="619">
        <f>+[8]DailyApr!$M33</f>
        <v>677.55999999999767</v>
      </c>
      <c r="AP34" s="619">
        <f t="shared" si="62"/>
        <v>11.497709146444896</v>
      </c>
      <c r="AQ34" s="622">
        <f t="shared" si="63"/>
        <v>12.198397695562115</v>
      </c>
      <c r="AR34" s="619">
        <f t="shared" si="64"/>
        <v>55384.94000000025</v>
      </c>
      <c r="AS34" s="623">
        <f t="shared" si="65"/>
        <v>939.84286441541235</v>
      </c>
      <c r="AT34" s="624">
        <f t="shared" si="66"/>
        <v>997.11837249077769</v>
      </c>
    </row>
    <row r="35" spans="1:46">
      <c r="A35" s="617">
        <f t="shared" si="12"/>
        <v>46140</v>
      </c>
      <c r="B35" s="618">
        <f>+Report1!P36</f>
        <v>54.076999999999998</v>
      </c>
      <c r="C35" s="618">
        <f>+Report1!R36</f>
        <v>49.442999999999998</v>
      </c>
      <c r="D35" s="619">
        <f t="shared" si="34"/>
        <v>0</v>
      </c>
      <c r="E35" s="619">
        <f>+[8]DailyApr!$D34</f>
        <v>0</v>
      </c>
      <c r="F35" s="620">
        <f t="shared" si="35"/>
        <v>0</v>
      </c>
      <c r="G35" s="620">
        <f t="shared" si="36"/>
        <v>0</v>
      </c>
      <c r="H35" s="619">
        <f t="shared" si="37"/>
        <v>0</v>
      </c>
      <c r="I35" s="619">
        <f>+[8]DailyApr!$E34</f>
        <v>0</v>
      </c>
      <c r="J35" s="620">
        <f t="shared" si="38"/>
        <v>0</v>
      </c>
      <c r="K35" s="620">
        <f t="shared" si="39"/>
        <v>0</v>
      </c>
      <c r="L35" s="619">
        <f t="shared" si="40"/>
        <v>163600</v>
      </c>
      <c r="M35" s="619">
        <f>+[8]DailyApr!$F34</f>
        <v>5600</v>
      </c>
      <c r="N35" s="620">
        <f t="shared" si="41"/>
        <v>103.55604046082438</v>
      </c>
      <c r="O35" s="620">
        <f t="shared" si="42"/>
        <v>113.26173573610016</v>
      </c>
      <c r="P35" s="619">
        <f t="shared" si="43"/>
        <v>229000.00000000032</v>
      </c>
      <c r="Q35" s="619">
        <f>+[8]DailyApr!$G34</f>
        <v>7400</v>
      </c>
      <c r="R35" s="620">
        <f t="shared" si="44"/>
        <v>136.84191060894651</v>
      </c>
      <c r="S35" s="620">
        <f t="shared" si="45"/>
        <v>149.6672936512752</v>
      </c>
      <c r="T35" s="619">
        <f t="shared" si="46"/>
        <v>174900.00000000052</v>
      </c>
      <c r="U35" s="619">
        <f>+[8]DailyApr!$H34</f>
        <v>6300.0000000001819</v>
      </c>
      <c r="V35" s="620">
        <f t="shared" si="47"/>
        <v>116.5005455184308</v>
      </c>
      <c r="W35" s="620">
        <f t="shared" si="48"/>
        <v>127.41945270311636</v>
      </c>
      <c r="X35" s="619">
        <f t="shared" si="49"/>
        <v>432328.62999999966</v>
      </c>
      <c r="Y35" s="619">
        <f>+[8]DailyApr!$I34</f>
        <v>14117.06</v>
      </c>
      <c r="Z35" s="619">
        <f t="shared" si="50"/>
        <v>261.05479224069381</v>
      </c>
      <c r="AA35" s="619">
        <f t="shared" si="51"/>
        <v>285.52191412333394</v>
      </c>
      <c r="AB35" s="619">
        <f t="shared" si="52"/>
        <v>206906.63000000073</v>
      </c>
      <c r="AC35" s="619">
        <f>+[8]DailyApr!$J34</f>
        <v>6258.060000000045</v>
      </c>
      <c r="AD35" s="619">
        <f t="shared" si="53"/>
        <v>115.72498474397702</v>
      </c>
      <c r="AE35" s="621">
        <f t="shared" si="54"/>
        <v>126.57120320369002</v>
      </c>
      <c r="AF35" s="619">
        <f t="shared" si="55"/>
        <v>300100.00000000035</v>
      </c>
      <c r="AG35" s="619">
        <f>+[8]DailyApr!$K34</f>
        <v>14000</v>
      </c>
      <c r="AH35" s="619">
        <f t="shared" si="56"/>
        <v>258.89010115206094</v>
      </c>
      <c r="AI35" s="622">
        <f t="shared" si="57"/>
        <v>283.15433934025037</v>
      </c>
      <c r="AJ35" s="619">
        <f t="shared" si="58"/>
        <v>11689.599999999977</v>
      </c>
      <c r="AK35" s="619">
        <f>+[8]DailyApr!$L34</f>
        <v>426.1600000000326</v>
      </c>
      <c r="AL35" s="619">
        <f t="shared" si="59"/>
        <v>7.8806146790693381</v>
      </c>
      <c r="AM35" s="622">
        <f t="shared" si="60"/>
        <v>8.6192180895178812</v>
      </c>
      <c r="AN35" s="619">
        <f t="shared" si="61"/>
        <v>17665.599999999977</v>
      </c>
      <c r="AO35" s="619">
        <f>+[8]DailyApr!$M34</f>
        <v>667.9199999999837</v>
      </c>
      <c r="AP35" s="619">
        <f t="shared" si="62"/>
        <v>12.351276882962882</v>
      </c>
      <c r="AQ35" s="622">
        <f t="shared" si="63"/>
        <v>13.50888902372396</v>
      </c>
      <c r="AR35" s="619">
        <f t="shared" si="64"/>
        <v>54769.200000000244</v>
      </c>
      <c r="AS35" s="623">
        <f t="shared" si="65"/>
        <v>1012.8002662869658</v>
      </c>
      <c r="AT35" s="624">
        <f t="shared" si="66"/>
        <v>1107.724045871008</v>
      </c>
    </row>
    <row r="36" spans="1:46">
      <c r="A36" s="617">
        <f t="shared" si="12"/>
        <v>46141</v>
      </c>
      <c r="B36" s="618">
        <f>+Report1!P37</f>
        <v>48.198</v>
      </c>
      <c r="C36" s="618">
        <f>+Report1!R37</f>
        <v>49.027999999999999</v>
      </c>
      <c r="D36" s="619">
        <f t="shared" si="34"/>
        <v>9.9999997764825821E-3</v>
      </c>
      <c r="E36" s="619">
        <f>+[8]DailyApr!$D35</f>
        <v>9.9999997764825821E-3</v>
      </c>
      <c r="F36" s="620">
        <f t="shared" si="35"/>
        <v>2.0747748405499362E-4</v>
      </c>
      <c r="G36" s="620">
        <f t="shared" si="36"/>
        <v>2.0396507661912748E-4</v>
      </c>
      <c r="H36" s="619">
        <f t="shared" si="37"/>
        <v>0</v>
      </c>
      <c r="I36" s="619">
        <f>+[8]DailyApr!$E35</f>
        <v>0</v>
      </c>
      <c r="J36" s="620">
        <f t="shared" si="38"/>
        <v>0</v>
      </c>
      <c r="K36" s="620">
        <f t="shared" si="39"/>
        <v>0</v>
      </c>
      <c r="L36" s="619">
        <f t="shared" si="40"/>
        <v>168800</v>
      </c>
      <c r="M36" s="619">
        <f>+[8]DailyApr!$F35</f>
        <v>5200</v>
      </c>
      <c r="N36" s="620">
        <f t="shared" si="41"/>
        <v>107.88829412008796</v>
      </c>
      <c r="O36" s="620">
        <f t="shared" si="42"/>
        <v>106.0618422126132</v>
      </c>
      <c r="P36" s="619">
        <f t="shared" si="43"/>
        <v>235799.99000000054</v>
      </c>
      <c r="Q36" s="619">
        <f>+[8]DailyApr!$G35</f>
        <v>6799.9900000002235</v>
      </c>
      <c r="R36" s="620">
        <f t="shared" si="44"/>
        <v>141.08448483340021</v>
      </c>
      <c r="S36" s="620">
        <f t="shared" si="45"/>
        <v>138.69605123603296</v>
      </c>
      <c r="T36" s="619">
        <f t="shared" si="46"/>
        <v>180499.99999999997</v>
      </c>
      <c r="U36" s="619">
        <f>+[8]DailyApr!$H35</f>
        <v>5599.9999999994543</v>
      </c>
      <c r="V36" s="620">
        <f t="shared" si="47"/>
        <v>116.18739366777572</v>
      </c>
      <c r="W36" s="620">
        <f t="shared" si="48"/>
        <v>114.22044545972616</v>
      </c>
      <c r="X36" s="619">
        <f t="shared" si="49"/>
        <v>446552.49999999965</v>
      </c>
      <c r="Y36" s="619">
        <f>+[8]DailyApr!$I35</f>
        <v>14223.87</v>
      </c>
      <c r="Z36" s="619">
        <f t="shared" si="50"/>
        <v>295.11328270882609</v>
      </c>
      <c r="AA36" s="619">
        <f t="shared" si="51"/>
        <v>290.11727992167744</v>
      </c>
      <c r="AB36" s="619">
        <f t="shared" si="52"/>
        <v>213783.5000000007</v>
      </c>
      <c r="AC36" s="619">
        <f>+[8]DailyApr!$J35</f>
        <v>6876.8699999999553</v>
      </c>
      <c r="AD36" s="619">
        <f t="shared" si="53"/>
        <v>142.6795717664624</v>
      </c>
      <c r="AE36" s="621">
        <f t="shared" si="54"/>
        <v>140.26413478012475</v>
      </c>
      <c r="AF36" s="619">
        <f t="shared" si="55"/>
        <v>313100.00000000035</v>
      </c>
      <c r="AG36" s="619">
        <f>+[8]DailyApr!$K35</f>
        <v>13000</v>
      </c>
      <c r="AH36" s="619">
        <f t="shared" si="56"/>
        <v>269.72073530021993</v>
      </c>
      <c r="AI36" s="622">
        <f t="shared" si="57"/>
        <v>265.15460553153304</v>
      </c>
      <c r="AJ36" s="619">
        <f t="shared" si="58"/>
        <v>12112.079999999958</v>
      </c>
      <c r="AK36" s="619">
        <f>+[8]DailyApr!$L35</f>
        <v>422.47999999998137</v>
      </c>
      <c r="AL36" s="619">
        <f t="shared" si="59"/>
        <v>8.7655089422793768</v>
      </c>
      <c r="AM36" s="622">
        <f t="shared" si="60"/>
        <v>8.6171167496120873</v>
      </c>
      <c r="AN36" s="619">
        <f t="shared" si="61"/>
        <v>18325.080000000016</v>
      </c>
      <c r="AO36" s="619">
        <f>+[8]DailyApr!$M35</f>
        <v>659.48000000003958</v>
      </c>
      <c r="AP36" s="619">
        <f t="shared" si="62"/>
        <v>13.682725424292286</v>
      </c>
      <c r="AQ36" s="622">
        <f t="shared" si="63"/>
        <v>13.451089173534299</v>
      </c>
      <c r="AR36" s="619">
        <f t="shared" si="64"/>
        <v>52782.69999999943</v>
      </c>
      <c r="AS36" s="623">
        <f t="shared" si="65"/>
        <v>1095.1222042408281</v>
      </c>
      <c r="AT36" s="624">
        <f t="shared" si="66"/>
        <v>1076.5827690299304</v>
      </c>
    </row>
    <row r="37" spans="1:46">
      <c r="A37" s="617">
        <f t="shared" si="12"/>
        <v>46142</v>
      </c>
      <c r="B37" s="618">
        <f>+Report1!P38</f>
        <v>50.679000000000002</v>
      </c>
      <c r="C37" s="618">
        <f>+Report1!R38</f>
        <v>51.228000000000002</v>
      </c>
      <c r="D37" s="619">
        <f t="shared" si="34"/>
        <v>9.9999997764825821E-3</v>
      </c>
      <c r="E37" s="619">
        <f>+[8]DailyApr!$D36</f>
        <v>0</v>
      </c>
      <c r="F37" s="620">
        <f t="shared" si="35"/>
        <v>0</v>
      </c>
      <c r="G37" s="620">
        <f t="shared" si="36"/>
        <v>0</v>
      </c>
      <c r="H37" s="619">
        <f t="shared" si="37"/>
        <v>0</v>
      </c>
      <c r="I37" s="619">
        <f>+[8]DailyApr!$E36</f>
        <v>0</v>
      </c>
      <c r="J37" s="620">
        <f t="shared" si="38"/>
        <v>0</v>
      </c>
      <c r="K37" s="620">
        <f t="shared" si="39"/>
        <v>0</v>
      </c>
      <c r="L37" s="619">
        <f t="shared" si="40"/>
        <v>174600</v>
      </c>
      <c r="M37" s="619">
        <f>+[8]DailyApr!$F36</f>
        <v>5800</v>
      </c>
      <c r="N37" s="620">
        <f t="shared" si="41"/>
        <v>114.44582568716825</v>
      </c>
      <c r="O37" s="620">
        <f t="shared" si="42"/>
        <v>113.21933317716874</v>
      </c>
      <c r="P37" s="619">
        <f t="shared" si="43"/>
        <v>242999.99000000054</v>
      </c>
      <c r="Q37" s="619">
        <f>+[8]DailyApr!$G36</f>
        <v>7200</v>
      </c>
      <c r="R37" s="620">
        <f t="shared" si="44"/>
        <v>142.07068016338127</v>
      </c>
      <c r="S37" s="620">
        <f t="shared" si="45"/>
        <v>140.54813773717498</v>
      </c>
      <c r="T37" s="619">
        <f t="shared" si="46"/>
        <v>186400.00000000052</v>
      </c>
      <c r="U37" s="619">
        <f>+[8]DailyApr!$H36</f>
        <v>5900.0000000005457</v>
      </c>
      <c r="V37" s="620">
        <f t="shared" si="47"/>
        <v>116.41902957833709</v>
      </c>
      <c r="W37" s="620">
        <f t="shared" si="48"/>
        <v>115.17139064575126</v>
      </c>
      <c r="X37" s="619">
        <f t="shared" si="49"/>
        <v>461665.58999999968</v>
      </c>
      <c r="Y37" s="619">
        <f>+[8]DailyApr!$I36</f>
        <v>15113.09</v>
      </c>
      <c r="Z37" s="619">
        <f t="shared" si="50"/>
        <v>298.21207995422168</v>
      </c>
      <c r="AA37" s="619">
        <f t="shared" si="51"/>
        <v>295.01620207698915</v>
      </c>
      <c r="AB37" s="619">
        <f t="shared" si="52"/>
        <v>222745.59000000064</v>
      </c>
      <c r="AC37" s="619">
        <f>+[8]DailyApr!$J36</f>
        <v>8962.0899999999492</v>
      </c>
      <c r="AD37" s="619">
        <f t="shared" si="53"/>
        <v>176.84030860908757</v>
      </c>
      <c r="AE37" s="621">
        <f t="shared" si="54"/>
        <v>174.94514718513213</v>
      </c>
      <c r="AF37" s="619">
        <f t="shared" si="55"/>
        <v>327100.00000000035</v>
      </c>
      <c r="AG37" s="619">
        <f>+[8]DailyApr!$K36</f>
        <v>14000</v>
      </c>
      <c r="AH37" s="619">
        <f t="shared" si="56"/>
        <v>276.24854476213028</v>
      </c>
      <c r="AI37" s="622">
        <f t="shared" si="57"/>
        <v>273.28804560006245</v>
      </c>
      <c r="AJ37" s="619">
        <f t="shared" si="58"/>
        <v>12530.880000000005</v>
      </c>
      <c r="AK37" s="619">
        <f>+[8]DailyApr!$L36</f>
        <v>418.80000000004657</v>
      </c>
      <c r="AL37" s="619">
        <f t="shared" si="59"/>
        <v>8.2637778961709305</v>
      </c>
      <c r="AM37" s="622">
        <f t="shared" si="60"/>
        <v>8.1752166783799201</v>
      </c>
      <c r="AN37" s="619">
        <f t="shared" si="61"/>
        <v>19019.840000000026</v>
      </c>
      <c r="AO37" s="619">
        <f>+[8]DailyApr!$M36</f>
        <v>694.76000000000931</v>
      </c>
      <c r="AP37" s="619">
        <f t="shared" si="62"/>
        <v>13.709031354210014</v>
      </c>
      <c r="AQ37" s="622">
        <f t="shared" si="63"/>
        <v>13.562114468650138</v>
      </c>
      <c r="AR37" s="619">
        <f t="shared" si="64"/>
        <v>58088.740000000558</v>
      </c>
      <c r="AS37" s="623">
        <f t="shared" si="65"/>
        <v>1146.2092780047071</v>
      </c>
      <c r="AT37" s="624">
        <f t="shared" si="66"/>
        <v>1133.9255875693088</v>
      </c>
    </row>
    <row r="38" spans="1:46">
      <c r="A38" s="617"/>
      <c r="B38" s="618"/>
      <c r="C38" s="618"/>
      <c r="D38" s="619"/>
      <c r="E38" s="619"/>
      <c r="F38" s="620"/>
      <c r="G38" s="620"/>
      <c r="H38" s="619"/>
      <c r="I38" s="619"/>
      <c r="J38" s="620"/>
      <c r="K38" s="620"/>
      <c r="L38" s="619"/>
      <c r="M38" s="619"/>
      <c r="N38" s="620"/>
      <c r="O38" s="620"/>
      <c r="P38" s="619"/>
      <c r="Q38" s="619"/>
      <c r="R38" s="620"/>
      <c r="S38" s="620"/>
      <c r="T38" s="619"/>
      <c r="U38" s="619"/>
      <c r="V38" s="620"/>
      <c r="W38" s="620"/>
      <c r="X38" s="619"/>
      <c r="Y38" s="619"/>
      <c r="Z38" s="619"/>
      <c r="AA38" s="619"/>
      <c r="AB38" s="619"/>
      <c r="AC38" s="619"/>
      <c r="AD38" s="619"/>
      <c r="AE38" s="621"/>
      <c r="AF38" s="619"/>
      <c r="AG38" s="619"/>
      <c r="AH38" s="619"/>
      <c r="AI38" s="622"/>
      <c r="AJ38" s="619"/>
      <c r="AK38" s="619"/>
      <c r="AL38" s="619"/>
      <c r="AM38" s="622"/>
      <c r="AN38" s="619"/>
      <c r="AO38" s="619"/>
      <c r="AP38" s="619"/>
      <c r="AQ38" s="622"/>
      <c r="AR38" s="619"/>
      <c r="AS38" s="623"/>
      <c r="AT38" s="624"/>
    </row>
    <row r="39" spans="1:46">
      <c r="A39" s="315"/>
      <c r="B39" s="323"/>
      <c r="C39" s="323"/>
      <c r="D39" s="306"/>
      <c r="E39" s="317"/>
      <c r="F39" s="318"/>
      <c r="G39" s="318"/>
      <c r="H39" s="310"/>
      <c r="I39" s="312"/>
      <c r="J39" s="318"/>
      <c r="K39" s="318"/>
      <c r="L39" s="312"/>
      <c r="M39" s="317"/>
      <c r="N39" s="318"/>
      <c r="O39" s="318"/>
      <c r="P39" s="313"/>
      <c r="Q39" s="317"/>
      <c r="R39" s="319"/>
      <c r="S39" s="319"/>
      <c r="T39" s="314"/>
      <c r="U39" s="317"/>
      <c r="V39" s="318"/>
      <c r="W39" s="318"/>
      <c r="X39" s="324"/>
      <c r="Y39" s="324"/>
      <c r="Z39" s="324"/>
      <c r="AA39" s="324"/>
      <c r="AB39" s="324"/>
      <c r="AC39" s="324"/>
      <c r="AD39" s="324"/>
      <c r="AE39" s="324"/>
      <c r="AF39" s="324"/>
      <c r="AG39" s="324"/>
      <c r="AH39" s="324"/>
      <c r="AI39" s="324"/>
      <c r="AJ39" s="324"/>
      <c r="AK39" s="324"/>
      <c r="AL39" s="324"/>
      <c r="AM39" s="324"/>
      <c r="AN39" s="324"/>
      <c r="AO39" s="324"/>
      <c r="AP39" s="324"/>
      <c r="AQ39" s="324"/>
      <c r="AR39" s="320"/>
      <c r="AS39" s="321"/>
      <c r="AT39" s="322"/>
    </row>
    <row r="40" spans="1:46">
      <c r="A40" s="325" t="s">
        <v>27</v>
      </c>
      <c r="B40" s="326">
        <f>SUM(B8:B38)</f>
        <v>2011.0520000000001</v>
      </c>
      <c r="C40" s="326">
        <f>SUM(C8:C38)</f>
        <v>1962.1950000000002</v>
      </c>
      <c r="D40" s="320"/>
      <c r="E40" s="326">
        <f>SUM(E8:E38)</f>
        <v>9.9999997764825821E-3</v>
      </c>
      <c r="F40" s="327">
        <f>E40/B40</f>
        <v>4.9725217331439374E-6</v>
      </c>
      <c r="G40" s="327">
        <f>E40/C40</f>
        <v>5.0963333289925731E-6</v>
      </c>
      <c r="H40" s="328"/>
      <c r="I40" s="326">
        <f>SUM(I8:I38)</f>
        <v>0</v>
      </c>
      <c r="J40" s="327">
        <f>I40/B40</f>
        <v>0</v>
      </c>
      <c r="K40" s="327">
        <f>I40/C40</f>
        <v>0</v>
      </c>
      <c r="L40" s="329"/>
      <c r="M40" s="326">
        <f>SUM(M8:M38)</f>
        <v>174600</v>
      </c>
      <c r="N40" s="327">
        <f>M40/B40</f>
        <v>86.820231401276544</v>
      </c>
      <c r="O40" s="327">
        <f>M40/C40</f>
        <v>88.981981913112605</v>
      </c>
      <c r="P40" s="330"/>
      <c r="Q40" s="326">
        <f>SUM(Q8:Q38)</f>
        <v>242999.99000000054</v>
      </c>
      <c r="R40" s="327">
        <f>Q40/B40</f>
        <v>120.83227584368804</v>
      </c>
      <c r="S40" s="327">
        <f>Q40/C40</f>
        <v>123.84089756624623</v>
      </c>
      <c r="T40" s="331"/>
      <c r="U40" s="332">
        <f>SUM(U8:U38)</f>
        <v>186400.00000000052</v>
      </c>
      <c r="V40" s="327">
        <f>U40/B40</f>
        <v>92.687807177537181</v>
      </c>
      <c r="W40" s="327">
        <f>U40/C40</f>
        <v>94.995655375740185</v>
      </c>
      <c r="X40" s="333"/>
      <c r="Y40" s="332">
        <f>SUM(Y8:Y38)</f>
        <v>461665.58999999968</v>
      </c>
      <c r="Z40" s="327">
        <f>Y40/B40</f>
        <v>229.56422310313192</v>
      </c>
      <c r="AA40" s="327">
        <f>Y40/C40</f>
        <v>235.28017857552365</v>
      </c>
      <c r="AB40" s="333"/>
      <c r="AC40" s="332">
        <f>SUM(AC8:AC38)</f>
        <v>222745.59000000064</v>
      </c>
      <c r="AD40" s="408">
        <f>AC40/B40</f>
        <v>110.76073119939247</v>
      </c>
      <c r="AE40" s="327">
        <f>AC40/C40</f>
        <v>113.51857995764978</v>
      </c>
      <c r="AF40" s="333"/>
      <c r="AG40" s="332">
        <f>SUM(AG8:AG38)</f>
        <v>327100.00000000035</v>
      </c>
      <c r="AH40" s="327">
        <f>AG40/B40</f>
        <v>162.65118952667575</v>
      </c>
      <c r="AI40" s="327">
        <f>AG40/C40</f>
        <v>166.70106691740645</v>
      </c>
      <c r="AJ40" s="333"/>
      <c r="AK40" s="332">
        <f>SUM(AK8:AK38)</f>
        <v>12530.880000000005</v>
      </c>
      <c r="AL40" s="327">
        <f>AK40/B40</f>
        <v>6.2310074528157422</v>
      </c>
      <c r="AM40" s="327">
        <f>AK40/C40</f>
        <v>6.3861542813023187</v>
      </c>
      <c r="AN40" s="333"/>
      <c r="AO40" s="332">
        <f>SUM(AO8:AO38)</f>
        <v>19019.840000000026</v>
      </c>
      <c r="AP40" s="327">
        <f>AO40/B40</f>
        <v>9.4576569874871588</v>
      </c>
      <c r="AQ40" s="327">
        <f>AO40/C40</f>
        <v>9.6931446670692889</v>
      </c>
      <c r="AR40" s="320">
        <f>E40+I40+M40+Q40+U40+Y40+AC40+AG40+AK40+AO40</f>
        <v>1647061.9000000015</v>
      </c>
      <c r="AS40" s="408">
        <f>AR40/B40</f>
        <v>819.00512766452653</v>
      </c>
      <c r="AT40" s="329">
        <f>AR40/C40</f>
        <v>839.39766435038382</v>
      </c>
    </row>
    <row r="41" spans="1:46">
      <c r="T41" s="334"/>
      <c r="AP41" s="382"/>
    </row>
    <row r="42" spans="1:46">
      <c r="AR42" s="5">
        <f>+AR40-[8]DailyApr!$N$38</f>
        <v>0</v>
      </c>
    </row>
    <row r="43" spans="1:46">
      <c r="G43" s="335"/>
      <c r="H43" s="336"/>
    </row>
    <row r="44" spans="1:46">
      <c r="G44" s="335"/>
      <c r="I44" s="335"/>
      <c r="L44" s="335"/>
    </row>
    <row r="45" spans="1:46">
      <c r="E45" t="s">
        <v>0</v>
      </c>
      <c r="G45" s="335"/>
    </row>
  </sheetData>
  <mergeCells count="16">
    <mergeCell ref="A2:AR2"/>
    <mergeCell ref="A4:A6"/>
    <mergeCell ref="B4:B6"/>
    <mergeCell ref="C4:C6"/>
    <mergeCell ref="D5:G5"/>
    <mergeCell ref="AB5:AE5"/>
    <mergeCell ref="AF5:AI5"/>
    <mergeCell ref="AN5:AQ5"/>
    <mergeCell ref="H5:K5"/>
    <mergeCell ref="AR4:AT5"/>
    <mergeCell ref="P5:S5"/>
    <mergeCell ref="L5:O5"/>
    <mergeCell ref="T5:W5"/>
    <mergeCell ref="X5:AA5"/>
    <mergeCell ref="AJ5:AM5"/>
    <mergeCell ref="D4:AQ4"/>
  </mergeCells>
  <phoneticPr fontId="31" type="noConversion"/>
  <pageMargins left="3.888888888888889E-2" right="3.888888888888889E-2" top="0.98402777777777772" bottom="0.98402777777777772" header="0.51111111111111107" footer="0.51111111111111107"/>
  <pageSetup paperSize="9" scale="82" firstPageNumber="4294963191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20"/>
  <sheetViews>
    <sheetView topLeftCell="A95" zoomScale="90" zoomScaleNormal="90" workbookViewId="0">
      <selection activeCell="A119" sqref="A119:I120"/>
    </sheetView>
  </sheetViews>
  <sheetFormatPr defaultRowHeight="12.75"/>
  <cols>
    <col min="1" max="1" width="10.140625" bestFit="1" customWidth="1"/>
    <col min="2" max="2" width="11.85546875" bestFit="1" customWidth="1"/>
    <col min="4" max="4" width="22.28515625" customWidth="1"/>
  </cols>
  <sheetData>
    <row r="1" spans="1:9">
      <c r="A1" s="101" t="s">
        <v>149</v>
      </c>
      <c r="B1" s="341">
        <f>+Report1!A9</f>
        <v>46113</v>
      </c>
      <c r="C1" s="102"/>
      <c r="G1" s="103"/>
      <c r="H1" s="104"/>
    </row>
    <row r="2" spans="1:9" ht="13.5" thickBot="1">
      <c r="A2" s="101"/>
      <c r="B2" s="102"/>
      <c r="C2" s="102"/>
      <c r="G2" s="103"/>
      <c r="H2" s="104"/>
    </row>
    <row r="3" spans="1:9" ht="26.25" thickBot="1">
      <c r="A3" s="550" t="s">
        <v>121</v>
      </c>
      <c r="B3" s="551" t="s">
        <v>8</v>
      </c>
      <c r="C3" s="551" t="s">
        <v>94</v>
      </c>
      <c r="D3" s="551" t="s">
        <v>122</v>
      </c>
      <c r="E3" s="551" t="s">
        <v>123</v>
      </c>
      <c r="F3" s="551" t="s">
        <v>124</v>
      </c>
      <c r="G3" s="552" t="s">
        <v>125</v>
      </c>
      <c r="H3" s="553" t="s">
        <v>126</v>
      </c>
      <c r="I3" s="582" t="s">
        <v>425</v>
      </c>
    </row>
    <row r="4" spans="1:9">
      <c r="A4" s="549">
        <f>+B1</f>
        <v>46113</v>
      </c>
      <c r="B4" s="412" t="s">
        <v>461</v>
      </c>
      <c r="C4">
        <v>1</v>
      </c>
      <c r="D4" s="382" t="s">
        <v>463</v>
      </c>
      <c r="E4" s="382">
        <f>272*1</f>
        <v>272</v>
      </c>
      <c r="F4" s="345">
        <f>32+37+2</f>
        <v>71</v>
      </c>
      <c r="G4">
        <f>+E4*F4</f>
        <v>19312</v>
      </c>
      <c r="H4" s="414">
        <f>+(E4*F4+E5*F5)/(SUM(F4:F5))</f>
        <v>271.70999999999998</v>
      </c>
      <c r="I4" s="414">
        <f>+'1'!N37</f>
        <v>58.769999999999996</v>
      </c>
    </row>
    <row r="5" spans="1:9">
      <c r="A5" s="411"/>
      <c r="B5" s="412" t="s">
        <v>461</v>
      </c>
      <c r="C5">
        <v>1</v>
      </c>
      <c r="D5" s="382" t="s">
        <v>464</v>
      </c>
      <c r="E5" s="382">
        <f>271*1</f>
        <v>271</v>
      </c>
      <c r="F5" s="345">
        <v>29</v>
      </c>
      <c r="G5">
        <f>+E5*F5</f>
        <v>7859</v>
      </c>
      <c r="H5" s="414"/>
      <c r="I5" s="414"/>
    </row>
    <row r="6" spans="1:9">
      <c r="A6" s="411"/>
      <c r="B6" s="412" t="s">
        <v>462</v>
      </c>
      <c r="C6">
        <v>1</v>
      </c>
      <c r="D6" s="382" t="s">
        <v>465</v>
      </c>
      <c r="E6" s="382">
        <f>253+19</f>
        <v>272</v>
      </c>
      <c r="F6" s="345">
        <v>6</v>
      </c>
      <c r="G6">
        <f>+E6*F6</f>
        <v>1632</v>
      </c>
      <c r="H6" s="554">
        <f>+G6/F6</f>
        <v>272</v>
      </c>
      <c r="I6" s="414">
        <f>+'1'!N38</f>
        <v>7.4080000000000004</v>
      </c>
    </row>
    <row r="7" spans="1:9" ht="13.5" thickBot="1">
      <c r="A7" s="383"/>
      <c r="B7" s="413"/>
      <c r="C7" s="384"/>
      <c r="D7" s="385"/>
      <c r="E7" s="384"/>
      <c r="F7" s="384"/>
      <c r="G7" s="384"/>
      <c r="H7" s="415"/>
      <c r="I7" s="415"/>
    </row>
    <row r="8" spans="1:9">
      <c r="A8" s="549">
        <v>46114</v>
      </c>
      <c r="B8" s="412" t="s">
        <v>462</v>
      </c>
      <c r="C8">
        <v>1</v>
      </c>
      <c r="D8" s="382" t="s">
        <v>465</v>
      </c>
      <c r="E8" s="382">
        <f>253+19</f>
        <v>272</v>
      </c>
      <c r="F8" s="345">
        <f>38+16</f>
        <v>54</v>
      </c>
      <c r="G8">
        <f>+E8*F8</f>
        <v>14688</v>
      </c>
      <c r="H8" s="554">
        <f>+G8/F8</f>
        <v>272</v>
      </c>
      <c r="I8" s="414">
        <f>+'2'!N37</f>
        <v>30.881</v>
      </c>
    </row>
    <row r="9" spans="1:9">
      <c r="B9" s="412" t="s">
        <v>492</v>
      </c>
      <c r="C9">
        <v>1</v>
      </c>
      <c r="D9" s="382" t="s">
        <v>493</v>
      </c>
      <c r="E9" s="382">
        <f>256+16</f>
        <v>272</v>
      </c>
      <c r="F9" s="345">
        <f>14+18</f>
        <v>32</v>
      </c>
      <c r="G9">
        <f>+E9*F9</f>
        <v>8704</v>
      </c>
      <c r="H9" s="414">
        <f>+(E9*F9+E10*F10)/(SUM(F9:F10))</f>
        <v>271.45945945945948</v>
      </c>
      <c r="I9" s="414">
        <f>+'2'!N38</f>
        <v>37.852999999999994</v>
      </c>
    </row>
    <row r="10" spans="1:9">
      <c r="B10" s="412" t="s">
        <v>492</v>
      </c>
      <c r="C10">
        <v>1</v>
      </c>
      <c r="D10" s="382" t="s">
        <v>494</v>
      </c>
      <c r="E10" s="382">
        <f>268*1</f>
        <v>268</v>
      </c>
      <c r="F10" s="345">
        <v>5</v>
      </c>
      <c r="G10">
        <f>+E10*F10</f>
        <v>1340</v>
      </c>
      <c r="H10" s="554"/>
      <c r="I10" s="414"/>
    </row>
    <row r="11" spans="1:9" ht="13.5" thickBot="1">
      <c r="A11" s="383"/>
      <c r="B11" s="413"/>
      <c r="C11" s="384"/>
      <c r="D11" s="385"/>
      <c r="E11" s="384"/>
      <c r="F11" s="384"/>
      <c r="G11" s="384"/>
      <c r="H11" s="415"/>
      <c r="I11" s="415"/>
    </row>
    <row r="12" spans="1:9">
      <c r="A12" s="549">
        <v>46115</v>
      </c>
      <c r="B12" s="412" t="s">
        <v>492</v>
      </c>
      <c r="C12">
        <v>1</v>
      </c>
      <c r="D12" s="382" t="s">
        <v>493</v>
      </c>
      <c r="E12" s="382">
        <f>256+16</f>
        <v>272</v>
      </c>
      <c r="F12" s="345">
        <f>19+25+4</f>
        <v>48</v>
      </c>
      <c r="G12">
        <f>+E12*F12</f>
        <v>13056</v>
      </c>
      <c r="H12" s="414">
        <f>+(E12*F12+E13*F13+E14*F14)/(SUM(F12:F14))</f>
        <v>271.55</v>
      </c>
      <c r="I12" s="414">
        <f>+'3'!I38</f>
        <v>61.594000000000001</v>
      </c>
    </row>
    <row r="13" spans="1:9">
      <c r="B13" s="412" t="s">
        <v>492</v>
      </c>
      <c r="C13">
        <v>1</v>
      </c>
      <c r="D13" s="382" t="s">
        <v>494</v>
      </c>
      <c r="E13" s="382">
        <f>268*1</f>
        <v>268</v>
      </c>
      <c r="F13" s="345">
        <v>9</v>
      </c>
      <c r="G13">
        <f>+E13*F13</f>
        <v>2412</v>
      </c>
      <c r="H13" s="554"/>
      <c r="I13" s="414"/>
    </row>
    <row r="14" spans="1:9">
      <c r="B14" s="412" t="s">
        <v>492</v>
      </c>
      <c r="C14">
        <v>1</v>
      </c>
      <c r="D14" s="382" t="s">
        <v>495</v>
      </c>
      <c r="E14" s="382">
        <f>257+15</f>
        <v>272</v>
      </c>
      <c r="F14" s="345">
        <v>23</v>
      </c>
      <c r="G14">
        <f>+E14*F14</f>
        <v>6256</v>
      </c>
      <c r="H14" s="554"/>
      <c r="I14" s="414"/>
    </row>
    <row r="15" spans="1:9" ht="13.5" thickBot="1">
      <c r="A15" s="383"/>
      <c r="B15" s="413"/>
      <c r="C15" s="384"/>
      <c r="D15" s="385"/>
      <c r="E15" s="384"/>
      <c r="F15" s="384"/>
      <c r="G15" s="384"/>
      <c r="H15" s="415"/>
      <c r="I15" s="415"/>
    </row>
    <row r="16" spans="1:9">
      <c r="A16" s="549">
        <v>46116</v>
      </c>
      <c r="B16" s="412" t="s">
        <v>492</v>
      </c>
      <c r="C16">
        <v>1</v>
      </c>
      <c r="D16" s="382" t="s">
        <v>495</v>
      </c>
      <c r="E16" s="382">
        <f>257+15</f>
        <v>272</v>
      </c>
      <c r="F16" s="345">
        <f>29+13</f>
        <v>42</v>
      </c>
      <c r="G16">
        <f>+E16*F16</f>
        <v>11424</v>
      </c>
      <c r="H16" s="414">
        <f>+G16/F16</f>
        <v>272</v>
      </c>
      <c r="I16" s="414">
        <f>+'4'!N37</f>
        <v>25.247</v>
      </c>
    </row>
    <row r="17" spans="1:9">
      <c r="B17" s="412" t="s">
        <v>531</v>
      </c>
      <c r="C17">
        <v>1</v>
      </c>
      <c r="D17" s="382" t="s">
        <v>494</v>
      </c>
      <c r="E17" s="382">
        <f>268*1</f>
        <v>268</v>
      </c>
      <c r="F17" s="382">
        <f>17+23</f>
        <v>40</v>
      </c>
      <c r="G17">
        <f>+E17*F17</f>
        <v>10720</v>
      </c>
      <c r="H17" s="414">
        <f>+G17/F17</f>
        <v>268</v>
      </c>
      <c r="I17" s="414">
        <f>+'4'!N38</f>
        <v>30.131</v>
      </c>
    </row>
    <row r="18" spans="1:9" ht="13.5" thickBot="1">
      <c r="A18" s="383"/>
      <c r="B18" s="413"/>
      <c r="C18" s="384"/>
      <c r="D18" s="385"/>
      <c r="E18" s="384"/>
      <c r="F18" s="384"/>
      <c r="G18" s="384"/>
      <c r="H18" s="415"/>
      <c r="I18" s="415"/>
    </row>
    <row r="19" spans="1:9">
      <c r="A19" s="549">
        <v>46117</v>
      </c>
      <c r="B19" s="412" t="s">
        <v>531</v>
      </c>
      <c r="C19">
        <v>1</v>
      </c>
      <c r="D19" s="382" t="s">
        <v>533</v>
      </c>
      <c r="E19" s="382">
        <f>126+146</f>
        <v>272</v>
      </c>
      <c r="F19" s="382">
        <v>14</v>
      </c>
      <c r="G19">
        <f>+E19*F19</f>
        <v>3808</v>
      </c>
      <c r="H19" s="414">
        <f>+G19/F19</f>
        <v>272</v>
      </c>
      <c r="I19" s="414">
        <f>+'5'!N37</f>
        <v>24.411000000000001</v>
      </c>
    </row>
    <row r="20" spans="1:9">
      <c r="B20" s="412" t="s">
        <v>461</v>
      </c>
      <c r="C20">
        <v>1</v>
      </c>
      <c r="D20" s="382" t="s">
        <v>534</v>
      </c>
      <c r="E20" s="382">
        <f>133*2</f>
        <v>266</v>
      </c>
      <c r="F20" s="382">
        <v>4</v>
      </c>
      <c r="G20">
        <f>+E20*F20</f>
        <v>1064</v>
      </c>
      <c r="H20" s="414">
        <f>+G20/F20</f>
        <v>266</v>
      </c>
      <c r="I20" s="414">
        <f>+'5'!N38</f>
        <v>3.9279999999999999</v>
      </c>
    </row>
    <row r="21" spans="1:9">
      <c r="B21" s="412" t="s">
        <v>532</v>
      </c>
      <c r="C21">
        <v>1</v>
      </c>
      <c r="D21" s="382" t="s">
        <v>533</v>
      </c>
      <c r="E21" s="382">
        <f>126+146</f>
        <v>272</v>
      </c>
      <c r="F21" s="382">
        <f>33+1+23</f>
        <v>57</v>
      </c>
      <c r="G21">
        <f>+E21*F21</f>
        <v>15504</v>
      </c>
      <c r="H21" s="414">
        <f>+(E21*F21+E22*F22)/(SUM(F21:F22))</f>
        <v>271.50769230769231</v>
      </c>
      <c r="I21" s="414">
        <f>+'5'!N39</f>
        <v>20.938000000000002</v>
      </c>
    </row>
    <row r="22" spans="1:9">
      <c r="B22" s="412" t="s">
        <v>532</v>
      </c>
      <c r="C22">
        <v>1</v>
      </c>
      <c r="D22" s="382" t="s">
        <v>494</v>
      </c>
      <c r="E22" s="382">
        <f>268*1</f>
        <v>268</v>
      </c>
      <c r="F22" s="382">
        <v>8</v>
      </c>
      <c r="G22">
        <f>+E22*F22</f>
        <v>2144</v>
      </c>
      <c r="H22" s="414"/>
      <c r="I22" s="414"/>
    </row>
    <row r="23" spans="1:9" ht="13.5" thickBot="1">
      <c r="A23" s="383"/>
      <c r="B23" s="413"/>
      <c r="C23" s="384"/>
      <c r="D23" s="385"/>
      <c r="E23" s="384"/>
      <c r="F23" s="384"/>
      <c r="G23" s="384"/>
      <c r="H23" s="415"/>
      <c r="I23" s="415"/>
    </row>
    <row r="24" spans="1:9">
      <c r="A24" s="549">
        <v>46118</v>
      </c>
      <c r="B24" s="412" t="s">
        <v>532</v>
      </c>
      <c r="C24">
        <v>1</v>
      </c>
      <c r="D24" s="382" t="s">
        <v>533</v>
      </c>
      <c r="E24" s="382">
        <f>126+146</f>
        <v>272</v>
      </c>
      <c r="F24" s="382">
        <v>22</v>
      </c>
      <c r="G24">
        <f>+E24*F24</f>
        <v>5984</v>
      </c>
      <c r="H24" s="414">
        <f>+G24/F24</f>
        <v>272</v>
      </c>
      <c r="I24" s="414">
        <f>+'6'!N37</f>
        <v>8.4840000000000018</v>
      </c>
    </row>
    <row r="25" spans="1:9">
      <c r="B25" s="616" t="s">
        <v>548</v>
      </c>
      <c r="C25">
        <v>1</v>
      </c>
      <c r="D25" s="382" t="s">
        <v>549</v>
      </c>
      <c r="E25" s="382">
        <f>117+140+15</f>
        <v>272</v>
      </c>
      <c r="F25">
        <f>10+35+39</f>
        <v>84</v>
      </c>
      <c r="G25">
        <f>+E25*F25</f>
        <v>22848</v>
      </c>
      <c r="H25" s="414">
        <f>+G25/F25</f>
        <v>272</v>
      </c>
      <c r="I25" s="414">
        <f>+'6'!N38</f>
        <v>51.747999999999998</v>
      </c>
    </row>
    <row r="26" spans="1:9" ht="13.5" thickBot="1">
      <c r="A26" s="383"/>
      <c r="B26" s="413"/>
      <c r="C26" s="384"/>
      <c r="D26" s="385"/>
      <c r="E26" s="384"/>
      <c r="F26" s="384"/>
      <c r="G26" s="384"/>
      <c r="H26" s="415"/>
      <c r="I26" s="415"/>
    </row>
    <row r="27" spans="1:9">
      <c r="A27" s="549">
        <v>46119</v>
      </c>
      <c r="B27" s="616" t="s">
        <v>548</v>
      </c>
      <c r="C27">
        <v>1</v>
      </c>
      <c r="D27" s="382" t="s">
        <v>549</v>
      </c>
      <c r="E27" s="382">
        <f>117+140+15</f>
        <v>272</v>
      </c>
      <c r="F27">
        <v>6</v>
      </c>
      <c r="G27">
        <f>+E27*F27</f>
        <v>1632</v>
      </c>
      <c r="H27" s="414">
        <f>+G27/F27</f>
        <v>272</v>
      </c>
      <c r="I27" s="414" t="s">
        <v>329</v>
      </c>
    </row>
    <row r="28" spans="1:9">
      <c r="B28" s="616" t="s">
        <v>560</v>
      </c>
      <c r="C28">
        <v>1</v>
      </c>
      <c r="D28" s="382" t="s">
        <v>562</v>
      </c>
      <c r="E28" s="382">
        <f>126*2+18</f>
        <v>270</v>
      </c>
      <c r="F28">
        <f>12+8</f>
        <v>20</v>
      </c>
      <c r="G28">
        <f>+E28*F28</f>
        <v>5400</v>
      </c>
      <c r="H28" s="414">
        <f>+G28/F28</f>
        <v>270</v>
      </c>
      <c r="I28" s="414">
        <f>+'7'!N37</f>
        <v>11.443999999999999</v>
      </c>
    </row>
    <row r="29" spans="1:9">
      <c r="B29" s="616" t="s">
        <v>563</v>
      </c>
      <c r="C29">
        <v>1</v>
      </c>
      <c r="D29" s="382" t="s">
        <v>561</v>
      </c>
      <c r="E29" s="382">
        <f>126*2+20</f>
        <v>272</v>
      </c>
      <c r="F29">
        <f>7+14+19+17+20</f>
        <v>77</v>
      </c>
      <c r="G29">
        <f>+E29*F29</f>
        <v>20944</v>
      </c>
      <c r="H29" s="414">
        <f>+G29/F29</f>
        <v>272</v>
      </c>
      <c r="I29" s="414">
        <f>+'7'!N38</f>
        <v>50.132999999999996</v>
      </c>
    </row>
    <row r="30" spans="1:9" ht="13.5" thickBot="1">
      <c r="A30" s="383"/>
      <c r="B30" s="413"/>
      <c r="C30" s="384"/>
      <c r="D30" s="385"/>
      <c r="E30" s="384"/>
      <c r="F30" s="384"/>
      <c r="G30" s="384"/>
      <c r="H30" s="415"/>
      <c r="I30" s="415"/>
    </row>
    <row r="31" spans="1:9">
      <c r="A31" s="549">
        <v>46120</v>
      </c>
      <c r="B31" s="616" t="s">
        <v>563</v>
      </c>
      <c r="C31">
        <v>1</v>
      </c>
      <c r="D31" s="382" t="s">
        <v>561</v>
      </c>
      <c r="E31" s="382">
        <f>126*2+20</f>
        <v>272</v>
      </c>
      <c r="F31">
        <f>13+35</f>
        <v>48</v>
      </c>
      <c r="G31">
        <f>+E31*F31</f>
        <v>13056</v>
      </c>
      <c r="H31" s="414">
        <f>+G31/F31</f>
        <v>272</v>
      </c>
      <c r="I31" s="414">
        <f>+'8'!N37</f>
        <v>40.742000000000004</v>
      </c>
    </row>
    <row r="32" spans="1:9">
      <c r="B32" s="616" t="s">
        <v>548</v>
      </c>
      <c r="C32">
        <v>1</v>
      </c>
      <c r="D32" s="382" t="s">
        <v>575</v>
      </c>
      <c r="E32" s="382">
        <f>129.5+140</f>
        <v>269.5</v>
      </c>
      <c r="F32">
        <f>22+33</f>
        <v>55</v>
      </c>
      <c r="G32">
        <f>+E32*F32</f>
        <v>14822.5</v>
      </c>
      <c r="H32" s="414">
        <f>+G32/F32</f>
        <v>269.5</v>
      </c>
      <c r="I32" s="414">
        <f>+'8'!N38</f>
        <v>21.584</v>
      </c>
    </row>
    <row r="33" spans="1:9" ht="13.5" thickBot="1">
      <c r="A33" s="383"/>
      <c r="B33" s="413"/>
      <c r="C33" s="384"/>
      <c r="D33" s="385"/>
      <c r="E33" s="384"/>
      <c r="F33" s="384"/>
      <c r="G33" s="384"/>
      <c r="H33" s="415"/>
      <c r="I33" s="415"/>
    </row>
    <row r="34" spans="1:9">
      <c r="A34" s="549">
        <v>46121</v>
      </c>
      <c r="B34" s="616" t="s">
        <v>548</v>
      </c>
      <c r="C34">
        <v>1</v>
      </c>
      <c r="D34" s="382" t="s">
        <v>575</v>
      </c>
      <c r="E34" s="382">
        <f>129.5+140</f>
        <v>269.5</v>
      </c>
      <c r="F34">
        <f>36+36+37</f>
        <v>109</v>
      </c>
      <c r="G34">
        <f>+E34*F34</f>
        <v>29375.5</v>
      </c>
      <c r="H34" s="414">
        <f>+G34/F34</f>
        <v>269.5</v>
      </c>
      <c r="I34" s="414">
        <f>+'9'!I38</f>
        <v>62.637000000000008</v>
      </c>
    </row>
    <row r="35" spans="1:9" ht="13.5" thickBot="1">
      <c r="A35" s="383"/>
      <c r="B35" s="413"/>
      <c r="C35" s="384"/>
      <c r="D35" s="385"/>
      <c r="E35" s="384"/>
      <c r="F35" s="384"/>
      <c r="G35" s="384"/>
      <c r="H35" s="415"/>
      <c r="I35" s="415"/>
    </row>
    <row r="36" spans="1:9">
      <c r="A36" s="549">
        <v>46122</v>
      </c>
      <c r="B36" s="616" t="s">
        <v>548</v>
      </c>
      <c r="C36">
        <v>1</v>
      </c>
      <c r="D36" s="382" t="s">
        <v>575</v>
      </c>
      <c r="E36" s="382">
        <f>129.5+140</f>
        <v>269.5</v>
      </c>
      <c r="F36">
        <v>10</v>
      </c>
      <c r="G36">
        <f>+E36*F36</f>
        <v>2695</v>
      </c>
      <c r="H36" s="414">
        <f>+G36/F36</f>
        <v>269.5</v>
      </c>
      <c r="I36" s="414">
        <f>+'10'!N37</f>
        <v>2.0670000000000002</v>
      </c>
    </row>
    <row r="37" spans="1:9">
      <c r="B37" s="616" t="s">
        <v>601</v>
      </c>
      <c r="C37">
        <v>1</v>
      </c>
      <c r="D37" s="382" t="s">
        <v>599</v>
      </c>
      <c r="E37" s="382">
        <f>109+72+79</f>
        <v>260</v>
      </c>
      <c r="F37">
        <f>8+10</f>
        <v>18</v>
      </c>
      <c r="G37">
        <f>+E37*F37</f>
        <v>4680</v>
      </c>
      <c r="H37" s="414">
        <f>+G37/F37</f>
        <v>260</v>
      </c>
      <c r="I37" s="414">
        <f>+'10'!N38</f>
        <v>20.984999999999999</v>
      </c>
    </row>
    <row r="38" spans="1:9">
      <c r="B38" s="616" t="s">
        <v>602</v>
      </c>
      <c r="C38">
        <v>1</v>
      </c>
      <c r="D38" s="382" t="s">
        <v>600</v>
      </c>
      <c r="E38" s="382">
        <f>90*2+17+75</f>
        <v>272</v>
      </c>
      <c r="F38">
        <f>20+34</f>
        <v>54</v>
      </c>
      <c r="G38">
        <f>+E38*F38</f>
        <v>14688</v>
      </c>
      <c r="H38" s="414">
        <f>+G38/F38</f>
        <v>272</v>
      </c>
      <c r="I38" s="414">
        <f>+'10'!N39</f>
        <v>54.025999999999996</v>
      </c>
    </row>
    <row r="39" spans="1:9" ht="13.5" thickBot="1">
      <c r="A39" s="383"/>
      <c r="B39" s="413"/>
      <c r="C39" s="384"/>
      <c r="D39" s="385"/>
      <c r="E39" s="384"/>
      <c r="F39" s="384"/>
      <c r="G39" s="384"/>
      <c r="H39" s="415"/>
      <c r="I39" s="415"/>
    </row>
    <row r="40" spans="1:9">
      <c r="A40" s="549">
        <v>46123</v>
      </c>
      <c r="B40" s="616" t="s">
        <v>602</v>
      </c>
      <c r="C40">
        <v>1</v>
      </c>
      <c r="D40" s="382" t="s">
        <v>600</v>
      </c>
      <c r="E40" s="382">
        <f>90*2+17+75</f>
        <v>272</v>
      </c>
      <c r="F40">
        <f>16+19+19+20+18+19</f>
        <v>111</v>
      </c>
      <c r="G40">
        <f>+E40*F40</f>
        <v>30192</v>
      </c>
      <c r="H40" s="414">
        <f>+G40/F40</f>
        <v>272</v>
      </c>
      <c r="I40" s="414">
        <f>+'11'!I38</f>
        <v>82.43</v>
      </c>
    </row>
    <row r="41" spans="1:9" ht="13.5" thickBot="1">
      <c r="A41" s="383"/>
      <c r="B41" s="413"/>
      <c r="C41" s="384"/>
      <c r="D41" s="385"/>
      <c r="E41" s="384"/>
      <c r="F41" s="384"/>
      <c r="G41" s="384"/>
      <c r="H41" s="415"/>
      <c r="I41" s="415"/>
    </row>
    <row r="42" spans="1:9">
      <c r="A42" s="549">
        <v>46124</v>
      </c>
      <c r="B42" s="616" t="s">
        <v>602</v>
      </c>
      <c r="C42">
        <v>1</v>
      </c>
      <c r="D42" s="382" t="s">
        <v>600</v>
      </c>
      <c r="E42" s="382">
        <f>90*2+17+75</f>
        <v>272</v>
      </c>
      <c r="F42">
        <f>7+1</f>
        <v>8</v>
      </c>
      <c r="G42">
        <f>+E42*F42</f>
        <v>2176</v>
      </c>
      <c r="H42" s="414">
        <f>+(E42*F42+E43*F43+E44*F44+E45*F45+E46*F46+E47*F47)/(SUM(F42:F47))</f>
        <v>267.32876712328766</v>
      </c>
      <c r="I42" s="414">
        <f>+'12'!L37</f>
        <v>69.783000000000001</v>
      </c>
    </row>
    <row r="43" spans="1:9">
      <c r="B43" s="616" t="s">
        <v>602</v>
      </c>
      <c r="C43">
        <v>1</v>
      </c>
      <c r="D43" s="382" t="s">
        <v>616</v>
      </c>
      <c r="E43" s="382">
        <f>88+93+79</f>
        <v>260</v>
      </c>
      <c r="F43">
        <f>8+3</f>
        <v>11</v>
      </c>
      <c r="G43">
        <f t="shared" ref="G43:G48" si="0">+E43*F43</f>
        <v>2860</v>
      </c>
      <c r="H43" s="414"/>
      <c r="I43" s="414"/>
    </row>
    <row r="44" spans="1:9">
      <c r="B44" s="616" t="s">
        <v>602</v>
      </c>
      <c r="C44">
        <v>1</v>
      </c>
      <c r="D44" s="382" t="s">
        <v>617</v>
      </c>
      <c r="E44" s="382">
        <f>81+101+79</f>
        <v>261</v>
      </c>
      <c r="F44">
        <f>14+5</f>
        <v>19</v>
      </c>
      <c r="G44">
        <f t="shared" si="0"/>
        <v>4959</v>
      </c>
      <c r="H44" s="414"/>
      <c r="I44" s="414"/>
    </row>
    <row r="45" spans="1:9">
      <c r="B45" s="616" t="s">
        <v>602</v>
      </c>
      <c r="C45">
        <v>1</v>
      </c>
      <c r="D45" s="382" t="s">
        <v>618</v>
      </c>
      <c r="E45" s="382">
        <f>15+93*2+71</f>
        <v>272</v>
      </c>
      <c r="F45">
        <f>10+5</f>
        <v>15</v>
      </c>
      <c r="G45">
        <f t="shared" si="0"/>
        <v>4080</v>
      </c>
      <c r="H45" s="414"/>
      <c r="I45" s="414"/>
    </row>
    <row r="46" spans="1:9">
      <c r="B46" s="616" t="s">
        <v>602</v>
      </c>
      <c r="C46">
        <v>1</v>
      </c>
      <c r="D46" s="382" t="s">
        <v>619</v>
      </c>
      <c r="E46" s="382">
        <f>61+127+42*2</f>
        <v>272</v>
      </c>
      <c r="F46">
        <f>1+9</f>
        <v>10</v>
      </c>
      <c r="G46">
        <f t="shared" si="0"/>
        <v>2720</v>
      </c>
      <c r="H46" s="414"/>
      <c r="I46" s="414"/>
    </row>
    <row r="47" spans="1:9">
      <c r="B47" s="616" t="s">
        <v>602</v>
      </c>
      <c r="C47">
        <v>1</v>
      </c>
      <c r="D47" s="382" t="s">
        <v>622</v>
      </c>
      <c r="E47" s="382">
        <f>42+61+127+42</f>
        <v>272</v>
      </c>
      <c r="F47">
        <v>10</v>
      </c>
      <c r="G47">
        <f>+E47*F47</f>
        <v>2720</v>
      </c>
      <c r="H47" s="414"/>
      <c r="I47" s="414"/>
    </row>
    <row r="48" spans="1:9">
      <c r="B48" s="616" t="s">
        <v>620</v>
      </c>
      <c r="C48">
        <v>1</v>
      </c>
      <c r="D48" s="382" t="s">
        <v>621</v>
      </c>
      <c r="E48" s="382">
        <f>61*2+98+42</f>
        <v>262</v>
      </c>
      <c r="F48">
        <f>2+17</f>
        <v>19</v>
      </c>
      <c r="G48">
        <f t="shared" si="0"/>
        <v>4978</v>
      </c>
      <c r="H48" s="414">
        <f>+G48/F48</f>
        <v>262</v>
      </c>
      <c r="I48" s="414">
        <f>+'12'!L38</f>
        <v>12.491999999999999</v>
      </c>
    </row>
    <row r="49" spans="1:9" ht="13.5" thickBot="1">
      <c r="A49" s="383"/>
      <c r="B49" s="413"/>
      <c r="C49" s="384"/>
      <c r="D49" s="385"/>
      <c r="E49" s="384"/>
      <c r="F49" s="384"/>
      <c r="G49" s="384"/>
      <c r="H49" s="415"/>
      <c r="I49" s="415"/>
    </row>
    <row r="50" spans="1:9">
      <c r="A50" s="549">
        <v>46125</v>
      </c>
      <c r="B50" s="616" t="s">
        <v>620</v>
      </c>
      <c r="C50">
        <v>1</v>
      </c>
      <c r="D50" s="382" t="s">
        <v>621</v>
      </c>
      <c r="E50" s="382">
        <f>61*2+98+42</f>
        <v>262</v>
      </c>
      <c r="F50">
        <f>12+30+27</f>
        <v>69</v>
      </c>
      <c r="G50">
        <f>+E50*F50</f>
        <v>18078</v>
      </c>
      <c r="H50" s="414">
        <f>+G50/F50</f>
        <v>262</v>
      </c>
      <c r="I50" s="414">
        <f>+'13'!I38</f>
        <v>57.341000000000001</v>
      </c>
    </row>
    <row r="51" spans="1:9" ht="13.5" thickBot="1">
      <c r="A51" s="383"/>
      <c r="B51" s="413"/>
      <c r="C51" s="384"/>
      <c r="D51" s="385"/>
      <c r="E51" s="384"/>
      <c r="F51" s="384"/>
      <c r="G51" s="384"/>
      <c r="H51" s="415"/>
      <c r="I51" s="415"/>
    </row>
    <row r="52" spans="1:9">
      <c r="A52" s="549">
        <v>46126</v>
      </c>
      <c r="B52" s="616" t="s">
        <v>620</v>
      </c>
      <c r="C52">
        <v>1</v>
      </c>
      <c r="D52" s="382" t="s">
        <v>621</v>
      </c>
      <c r="E52" s="382">
        <f>61*2+98+42</f>
        <v>262</v>
      </c>
      <c r="F52">
        <v>3</v>
      </c>
      <c r="G52">
        <f>+E52*F52</f>
        <v>786</v>
      </c>
      <c r="H52" s="414">
        <f>+(E52*F52+E53*F53+E54*F54)/(SUM(F52:F54))</f>
        <v>269.10000000000002</v>
      </c>
      <c r="I52" s="414">
        <f>+'14'!I38</f>
        <v>77.495000000000005</v>
      </c>
    </row>
    <row r="53" spans="1:9">
      <c r="A53" s="549"/>
      <c r="B53" s="616" t="s">
        <v>620</v>
      </c>
      <c r="C53">
        <v>1</v>
      </c>
      <c r="D53" s="382" t="s">
        <v>641</v>
      </c>
      <c r="E53" s="382">
        <f>42*5+61</f>
        <v>271</v>
      </c>
      <c r="F53">
        <f>32+17+2</f>
        <v>51</v>
      </c>
      <c r="G53">
        <f>+E53*F53</f>
        <v>13821</v>
      </c>
      <c r="H53" s="414"/>
      <c r="I53" s="414"/>
    </row>
    <row r="54" spans="1:9">
      <c r="A54" s="549"/>
      <c r="B54" s="616" t="s">
        <v>620</v>
      </c>
      <c r="C54">
        <v>1</v>
      </c>
      <c r="D54" s="382" t="s">
        <v>642</v>
      </c>
      <c r="E54" s="382">
        <f>42*2+61*3</f>
        <v>267</v>
      </c>
      <c r="F54">
        <f>7+16+2+11</f>
        <v>36</v>
      </c>
      <c r="G54">
        <f>+E54*F54</f>
        <v>9612</v>
      </c>
      <c r="H54" s="414"/>
      <c r="I54" s="414"/>
    </row>
    <row r="55" spans="1:9" ht="13.5" thickBot="1">
      <c r="A55" s="383"/>
      <c r="B55" s="413"/>
      <c r="C55" s="384"/>
      <c r="D55" s="385"/>
      <c r="E55" s="384"/>
      <c r="F55" s="384"/>
      <c r="G55" s="384"/>
      <c r="H55" s="415"/>
      <c r="I55" s="415"/>
    </row>
    <row r="56" spans="1:9">
      <c r="A56" s="549">
        <v>46127</v>
      </c>
      <c r="B56" s="616" t="s">
        <v>620</v>
      </c>
      <c r="C56">
        <v>1</v>
      </c>
      <c r="D56" s="382" t="s">
        <v>642</v>
      </c>
      <c r="E56" s="382">
        <f>42*2+61*3</f>
        <v>267</v>
      </c>
      <c r="F56">
        <v>97</v>
      </c>
      <c r="G56">
        <f>+E56*F56</f>
        <v>25899</v>
      </c>
      <c r="H56" s="414">
        <f>+G56/F56</f>
        <v>267</v>
      </c>
      <c r="I56" s="414">
        <f>+'15'!I38</f>
        <v>79.481999999999999</v>
      </c>
    </row>
    <row r="57" spans="1:9" ht="13.5" thickBot="1">
      <c r="A57" s="383"/>
      <c r="B57" s="413"/>
      <c r="C57" s="384"/>
      <c r="D57" s="385"/>
      <c r="E57" s="384"/>
      <c r="F57" s="384"/>
      <c r="G57" s="384"/>
      <c r="H57" s="415"/>
      <c r="I57" s="415"/>
    </row>
    <row r="58" spans="1:9">
      <c r="A58" s="549">
        <v>46128</v>
      </c>
      <c r="B58" s="616" t="s">
        <v>620</v>
      </c>
      <c r="C58">
        <v>1</v>
      </c>
      <c r="D58" s="382" t="s">
        <v>642</v>
      </c>
      <c r="E58" s="382">
        <f>42*2+61*3</f>
        <v>267</v>
      </c>
      <c r="F58">
        <f>16+16+13+17+17+18</f>
        <v>97</v>
      </c>
      <c r="G58">
        <f>+E58*F58</f>
        <v>25899</v>
      </c>
      <c r="H58" s="414">
        <f>+G58/F58</f>
        <v>267</v>
      </c>
      <c r="I58" s="414">
        <f>+'16'!I38</f>
        <v>80.688999999999993</v>
      </c>
    </row>
    <row r="59" spans="1:9" ht="13.5" thickBot="1">
      <c r="A59" s="383"/>
      <c r="B59" s="413"/>
      <c r="C59" s="384"/>
      <c r="D59" s="385"/>
      <c r="E59" s="384"/>
      <c r="F59" s="384"/>
      <c r="G59" s="384"/>
      <c r="H59" s="415"/>
      <c r="I59" s="415"/>
    </row>
    <row r="60" spans="1:9">
      <c r="A60" s="549">
        <v>46129</v>
      </c>
      <c r="B60" s="616" t="s">
        <v>620</v>
      </c>
      <c r="C60">
        <v>1</v>
      </c>
      <c r="D60" s="382" t="s">
        <v>642</v>
      </c>
      <c r="E60" s="382">
        <f>42*2+61*3</f>
        <v>267</v>
      </c>
      <c r="F60">
        <f>7+7+7+7+5</f>
        <v>33</v>
      </c>
      <c r="G60">
        <f>+E60*F60</f>
        <v>8811</v>
      </c>
      <c r="H60" s="414">
        <f>+G60/F60</f>
        <v>267</v>
      </c>
      <c r="I60" s="414">
        <f>+'17'!L37</f>
        <v>15.429999999999998</v>
      </c>
    </row>
    <row r="61" spans="1:9">
      <c r="A61" s="549"/>
      <c r="B61" s="616" t="s">
        <v>602</v>
      </c>
      <c r="C61">
        <v>1</v>
      </c>
      <c r="D61" s="382" t="s">
        <v>656</v>
      </c>
      <c r="E61" s="382">
        <f>100*2+50+22</f>
        <v>272</v>
      </c>
      <c r="F61">
        <f>2+2+4+8+5+8+3+1+8</f>
        <v>41</v>
      </c>
      <c r="G61">
        <f>+E61*F61</f>
        <v>11152</v>
      </c>
      <c r="H61" s="414">
        <f>+(E61*F61+E62*F62)/(SUM(F61:F62))</f>
        <v>270.0408163265306</v>
      </c>
      <c r="I61" s="414">
        <f>+'17'!L38</f>
        <v>66.041000000000011</v>
      </c>
    </row>
    <row r="62" spans="1:9">
      <c r="A62" s="549"/>
      <c r="B62" s="616" t="s">
        <v>602</v>
      </c>
      <c r="C62">
        <v>1</v>
      </c>
      <c r="D62" s="382" t="s">
        <v>657</v>
      </c>
      <c r="E62" s="382">
        <f>52*5</f>
        <v>260</v>
      </c>
      <c r="F62">
        <f>2+6</f>
        <v>8</v>
      </c>
      <c r="G62">
        <f>+E62*F62</f>
        <v>2080</v>
      </c>
      <c r="H62" s="414"/>
      <c r="I62" s="414"/>
    </row>
    <row r="63" spans="1:9" ht="13.5" thickBot="1">
      <c r="A63" s="383"/>
      <c r="B63" s="413"/>
      <c r="C63" s="384"/>
      <c r="D63" s="385"/>
      <c r="E63" s="384"/>
      <c r="F63" s="384"/>
      <c r="G63" s="384"/>
      <c r="H63" s="415"/>
      <c r="I63" s="415"/>
    </row>
    <row r="64" spans="1:9">
      <c r="A64" s="549">
        <v>46130</v>
      </c>
      <c r="B64" s="616" t="s">
        <v>602</v>
      </c>
      <c r="C64">
        <v>1</v>
      </c>
      <c r="D64" s="382" t="s">
        <v>671</v>
      </c>
      <c r="E64" s="382">
        <f>103*2+54</f>
        <v>260</v>
      </c>
      <c r="F64">
        <f>6+15</f>
        <v>21</v>
      </c>
      <c r="G64">
        <f t="shared" ref="G64:G69" si="1">+E64*F64</f>
        <v>5460</v>
      </c>
      <c r="H64" s="414">
        <f>+(E64*F64+E65*F65+E66*F66+E67*F67+E68*F68+E69*F69)/(SUM(F64:F69))</f>
        <v>261.04166666666669</v>
      </c>
      <c r="I64" s="414">
        <f>+'18'!L37</f>
        <v>71.067999999999998</v>
      </c>
    </row>
    <row r="65" spans="1:9">
      <c r="A65" s="549"/>
      <c r="B65" s="616" t="s">
        <v>602</v>
      </c>
      <c r="C65">
        <v>1</v>
      </c>
      <c r="D65" s="382" t="s">
        <v>657</v>
      </c>
      <c r="E65" s="382">
        <f>52*5</f>
        <v>260</v>
      </c>
      <c r="F65">
        <f>8+17</f>
        <v>25</v>
      </c>
      <c r="G65">
        <f t="shared" si="1"/>
        <v>6500</v>
      </c>
      <c r="H65" s="414"/>
      <c r="I65" s="414"/>
    </row>
    <row r="66" spans="1:9">
      <c r="B66" s="616" t="s">
        <v>602</v>
      </c>
      <c r="C66">
        <v>1</v>
      </c>
      <c r="D66" s="382" t="s">
        <v>672</v>
      </c>
      <c r="E66" s="382">
        <f>72+127+60</f>
        <v>259</v>
      </c>
      <c r="F66">
        <f>1+5</f>
        <v>6</v>
      </c>
      <c r="G66">
        <f t="shared" si="1"/>
        <v>1554</v>
      </c>
      <c r="H66" s="414"/>
      <c r="I66" s="414"/>
    </row>
    <row r="67" spans="1:9">
      <c r="B67" s="616" t="s">
        <v>602</v>
      </c>
      <c r="C67">
        <v>1</v>
      </c>
      <c r="D67" s="382" t="s">
        <v>673</v>
      </c>
      <c r="E67" s="382">
        <f>72*2+60*2</f>
        <v>264</v>
      </c>
      <c r="F67">
        <f>16+14</f>
        <v>30</v>
      </c>
      <c r="G67">
        <f t="shared" si="1"/>
        <v>7920</v>
      </c>
      <c r="H67" s="414"/>
      <c r="I67" s="414"/>
    </row>
    <row r="68" spans="1:9">
      <c r="B68" s="616" t="s">
        <v>602</v>
      </c>
      <c r="C68">
        <v>1</v>
      </c>
      <c r="D68" s="382" t="s">
        <v>674</v>
      </c>
      <c r="E68" s="382">
        <f>42+78*2+61</f>
        <v>259</v>
      </c>
      <c r="F68">
        <v>11</v>
      </c>
      <c r="G68">
        <f t="shared" si="1"/>
        <v>2849</v>
      </c>
      <c r="H68" s="414"/>
      <c r="I68" s="414"/>
    </row>
    <row r="69" spans="1:9">
      <c r="B69" s="616" t="s">
        <v>602</v>
      </c>
      <c r="C69">
        <v>1</v>
      </c>
      <c r="D69" s="382" t="s">
        <v>675</v>
      </c>
      <c r="E69" s="382">
        <f>78*2+61+42</f>
        <v>259</v>
      </c>
      <c r="F69">
        <f>1+2</f>
        <v>3</v>
      </c>
      <c r="G69">
        <f t="shared" si="1"/>
        <v>777</v>
      </c>
      <c r="H69" s="414"/>
      <c r="I69" s="414"/>
    </row>
    <row r="70" spans="1:9">
      <c r="B70" s="616" t="s">
        <v>601</v>
      </c>
      <c r="C70">
        <v>1</v>
      </c>
      <c r="D70" s="382" t="s">
        <v>642</v>
      </c>
      <c r="E70" s="382">
        <f>42*2+61*3</f>
        <v>267</v>
      </c>
      <c r="F70">
        <v>0</v>
      </c>
      <c r="G70">
        <f>+E70*F70</f>
        <v>0</v>
      </c>
      <c r="H70" s="414">
        <f>+E70</f>
        <v>267</v>
      </c>
      <c r="I70" s="414">
        <f>+'18'!L38</f>
        <v>9.4559999999999995</v>
      </c>
    </row>
    <row r="71" spans="1:9" ht="13.5" thickBot="1">
      <c r="A71" s="383"/>
      <c r="B71" s="413"/>
      <c r="C71" s="384"/>
      <c r="D71" s="385"/>
      <c r="E71" s="384"/>
      <c r="F71" s="384"/>
      <c r="G71" s="384"/>
      <c r="H71" s="415"/>
      <c r="I71" s="415"/>
    </row>
    <row r="72" spans="1:9">
      <c r="A72" s="549">
        <v>46131</v>
      </c>
      <c r="B72" s="616" t="s">
        <v>601</v>
      </c>
      <c r="C72">
        <v>1</v>
      </c>
      <c r="D72" s="382" t="s">
        <v>642</v>
      </c>
      <c r="E72" s="382">
        <f>42*2+61*3</f>
        <v>267</v>
      </c>
      <c r="F72">
        <f>10+12+13+16+6+6</f>
        <v>63</v>
      </c>
      <c r="G72">
        <f>+E72*F72</f>
        <v>16821</v>
      </c>
      <c r="H72" s="414">
        <f>+(E72*F72+E73*F73)/(SUM(F72:F73))</f>
        <v>267.56338028169012</v>
      </c>
      <c r="I72" s="414">
        <f>+'19'!L37</f>
        <v>53.399000000000001</v>
      </c>
    </row>
    <row r="73" spans="1:9">
      <c r="B73" s="616" t="s">
        <v>601</v>
      </c>
      <c r="C73">
        <v>1</v>
      </c>
      <c r="D73" s="382" t="s">
        <v>676</v>
      </c>
      <c r="E73" s="382">
        <f>28+61*4</f>
        <v>272</v>
      </c>
      <c r="F73">
        <f>6+2</f>
        <v>8</v>
      </c>
      <c r="G73">
        <f>+E73*F73</f>
        <v>2176</v>
      </c>
      <c r="H73" s="414"/>
      <c r="I73" s="414"/>
    </row>
    <row r="74" spans="1:9">
      <c r="B74" s="616" t="s">
        <v>677</v>
      </c>
      <c r="C74">
        <v>1</v>
      </c>
      <c r="D74" s="382" t="s">
        <v>678</v>
      </c>
      <c r="E74" s="382">
        <f>83*2+102</f>
        <v>268</v>
      </c>
      <c r="F74">
        <v>6</v>
      </c>
      <c r="G74">
        <f>+E74*F74</f>
        <v>1608</v>
      </c>
      <c r="H74" s="414">
        <f>+G74/F74</f>
        <v>268</v>
      </c>
      <c r="I74" s="414">
        <f>+'19'!L38</f>
        <v>17.77000000000001</v>
      </c>
    </row>
    <row r="75" spans="1:9">
      <c r="B75" s="616" t="s">
        <v>602</v>
      </c>
      <c r="C75">
        <v>1</v>
      </c>
      <c r="D75" s="382" t="s">
        <v>674</v>
      </c>
      <c r="E75" s="382">
        <f>42+78*2+61</f>
        <v>259</v>
      </c>
      <c r="F75">
        <f>4+3</f>
        <v>7</v>
      </c>
      <c r="G75">
        <f>+E75*F75</f>
        <v>1813</v>
      </c>
      <c r="H75" s="414">
        <f>+G75/F75</f>
        <v>259</v>
      </c>
      <c r="I75" s="414" t="s">
        <v>329</v>
      </c>
    </row>
    <row r="76" spans="1:9" ht="13.5" thickBot="1">
      <c r="A76" s="383"/>
      <c r="B76" s="413"/>
      <c r="C76" s="384"/>
      <c r="D76" s="385"/>
      <c r="E76" s="384"/>
      <c r="F76" s="384"/>
      <c r="G76" s="384"/>
      <c r="H76" s="415"/>
      <c r="I76" s="415"/>
    </row>
    <row r="77" spans="1:9">
      <c r="A77" s="549">
        <v>46132</v>
      </c>
      <c r="B77" s="616" t="s">
        <v>602</v>
      </c>
      <c r="C77">
        <v>1</v>
      </c>
      <c r="D77" s="382" t="s">
        <v>676</v>
      </c>
      <c r="E77" s="382">
        <f>28+61*4</f>
        <v>272</v>
      </c>
      <c r="F77">
        <v>6</v>
      </c>
      <c r="G77">
        <f>+E77*F77</f>
        <v>1632</v>
      </c>
      <c r="H77" s="414">
        <f>+(E77*F77+E78*F78)/(SUM(F77:F78))</f>
        <v>266.28571428571428</v>
      </c>
      <c r="I77" s="414">
        <f>+'20'!L37</f>
        <v>4.9130000000000003</v>
      </c>
    </row>
    <row r="78" spans="1:9">
      <c r="B78" s="616" t="s">
        <v>602</v>
      </c>
      <c r="C78">
        <v>1</v>
      </c>
      <c r="D78" s="382" t="s">
        <v>691</v>
      </c>
      <c r="E78" s="382">
        <f>22+60*4</f>
        <v>262</v>
      </c>
      <c r="F78">
        <f>5+3</f>
        <v>8</v>
      </c>
      <c r="G78">
        <f>+E78*F78</f>
        <v>2096</v>
      </c>
      <c r="H78" s="414"/>
      <c r="I78" s="414"/>
    </row>
    <row r="79" spans="1:9">
      <c r="B79" s="616" t="s">
        <v>677</v>
      </c>
      <c r="C79">
        <v>1</v>
      </c>
      <c r="D79" s="382" t="s">
        <v>678</v>
      </c>
      <c r="E79" s="382">
        <f>83*2+102</f>
        <v>268</v>
      </c>
      <c r="F79">
        <v>8</v>
      </c>
      <c r="G79">
        <f>+E79*F79</f>
        <v>2144</v>
      </c>
      <c r="H79" s="414">
        <f>+G79/F79</f>
        <v>268</v>
      </c>
      <c r="I79" s="414">
        <f>+'20'!L38</f>
        <v>10.055</v>
      </c>
    </row>
    <row r="80" spans="1:9">
      <c r="B80" s="616" t="s">
        <v>692</v>
      </c>
      <c r="C80">
        <v>1</v>
      </c>
      <c r="D80" s="382" t="s">
        <v>693</v>
      </c>
      <c r="E80" s="382">
        <f>101+82.5*2</f>
        <v>266</v>
      </c>
      <c r="F80">
        <f>4+7+14+1+2</f>
        <v>28</v>
      </c>
      <c r="G80">
        <f>+E80*F80</f>
        <v>7448</v>
      </c>
      <c r="H80" s="414">
        <f>+G80/F80</f>
        <v>266</v>
      </c>
      <c r="I80" s="414">
        <f>+'20'!L39</f>
        <v>29.401999999999994</v>
      </c>
    </row>
    <row r="81" spans="1:9">
      <c r="B81" s="616" t="s">
        <v>694</v>
      </c>
      <c r="C81">
        <v>1</v>
      </c>
      <c r="D81" s="382" t="s">
        <v>695</v>
      </c>
      <c r="E81" s="382">
        <f>264*1</f>
        <v>264</v>
      </c>
      <c r="F81">
        <f>13+12</f>
        <v>25</v>
      </c>
      <c r="G81">
        <f>+E81*F81</f>
        <v>6600</v>
      </c>
      <c r="H81" s="414">
        <f>+G81/F81</f>
        <v>264</v>
      </c>
      <c r="I81" s="414">
        <f>+'20'!L40</f>
        <v>37.216000000000001</v>
      </c>
    </row>
    <row r="82" spans="1:9" ht="13.5" thickBot="1">
      <c r="A82" s="383"/>
      <c r="B82" s="413"/>
      <c r="C82" s="384"/>
      <c r="D82" s="385"/>
      <c r="E82" s="384"/>
      <c r="F82" s="384"/>
      <c r="G82" s="384"/>
      <c r="H82" s="415"/>
      <c r="I82" s="415"/>
    </row>
    <row r="83" spans="1:9">
      <c r="A83" s="549">
        <v>46133</v>
      </c>
      <c r="B83" s="616" t="s">
        <v>694</v>
      </c>
      <c r="C83">
        <v>1</v>
      </c>
      <c r="D83" s="382" t="s">
        <v>695</v>
      </c>
      <c r="E83" s="382">
        <f>264*1</f>
        <v>264</v>
      </c>
      <c r="F83">
        <v>33</v>
      </c>
      <c r="G83">
        <f>+E83*F83</f>
        <v>8712</v>
      </c>
      <c r="H83" s="414">
        <f>+G83/F83</f>
        <v>264</v>
      </c>
      <c r="I83" s="414">
        <f>+'21'!L37</f>
        <v>41.640999999999991</v>
      </c>
    </row>
    <row r="84" spans="1:9">
      <c r="A84" s="549"/>
      <c r="B84" s="616" t="s">
        <v>532</v>
      </c>
      <c r="C84">
        <v>1</v>
      </c>
      <c r="D84" s="382" t="s">
        <v>534</v>
      </c>
      <c r="E84" s="382">
        <f>133*2</f>
        <v>266</v>
      </c>
      <c r="F84">
        <v>31</v>
      </c>
      <c r="G84">
        <f>+E84*F84</f>
        <v>8246</v>
      </c>
      <c r="H84" s="414">
        <f>+G84/F84</f>
        <v>266</v>
      </c>
      <c r="I84" s="414">
        <f>+'21'!L38</f>
        <v>27.541999999999998</v>
      </c>
    </row>
    <row r="85" spans="1:9" ht="13.5" thickBot="1">
      <c r="A85" s="383"/>
      <c r="B85" s="413"/>
      <c r="C85" s="384"/>
      <c r="D85" s="385"/>
      <c r="E85" s="384"/>
      <c r="F85" s="384"/>
      <c r="G85" s="384"/>
      <c r="H85" s="415"/>
      <c r="I85" s="415"/>
    </row>
    <row r="86" spans="1:9">
      <c r="A86" s="549">
        <v>46134</v>
      </c>
      <c r="B86" s="616" t="s">
        <v>532</v>
      </c>
      <c r="C86">
        <v>1</v>
      </c>
      <c r="D86" s="382" t="s">
        <v>534</v>
      </c>
      <c r="E86" s="382">
        <f>133*2</f>
        <v>266</v>
      </c>
      <c r="F86">
        <v>31</v>
      </c>
      <c r="G86">
        <f>+E86*F86</f>
        <v>8246</v>
      </c>
      <c r="H86" s="414">
        <f>+(E86*F86+E87*F87)/(SUM(F86:F87))</f>
        <v>263.79166666666669</v>
      </c>
      <c r="I86" s="414">
        <f>+'22'!L37</f>
        <v>56.061999999999998</v>
      </c>
    </row>
    <row r="87" spans="1:9">
      <c r="B87" s="616" t="s">
        <v>532</v>
      </c>
      <c r="C87">
        <v>1</v>
      </c>
      <c r="D87" s="382" t="s">
        <v>726</v>
      </c>
      <c r="E87" s="382">
        <f>122.5+140</f>
        <v>262.5</v>
      </c>
      <c r="F87">
        <f>20+33</f>
        <v>53</v>
      </c>
      <c r="G87">
        <f>+E87*F87</f>
        <v>13912.5</v>
      </c>
      <c r="H87" s="414"/>
      <c r="I87" s="414"/>
    </row>
    <row r="88" spans="1:9">
      <c r="B88" s="616" t="s">
        <v>602</v>
      </c>
      <c r="C88">
        <v>1</v>
      </c>
      <c r="D88" s="382" t="s">
        <v>691</v>
      </c>
      <c r="E88" s="382">
        <f>22+60*4</f>
        <v>262</v>
      </c>
      <c r="F88">
        <v>2</v>
      </c>
      <c r="G88">
        <f>+E88*F88</f>
        <v>524</v>
      </c>
      <c r="H88" s="414">
        <f>+G88/F88</f>
        <v>262</v>
      </c>
      <c r="I88" s="414">
        <f>+'22'!L38</f>
        <v>2.4039999999999999</v>
      </c>
    </row>
    <row r="89" spans="1:9" ht="13.5" thickBot="1">
      <c r="A89" s="383"/>
      <c r="B89" s="413"/>
      <c r="C89" s="384"/>
      <c r="D89" s="385"/>
      <c r="E89" s="384"/>
      <c r="F89" s="384"/>
      <c r="G89" s="384"/>
      <c r="H89" s="415"/>
      <c r="I89" s="415"/>
    </row>
    <row r="90" spans="1:9">
      <c r="A90" s="549">
        <v>46135</v>
      </c>
      <c r="B90" s="616" t="s">
        <v>532</v>
      </c>
      <c r="C90">
        <v>1</v>
      </c>
      <c r="D90" s="382" t="s">
        <v>726</v>
      </c>
      <c r="E90" s="382">
        <f>122.5+140</f>
        <v>262.5</v>
      </c>
      <c r="F90">
        <f>25+4</f>
        <v>29</v>
      </c>
      <c r="G90">
        <f>+E90*F90</f>
        <v>7612.5</v>
      </c>
      <c r="H90" s="414">
        <f>+G90/F90</f>
        <v>262.5</v>
      </c>
      <c r="I90" s="414">
        <f>+'23'!L37</f>
        <v>12.401999999999999</v>
      </c>
    </row>
    <row r="91" spans="1:9">
      <c r="B91" s="616" t="s">
        <v>694</v>
      </c>
      <c r="C91">
        <v>1</v>
      </c>
      <c r="D91" s="382" t="s">
        <v>695</v>
      </c>
      <c r="E91" s="382">
        <f>264*1</f>
        <v>264</v>
      </c>
      <c r="F91">
        <v>6</v>
      </c>
      <c r="G91">
        <f>+E91*F91</f>
        <v>1584</v>
      </c>
      <c r="H91" s="414">
        <f>+(E91*F91+E92*F92)/(SUM(F91:F92))</f>
        <v>269.89473684210526</v>
      </c>
      <c r="I91" s="414">
        <f>+'23'!L38</f>
        <v>55.611000000000004</v>
      </c>
    </row>
    <row r="92" spans="1:9">
      <c r="B92" s="616" t="s">
        <v>694</v>
      </c>
      <c r="C92">
        <v>1</v>
      </c>
      <c r="D92" s="382" t="s">
        <v>464</v>
      </c>
      <c r="E92" s="382">
        <f>271*1</f>
        <v>271</v>
      </c>
      <c r="F92">
        <f>11+21</f>
        <v>32</v>
      </c>
      <c r="G92">
        <f>+E92*F92</f>
        <v>8672</v>
      </c>
      <c r="H92" s="414"/>
      <c r="I92" s="414"/>
    </row>
    <row r="93" spans="1:9" ht="13.5" thickBot="1">
      <c r="A93" s="383"/>
      <c r="B93" s="413"/>
      <c r="C93" s="384"/>
      <c r="D93" s="385"/>
      <c r="E93" s="384"/>
      <c r="F93" s="384"/>
      <c r="G93" s="384"/>
      <c r="H93" s="415"/>
      <c r="I93" s="415"/>
    </row>
    <row r="94" spans="1:9">
      <c r="A94" s="549">
        <v>46136</v>
      </c>
      <c r="B94" s="616" t="s">
        <v>744</v>
      </c>
      <c r="C94">
        <v>1</v>
      </c>
      <c r="D94" s="382" t="s">
        <v>464</v>
      </c>
      <c r="E94" s="382">
        <f>264*1</f>
        <v>264</v>
      </c>
      <c r="F94">
        <v>6</v>
      </c>
      <c r="G94">
        <f>+E94*F94</f>
        <v>1584</v>
      </c>
      <c r="H94" s="414">
        <f>+G94/F94</f>
        <v>264</v>
      </c>
      <c r="I94" s="414">
        <f>+'24'!L37</f>
        <v>17.137</v>
      </c>
    </row>
    <row r="95" spans="1:9">
      <c r="B95" s="616" t="s">
        <v>743</v>
      </c>
      <c r="C95">
        <v>1</v>
      </c>
      <c r="D95" s="382" t="s">
        <v>754</v>
      </c>
      <c r="E95" s="382">
        <f>83+92.5*2</f>
        <v>268</v>
      </c>
      <c r="F95">
        <f>4+25+12</f>
        <v>41</v>
      </c>
      <c r="G95">
        <f>+E95*F95</f>
        <v>10988</v>
      </c>
      <c r="H95" s="414">
        <f>+(E95*F95+E96*F96)/(SUM(F95:F96))</f>
        <v>268.86956521739131</v>
      </c>
      <c r="I95" s="414">
        <f>+'24'!L38</f>
        <v>48.199000000000005</v>
      </c>
    </row>
    <row r="96" spans="1:9">
      <c r="B96" s="616" t="s">
        <v>743</v>
      </c>
      <c r="C96">
        <v>1</v>
      </c>
      <c r="D96" s="382" t="s">
        <v>755</v>
      </c>
      <c r="E96" s="382">
        <f>83*3+13.5*2</f>
        <v>276</v>
      </c>
      <c r="F96">
        <v>5</v>
      </c>
      <c r="G96">
        <f>+E96*F96</f>
        <v>1380</v>
      </c>
      <c r="H96" s="414"/>
      <c r="I96" s="414"/>
    </row>
    <row r="97" spans="1:9">
      <c r="B97" s="616" t="s">
        <v>751</v>
      </c>
      <c r="C97">
        <v>1</v>
      </c>
      <c r="D97" s="382" t="s">
        <v>755</v>
      </c>
      <c r="E97" s="382">
        <f>83*3+13.5*2</f>
        <v>276</v>
      </c>
      <c r="F97">
        <v>0</v>
      </c>
      <c r="G97">
        <f>+E97*F97</f>
        <v>0</v>
      </c>
      <c r="H97" s="414">
        <f>+E97</f>
        <v>276</v>
      </c>
      <c r="I97" s="414">
        <f>+'24'!L39</f>
        <v>2.5</v>
      </c>
    </row>
    <row r="98" spans="1:9">
      <c r="B98" s="616" t="s">
        <v>532</v>
      </c>
      <c r="C98">
        <v>1</v>
      </c>
      <c r="D98" s="382" t="s">
        <v>534</v>
      </c>
      <c r="E98" s="382">
        <f>133*2</f>
        <v>266</v>
      </c>
      <c r="F98">
        <v>8</v>
      </c>
      <c r="G98">
        <f>+E98*F98</f>
        <v>2128</v>
      </c>
      <c r="H98" s="414">
        <f>+G98/F98</f>
        <v>266</v>
      </c>
      <c r="I98" s="414">
        <f>+'24'!L40</f>
        <v>6.5309999999999997</v>
      </c>
    </row>
    <row r="99" spans="1:9" ht="13.5" thickBot="1">
      <c r="A99" s="383"/>
      <c r="B99" s="413"/>
      <c r="C99" s="384"/>
      <c r="D99" s="385"/>
      <c r="E99" s="384"/>
      <c r="F99" s="384"/>
      <c r="G99" s="384"/>
      <c r="H99" s="415"/>
      <c r="I99" s="415"/>
    </row>
    <row r="100" spans="1:9">
      <c r="A100" s="549">
        <v>46137</v>
      </c>
      <c r="B100" s="616" t="s">
        <v>532</v>
      </c>
      <c r="C100">
        <v>1</v>
      </c>
      <c r="D100" s="382" t="s">
        <v>534</v>
      </c>
      <c r="E100" s="382">
        <f>133*2</f>
        <v>266</v>
      </c>
      <c r="F100">
        <f>36/2</f>
        <v>18</v>
      </c>
      <c r="G100">
        <f>+E100*F100</f>
        <v>4788</v>
      </c>
      <c r="H100" s="414">
        <f>+(E100*F100+E101*F101)/(SUM(F100:F101))</f>
        <v>266.2</v>
      </c>
      <c r="I100" s="414">
        <f>+'25'!L37</f>
        <v>21.999000000000002</v>
      </c>
    </row>
    <row r="101" spans="1:9">
      <c r="B101" s="616" t="s">
        <v>532</v>
      </c>
      <c r="C101">
        <v>1</v>
      </c>
      <c r="D101" s="382" t="s">
        <v>772</v>
      </c>
      <c r="E101" s="382">
        <f>134*2</f>
        <v>268</v>
      </c>
      <c r="F101">
        <v>2</v>
      </c>
      <c r="G101">
        <f>+E101*F101</f>
        <v>536</v>
      </c>
      <c r="H101" s="414"/>
      <c r="I101" s="414"/>
    </row>
    <row r="102" spans="1:9">
      <c r="B102" s="616" t="s">
        <v>751</v>
      </c>
      <c r="C102">
        <v>1</v>
      </c>
      <c r="D102" s="382" t="s">
        <v>755</v>
      </c>
      <c r="E102" s="382">
        <f>83*3+13.5*2</f>
        <v>276</v>
      </c>
      <c r="F102">
        <v>0</v>
      </c>
      <c r="G102">
        <f>+E102*F102</f>
        <v>0</v>
      </c>
      <c r="H102" s="414">
        <f>+E102</f>
        <v>276</v>
      </c>
      <c r="I102" s="414">
        <f>+'25'!L38</f>
        <v>3.048</v>
      </c>
    </row>
    <row r="103" spans="1:9">
      <c r="B103" s="616" t="s">
        <v>548</v>
      </c>
      <c r="C103">
        <v>1</v>
      </c>
      <c r="D103" s="382" t="s">
        <v>575</v>
      </c>
      <c r="E103" s="382">
        <f>129.5+140</f>
        <v>269.5</v>
      </c>
      <c r="F103">
        <f>19+39</f>
        <v>58</v>
      </c>
      <c r="G103">
        <f>+E103*F103</f>
        <v>15631</v>
      </c>
      <c r="H103" s="414">
        <f>+G103/F103</f>
        <v>269.5</v>
      </c>
      <c r="I103" s="414">
        <f>+'25'!L39</f>
        <v>39.458999999999996</v>
      </c>
    </row>
    <row r="104" spans="1:9">
      <c r="B104" s="616" t="s">
        <v>743</v>
      </c>
      <c r="C104">
        <v>1</v>
      </c>
      <c r="D104" s="382" t="s">
        <v>464</v>
      </c>
      <c r="E104" s="382">
        <f>271*1</f>
        <v>271</v>
      </c>
      <c r="F104">
        <v>2</v>
      </c>
      <c r="G104">
        <f>+E104*F104</f>
        <v>542</v>
      </c>
      <c r="H104" s="414">
        <f>+G104/F104</f>
        <v>271</v>
      </c>
      <c r="I104" s="414"/>
    </row>
    <row r="105" spans="1:9" ht="13.5" thickBot="1">
      <c r="A105" s="383"/>
      <c r="B105" s="413"/>
      <c r="C105" s="384"/>
      <c r="D105" s="385"/>
      <c r="E105" s="384"/>
      <c r="F105" s="384"/>
      <c r="G105" s="384"/>
      <c r="H105" s="415"/>
      <c r="I105" s="415"/>
    </row>
    <row r="106" spans="1:9">
      <c r="A106" s="549">
        <v>46138</v>
      </c>
      <c r="B106" s="616" t="s">
        <v>548</v>
      </c>
      <c r="C106">
        <v>1</v>
      </c>
      <c r="D106" s="382" t="s">
        <v>575</v>
      </c>
      <c r="E106" s="382">
        <f t="shared" ref="E106" si="2">129.5+140</f>
        <v>269.5</v>
      </c>
      <c r="F106">
        <f>32+38+38</f>
        <v>108</v>
      </c>
      <c r="G106">
        <f t="shared" ref="G106:G107" si="3">+E106*F106</f>
        <v>29106</v>
      </c>
      <c r="H106" s="414">
        <f t="shared" ref="H106:H107" si="4">+G106/F106</f>
        <v>269.5</v>
      </c>
      <c r="I106" s="414">
        <f>+'26'!L37</f>
        <v>58.669999999999995</v>
      </c>
    </row>
    <row r="107" spans="1:9">
      <c r="B107" s="616" t="s">
        <v>548</v>
      </c>
      <c r="C107">
        <v>1</v>
      </c>
      <c r="D107" s="382" t="s">
        <v>534</v>
      </c>
      <c r="E107" s="382">
        <f>133*2</f>
        <v>266</v>
      </c>
      <c r="F107">
        <v>5</v>
      </c>
      <c r="G107">
        <f t="shared" si="3"/>
        <v>1330</v>
      </c>
      <c r="H107" s="414">
        <f t="shared" si="4"/>
        <v>266</v>
      </c>
      <c r="I107" s="414">
        <f>+'26'!L38</f>
        <v>6.49</v>
      </c>
    </row>
    <row r="108" spans="1:9" ht="13.5" thickBot="1">
      <c r="A108" s="383"/>
      <c r="B108" s="413"/>
      <c r="C108" s="384"/>
      <c r="D108" s="385"/>
      <c r="E108" s="384"/>
      <c r="F108" s="384"/>
      <c r="G108" s="384"/>
      <c r="H108" s="415"/>
      <c r="I108" s="415"/>
    </row>
    <row r="109" spans="1:9">
      <c r="A109" s="549">
        <v>46139</v>
      </c>
      <c r="B109" s="616" t="s">
        <v>560</v>
      </c>
      <c r="C109">
        <v>1</v>
      </c>
      <c r="D109" s="382" t="s">
        <v>534</v>
      </c>
      <c r="E109" s="382">
        <f>133*2</f>
        <v>266</v>
      </c>
      <c r="F109">
        <v>10</v>
      </c>
      <c r="G109">
        <f t="shared" ref="G109" si="5">+E109*F109</f>
        <v>2660</v>
      </c>
      <c r="H109" s="414">
        <f t="shared" ref="H109" si="6">+G109/F109</f>
        <v>266</v>
      </c>
      <c r="I109" s="414">
        <f>+'27'!L37</f>
        <v>3.2309999999999999</v>
      </c>
    </row>
    <row r="110" spans="1:9">
      <c r="B110" s="616" t="s">
        <v>532</v>
      </c>
      <c r="C110">
        <v>1</v>
      </c>
      <c r="D110" s="382" t="s">
        <v>788</v>
      </c>
      <c r="E110" s="382">
        <f>129+135</f>
        <v>264</v>
      </c>
      <c r="F110">
        <f>18+12+1</f>
        <v>31</v>
      </c>
      <c r="G110">
        <f t="shared" ref="G110" si="7">+E110*F110</f>
        <v>8184</v>
      </c>
      <c r="H110" s="414">
        <f t="shared" ref="H110" si="8">+G110/F110</f>
        <v>264</v>
      </c>
      <c r="I110" s="414">
        <f>+'27'!L38</f>
        <v>25.183999999999997</v>
      </c>
    </row>
    <row r="111" spans="1:9">
      <c r="B111" s="616" t="s">
        <v>789</v>
      </c>
      <c r="C111">
        <v>1</v>
      </c>
      <c r="D111" s="382" t="s">
        <v>790</v>
      </c>
      <c r="E111" s="382">
        <f>266*1</f>
        <v>266</v>
      </c>
      <c r="F111">
        <f>32/2</f>
        <v>16</v>
      </c>
      <c r="G111">
        <f t="shared" ref="G111" si="9">+E111*F111</f>
        <v>4256</v>
      </c>
      <c r="H111" s="414">
        <f t="shared" ref="H111" si="10">+G111/F111</f>
        <v>266</v>
      </c>
      <c r="I111" s="414">
        <f>+'27'!L39</f>
        <v>30.515000000000001</v>
      </c>
    </row>
    <row r="112" spans="1:9" ht="13.5" thickBot="1">
      <c r="A112" s="383"/>
      <c r="B112" s="413"/>
      <c r="C112" s="384"/>
      <c r="D112" s="385"/>
      <c r="E112" s="384"/>
      <c r="F112" s="384"/>
      <c r="G112" s="384"/>
      <c r="H112" s="415"/>
      <c r="I112" s="415"/>
    </row>
    <row r="113" spans="1:9">
      <c r="A113" s="549">
        <v>46140</v>
      </c>
      <c r="B113" s="616" t="s">
        <v>789</v>
      </c>
      <c r="C113">
        <v>1</v>
      </c>
      <c r="D113" s="382" t="s">
        <v>790</v>
      </c>
      <c r="E113" s="382">
        <f>266*1</f>
        <v>266</v>
      </c>
      <c r="F113">
        <f>32/2</f>
        <v>16</v>
      </c>
      <c r="G113">
        <f t="shared" ref="G113" si="11">+E113*F113</f>
        <v>4256</v>
      </c>
      <c r="H113" s="414">
        <f t="shared" ref="H113" si="12">+G113/F113</f>
        <v>266</v>
      </c>
      <c r="I113" s="414">
        <f>+'28'!L37</f>
        <v>5.835</v>
      </c>
    </row>
    <row r="114" spans="1:9">
      <c r="B114" s="616" t="s">
        <v>805</v>
      </c>
      <c r="C114">
        <v>1</v>
      </c>
      <c r="D114" s="382" t="s">
        <v>806</v>
      </c>
      <c r="E114" s="382">
        <f>48*3+58*2</f>
        <v>260</v>
      </c>
      <c r="F114">
        <v>115</v>
      </c>
      <c r="G114">
        <f t="shared" ref="G114" si="13">+E114*F114</f>
        <v>29900</v>
      </c>
      <c r="H114" s="414">
        <f t="shared" ref="H114" si="14">+G114/F114</f>
        <v>260</v>
      </c>
      <c r="I114" s="414">
        <f>+'28'!L38</f>
        <v>48.241999999999997</v>
      </c>
    </row>
    <row r="115" spans="1:9" ht="13.5" thickBot="1">
      <c r="A115" s="383"/>
      <c r="B115" s="413"/>
      <c r="C115" s="384"/>
      <c r="D115" s="385"/>
      <c r="E115" s="384"/>
      <c r="F115" s="384"/>
      <c r="G115" s="384"/>
      <c r="H115" s="415"/>
      <c r="I115" s="415"/>
    </row>
    <row r="116" spans="1:9">
      <c r="A116" s="549">
        <v>46141</v>
      </c>
      <c r="B116" s="616" t="s">
        <v>805</v>
      </c>
      <c r="C116">
        <v>1</v>
      </c>
      <c r="D116" s="382" t="s">
        <v>806</v>
      </c>
      <c r="E116" s="382">
        <f>48*3+58*2</f>
        <v>260</v>
      </c>
      <c r="F116">
        <v>119</v>
      </c>
      <c r="G116">
        <f t="shared" ref="G116" si="15">+E116*F116</f>
        <v>30940</v>
      </c>
      <c r="H116" s="414">
        <f>+(E116*F116+E117*F117)/(SUM(F116:F117))</f>
        <v>260</v>
      </c>
      <c r="I116" s="414">
        <f>+'29'!I38</f>
        <v>48.198</v>
      </c>
    </row>
    <row r="117" spans="1:9">
      <c r="B117" s="616" t="s">
        <v>805</v>
      </c>
      <c r="C117">
        <v>1</v>
      </c>
      <c r="D117" s="382" t="s">
        <v>811</v>
      </c>
      <c r="E117" s="382">
        <f>48*4+68</f>
        <v>260</v>
      </c>
      <c r="F117">
        <f>51+6</f>
        <v>57</v>
      </c>
      <c r="G117">
        <f t="shared" ref="G117" si="16">+E117*F117</f>
        <v>14820</v>
      </c>
      <c r="H117" s="414"/>
      <c r="I117" s="414"/>
    </row>
    <row r="118" spans="1:9" ht="13.5" thickBot="1">
      <c r="A118" s="383"/>
      <c r="B118" s="413"/>
      <c r="C118" s="384"/>
      <c r="D118" s="385"/>
      <c r="E118" s="384"/>
      <c r="F118" s="384"/>
      <c r="G118" s="384"/>
      <c r="H118" s="415"/>
      <c r="I118" s="415"/>
    </row>
    <row r="119" spans="1:9">
      <c r="A119" s="549">
        <v>46142</v>
      </c>
      <c r="B119" s="616" t="s">
        <v>805</v>
      </c>
      <c r="C119">
        <v>1</v>
      </c>
      <c r="D119" s="382" t="s">
        <v>811</v>
      </c>
      <c r="E119" s="382">
        <f>48*4+68</f>
        <v>260</v>
      </c>
      <c r="F119">
        <f>53+48+55</f>
        <v>156</v>
      </c>
      <c r="G119">
        <f t="shared" ref="G119" si="17">+E119*F119</f>
        <v>40560</v>
      </c>
      <c r="H119" s="414">
        <f>+G119/F119</f>
        <v>260</v>
      </c>
      <c r="I119" s="414">
        <f>+'30'!I38</f>
        <v>50.679000000000002</v>
      </c>
    </row>
    <row r="120" spans="1:9" ht="13.5" thickBot="1">
      <c r="A120" s="383"/>
      <c r="B120" s="413"/>
      <c r="C120" s="384"/>
      <c r="D120" s="385"/>
      <c r="E120" s="384"/>
      <c r="F120" s="384"/>
      <c r="G120" s="384"/>
      <c r="H120" s="415"/>
      <c r="I120" s="415"/>
    </row>
  </sheetData>
  <phoneticPr fontId="31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F288"/>
  <sheetViews>
    <sheetView zoomScale="90" zoomScaleNormal="90" workbookViewId="0">
      <pane xSplit="6" ySplit="6" topLeftCell="W136" activePane="bottomRight" state="frozen"/>
      <selection pane="topRight" activeCell="F1" sqref="F1"/>
      <selection pane="bottomLeft" activeCell="A7" sqref="A7"/>
      <selection pane="bottomRight" activeCell="AD146" sqref="AD146"/>
    </sheetView>
  </sheetViews>
  <sheetFormatPr defaultColWidth="10.28515625" defaultRowHeight="12"/>
  <cols>
    <col min="1" max="1" width="12.28515625" style="33" customWidth="1"/>
    <col min="2" max="3" width="14.140625" style="33" customWidth="1"/>
    <col min="4" max="4" width="10.28515625" style="33" customWidth="1"/>
    <col min="5" max="5" width="7.5703125" style="33" bestFit="1" customWidth="1"/>
    <col min="6" max="6" width="7" style="60" customWidth="1"/>
    <col min="7" max="9" width="10.28515625" style="33" customWidth="1"/>
    <col min="10" max="11" width="10.28515625" style="89" customWidth="1"/>
    <col min="12" max="13" width="12.7109375" style="61" customWidth="1"/>
    <col min="14" max="15" width="10.28515625" style="33" customWidth="1"/>
    <col min="16" max="16" width="16.85546875" style="33" bestFit="1" customWidth="1"/>
    <col min="17" max="17" width="12.7109375" style="349" customWidth="1"/>
    <col min="18" max="19" width="10.28515625" style="33" customWidth="1"/>
    <col min="20" max="20" width="10.7109375" style="33" customWidth="1"/>
    <col min="21" max="21" width="10.28515625" style="33" customWidth="1"/>
    <col min="22" max="22" width="12.28515625" style="33" customWidth="1"/>
    <col min="23" max="23" width="13" style="33" customWidth="1"/>
    <col min="24" max="24" width="10.28515625" style="33" customWidth="1"/>
    <col min="25" max="25" width="10.140625" style="33" customWidth="1"/>
    <col min="26" max="28" width="10.28515625" style="33" customWidth="1"/>
    <col min="29" max="29" width="12" style="33" customWidth="1"/>
    <col min="30" max="30" width="11.42578125" style="33" customWidth="1"/>
    <col min="31" max="31" width="41.42578125" style="33" customWidth="1"/>
    <col min="32" max="38" width="10.28515625" style="33" customWidth="1"/>
    <col min="39" max="39" width="11.7109375" style="33" customWidth="1"/>
    <col min="40" max="41" width="10.28515625" style="33" customWidth="1"/>
    <col min="42" max="43" width="12.42578125" style="33" customWidth="1"/>
    <col min="44" max="44" width="29.7109375" style="33" bestFit="1" customWidth="1"/>
    <col min="45" max="16384" width="10.28515625" style="33"/>
  </cols>
  <sheetData>
    <row r="1" spans="1:58" s="24" customFormat="1" ht="15.75">
      <c r="A1" s="23" t="s">
        <v>150</v>
      </c>
      <c r="G1" s="25"/>
      <c r="H1" s="25"/>
      <c r="I1" s="25"/>
      <c r="J1" s="86"/>
      <c r="K1" s="86"/>
      <c r="L1" s="26"/>
      <c r="M1" s="26"/>
      <c r="O1" s="25"/>
      <c r="P1" s="27"/>
      <c r="Q1" s="25"/>
      <c r="R1" s="27"/>
      <c r="S1" s="27"/>
      <c r="W1" s="27"/>
      <c r="X1" s="28"/>
      <c r="Y1" s="28"/>
      <c r="Z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</row>
    <row r="2" spans="1:58" s="24" customFormat="1">
      <c r="A2" s="100"/>
      <c r="G2" s="25"/>
      <c r="H2" s="25"/>
      <c r="I2" s="25"/>
      <c r="J2" s="86"/>
      <c r="K2" s="86"/>
      <c r="L2" s="26"/>
      <c r="M2" s="26"/>
      <c r="O2" s="25"/>
      <c r="P2" s="27"/>
      <c r="Q2" s="25"/>
      <c r="R2" s="27"/>
      <c r="S2" s="27"/>
      <c r="W2" s="27"/>
      <c r="X2" s="28"/>
      <c r="Y2" s="28"/>
      <c r="Z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</row>
    <row r="3" spans="1:58" ht="24" customHeight="1">
      <c r="A3" s="899" t="s">
        <v>7</v>
      </c>
      <c r="B3" s="899" t="s">
        <v>8</v>
      </c>
      <c r="C3" s="899" t="s">
        <v>202</v>
      </c>
      <c r="D3" s="899" t="s">
        <v>92</v>
      </c>
      <c r="E3" s="899" t="s">
        <v>93</v>
      </c>
      <c r="F3" s="899" t="s">
        <v>94</v>
      </c>
      <c r="G3" s="952" t="s">
        <v>95</v>
      </c>
      <c r="H3" s="953"/>
      <c r="I3" s="953"/>
      <c r="J3" s="953"/>
      <c r="K3" s="954"/>
      <c r="L3" s="938" t="s">
        <v>96</v>
      </c>
      <c r="M3" s="939"/>
      <c r="N3" s="940"/>
      <c r="O3" s="944" t="s">
        <v>97</v>
      </c>
      <c r="P3" s="901" t="s">
        <v>109</v>
      </c>
      <c r="Q3" s="944" t="s">
        <v>98</v>
      </c>
      <c r="R3" s="903" t="s">
        <v>99</v>
      </c>
      <c r="S3" s="903" t="s">
        <v>100</v>
      </c>
      <c r="T3" s="899" t="s">
        <v>159</v>
      </c>
      <c r="U3" s="899" t="s">
        <v>158</v>
      </c>
      <c r="V3" s="899" t="s">
        <v>160</v>
      </c>
      <c r="W3" s="903" t="s">
        <v>144</v>
      </c>
      <c r="X3" s="928" t="s">
        <v>102</v>
      </c>
      <c r="Y3" s="928" t="s">
        <v>329</v>
      </c>
      <c r="Z3" s="903" t="s">
        <v>103</v>
      </c>
      <c r="AA3" s="899" t="s">
        <v>161</v>
      </c>
      <c r="AB3" s="899" t="s">
        <v>172</v>
      </c>
      <c r="AC3" s="899" t="s">
        <v>170</v>
      </c>
      <c r="AD3" s="899" t="s">
        <v>127</v>
      </c>
      <c r="AE3" s="921" t="s">
        <v>128</v>
      </c>
      <c r="AF3" s="924" t="s">
        <v>129</v>
      </c>
      <c r="AG3" s="924"/>
      <c r="AH3" s="924"/>
      <c r="AI3" s="924"/>
      <c r="AJ3" s="924"/>
      <c r="AK3" s="924"/>
      <c r="AL3" s="924"/>
      <c r="AM3" s="946" t="s">
        <v>130</v>
      </c>
      <c r="AN3" s="904" t="s">
        <v>104</v>
      </c>
      <c r="AO3" s="904"/>
      <c r="AP3" s="904"/>
      <c r="AQ3" s="904"/>
      <c r="AR3" s="904"/>
      <c r="AS3" s="905" t="s">
        <v>105</v>
      </c>
      <c r="AT3" s="907" t="s">
        <v>248</v>
      </c>
      <c r="AU3" s="908"/>
      <c r="AV3" s="911" t="s">
        <v>131</v>
      </c>
      <c r="AW3" s="912"/>
      <c r="AX3" s="913" t="s">
        <v>131</v>
      </c>
      <c r="AY3" s="914"/>
      <c r="AZ3" s="915" t="s">
        <v>335</v>
      </c>
      <c r="BA3" s="902" t="s">
        <v>106</v>
      </c>
      <c r="BB3" s="898" t="s">
        <v>107</v>
      </c>
      <c r="BC3" s="898" t="s">
        <v>108</v>
      </c>
      <c r="BD3" s="930" t="s">
        <v>412</v>
      </c>
      <c r="BE3" s="933" t="s">
        <v>413</v>
      </c>
      <c r="BF3" s="898" t="s">
        <v>414</v>
      </c>
    </row>
    <row r="4" spans="1:58" ht="12" customHeight="1">
      <c r="A4" s="920"/>
      <c r="B4" s="920"/>
      <c r="C4" s="920"/>
      <c r="D4" s="920"/>
      <c r="E4" s="920"/>
      <c r="F4" s="920"/>
      <c r="G4" s="955"/>
      <c r="H4" s="956"/>
      <c r="I4" s="956"/>
      <c r="J4" s="956"/>
      <c r="K4" s="957"/>
      <c r="L4" s="941"/>
      <c r="M4" s="942"/>
      <c r="N4" s="943"/>
      <c r="O4" s="945"/>
      <c r="P4" s="925"/>
      <c r="Q4" s="945"/>
      <c r="R4" s="927"/>
      <c r="S4" s="927"/>
      <c r="T4" s="920"/>
      <c r="U4" s="920"/>
      <c r="V4" s="920"/>
      <c r="W4" s="927"/>
      <c r="X4" s="929"/>
      <c r="Y4" s="929"/>
      <c r="Z4" s="927"/>
      <c r="AA4" s="920"/>
      <c r="AB4" s="920"/>
      <c r="AC4" s="920"/>
      <c r="AD4" s="920"/>
      <c r="AE4" s="922"/>
      <c r="AF4" s="949" t="s">
        <v>132</v>
      </c>
      <c r="AG4" s="950"/>
      <c r="AH4" s="951"/>
      <c r="AI4" s="925" t="s">
        <v>203</v>
      </c>
      <c r="AJ4" s="925" t="s">
        <v>14</v>
      </c>
      <c r="AK4" s="925" t="s">
        <v>133</v>
      </c>
      <c r="AL4" s="925" t="s">
        <v>17</v>
      </c>
      <c r="AM4" s="947"/>
      <c r="AN4" s="900" t="s">
        <v>110</v>
      </c>
      <c r="AO4" s="900" t="s">
        <v>14</v>
      </c>
      <c r="AP4" s="900" t="s">
        <v>111</v>
      </c>
      <c r="AQ4" s="900" t="s">
        <v>17</v>
      </c>
      <c r="AR4" s="902" t="s">
        <v>112</v>
      </c>
      <c r="AS4" s="905"/>
      <c r="AT4" s="909"/>
      <c r="AU4" s="910"/>
      <c r="AV4" s="527" t="s">
        <v>6</v>
      </c>
      <c r="AW4" s="527" t="s">
        <v>134</v>
      </c>
      <c r="AX4" s="528" t="s">
        <v>6</v>
      </c>
      <c r="AY4" s="529" t="s">
        <v>134</v>
      </c>
      <c r="AZ4" s="916"/>
      <c r="BA4" s="902"/>
      <c r="BB4" s="898"/>
      <c r="BC4" s="898"/>
      <c r="BD4" s="931"/>
      <c r="BE4" s="934"/>
      <c r="BF4" s="898"/>
    </row>
    <row r="5" spans="1:58" s="36" customFormat="1" ht="48">
      <c r="A5" s="920"/>
      <c r="B5" s="920"/>
      <c r="C5" s="923"/>
      <c r="D5" s="920"/>
      <c r="E5" s="920"/>
      <c r="F5" s="920"/>
      <c r="G5" s="31" t="s">
        <v>113</v>
      </c>
      <c r="H5" s="30" t="s">
        <v>114</v>
      </c>
      <c r="I5" s="34" t="s">
        <v>115</v>
      </c>
      <c r="J5" s="87" t="s">
        <v>116</v>
      </c>
      <c r="K5" s="87" t="s">
        <v>101</v>
      </c>
      <c r="L5" s="35" t="s">
        <v>117</v>
      </c>
      <c r="M5" s="35" t="s">
        <v>118</v>
      </c>
      <c r="N5" s="30" t="s">
        <v>119</v>
      </c>
      <c r="O5" s="945"/>
      <c r="P5" s="926"/>
      <c r="Q5" s="945"/>
      <c r="R5" s="927"/>
      <c r="S5" s="927"/>
      <c r="T5" s="920"/>
      <c r="U5" s="920"/>
      <c r="V5" s="920"/>
      <c r="W5" s="927"/>
      <c r="X5" s="929"/>
      <c r="Y5" s="937"/>
      <c r="Z5" s="927"/>
      <c r="AA5" s="920"/>
      <c r="AB5" s="923"/>
      <c r="AC5" s="920"/>
      <c r="AD5" s="923"/>
      <c r="AE5" s="922"/>
      <c r="AF5" s="458" t="s">
        <v>204</v>
      </c>
      <c r="AG5" s="457" t="s">
        <v>205</v>
      </c>
      <c r="AH5" s="457" t="s">
        <v>206</v>
      </c>
      <c r="AI5" s="926"/>
      <c r="AJ5" s="926"/>
      <c r="AK5" s="926"/>
      <c r="AL5" s="926"/>
      <c r="AM5" s="948"/>
      <c r="AN5" s="901"/>
      <c r="AO5" s="901"/>
      <c r="AP5" s="901"/>
      <c r="AQ5" s="901"/>
      <c r="AR5" s="903"/>
      <c r="AS5" s="906"/>
      <c r="AT5" s="518" t="s">
        <v>327</v>
      </c>
      <c r="AU5" s="518" t="s">
        <v>328</v>
      </c>
      <c r="AV5" s="530" t="s">
        <v>326</v>
      </c>
      <c r="AW5" s="530" t="s">
        <v>326</v>
      </c>
      <c r="AX5" s="528" t="s">
        <v>16</v>
      </c>
      <c r="AY5" s="528" t="s">
        <v>16</v>
      </c>
      <c r="AZ5" s="917"/>
      <c r="BA5" s="903"/>
      <c r="BB5" s="899"/>
      <c r="BC5" s="899"/>
      <c r="BD5" s="932"/>
      <c r="BE5" s="935"/>
      <c r="BF5" s="936"/>
    </row>
    <row r="6" spans="1:58" ht="12.75">
      <c r="A6" s="343">
        <f>+Report1!A9</f>
        <v>46113</v>
      </c>
      <c r="B6" s="45" t="s">
        <v>427</v>
      </c>
      <c r="C6" s="450">
        <f>(M6*E6*O6*Q6)/100000000</f>
        <v>58.108987439999993</v>
      </c>
      <c r="D6" s="45" t="s">
        <v>408</v>
      </c>
      <c r="E6" s="46">
        <v>14</v>
      </c>
      <c r="F6" s="46">
        <v>1</v>
      </c>
      <c r="G6" s="463">
        <v>1700</v>
      </c>
      <c r="H6" s="48">
        <f>+N6</f>
        <v>0.24</v>
      </c>
      <c r="I6" s="49">
        <v>0.88</v>
      </c>
      <c r="J6" s="88">
        <f>E6*G6*(1-H6)*1440/1000000*2.77</f>
        <v>72.149414399999998</v>
      </c>
      <c r="K6" s="88">
        <f>(IF(G6&lt;L6,L6,G6)*(1-IF(H6&lt;N6,H6,N6))*E6*O6*Q6)/100000000</f>
        <v>61.92510004799999</v>
      </c>
      <c r="L6" s="39">
        <v>1595.2380952380952</v>
      </c>
      <c r="M6" s="39">
        <v>1212.3809523809523</v>
      </c>
      <c r="N6" s="50">
        <f>1-(M6/L6)</f>
        <v>0.24</v>
      </c>
      <c r="O6" s="51">
        <f>+'Trim Rwd'!H4</f>
        <v>271.70999999999998</v>
      </c>
      <c r="P6" s="52">
        <f>O6*(Q6-R6-S6)</f>
        <v>332029.62</v>
      </c>
      <c r="Q6" s="51">
        <v>1260</v>
      </c>
      <c r="R6" s="419">
        <v>0</v>
      </c>
      <c r="S6" s="419">
        <v>38</v>
      </c>
      <c r="T6" s="41">
        <f>E6*M6*O6*Q6/100000000</f>
        <v>58.108987439999993</v>
      </c>
      <c r="U6" s="41">
        <f>E6*M6*O6*(Q6-R6-S6)/100000000</f>
        <v>56.35649416799999</v>
      </c>
      <c r="V6" s="41">
        <f>E6*G6*(1-N6)*O6/100*(R6+S6)/1000000</f>
        <v>1.8675823823999997</v>
      </c>
      <c r="W6" s="41">
        <f>+'1'!K7/1000</f>
        <v>59.5</v>
      </c>
      <c r="X6" s="416">
        <f>SUM(W6:W9)/SUM(K6:K9)</f>
        <v>0.88350182457804671</v>
      </c>
      <c r="Y6" s="220">
        <v>0</v>
      </c>
      <c r="Z6" s="41">
        <v>0</v>
      </c>
      <c r="AA6" s="53">
        <f>SUM(U6:U9)-SUM(W6:W9)-SUM(Z6:Z9)-SUM(Y6:Y9)</f>
        <v>2.1183789679999947</v>
      </c>
      <c r="AB6" s="53">
        <f>(SUM(K6:K9)-SUM(W6:W9)-SUM(Y6:Y9)-SUM(Z6:Z9)-SUM(AC6:AC9)-SUM(V6:V9))-AA6</f>
        <v>-0.12129071039999761</v>
      </c>
      <c r="AC6" s="41">
        <f>K6-T6</f>
        <v>3.8161126079999974</v>
      </c>
      <c r="AD6" s="41">
        <f>+AM6+BA6</f>
        <v>5</v>
      </c>
      <c r="AE6" s="238" t="s">
        <v>456</v>
      </c>
      <c r="AF6" s="41">
        <v>5</v>
      </c>
      <c r="AG6" s="41"/>
      <c r="AH6" s="41"/>
      <c r="AI6" s="459"/>
      <c r="AJ6" s="41"/>
      <c r="AK6" s="41"/>
      <c r="AL6" s="41"/>
      <c r="AM6" s="41">
        <f>SUM(AF6:AL6)+AT6+AV6+AX6</f>
        <v>5</v>
      </c>
      <c r="AN6" s="41"/>
      <c r="AO6" s="41"/>
      <c r="AP6" s="41"/>
      <c r="AQ6" s="41"/>
      <c r="AR6" s="41">
        <f>SUM(AN6:AQ6)</f>
        <v>0</v>
      </c>
      <c r="AS6" s="41"/>
      <c r="AT6" s="41"/>
      <c r="AU6" s="41"/>
      <c r="AV6" s="41"/>
      <c r="AW6" s="41"/>
      <c r="AX6" s="41"/>
      <c r="AY6" s="41"/>
      <c r="AZ6" s="41"/>
      <c r="BA6" s="41">
        <f>+AR6+AS6+AU6+AW6+AY6+AZ6</f>
        <v>0</v>
      </c>
      <c r="BB6" s="37">
        <v>1</v>
      </c>
      <c r="BC6" s="55"/>
      <c r="BD6" s="55"/>
      <c r="BE6" s="37"/>
      <c r="BF6" s="55"/>
    </row>
    <row r="7" spans="1:58" ht="12.95" customHeight="1">
      <c r="A7" s="343"/>
      <c r="B7" s="45" t="s">
        <v>427</v>
      </c>
      <c r="C7" s="450">
        <f>(M7*E7*O7*Q7)/100000000</f>
        <v>9.3768191999999999</v>
      </c>
      <c r="D7" s="45" t="s">
        <v>408</v>
      </c>
      <c r="E7" s="46">
        <v>15</v>
      </c>
      <c r="F7" s="46">
        <v>1</v>
      </c>
      <c r="G7" s="463">
        <v>1700</v>
      </c>
      <c r="H7" s="48">
        <f>+N7</f>
        <v>0.24</v>
      </c>
      <c r="I7" s="49">
        <v>0.88</v>
      </c>
      <c r="J7" s="88">
        <f>E7*G7*(1-H7)*1440/1000000*2.77</f>
        <v>77.302943999999997</v>
      </c>
      <c r="K7" s="88">
        <f>(IF(G7&lt;L7,L7,G7)*(1-IF(H7&lt;N7,H7,N7))*E7*O7*Q7)/100000000</f>
        <v>9.488448</v>
      </c>
      <c r="L7" s="39">
        <v>1680</v>
      </c>
      <c r="M7" s="39">
        <f>+L7-L7*0.24</f>
        <v>1276.8</v>
      </c>
      <c r="N7" s="50">
        <f>1-(M7/L7)</f>
        <v>0.24</v>
      </c>
      <c r="O7" s="51">
        <f>+'Trim Rwd'!H6</f>
        <v>272</v>
      </c>
      <c r="P7" s="52">
        <f>O7*(Q7-R7-S7)</f>
        <v>46240</v>
      </c>
      <c r="Q7" s="51">
        <v>180</v>
      </c>
      <c r="R7" s="419">
        <v>0</v>
      </c>
      <c r="S7" s="419">
        <v>10</v>
      </c>
      <c r="T7" s="41">
        <f>E7*M7*O7*Q7/100000000</f>
        <v>9.3768191999999999</v>
      </c>
      <c r="U7" s="41">
        <f>E7*M7*O7*(Q7-R7-S7)/100000000</f>
        <v>8.8558848000000001</v>
      </c>
      <c r="V7" s="41">
        <f>E7*G7*(1-N7)*O7/100*(R7+S7)/1000000</f>
        <v>0.52713600000000005</v>
      </c>
      <c r="W7" s="41">
        <f>+'1'!K8/1000</f>
        <v>3.5939999999999999</v>
      </c>
      <c r="X7" s="42"/>
      <c r="Y7" s="220"/>
      <c r="Z7" s="41"/>
      <c r="AA7" s="41"/>
      <c r="AB7" s="41"/>
      <c r="AC7" s="41">
        <f>K7-T7</f>
        <v>0.11162880000000008</v>
      </c>
      <c r="AD7" s="41">
        <f>+AM7+BA7</f>
        <v>16</v>
      </c>
      <c r="AE7" s="238" t="s">
        <v>458</v>
      </c>
      <c r="AF7" s="41"/>
      <c r="AG7" s="41">
        <v>16</v>
      </c>
      <c r="AH7" s="41"/>
      <c r="AI7" s="459"/>
      <c r="AJ7" s="41"/>
      <c r="AK7" s="41"/>
      <c r="AL7" s="41"/>
      <c r="AM7" s="41">
        <f>SUM(AF7:AL7)+AT7+AV7+AX7</f>
        <v>16</v>
      </c>
      <c r="AN7" s="89"/>
      <c r="AO7" s="41"/>
      <c r="AP7" s="41"/>
      <c r="AQ7" s="41"/>
      <c r="AR7" s="41">
        <f>SUM(AN7:AQ7)</f>
        <v>0</v>
      </c>
      <c r="AS7" s="41"/>
      <c r="AT7" s="41"/>
      <c r="AU7" s="41"/>
      <c r="AV7" s="41"/>
      <c r="AW7" s="41"/>
      <c r="AX7" s="41"/>
      <c r="AY7" s="41"/>
      <c r="AZ7" s="41"/>
      <c r="BA7" s="41">
        <f>+AR7+AS7+AU7+AW7+AY7+AZ7</f>
        <v>0</v>
      </c>
      <c r="BB7" s="54"/>
      <c r="BC7" s="55">
        <v>17</v>
      </c>
      <c r="BD7" s="55"/>
      <c r="BE7" s="54"/>
      <c r="BF7" s="55"/>
    </row>
    <row r="8" spans="1:58" ht="12.95" customHeight="1">
      <c r="A8" s="44"/>
      <c r="B8" s="45"/>
      <c r="C8" s="450"/>
      <c r="D8" s="45"/>
      <c r="E8" s="46"/>
      <c r="F8" s="46"/>
      <c r="G8" s="47"/>
      <c r="H8" s="48"/>
      <c r="I8" s="49"/>
      <c r="J8" s="88"/>
      <c r="K8" s="88"/>
      <c r="L8" s="39"/>
      <c r="M8" s="39"/>
      <c r="N8" s="50"/>
      <c r="O8" s="51"/>
      <c r="P8" s="52"/>
      <c r="Q8" s="51"/>
      <c r="R8" s="419"/>
      <c r="S8" s="419"/>
      <c r="T8" s="41"/>
      <c r="U8" s="41"/>
      <c r="V8" s="41"/>
      <c r="W8" s="41"/>
      <c r="X8" s="42"/>
      <c r="Y8" s="220"/>
      <c r="Z8" s="41"/>
      <c r="AA8" s="41"/>
      <c r="AB8" s="41"/>
      <c r="AC8" s="41"/>
      <c r="AD8" s="41">
        <f>+AM8+BA8</f>
        <v>27</v>
      </c>
      <c r="AE8" s="238" t="s">
        <v>459</v>
      </c>
      <c r="AF8" s="37"/>
      <c r="AG8" s="37"/>
      <c r="AH8" s="37">
        <v>27</v>
      </c>
      <c r="AJ8" s="41"/>
      <c r="AK8" s="41"/>
      <c r="AL8" s="41"/>
      <c r="AM8" s="41">
        <f>SUM(AF8:AL8)+AT8+AV8+AX8</f>
        <v>27</v>
      </c>
      <c r="AN8" s="41"/>
      <c r="AO8" s="41"/>
      <c r="AP8" s="41"/>
      <c r="AQ8" s="41"/>
      <c r="AR8" s="41">
        <f>SUM(AN8:AQ8)</f>
        <v>0</v>
      </c>
      <c r="AS8" s="41"/>
      <c r="AT8" s="41"/>
      <c r="AU8" s="41"/>
      <c r="AV8" s="41"/>
      <c r="AW8" s="41"/>
      <c r="AX8" s="41"/>
      <c r="AY8" s="41"/>
      <c r="AZ8" s="41"/>
      <c r="BA8" s="41">
        <f>+AR8+AS8+AU8+AW8+AY8+AZ8</f>
        <v>0</v>
      </c>
      <c r="BB8" s="37"/>
      <c r="BC8" s="57"/>
      <c r="BD8" s="57"/>
      <c r="BE8" s="37"/>
      <c r="BF8" s="57"/>
    </row>
    <row r="9" spans="1:58" ht="12.95" customHeight="1">
      <c r="A9" s="44"/>
      <c r="B9" s="45"/>
      <c r="C9" s="450"/>
      <c r="D9" s="45"/>
      <c r="E9" s="46"/>
      <c r="F9" s="46"/>
      <c r="G9" s="47"/>
      <c r="H9" s="48"/>
      <c r="I9" s="49"/>
      <c r="J9" s="88"/>
      <c r="K9" s="88"/>
      <c r="L9" s="39"/>
      <c r="M9" s="39"/>
      <c r="N9" s="50"/>
      <c r="O9" s="51"/>
      <c r="P9" s="52"/>
      <c r="Q9" s="38"/>
      <c r="R9" s="419"/>
      <c r="S9" s="419"/>
      <c r="T9" s="41"/>
      <c r="U9" s="41"/>
      <c r="V9" s="41"/>
      <c r="W9" s="41"/>
      <c r="X9" s="42"/>
      <c r="Y9" s="220"/>
      <c r="Z9" s="41"/>
      <c r="AA9" s="41"/>
      <c r="AB9" s="41"/>
      <c r="AC9" s="41"/>
      <c r="AD9" s="41"/>
      <c r="AE9" s="241"/>
      <c r="AF9" s="41"/>
      <c r="AG9" s="41"/>
      <c r="AH9" s="41"/>
      <c r="AI9" s="459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37"/>
      <c r="BC9" s="57"/>
      <c r="BD9" s="57"/>
      <c r="BE9" s="37"/>
      <c r="BF9" s="57"/>
    </row>
    <row r="10" spans="1:58" ht="12.95" customHeight="1">
      <c r="A10" s="343">
        <v>46114</v>
      </c>
      <c r="B10" s="45" t="s">
        <v>427</v>
      </c>
      <c r="C10" s="450">
        <f>(M10*E10*O10*Q10)/100000000</f>
        <v>29.097907200000002</v>
      </c>
      <c r="D10" s="45" t="s">
        <v>408</v>
      </c>
      <c r="E10" s="46">
        <v>15</v>
      </c>
      <c r="F10" s="46">
        <v>1</v>
      </c>
      <c r="G10" s="463">
        <v>1700</v>
      </c>
      <c r="H10" s="48">
        <f>+N10</f>
        <v>0.24</v>
      </c>
      <c r="I10" s="49">
        <v>0.88</v>
      </c>
      <c r="J10" s="88">
        <f>E10*G10*(1-H10)*1440/1000000*2.77</f>
        <v>77.302943999999997</v>
      </c>
      <c r="K10" s="88">
        <f>(IF(G10&lt;L10,L10,G10)*(1-IF(H10&lt;N10,H10,N10))*E10*O10*Q10)/100000000</f>
        <v>29.519615999999999</v>
      </c>
      <c r="L10" s="39">
        <v>1675.7142857142858</v>
      </c>
      <c r="M10" s="39">
        <v>1273.5428571428572</v>
      </c>
      <c r="N10" s="50">
        <f>1-(M10/L10)</f>
        <v>0.24</v>
      </c>
      <c r="O10" s="51">
        <f>+'Trim Rwd'!H8</f>
        <v>272</v>
      </c>
      <c r="P10" s="52">
        <f>O10*(Q10-R10-S10)</f>
        <v>147968</v>
      </c>
      <c r="Q10" s="51">
        <v>560</v>
      </c>
      <c r="R10" s="419">
        <v>0</v>
      </c>
      <c r="S10" s="419">
        <v>16</v>
      </c>
      <c r="T10" s="41">
        <f>E10*M10*O10*Q10/100000000</f>
        <v>29.097907200000002</v>
      </c>
      <c r="U10" s="41">
        <f>E10*M10*O10*(Q10-R10-S10)/100000000</f>
        <v>28.266538422857142</v>
      </c>
      <c r="V10" s="41">
        <f>E10*G10*(1-N10)*O10/100*(R10+S10)/1000000</f>
        <v>0.84341759999999999</v>
      </c>
      <c r="W10" s="41">
        <f>+'2'!K8/1000</f>
        <v>33.99</v>
      </c>
      <c r="X10" s="416">
        <f>SUM(W10:W13)/SUM(K10:K13)</f>
        <v>0.94830449899454528</v>
      </c>
      <c r="Y10" s="220">
        <v>0</v>
      </c>
      <c r="Z10" s="41">
        <v>0</v>
      </c>
      <c r="AA10" s="53">
        <f>SUM(U10:U13)-SUM(W10:W13)-SUM(Z10:Z13)-SUM(Y10:Y13)</f>
        <v>1.1889224032011043</v>
      </c>
      <c r="AB10" s="53">
        <f>(SUM(K10:K13)-SUM(W10:W13)-SUM(Y10:Y13)-SUM(Z10:Z13)-SUM(AC10:AC13)-SUM(V10:V13))-AA10</f>
        <v>-1.6737668065986089E-2</v>
      </c>
      <c r="AC10" s="41">
        <f>K10-T10</f>
        <v>0.42170879999999755</v>
      </c>
      <c r="AD10" s="41">
        <f>+AM10+BA10</f>
        <v>0</v>
      </c>
      <c r="AE10" s="238" t="s">
        <v>277</v>
      </c>
      <c r="AF10" s="41">
        <v>0</v>
      </c>
      <c r="AG10" s="41"/>
      <c r="AH10" s="41"/>
      <c r="AI10" s="459"/>
      <c r="AJ10" s="41"/>
      <c r="AK10" s="41"/>
      <c r="AL10" s="41"/>
      <c r="AM10" s="41">
        <f>SUM(AF10:AL10)+AT10+AV10+AX10</f>
        <v>0</v>
      </c>
      <c r="AN10" s="41"/>
      <c r="AO10" s="41"/>
      <c r="AP10" s="41"/>
      <c r="AQ10" s="41"/>
      <c r="AR10" s="41">
        <f>SUM(AN10:AQ10)</f>
        <v>0</v>
      </c>
      <c r="AS10" s="41"/>
      <c r="AT10" s="41"/>
      <c r="AU10" s="41"/>
      <c r="AV10" s="41"/>
      <c r="AW10" s="41"/>
      <c r="AX10" s="41"/>
      <c r="AY10" s="41"/>
      <c r="AZ10" s="41"/>
      <c r="BA10" s="41">
        <f>+AR10+AS10+AU10+AW10+AY10+AZ10</f>
        <v>0</v>
      </c>
      <c r="BB10" s="37">
        <v>0</v>
      </c>
      <c r="BC10" s="55"/>
      <c r="BD10" s="55"/>
      <c r="BE10" s="37"/>
      <c r="BF10" s="55"/>
    </row>
    <row r="11" spans="1:58" ht="12.95" customHeight="1">
      <c r="A11" s="343"/>
      <c r="B11" s="45" t="s">
        <v>427</v>
      </c>
      <c r="C11" s="450">
        <f>(M11*E11*O11*Q11)/100000000</f>
        <v>38.373509189189186</v>
      </c>
      <c r="D11" s="45" t="s">
        <v>408</v>
      </c>
      <c r="E11" s="46">
        <v>12.5</v>
      </c>
      <c r="F11" s="46">
        <v>1</v>
      </c>
      <c r="G11" s="463">
        <v>1700</v>
      </c>
      <c r="H11" s="48">
        <f>+N11</f>
        <v>0.2400000000000001</v>
      </c>
      <c r="I11" s="49">
        <v>0.88</v>
      </c>
      <c r="J11" s="88">
        <f>E11*G11*(1-H11)*1440/1000000*2.77</f>
        <v>64.419119999999992</v>
      </c>
      <c r="K11" s="88">
        <f>(IF(G11&lt;L11,L11,G11)*(1-IF(H11&lt;N11,H11,N11))*E11*O11*Q11)/100000000</f>
        <v>38.57981837837837</v>
      </c>
      <c r="L11" s="39">
        <v>1690.909090909091</v>
      </c>
      <c r="M11" s="39">
        <v>1285.090909090909</v>
      </c>
      <c r="N11" s="50">
        <f>1-(M11/L11)</f>
        <v>0.2400000000000001</v>
      </c>
      <c r="O11" s="51">
        <f>+'Trim Rwd'!H9</f>
        <v>271.45945945945948</v>
      </c>
      <c r="P11" s="52">
        <f>O11*(Q11-R11-S11)</f>
        <v>233455.13513513515</v>
      </c>
      <c r="Q11" s="51">
        <v>880</v>
      </c>
      <c r="R11" s="419">
        <v>0</v>
      </c>
      <c r="S11" s="419">
        <v>20</v>
      </c>
      <c r="T11" s="41">
        <f>E11*M11*O11*Q11/100000000</f>
        <v>38.373509189189186</v>
      </c>
      <c r="U11" s="41">
        <f>E11*M11*O11*(Q11-R11-S11)/100000000</f>
        <v>37.501383980343974</v>
      </c>
      <c r="V11" s="41">
        <f>E11*G11*(1-N11)*O11/100*(R11+S11)/1000000</f>
        <v>0.87681405405405399</v>
      </c>
      <c r="W11" s="41">
        <f>+'2'!K9/1000</f>
        <v>30.588999999999999</v>
      </c>
      <c r="X11" s="42"/>
      <c r="Y11" s="220"/>
      <c r="Z11" s="41"/>
      <c r="AA11" s="53"/>
      <c r="AB11" s="53"/>
      <c r="AC11" s="41">
        <f>K11-T11</f>
        <v>0.20630918918918439</v>
      </c>
      <c r="AD11" s="41">
        <f>+AM11+BA11</f>
        <v>11</v>
      </c>
      <c r="AE11" s="238" t="s">
        <v>485</v>
      </c>
      <c r="AF11" s="41"/>
      <c r="AG11" s="41">
        <v>11</v>
      </c>
      <c r="AH11" s="41"/>
      <c r="AI11" s="459"/>
      <c r="AJ11" s="41"/>
      <c r="AK11" s="41"/>
      <c r="AL11" s="41"/>
      <c r="AM11" s="41">
        <f>SUM(AF11:AL11)+AT11+AV11+AX11</f>
        <v>11</v>
      </c>
      <c r="AN11" s="89"/>
      <c r="AO11" s="41"/>
      <c r="AP11" s="41"/>
      <c r="AQ11" s="41"/>
      <c r="AR11" s="41">
        <f>SUM(AN11:AQ11)</f>
        <v>0</v>
      </c>
      <c r="AS11" s="41"/>
      <c r="AT11" s="41"/>
      <c r="AU11" s="41"/>
      <c r="AV11" s="41"/>
      <c r="AW11" s="41"/>
      <c r="AX11" s="41"/>
      <c r="AY11" s="41"/>
      <c r="AZ11" s="41"/>
      <c r="BA11" s="41">
        <f>+AR11+AS11+AU11+AW11+AY11+AZ11</f>
        <v>0</v>
      </c>
      <c r="BB11" s="54"/>
      <c r="BC11" s="55">
        <v>15</v>
      </c>
      <c r="BD11" s="55"/>
      <c r="BE11" s="54"/>
      <c r="BF11" s="55"/>
    </row>
    <row r="12" spans="1:58" ht="12.95" customHeight="1">
      <c r="A12" s="44"/>
      <c r="B12" s="45"/>
      <c r="C12" s="450"/>
      <c r="D12" s="45"/>
      <c r="E12" s="46"/>
      <c r="F12" s="46"/>
      <c r="G12" s="47"/>
      <c r="H12" s="48"/>
      <c r="I12" s="49"/>
      <c r="J12" s="88"/>
      <c r="K12" s="88"/>
      <c r="L12" s="39"/>
      <c r="M12" s="39"/>
      <c r="N12" s="50"/>
      <c r="O12" s="51"/>
      <c r="P12" s="52"/>
      <c r="Q12" s="51"/>
      <c r="R12" s="419"/>
      <c r="S12" s="419"/>
      <c r="T12" s="41"/>
      <c r="U12" s="41"/>
      <c r="V12" s="41"/>
      <c r="W12" s="41"/>
      <c r="X12" s="42"/>
      <c r="Y12" s="220"/>
      <c r="Z12" s="41"/>
      <c r="AA12" s="41"/>
      <c r="AB12" s="41"/>
      <c r="AC12" s="41"/>
      <c r="AD12" s="41">
        <f>+AM12+BA12</f>
        <v>20</v>
      </c>
      <c r="AE12" s="238" t="s">
        <v>486</v>
      </c>
      <c r="AF12" s="37"/>
      <c r="AG12" s="37"/>
      <c r="AH12" s="37">
        <v>20</v>
      </c>
      <c r="AJ12" s="41"/>
      <c r="AK12" s="41"/>
      <c r="AL12" s="41"/>
      <c r="AM12" s="41">
        <f>SUM(AF12:AL12)+AT12+AV12+AX12</f>
        <v>20</v>
      </c>
      <c r="AN12" s="41"/>
      <c r="AO12" s="41"/>
      <c r="AP12" s="41"/>
      <c r="AQ12" s="41"/>
      <c r="AR12" s="41">
        <f>SUM(AN12:AQ12)</f>
        <v>0</v>
      </c>
      <c r="AS12" s="41"/>
      <c r="AT12" s="41"/>
      <c r="AU12" s="41"/>
      <c r="AV12" s="41"/>
      <c r="AW12" s="41"/>
      <c r="AX12" s="41"/>
      <c r="AY12" s="41"/>
      <c r="AZ12" s="41"/>
      <c r="BA12" s="41">
        <f>+AR12+AS12+AU12+AW12+AY12+AZ12</f>
        <v>0</v>
      </c>
      <c r="BB12" s="37"/>
      <c r="BC12" s="57"/>
      <c r="BD12" s="57"/>
      <c r="BE12" s="37"/>
      <c r="BF12" s="57"/>
    </row>
    <row r="13" spans="1:58" ht="12.95" customHeight="1">
      <c r="A13" s="44"/>
      <c r="B13" s="45"/>
      <c r="C13" s="450"/>
      <c r="D13" s="45"/>
      <c r="E13" s="46"/>
      <c r="F13" s="46"/>
      <c r="G13" s="47"/>
      <c r="H13" s="48"/>
      <c r="I13" s="49"/>
      <c r="J13" s="88"/>
      <c r="K13" s="88"/>
      <c r="L13" s="39"/>
      <c r="M13" s="39"/>
      <c r="N13" s="50"/>
      <c r="O13" s="51"/>
      <c r="P13" s="52"/>
      <c r="Q13" s="38"/>
      <c r="R13" s="419"/>
      <c r="S13" s="419"/>
      <c r="T13" s="41"/>
      <c r="U13" s="41"/>
      <c r="V13" s="41"/>
      <c r="W13" s="41"/>
      <c r="X13" s="42"/>
      <c r="Y13" s="220"/>
      <c r="Z13" s="41"/>
      <c r="AA13" s="41"/>
      <c r="AB13" s="41"/>
      <c r="AC13" s="41"/>
      <c r="AD13" s="41">
        <f>+AM13+BA13</f>
        <v>5</v>
      </c>
      <c r="AE13" s="241" t="s">
        <v>487</v>
      </c>
      <c r="AF13" s="41"/>
      <c r="AG13" s="41"/>
      <c r="AH13" s="41"/>
      <c r="AI13" s="459">
        <v>5</v>
      </c>
      <c r="AJ13" s="41"/>
      <c r="AK13" s="41"/>
      <c r="AL13" s="41"/>
      <c r="AM13" s="41">
        <f>SUM(AF13:AL13)+AT13+AV13+AX13</f>
        <v>5</v>
      </c>
      <c r="AN13" s="41"/>
      <c r="AO13" s="41"/>
      <c r="AP13" s="41"/>
      <c r="AQ13" s="41"/>
      <c r="AR13" s="41">
        <f>SUM(AN13:AQ13)</f>
        <v>0</v>
      </c>
      <c r="AS13" s="41"/>
      <c r="AT13" s="41"/>
      <c r="AU13" s="41"/>
      <c r="AV13" s="41"/>
      <c r="AW13" s="41"/>
      <c r="AX13" s="41"/>
      <c r="AY13" s="41"/>
      <c r="AZ13" s="41"/>
      <c r="BA13" s="41">
        <f>+AR13+AS13+AU13+AW13+AY13+AZ13</f>
        <v>0</v>
      </c>
      <c r="BB13" s="37"/>
      <c r="BC13" s="57"/>
      <c r="BD13" s="57"/>
      <c r="BE13" s="37"/>
      <c r="BF13" s="57"/>
    </row>
    <row r="14" spans="1:58" ht="12.95" customHeight="1">
      <c r="A14" s="343"/>
      <c r="B14" s="45"/>
      <c r="C14" s="450"/>
      <c r="D14" s="45"/>
      <c r="E14" s="46"/>
      <c r="F14" s="46"/>
      <c r="G14" s="463"/>
      <c r="H14" s="48"/>
      <c r="I14" s="49"/>
      <c r="J14" s="88"/>
      <c r="K14" s="88"/>
      <c r="L14" s="39"/>
      <c r="M14" s="39"/>
      <c r="N14" s="50"/>
      <c r="O14" s="51"/>
      <c r="P14" s="52"/>
      <c r="Q14" s="51"/>
      <c r="R14" s="419"/>
      <c r="S14" s="419"/>
      <c r="T14" s="41"/>
      <c r="U14" s="41"/>
      <c r="V14" s="41"/>
      <c r="W14" s="41"/>
      <c r="X14" s="416"/>
      <c r="Y14" s="220"/>
      <c r="Z14" s="41"/>
      <c r="AA14" s="41"/>
      <c r="AB14" s="41"/>
      <c r="AC14" s="41"/>
      <c r="AD14" s="41"/>
      <c r="AE14" s="238"/>
      <c r="AF14" s="41"/>
      <c r="AG14" s="41"/>
      <c r="AH14" s="41"/>
      <c r="AI14" s="459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37"/>
      <c r="BC14" s="55"/>
      <c r="BD14" s="55"/>
      <c r="BE14" s="55"/>
      <c r="BF14" s="55"/>
    </row>
    <row r="15" spans="1:58" ht="12.95" customHeight="1">
      <c r="A15" s="343">
        <v>46115</v>
      </c>
      <c r="B15" s="45" t="s">
        <v>427</v>
      </c>
      <c r="C15" s="450">
        <f>(M15*E15*O15*Q15)/100000000</f>
        <v>63.151668000000001</v>
      </c>
      <c r="D15" s="45" t="s">
        <v>408</v>
      </c>
      <c r="E15" s="46">
        <v>12.5</v>
      </c>
      <c r="F15" s="46">
        <v>1</v>
      </c>
      <c r="G15" s="463">
        <v>1700</v>
      </c>
      <c r="H15" s="48">
        <f>+N15</f>
        <v>0.24</v>
      </c>
      <c r="I15" s="49">
        <v>0.88</v>
      </c>
      <c r="J15" s="88">
        <f>E15*G15*(1-H15)*1440/1000000*2.77</f>
        <v>64.419120000000007</v>
      </c>
      <c r="K15" s="88">
        <f>(IF(G15&lt;L15,L15,G15)*(1-IF(H15&lt;N15,H15,N15))*E15*O15*Q15)/100000000</f>
        <v>63.151668000000001</v>
      </c>
      <c r="L15" s="39">
        <v>1700</v>
      </c>
      <c r="M15" s="39">
        <v>1292</v>
      </c>
      <c r="N15" s="50">
        <f>1-(M15/L15)</f>
        <v>0.24</v>
      </c>
      <c r="O15" s="51">
        <f>+'Trim Rwd'!H12</f>
        <v>271.55</v>
      </c>
      <c r="P15" s="52">
        <f>O15*(Q15-R15-S15)</f>
        <v>380984.65</v>
      </c>
      <c r="Q15" s="51">
        <v>1440</v>
      </c>
      <c r="R15" s="419">
        <v>0</v>
      </c>
      <c r="S15" s="419">
        <v>37</v>
      </c>
      <c r="T15" s="41">
        <f>E15*M15*O15*Q15/100000000</f>
        <v>63.151668000000001</v>
      </c>
      <c r="U15" s="41">
        <f>E15*M15*O15*(Q15-R15-S15)/100000000</f>
        <v>61.529020975000002</v>
      </c>
      <c r="V15" s="41">
        <f>E15*G15*(1-N15)*O15/100*(R15+S15)/1000000</f>
        <v>1.6226470249999998</v>
      </c>
      <c r="W15" s="41">
        <f>+'3'!K34/1000</f>
        <v>63.481000000000002</v>
      </c>
      <c r="X15" s="416">
        <f>SUM(W15:W18)/SUM(K15:K18)</f>
        <v>1.0052149374740189</v>
      </c>
      <c r="Y15" s="220">
        <v>0</v>
      </c>
      <c r="Z15" s="41">
        <v>0</v>
      </c>
      <c r="AA15" s="41">
        <f>SUM(U15:U18)-SUM(W15:W18)-SUM(Z15:Z18)-SUM(Y15:Y18)</f>
        <v>-1.951979025</v>
      </c>
      <c r="AB15" s="41">
        <f>(SUM(K15:K18)-SUM(W15:W18)-SUM(Y15:Y18)-SUM(Z15:Z18)-SUM(AC15:AC18)-SUM(V15:V18))-AA15</f>
        <v>0</v>
      </c>
      <c r="AC15" s="41">
        <f>K15-T15</f>
        <v>0</v>
      </c>
      <c r="AD15" s="41">
        <f>+AM15+BA15</f>
        <v>0</v>
      </c>
      <c r="AE15" s="238" t="s">
        <v>277</v>
      </c>
      <c r="AF15" s="41">
        <v>0</v>
      </c>
      <c r="AG15" s="41"/>
      <c r="AH15" s="41"/>
      <c r="AI15" s="459"/>
      <c r="AJ15" s="41"/>
      <c r="AK15" s="41"/>
      <c r="AL15" s="41"/>
      <c r="AM15" s="41">
        <f>SUM(AF15:AL15)+AT15+AV15+AX15</f>
        <v>0</v>
      </c>
      <c r="AN15" s="41"/>
      <c r="AO15" s="41"/>
      <c r="AP15" s="41"/>
      <c r="AQ15" s="41"/>
      <c r="AR15" s="41">
        <f>SUM(AN15:AQ15)</f>
        <v>0</v>
      </c>
      <c r="AS15" s="41"/>
      <c r="AT15" s="41"/>
      <c r="AU15" s="41"/>
      <c r="AV15" s="41"/>
      <c r="AW15" s="41"/>
      <c r="AX15" s="41"/>
      <c r="AY15" s="41"/>
      <c r="AZ15" s="41"/>
      <c r="BA15" s="41">
        <f>+AR15+AS15+AU15+AW15+AY15+AZ15</f>
        <v>0</v>
      </c>
      <c r="BB15" s="37">
        <v>0</v>
      </c>
      <c r="BC15" s="55"/>
      <c r="BD15" s="55"/>
      <c r="BE15" s="37"/>
      <c r="BF15" s="55"/>
    </row>
    <row r="16" spans="1:58" ht="12.95" customHeight="1">
      <c r="A16" s="343"/>
      <c r="B16" s="45"/>
      <c r="C16" s="450"/>
      <c r="D16" s="45"/>
      <c r="E16" s="46"/>
      <c r="F16" s="46"/>
      <c r="G16" s="463"/>
      <c r="H16" s="48"/>
      <c r="I16" s="49"/>
      <c r="J16" s="88"/>
      <c r="K16" s="88"/>
      <c r="L16" s="39"/>
      <c r="M16" s="39"/>
      <c r="N16" s="50"/>
      <c r="O16" s="51"/>
      <c r="P16" s="52"/>
      <c r="Q16" s="51"/>
      <c r="R16" s="419"/>
      <c r="S16" s="419"/>
      <c r="T16" s="41"/>
      <c r="U16" s="41"/>
      <c r="V16" s="41"/>
      <c r="W16" s="41"/>
      <c r="X16" s="42"/>
      <c r="Y16" s="220"/>
      <c r="Z16" s="41"/>
      <c r="AA16" s="53"/>
      <c r="AB16" s="53"/>
      <c r="AC16" s="41"/>
      <c r="AD16" s="41">
        <f>+AM16+BA16</f>
        <v>11</v>
      </c>
      <c r="AE16" s="238" t="s">
        <v>458</v>
      </c>
      <c r="AF16" s="41"/>
      <c r="AG16" s="41">
        <v>11</v>
      </c>
      <c r="AH16" s="41"/>
      <c r="AI16" s="459"/>
      <c r="AJ16" s="41"/>
      <c r="AK16" s="41"/>
      <c r="AL16" s="41"/>
      <c r="AM16" s="41">
        <f>SUM(AF16:AL16)+AT16+AV16+AX16</f>
        <v>11</v>
      </c>
      <c r="AN16" s="89"/>
      <c r="AO16" s="41"/>
      <c r="AP16" s="41"/>
      <c r="AQ16" s="41"/>
      <c r="AR16" s="41">
        <f>SUM(AN16:AQ16)</f>
        <v>0</v>
      </c>
      <c r="AS16" s="41"/>
      <c r="AT16" s="41"/>
      <c r="AU16" s="41"/>
      <c r="AV16" s="41"/>
      <c r="AW16" s="41"/>
      <c r="AX16" s="41"/>
      <c r="AY16" s="41"/>
      <c r="AZ16" s="41"/>
      <c r="BA16" s="41">
        <f>+AR16+AS16+AU16+AW16+AY16+AZ16</f>
        <v>0</v>
      </c>
      <c r="BB16" s="54"/>
      <c r="BC16" s="55">
        <v>17</v>
      </c>
      <c r="BD16" s="55"/>
      <c r="BE16" s="54"/>
      <c r="BF16" s="55"/>
    </row>
    <row r="17" spans="1:58" ht="12.95" customHeight="1">
      <c r="A17" s="44"/>
      <c r="B17" s="45"/>
      <c r="C17" s="450"/>
      <c r="D17" s="45"/>
      <c r="E17" s="46"/>
      <c r="F17" s="46"/>
      <c r="G17" s="47"/>
      <c r="H17" s="48"/>
      <c r="I17" s="49"/>
      <c r="J17" s="88"/>
      <c r="K17" s="88"/>
      <c r="L17" s="39"/>
      <c r="M17" s="39"/>
      <c r="N17" s="50"/>
      <c r="O17" s="51"/>
      <c r="P17" s="52"/>
      <c r="Q17" s="51"/>
      <c r="R17" s="419"/>
      <c r="S17" s="419"/>
      <c r="T17" s="41"/>
      <c r="U17" s="41"/>
      <c r="V17" s="41"/>
      <c r="W17" s="41"/>
      <c r="X17" s="42"/>
      <c r="Y17" s="220"/>
      <c r="Z17" s="41"/>
      <c r="AA17" s="53"/>
      <c r="AB17" s="53"/>
      <c r="AC17" s="41"/>
      <c r="AD17" s="41">
        <f>+AM17+BA17</f>
        <v>26</v>
      </c>
      <c r="AE17" s="238" t="s">
        <v>459</v>
      </c>
      <c r="AF17" s="37"/>
      <c r="AG17" s="37"/>
      <c r="AH17" s="37">
        <v>26</v>
      </c>
      <c r="AJ17" s="41"/>
      <c r="AK17" s="41"/>
      <c r="AL17" s="41"/>
      <c r="AM17" s="41">
        <f>SUM(AF17:AL17)+AT17+AV17+AX17</f>
        <v>26</v>
      </c>
      <c r="AN17" s="41"/>
      <c r="AO17" s="41"/>
      <c r="AP17" s="41"/>
      <c r="AQ17" s="41"/>
      <c r="AR17" s="41">
        <f>SUM(AN17:AQ17)</f>
        <v>0</v>
      </c>
      <c r="AS17" s="41"/>
      <c r="AT17" s="41"/>
      <c r="AU17" s="41"/>
      <c r="AV17" s="41"/>
      <c r="AW17" s="41"/>
      <c r="AX17" s="41"/>
      <c r="AY17" s="41"/>
      <c r="AZ17" s="41"/>
      <c r="BA17" s="41">
        <f>+AR17+AS17+AU17+AW17+AY17+AZ17</f>
        <v>0</v>
      </c>
      <c r="BB17" s="37"/>
      <c r="BC17" s="57"/>
      <c r="BD17" s="57"/>
      <c r="BE17" s="37"/>
      <c r="BF17" s="57"/>
    </row>
    <row r="18" spans="1:58" ht="12.95" customHeight="1">
      <c r="A18" s="44"/>
      <c r="B18" s="45"/>
      <c r="C18" s="450"/>
      <c r="D18" s="45"/>
      <c r="E18" s="46"/>
      <c r="F18" s="46"/>
      <c r="G18" s="47"/>
      <c r="H18" s="48"/>
      <c r="I18" s="49"/>
      <c r="J18" s="88"/>
      <c r="K18" s="88"/>
      <c r="L18" s="39"/>
      <c r="M18" s="39"/>
      <c r="N18" s="50"/>
      <c r="O18" s="51"/>
      <c r="P18" s="52"/>
      <c r="Q18" s="38"/>
      <c r="R18" s="419"/>
      <c r="S18" s="419"/>
      <c r="T18" s="41"/>
      <c r="U18" s="41"/>
      <c r="V18" s="41"/>
      <c r="W18" s="41"/>
      <c r="X18" s="42"/>
      <c r="Y18" s="220"/>
      <c r="Z18" s="41"/>
      <c r="AA18" s="41"/>
      <c r="AB18" s="41"/>
      <c r="AC18" s="41"/>
      <c r="AD18" s="41"/>
      <c r="AE18" s="241"/>
      <c r="AF18" s="41"/>
      <c r="AG18" s="41"/>
      <c r="AH18" s="41"/>
      <c r="AI18" s="459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37"/>
      <c r="BC18" s="57"/>
      <c r="BD18" s="57"/>
      <c r="BE18" s="37"/>
      <c r="BF18" s="57"/>
    </row>
    <row r="19" spans="1:58" ht="12.95" customHeight="1">
      <c r="A19" s="343">
        <v>46116</v>
      </c>
      <c r="B19" s="45" t="s">
        <v>427</v>
      </c>
      <c r="C19" s="450">
        <f>(M19*E19*O19*Q19)/100000000</f>
        <v>26.046720000000001</v>
      </c>
      <c r="D19" s="45" t="s">
        <v>408</v>
      </c>
      <c r="E19" s="46">
        <v>12.5</v>
      </c>
      <c r="F19" s="46">
        <v>1</v>
      </c>
      <c r="G19" s="463">
        <v>1700</v>
      </c>
      <c r="H19" s="48">
        <f>+N19</f>
        <v>0.24</v>
      </c>
      <c r="I19" s="49">
        <v>0.88</v>
      </c>
      <c r="J19" s="88">
        <f>E19*G19*(1-H19)*1440/1000000*2.77</f>
        <v>64.419120000000007</v>
      </c>
      <c r="K19" s="88">
        <f>(IF(G19&lt;L19,L19,G19)*(1-IF(H19&lt;N19,H19,N19))*E19*O19*Q19)/100000000</f>
        <v>26.3568</v>
      </c>
      <c r="L19" s="39">
        <v>1680</v>
      </c>
      <c r="M19" s="39">
        <v>1276.8</v>
      </c>
      <c r="N19" s="50">
        <f>1-(M19/L19)</f>
        <v>0.24</v>
      </c>
      <c r="O19" s="51">
        <f>+'Trim Rwd'!H16</f>
        <v>272</v>
      </c>
      <c r="P19" s="52">
        <f>O19*(Q19-R19-S19)</f>
        <v>157216</v>
      </c>
      <c r="Q19" s="51">
        <v>600</v>
      </c>
      <c r="R19" s="419">
        <v>0</v>
      </c>
      <c r="S19" s="419">
        <v>22</v>
      </c>
      <c r="T19" s="41">
        <f>E19*M19*O19*Q19/100000000</f>
        <v>26.046720000000001</v>
      </c>
      <c r="U19" s="41">
        <f>E19*M19*O19*(Q19-R19-S19)/100000000</f>
        <v>25.0916736</v>
      </c>
      <c r="V19" s="41">
        <f>E19*G19*(1-N19)*O19/100*(R19+S19)/1000000</f>
        <v>0.96641600000000005</v>
      </c>
      <c r="W19" s="41">
        <f>+'4'!K9/1000</f>
        <v>54.262</v>
      </c>
      <c r="X19" s="416">
        <f>SUM(W19:W22)/SUM(K19:K22)</f>
        <v>0.88577419544239522</v>
      </c>
      <c r="Y19" s="220">
        <v>0</v>
      </c>
      <c r="Z19" s="41">
        <v>0</v>
      </c>
      <c r="AA19" s="53">
        <f>SUM(U19:U22)-SUM(W19:W22)-SUM(Z19:Z22)-SUM(Y19:Y22)</f>
        <v>3.1140592914285747</v>
      </c>
      <c r="AB19" s="53">
        <f>(SUM(K19:K22)-SUM(W19:W22)-SUM(Y19:Y22)-SUM(Z19:Z22)-SUM(AC19:AC22)-SUM(V19:V22))-AA19</f>
        <v>-6.217321142857557E-2</v>
      </c>
      <c r="AC19" s="41">
        <f>K19-T19</f>
        <v>0.31007999999999925</v>
      </c>
      <c r="AD19" s="41">
        <f>+AM19+BA19</f>
        <v>0</v>
      </c>
      <c r="AE19" s="238" t="s">
        <v>277</v>
      </c>
      <c r="AF19" s="41">
        <v>0</v>
      </c>
      <c r="AG19" s="41"/>
      <c r="AH19" s="41"/>
      <c r="AI19" s="459"/>
      <c r="AJ19" s="41"/>
      <c r="AK19" s="41"/>
      <c r="AL19" s="41"/>
      <c r="AM19" s="41">
        <f>SUM(AF19:AL19)+AT19+AV19+AX19</f>
        <v>0</v>
      </c>
      <c r="AN19" s="41"/>
      <c r="AO19" s="41"/>
      <c r="AP19" s="41"/>
      <c r="AQ19" s="41"/>
      <c r="AR19" s="41">
        <f>SUM(AN19:AQ19)</f>
        <v>0</v>
      </c>
      <c r="AS19" s="41"/>
      <c r="AT19" s="41"/>
      <c r="AU19" s="41"/>
      <c r="AV19" s="41"/>
      <c r="AW19" s="41"/>
      <c r="AX19" s="41"/>
      <c r="AY19" s="41"/>
      <c r="AZ19" s="41"/>
      <c r="BA19" s="41">
        <f>+AR19+AS19+AU19+AW19+AY19+AZ19</f>
        <v>0</v>
      </c>
      <c r="BB19" s="37">
        <v>0</v>
      </c>
      <c r="BC19" s="55"/>
      <c r="BD19" s="55"/>
      <c r="BE19" s="37"/>
      <c r="BF19" s="55"/>
    </row>
    <row r="20" spans="1:58" ht="12.95" customHeight="1">
      <c r="A20" s="343"/>
      <c r="B20" s="45" t="s">
        <v>427</v>
      </c>
      <c r="C20" s="450">
        <f>(M20*E20*O20*Q20)/100000000</f>
        <v>33.480103679999999</v>
      </c>
      <c r="D20" s="45" t="s">
        <v>408</v>
      </c>
      <c r="E20" s="46">
        <v>12</v>
      </c>
      <c r="F20" s="46">
        <v>1</v>
      </c>
      <c r="G20" s="463">
        <v>1700</v>
      </c>
      <c r="H20" s="48">
        <f>+N20</f>
        <v>0.24</v>
      </c>
      <c r="I20" s="49">
        <v>0.88</v>
      </c>
      <c r="J20" s="88">
        <f>E20*G20*(1-H20)*1440/1000000*2.77</f>
        <v>61.8423552</v>
      </c>
      <c r="K20" s="88">
        <f>(IF(G20&lt;L20,L20,G20)*(1-IF(H20&lt;N20,H20,N20))*E20*O20*Q20)/100000000</f>
        <v>34.902604799999999</v>
      </c>
      <c r="L20" s="39">
        <v>1630.7142857142858</v>
      </c>
      <c r="M20" s="39">
        <v>1239.3428571428572</v>
      </c>
      <c r="N20" s="50">
        <f>1-(M20/L20)</f>
        <v>0.24</v>
      </c>
      <c r="O20" s="51">
        <f>+'Trim Rwd'!H17</f>
        <v>268</v>
      </c>
      <c r="P20" s="52">
        <f>O20*(Q20-R20-S20)</f>
        <v>217080</v>
      </c>
      <c r="Q20" s="51">
        <v>840</v>
      </c>
      <c r="R20" s="419">
        <v>0</v>
      </c>
      <c r="S20" s="419">
        <v>30</v>
      </c>
      <c r="T20" s="41">
        <f>E20*M20*O20*Q20/100000000</f>
        <v>33.480103679999999</v>
      </c>
      <c r="U20" s="41">
        <f>E20*M20*O20*(Q20-R20-S20)/100000000</f>
        <v>32.284385691428575</v>
      </c>
      <c r="V20" s="41">
        <f>E20*G20*(1-N20)*O20/100*(R20+S20)/1000000</f>
        <v>1.2465216000000001</v>
      </c>
      <c r="W20" s="41">
        <f>+'4'!K10/1000</f>
        <v>0</v>
      </c>
      <c r="X20" s="42"/>
      <c r="Y20" s="220"/>
      <c r="Z20" s="41"/>
      <c r="AA20" s="41"/>
      <c r="AB20" s="41"/>
      <c r="AC20" s="41">
        <f>K20-T20</f>
        <v>1.4225011199999997</v>
      </c>
      <c r="AD20" s="41">
        <f>+AM20+BA20</f>
        <v>22</v>
      </c>
      <c r="AE20" s="238" t="s">
        <v>485</v>
      </c>
      <c r="AF20" s="41"/>
      <c r="AG20" s="41">
        <v>22</v>
      </c>
      <c r="AH20" s="41"/>
      <c r="AI20" s="459"/>
      <c r="AJ20" s="41"/>
      <c r="AK20" s="41"/>
      <c r="AL20" s="41"/>
      <c r="AM20" s="41">
        <f>SUM(AF20:AL20)+AT20+AV20+AX20</f>
        <v>22</v>
      </c>
      <c r="AN20" s="89"/>
      <c r="AO20" s="41"/>
      <c r="AP20" s="41"/>
      <c r="AQ20" s="41"/>
      <c r="AR20" s="41">
        <f>SUM(AN20:AQ20)</f>
        <v>0</v>
      </c>
      <c r="AS20" s="41"/>
      <c r="AT20" s="41"/>
      <c r="AU20" s="41"/>
      <c r="AV20" s="41"/>
      <c r="AW20" s="41"/>
      <c r="AX20" s="41"/>
      <c r="AY20" s="41"/>
      <c r="AZ20" s="41"/>
      <c r="BA20" s="41">
        <f>+AR20+AS20+AU20+AW20+AY20+AZ20</f>
        <v>0</v>
      </c>
      <c r="BB20" s="54"/>
      <c r="BC20" s="55">
        <v>15</v>
      </c>
      <c r="BD20" s="55"/>
      <c r="BE20" s="54"/>
      <c r="BF20" s="55"/>
    </row>
    <row r="21" spans="1:58" ht="12.95" customHeight="1">
      <c r="A21" s="44"/>
      <c r="B21" s="45"/>
      <c r="C21" s="450"/>
      <c r="D21" s="45"/>
      <c r="E21" s="46"/>
      <c r="F21" s="46"/>
      <c r="G21" s="47"/>
      <c r="H21" s="48"/>
      <c r="I21" s="49"/>
      <c r="J21" s="88"/>
      <c r="K21" s="88"/>
      <c r="L21" s="39"/>
      <c r="M21" s="39"/>
      <c r="N21" s="50"/>
      <c r="O21" s="51"/>
      <c r="P21" s="52"/>
      <c r="Q21" s="51"/>
      <c r="R21" s="419"/>
      <c r="S21" s="419"/>
      <c r="T21" s="41"/>
      <c r="U21" s="41"/>
      <c r="V21" s="41"/>
      <c r="W21" s="41"/>
      <c r="X21" s="42"/>
      <c r="Y21" s="220"/>
      <c r="Z21" s="41"/>
      <c r="AA21" s="41"/>
      <c r="AB21" s="41"/>
      <c r="AC21" s="41"/>
      <c r="AD21" s="41">
        <f>+AM21+BA21</f>
        <v>30</v>
      </c>
      <c r="AE21" s="238" t="s">
        <v>459</v>
      </c>
      <c r="AF21" s="37"/>
      <c r="AG21" s="37"/>
      <c r="AH21" s="37">
        <v>30</v>
      </c>
      <c r="AJ21" s="41"/>
      <c r="AK21" s="41"/>
      <c r="AL21" s="41"/>
      <c r="AM21" s="41">
        <f>SUM(AF21:AL21)+AT21+AV21+AX21</f>
        <v>30</v>
      </c>
      <c r="AN21" s="41"/>
      <c r="AO21" s="41"/>
      <c r="AP21" s="41"/>
      <c r="AQ21" s="41"/>
      <c r="AR21" s="41">
        <f>SUM(AN21:AQ21)</f>
        <v>0</v>
      </c>
      <c r="AS21" s="41"/>
      <c r="AT21" s="41"/>
      <c r="AU21" s="41"/>
      <c r="AV21" s="41"/>
      <c r="AW21" s="41"/>
      <c r="AX21" s="41"/>
      <c r="AY21" s="41"/>
      <c r="AZ21" s="41"/>
      <c r="BA21" s="41">
        <f>+AR21+AS21+AU21+AW21+AY21+AZ21</f>
        <v>0</v>
      </c>
      <c r="BB21" s="37"/>
      <c r="BC21" s="57"/>
      <c r="BD21" s="57"/>
      <c r="BE21" s="37"/>
      <c r="BF21" s="57"/>
    </row>
    <row r="22" spans="1:58" ht="12.95" customHeight="1">
      <c r="A22" s="44"/>
      <c r="B22" s="45"/>
      <c r="C22" s="450"/>
      <c r="D22" s="45"/>
      <c r="E22" s="46"/>
      <c r="F22" s="46"/>
      <c r="G22" s="47"/>
      <c r="H22" s="48"/>
      <c r="I22" s="49"/>
      <c r="J22" s="88"/>
      <c r="K22" s="88"/>
      <c r="L22" s="39"/>
      <c r="M22" s="39"/>
      <c r="N22" s="50"/>
      <c r="O22" s="51"/>
      <c r="P22" s="52"/>
      <c r="Q22" s="38"/>
      <c r="R22" s="419"/>
      <c r="S22" s="419"/>
      <c r="T22" s="41"/>
      <c r="U22" s="41"/>
      <c r="V22" s="41"/>
      <c r="W22" s="41"/>
      <c r="X22" s="42"/>
      <c r="Y22" s="220"/>
      <c r="Z22" s="41"/>
      <c r="AA22" s="41"/>
      <c r="AB22" s="41"/>
      <c r="AC22" s="41"/>
      <c r="AD22" s="41"/>
      <c r="AE22" s="241"/>
      <c r="AF22" s="41"/>
      <c r="AG22" s="41"/>
      <c r="AH22" s="41"/>
      <c r="AI22" s="459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37"/>
      <c r="BC22" s="57"/>
      <c r="BD22" s="57"/>
      <c r="BE22" s="37"/>
      <c r="BF22" s="57"/>
    </row>
    <row r="23" spans="1:58" ht="12.95" customHeight="1">
      <c r="A23" s="343">
        <v>46117</v>
      </c>
      <c r="B23" s="45" t="s">
        <v>427</v>
      </c>
      <c r="C23" s="450">
        <f>(M23*E23*O23*Q23)/100000000</f>
        <v>27.6609312</v>
      </c>
      <c r="D23" s="45" t="s">
        <v>408</v>
      </c>
      <c r="E23" s="46">
        <v>12</v>
      </c>
      <c r="F23" s="46">
        <v>1</v>
      </c>
      <c r="G23" s="463">
        <v>1700</v>
      </c>
      <c r="H23" s="48">
        <f>+N23</f>
        <v>0.23994726433750824</v>
      </c>
      <c r="I23" s="49">
        <v>0.88</v>
      </c>
      <c r="J23" s="88">
        <f>E23*G23*(1-H23)*1440/1000000*2.77</f>
        <v>61.846646381015162</v>
      </c>
      <c r="K23" s="88">
        <f>(IF(G23&lt;L23,L23,G23)*(1-IF(H23&lt;N23,H23,N23))*E23*O23*Q23)/100000000</f>
        <v>30.997747554383654</v>
      </c>
      <c r="L23" s="39">
        <v>1517</v>
      </c>
      <c r="M23" s="39">
        <v>1153</v>
      </c>
      <c r="N23" s="50">
        <f>1-(M23/L23)</f>
        <v>0.23994726433750824</v>
      </c>
      <c r="O23" s="51">
        <f>+'Trim Rwd'!H19</f>
        <v>272</v>
      </c>
      <c r="P23" s="52">
        <f>O23*(Q23-R23-S23)</f>
        <v>153136</v>
      </c>
      <c r="Q23" s="51">
        <f>600+135</f>
        <v>735</v>
      </c>
      <c r="R23" s="419">
        <v>135</v>
      </c>
      <c r="S23" s="419">
        <v>37</v>
      </c>
      <c r="T23" s="41">
        <f>E23*M23*O23*Q23/100000000</f>
        <v>27.6609312</v>
      </c>
      <c r="U23" s="41">
        <f>E23*M23*O23*(Q23-R23-S23)/100000000</f>
        <v>21.18789696</v>
      </c>
      <c r="V23" s="41">
        <f>E23*G23*(1-N23)*O23/100*(R23+S23)/1000000</f>
        <v>7.2538946657877377</v>
      </c>
      <c r="W23" s="41">
        <f>+'5'!K10/1000</f>
        <v>25.678999999999998</v>
      </c>
      <c r="X23" s="416">
        <f>SUM(W23:W26)/SUM(K23:K26)</f>
        <v>0.76882602427068336</v>
      </c>
      <c r="Y23" s="220">
        <v>0</v>
      </c>
      <c r="Z23" s="41">
        <f>+'5'!D7/1000</f>
        <v>0.26</v>
      </c>
      <c r="AA23" s="53">
        <f>SUM(U23:U26)-SUM(W23:W26)-SUM(Z23:Z26)-SUM(Y23:Y26)</f>
        <v>-1.001927224615381</v>
      </c>
      <c r="AB23" s="53">
        <f>(SUM(K23:K26)-SUM(W23:W26)-SUM(Y23:Y26)-SUM(Z23:Z26)-SUM(AC23:AC26)-SUM(V23:V26))-AA23</f>
        <v>-0.98603423501850496</v>
      </c>
      <c r="AC23" s="41">
        <f>K23-T23</f>
        <v>3.3368163543836538</v>
      </c>
      <c r="AD23" s="41">
        <f>+AM23+BA23</f>
        <v>20</v>
      </c>
      <c r="AE23" s="238" t="s">
        <v>522</v>
      </c>
      <c r="AF23" s="41">
        <v>20</v>
      </c>
      <c r="AG23" s="41"/>
      <c r="AH23" s="41"/>
      <c r="AI23" s="459"/>
      <c r="AJ23" s="41"/>
      <c r="AK23" s="41"/>
      <c r="AL23" s="41"/>
      <c r="AM23" s="41">
        <f>SUM(AF23:AL23)+AT23+AV23+AX23</f>
        <v>20</v>
      </c>
      <c r="AN23" s="41"/>
      <c r="AO23" s="41"/>
      <c r="AP23" s="41"/>
      <c r="AQ23" s="41"/>
      <c r="AR23" s="41">
        <f>SUM(AN23:AQ23)</f>
        <v>0</v>
      </c>
      <c r="AS23" s="41"/>
      <c r="AT23" s="41"/>
      <c r="AU23" s="41"/>
      <c r="AV23" s="41"/>
      <c r="AW23" s="41"/>
      <c r="AX23" s="41"/>
      <c r="AY23" s="41"/>
      <c r="AZ23" s="41"/>
      <c r="BA23" s="41">
        <f>+AR23+AS23+AU23+AW23+AY23+AZ23</f>
        <v>0</v>
      </c>
      <c r="BB23" s="37">
        <v>4</v>
      </c>
      <c r="BC23" s="55"/>
      <c r="BD23" s="55"/>
      <c r="BE23" s="37"/>
      <c r="BF23" s="55"/>
    </row>
    <row r="24" spans="1:58" ht="12.95" customHeight="1">
      <c r="A24" s="343"/>
      <c r="B24" s="45" t="s">
        <v>427</v>
      </c>
      <c r="C24" s="450">
        <f>(M24*E24*O24*Q24)/100000000</f>
        <v>4.4576279999999997</v>
      </c>
      <c r="D24" s="45" t="s">
        <v>408</v>
      </c>
      <c r="E24" s="46">
        <v>14</v>
      </c>
      <c r="F24" s="46">
        <v>1</v>
      </c>
      <c r="G24" s="463">
        <v>1700</v>
      </c>
      <c r="H24" s="48">
        <f>+N24</f>
        <v>0.24</v>
      </c>
      <c r="I24" s="49">
        <v>0.88</v>
      </c>
      <c r="J24" s="88">
        <f>E24*G24*(1-H24)*1440/1000000*2.77</f>
        <v>72.149414399999998</v>
      </c>
      <c r="K24" s="88">
        <f>(IF(G24&lt;L24,L24,G24)*(1-IF(H24&lt;N24,H24,N24))*E24*O24*Q24)/100000000</f>
        <v>5.0519784000000003</v>
      </c>
      <c r="L24" s="39">
        <v>1500</v>
      </c>
      <c r="M24" s="39">
        <v>1140</v>
      </c>
      <c r="N24" s="50">
        <f>1-(M24/L24)</f>
        <v>0.24</v>
      </c>
      <c r="O24" s="51">
        <f>+'Trim Rwd'!H20</f>
        <v>266</v>
      </c>
      <c r="P24" s="52">
        <f>O24*(Q24-R24-S24)</f>
        <v>25270</v>
      </c>
      <c r="Q24" s="51">
        <v>105</v>
      </c>
      <c r="R24" s="419">
        <v>0</v>
      </c>
      <c r="S24" s="419">
        <v>10</v>
      </c>
      <c r="T24" s="41">
        <f>E24*M24*O24*Q24/100000000</f>
        <v>4.4576279999999997</v>
      </c>
      <c r="U24" s="41">
        <f>E24*M24*O24*(Q24-R24-S24)/100000000</f>
        <v>4.0330919999999999</v>
      </c>
      <c r="V24" s="41">
        <f>E24*G24*(1-N24)*O24/100*(R24+S24)/1000000</f>
        <v>0.48114080000000004</v>
      </c>
      <c r="W24" s="41">
        <f>+'5'!K7/1000</f>
        <v>2.9990000000000001</v>
      </c>
      <c r="X24" s="42"/>
      <c r="Y24" s="220"/>
      <c r="Z24" s="41"/>
      <c r="AA24" s="41"/>
      <c r="AB24" s="41"/>
      <c r="AC24" s="41">
        <f>K24-T24</f>
        <v>0.59435040000000061</v>
      </c>
      <c r="AD24" s="41">
        <f>+AM24+BA24</f>
        <v>17</v>
      </c>
      <c r="AE24" s="238" t="s">
        <v>525</v>
      </c>
      <c r="AF24" s="41"/>
      <c r="AG24" s="41">
        <v>17</v>
      </c>
      <c r="AH24" s="41"/>
      <c r="AI24" s="459"/>
      <c r="AJ24" s="41"/>
      <c r="AK24" s="41"/>
      <c r="AL24" s="41"/>
      <c r="AM24" s="41">
        <f>SUM(AF24:AL24)+AT24+AV24+AX24</f>
        <v>17</v>
      </c>
      <c r="AN24" s="89"/>
      <c r="AO24" s="41"/>
      <c r="AP24" s="41"/>
      <c r="AQ24" s="41"/>
      <c r="AR24" s="41">
        <f>SUM(AN24:AQ24)</f>
        <v>0</v>
      </c>
      <c r="AS24" s="41"/>
      <c r="AT24" s="41"/>
      <c r="AU24" s="41"/>
      <c r="AV24" s="41"/>
      <c r="AW24" s="41"/>
      <c r="AX24" s="41"/>
      <c r="AY24" s="41"/>
      <c r="AZ24" s="41"/>
      <c r="BA24" s="41">
        <f>+AR24+AS24+AU24+AW24+AY24+AZ24</f>
        <v>0</v>
      </c>
      <c r="BB24" s="54"/>
      <c r="BC24" s="55">
        <v>10</v>
      </c>
      <c r="BD24" s="55"/>
      <c r="BE24" s="54"/>
      <c r="BF24" s="55"/>
    </row>
    <row r="25" spans="1:58" ht="12.95" customHeight="1">
      <c r="A25" s="44"/>
      <c r="B25" s="45" t="s">
        <v>523</v>
      </c>
      <c r="C25" s="450">
        <f>(M25*E25*O25*Q25)/100000000</f>
        <v>22.285351384615389</v>
      </c>
      <c r="D25" s="45" t="s">
        <v>408</v>
      </c>
      <c r="E25" s="46">
        <v>12</v>
      </c>
      <c r="F25" s="46">
        <v>1</v>
      </c>
      <c r="G25" s="463">
        <v>1700</v>
      </c>
      <c r="H25" s="48">
        <f>+N25</f>
        <v>0.24</v>
      </c>
      <c r="I25" s="49">
        <v>0.88</v>
      </c>
      <c r="J25" s="88">
        <f>E25*G25*(1-H25)*1440/1000000*2.77</f>
        <v>61.8423552</v>
      </c>
      <c r="K25" s="88">
        <f>(IF(G25&lt;L25,L25,G25)*(1-IF(H25&lt;N25,H25,N25))*E25*O25*Q25)/100000000</f>
        <v>25.256731569230769</v>
      </c>
      <c r="L25" s="39">
        <v>1500</v>
      </c>
      <c r="M25" s="39">
        <v>1140</v>
      </c>
      <c r="N25" s="50">
        <f>1-(M25/L25)</f>
        <v>0.24</v>
      </c>
      <c r="O25" s="51">
        <f>+'Trim Rwd'!H21</f>
        <v>271.50769230769231</v>
      </c>
      <c r="P25" s="52">
        <f>O25*(Q25-R25-S25)</f>
        <v>154759.38461538462</v>
      </c>
      <c r="Q25" s="51">
        <v>600</v>
      </c>
      <c r="R25" s="419">
        <v>0</v>
      </c>
      <c r="S25" s="419">
        <v>30</v>
      </c>
      <c r="T25" s="41">
        <f>E25*M25*O25*Q25/100000000</f>
        <v>22.285351384615389</v>
      </c>
      <c r="U25" s="41">
        <f>E25*M25*O25*(Q25-R25-S25)/100000000</f>
        <v>21.171083815384616</v>
      </c>
      <c r="V25" s="41">
        <f>E25*G25*(1-N25)*O25/100*(R25+S25)/1000000</f>
        <v>1.2628365784615385</v>
      </c>
      <c r="W25" s="41">
        <f>+'5'!K11/1000</f>
        <v>18.456</v>
      </c>
      <c r="X25" s="42"/>
      <c r="Y25" s="220"/>
      <c r="Z25" s="41"/>
      <c r="AA25" s="41"/>
      <c r="AB25" s="41"/>
      <c r="AC25" s="41">
        <f>K25-T25</f>
        <v>2.9713801846153807</v>
      </c>
      <c r="AD25" s="41">
        <f>+AM25+BA25</f>
        <v>30</v>
      </c>
      <c r="AE25" s="238" t="s">
        <v>486</v>
      </c>
      <c r="AF25" s="37"/>
      <c r="AG25" s="37"/>
      <c r="AH25" s="37">
        <v>30</v>
      </c>
      <c r="AJ25" s="41"/>
      <c r="AK25" s="41"/>
      <c r="AL25" s="41"/>
      <c r="AM25" s="41">
        <f>SUM(AF25:AL25)+AT25+AV25+AX25</f>
        <v>30</v>
      </c>
      <c r="AN25" s="41"/>
      <c r="AO25" s="41"/>
      <c r="AP25" s="41"/>
      <c r="AQ25" s="41"/>
      <c r="AR25" s="41">
        <f>SUM(AN25:AQ25)</f>
        <v>0</v>
      </c>
      <c r="AS25" s="41"/>
      <c r="AT25" s="41"/>
      <c r="AU25" s="41"/>
      <c r="AV25" s="41"/>
      <c r="AW25" s="41"/>
      <c r="AX25" s="41"/>
      <c r="AY25" s="41"/>
      <c r="AZ25" s="41"/>
      <c r="BA25" s="41">
        <f>+AR25+AS25+AU25+AW25+AY25+AZ25</f>
        <v>0</v>
      </c>
      <c r="BB25" s="37"/>
      <c r="BC25" s="57"/>
      <c r="BD25" s="57"/>
      <c r="BE25" s="37"/>
      <c r="BF25" s="57"/>
    </row>
    <row r="26" spans="1:58" ht="12.95" customHeight="1">
      <c r="A26" s="44"/>
      <c r="B26" s="45"/>
      <c r="C26" s="450"/>
      <c r="D26" s="45"/>
      <c r="E26" s="46"/>
      <c r="F26" s="46"/>
      <c r="G26" s="47"/>
      <c r="H26" s="48"/>
      <c r="I26" s="49"/>
      <c r="J26" s="88"/>
      <c r="K26" s="88"/>
      <c r="L26" s="39"/>
      <c r="M26" s="39"/>
      <c r="N26" s="50"/>
      <c r="O26" s="51"/>
      <c r="P26" s="52"/>
      <c r="Q26" s="38"/>
      <c r="R26" s="419"/>
      <c r="S26" s="419"/>
      <c r="T26" s="41"/>
      <c r="U26" s="41"/>
      <c r="V26" s="41"/>
      <c r="W26" s="41"/>
      <c r="X26" s="42"/>
      <c r="Y26" s="220"/>
      <c r="Z26" s="41"/>
      <c r="AA26" s="41"/>
      <c r="AB26" s="41"/>
      <c r="AC26" s="41"/>
      <c r="AD26" s="41">
        <f>+AM26+BA26</f>
        <v>10</v>
      </c>
      <c r="AE26" s="241" t="s">
        <v>487</v>
      </c>
      <c r="AF26" s="41"/>
      <c r="AG26" s="41"/>
      <c r="AH26" s="41"/>
      <c r="AI26" s="459">
        <v>10</v>
      </c>
      <c r="AJ26" s="41"/>
      <c r="AK26" s="41"/>
      <c r="AL26" s="41"/>
      <c r="AM26" s="41">
        <f>SUM(AF26:AL26)+AT26+AV26+AX26</f>
        <v>10</v>
      </c>
      <c r="AN26" s="41"/>
      <c r="AO26" s="41"/>
      <c r="AP26" s="41"/>
      <c r="AQ26" s="41"/>
      <c r="AR26" s="41">
        <f>SUM(AN26:AQ26)</f>
        <v>0</v>
      </c>
      <c r="AS26" s="41"/>
      <c r="AT26" s="41"/>
      <c r="AU26" s="41"/>
      <c r="AV26" s="41"/>
      <c r="AW26" s="41"/>
      <c r="AX26" s="41"/>
      <c r="AY26" s="41"/>
      <c r="AZ26" s="41"/>
      <c r="BA26" s="41">
        <f>+AR26+AS26+AU26+AW26+AY26+AZ26</f>
        <v>0</v>
      </c>
      <c r="BB26" s="37"/>
      <c r="BC26" s="57"/>
      <c r="BD26" s="57"/>
      <c r="BE26" s="37"/>
      <c r="BF26" s="57"/>
    </row>
    <row r="27" spans="1:58" ht="12.95" customHeight="1">
      <c r="A27" s="44"/>
      <c r="B27" s="45"/>
      <c r="C27" s="450"/>
      <c r="D27" s="45"/>
      <c r="E27" s="46"/>
      <c r="F27" s="46"/>
      <c r="G27" s="47"/>
      <c r="H27" s="48"/>
      <c r="I27" s="49"/>
      <c r="J27" s="88"/>
      <c r="K27" s="88"/>
      <c r="L27" s="39"/>
      <c r="M27" s="39"/>
      <c r="N27" s="50"/>
      <c r="O27" s="51"/>
      <c r="P27" s="52"/>
      <c r="Q27" s="51"/>
      <c r="R27" s="419"/>
      <c r="S27" s="419"/>
      <c r="T27" s="41"/>
      <c r="U27" s="41"/>
      <c r="V27" s="41"/>
      <c r="W27" s="41"/>
      <c r="X27" s="42"/>
      <c r="Y27" s="220"/>
      <c r="Z27" s="41"/>
      <c r="AA27" s="41"/>
      <c r="AB27" s="41"/>
      <c r="AC27" s="41"/>
      <c r="AD27" s="41">
        <f>+AM27+BA27</f>
        <v>135</v>
      </c>
      <c r="AE27" s="238" t="s">
        <v>526</v>
      </c>
      <c r="AF27" s="37"/>
      <c r="AG27" s="37"/>
      <c r="AH27" s="37"/>
      <c r="AI27" s="459"/>
      <c r="AJ27" s="41"/>
      <c r="AK27" s="41"/>
      <c r="AL27" s="41"/>
      <c r="AM27" s="41">
        <f>SUM(AF27:AL27)+AT27+AV27+AX27</f>
        <v>0</v>
      </c>
      <c r="AN27" s="41"/>
      <c r="AO27" s="41"/>
      <c r="AP27" s="41"/>
      <c r="AQ27" s="41"/>
      <c r="AR27" s="41">
        <f>SUM(AN27:AQ27)</f>
        <v>0</v>
      </c>
      <c r="AS27" s="41"/>
      <c r="AT27" s="41"/>
      <c r="AU27" s="41"/>
      <c r="AV27" s="41"/>
      <c r="AW27" s="41"/>
      <c r="AX27" s="41"/>
      <c r="AY27" s="41">
        <v>135</v>
      </c>
      <c r="AZ27" s="41"/>
      <c r="BA27" s="41">
        <f>+AR27+AS27+AU27+AW27+AY27+AZ27</f>
        <v>135</v>
      </c>
      <c r="BB27" s="37"/>
      <c r="BC27" s="57"/>
      <c r="BD27" s="57"/>
      <c r="BE27" s="37">
        <v>1</v>
      </c>
      <c r="BF27" s="57"/>
    </row>
    <row r="28" spans="1:58" ht="12.95" customHeight="1">
      <c r="A28" s="44"/>
      <c r="B28" s="45"/>
      <c r="C28" s="450"/>
      <c r="D28" s="45"/>
      <c r="E28" s="46"/>
      <c r="F28" s="46"/>
      <c r="G28" s="47"/>
      <c r="H28" s="48"/>
      <c r="I28" s="49"/>
      <c r="J28" s="88"/>
      <c r="K28" s="88"/>
      <c r="L28" s="39"/>
      <c r="M28" s="39"/>
      <c r="N28" s="50"/>
      <c r="O28" s="51"/>
      <c r="P28" s="52"/>
      <c r="Q28" s="51"/>
      <c r="R28" s="419"/>
      <c r="S28" s="419"/>
      <c r="T28" s="41"/>
      <c r="U28" s="41"/>
      <c r="V28" s="41"/>
      <c r="W28" s="41"/>
      <c r="X28" s="42"/>
      <c r="Y28" s="220"/>
      <c r="Z28" s="41"/>
      <c r="AA28" s="41"/>
      <c r="AB28" s="41"/>
      <c r="AC28" s="41"/>
      <c r="AD28" s="41"/>
      <c r="AE28" s="573"/>
      <c r="AF28" s="37"/>
      <c r="AG28" s="37"/>
      <c r="AH28" s="37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37"/>
      <c r="BC28" s="57"/>
      <c r="BD28" s="57"/>
      <c r="BE28" s="37"/>
      <c r="BF28" s="57"/>
    </row>
    <row r="29" spans="1:58" ht="12.95" customHeight="1">
      <c r="A29" s="343">
        <v>46118</v>
      </c>
      <c r="B29" s="45" t="s">
        <v>523</v>
      </c>
      <c r="C29" s="450">
        <f>(M29*E29*O29*Q29)/100000000</f>
        <v>7.9975833600000001</v>
      </c>
      <c r="D29" s="45" t="s">
        <v>408</v>
      </c>
      <c r="E29" s="46">
        <v>12</v>
      </c>
      <c r="F29" s="46">
        <v>1</v>
      </c>
      <c r="G29" s="463">
        <v>1700</v>
      </c>
      <c r="H29" s="48">
        <f>+N29</f>
        <v>0.24</v>
      </c>
      <c r="I29" s="49">
        <v>0.88</v>
      </c>
      <c r="J29" s="88">
        <f>E29*G29*(1-H29)*1440/1000000*2.77</f>
        <v>61.8423552</v>
      </c>
      <c r="K29" s="88">
        <f>(IF(G29&lt;L29,L29,G29)*(1-IF(H29&lt;N29,H29,N29))*E29*O29*Q29)/100000000</f>
        <v>8.7715430399999992</v>
      </c>
      <c r="L29" s="39">
        <v>1550</v>
      </c>
      <c r="M29" s="39">
        <f>+L29-L29*0.24</f>
        <v>1178</v>
      </c>
      <c r="N29" s="50">
        <f>1-(M29/L29)</f>
        <v>0.24</v>
      </c>
      <c r="O29" s="51">
        <f>+'Trim Rwd'!H24</f>
        <v>272</v>
      </c>
      <c r="P29" s="52">
        <f>O29*(Q29-R29-S29)</f>
        <v>53312</v>
      </c>
      <c r="Q29" s="51">
        <v>208</v>
      </c>
      <c r="R29" s="419">
        <v>0</v>
      </c>
      <c r="S29" s="419">
        <v>12</v>
      </c>
      <c r="T29" s="41">
        <f>E29*M29*O29*Q29/100000000</f>
        <v>7.9975833600000001</v>
      </c>
      <c r="U29" s="41">
        <f>E29*M29*O29*(Q29-R29-S29)/100000000</f>
        <v>7.5361843200000003</v>
      </c>
      <c r="V29" s="41">
        <f>E29*G29*(1-N29)*O29/100*(R29+S29)/1000000</f>
        <v>0.50605055999999993</v>
      </c>
      <c r="W29" s="41">
        <f>+'6'!K11/1000</f>
        <v>11.897</v>
      </c>
      <c r="X29" s="416">
        <f>SUM(W29:W32)/SUM(K29:K32)</f>
        <v>0.90679342184358558</v>
      </c>
      <c r="Y29" s="220">
        <v>0</v>
      </c>
      <c r="Z29" s="41">
        <v>0</v>
      </c>
      <c r="AA29" s="53">
        <f>SUM(U29:U32)-SUM(W29:W32)-SUM(Z29:Z32)-SUM(Y29:Y32)</f>
        <v>0.6915538560000013</v>
      </c>
      <c r="AB29" s="53">
        <f>(SUM(K29:K32)-SUM(W29:W32)-SUM(Y29:Y32)-SUM(Z29:Z32)-SUM(AC29:AC32)-SUM(V29:V32))-AA29</f>
        <v>-0.10108607999999675</v>
      </c>
      <c r="AC29" s="41">
        <f>K29-T29</f>
        <v>0.77395967999999904</v>
      </c>
      <c r="AD29" s="41">
        <f>+AM29+BA29</f>
        <v>0</v>
      </c>
      <c r="AE29" s="238" t="s">
        <v>277</v>
      </c>
      <c r="AF29" s="41">
        <v>0</v>
      </c>
      <c r="AG29" s="41"/>
      <c r="AH29" s="41"/>
      <c r="AI29" s="459"/>
      <c r="AJ29" s="41"/>
      <c r="AK29" s="41"/>
      <c r="AL29" s="41"/>
      <c r="AM29" s="41">
        <f>SUM(AF29:AL29)+AT29+AV29+AX29</f>
        <v>0</v>
      </c>
      <c r="AN29" s="41"/>
      <c r="AO29" s="41"/>
      <c r="AP29" s="41"/>
      <c r="AQ29" s="41"/>
      <c r="AR29" s="41">
        <f>SUM(AN29:AQ29)</f>
        <v>0</v>
      </c>
      <c r="AS29" s="41"/>
      <c r="AT29" s="41"/>
      <c r="AU29" s="41"/>
      <c r="AV29" s="41"/>
      <c r="AW29" s="41"/>
      <c r="AX29" s="41"/>
      <c r="AY29" s="41"/>
      <c r="AZ29" s="41"/>
      <c r="BA29" s="41">
        <f>+AR29+AS29+AU29+AW29+AY29+AZ29</f>
        <v>0</v>
      </c>
      <c r="BB29" s="37">
        <v>0</v>
      </c>
      <c r="BC29" s="55"/>
      <c r="BD29" s="55"/>
      <c r="BE29" s="37"/>
      <c r="BF29" s="55"/>
    </row>
    <row r="30" spans="1:58" ht="12.95" customHeight="1">
      <c r="A30" s="343"/>
      <c r="B30" s="45" t="s">
        <v>523</v>
      </c>
      <c r="C30" s="450">
        <f>(M30*E30*O30*Q30)/100000000</f>
        <v>53.966488575999996</v>
      </c>
      <c r="D30" s="45" t="s">
        <v>408</v>
      </c>
      <c r="E30" s="46">
        <v>13</v>
      </c>
      <c r="F30" s="46">
        <v>1</v>
      </c>
      <c r="G30" s="463">
        <v>1700</v>
      </c>
      <c r="H30" s="48">
        <f>+N30</f>
        <v>0.24</v>
      </c>
      <c r="I30" s="49">
        <v>0.88</v>
      </c>
      <c r="J30" s="88">
        <f>E30*G30*(1-H30)*1440/1000000*2.77</f>
        <v>66.995884799999999</v>
      </c>
      <c r="K30" s="88">
        <f>(IF(G30&lt;L30,L30,G30)*(1-IF(H30&lt;N30,H30,N30))*E30*O30*Q30)/100000000</f>
        <v>56.284067839999999</v>
      </c>
      <c r="L30" s="39">
        <v>1630</v>
      </c>
      <c r="M30" s="39">
        <f>+L30-L30*0.24</f>
        <v>1238.8</v>
      </c>
      <c r="N30" s="50">
        <f>1-(M30/L30)</f>
        <v>0.24</v>
      </c>
      <c r="O30" s="51">
        <f>+'Trim Rwd'!H25</f>
        <v>272</v>
      </c>
      <c r="P30" s="52">
        <f>O30*(Q30-R30-S30)</f>
        <v>326944</v>
      </c>
      <c r="Q30" s="51">
        <v>1232</v>
      </c>
      <c r="R30" s="419">
        <v>0</v>
      </c>
      <c r="S30" s="419">
        <v>30</v>
      </c>
      <c r="T30" s="41">
        <f>E30*M30*O30*Q30/100000000</f>
        <v>53.966488575999996</v>
      </c>
      <c r="U30" s="41">
        <f>E30*M30*O30*(Q30-R30-S30)/100000000</f>
        <v>52.652369535999995</v>
      </c>
      <c r="V30" s="41">
        <f>E30*G30*(1-N30)*O30/100*(R30+S30)/1000000</f>
        <v>1.3705536</v>
      </c>
      <c r="W30" s="41">
        <f>+'6'!K12/1000</f>
        <v>47.094999999999999</v>
      </c>
      <c r="X30" s="42"/>
      <c r="Y30" s="220"/>
      <c r="Z30" s="41">
        <f>+'6'!D34/1000</f>
        <v>0.505</v>
      </c>
      <c r="AA30" s="41"/>
      <c r="AB30" s="41"/>
      <c r="AC30" s="41">
        <f>K30-T30</f>
        <v>2.3175792640000026</v>
      </c>
      <c r="AD30" s="41">
        <f>+AM30+BA30</f>
        <v>14</v>
      </c>
      <c r="AE30" s="238" t="s">
        <v>545</v>
      </c>
      <c r="AF30" s="41"/>
      <c r="AG30" s="41">
        <v>14</v>
      </c>
      <c r="AH30" s="41"/>
      <c r="AI30" s="459"/>
      <c r="AJ30" s="41"/>
      <c r="AK30" s="41"/>
      <c r="AL30" s="41"/>
      <c r="AM30" s="41">
        <f>SUM(AF30:AL30)+AT30+AV30+AX30</f>
        <v>14</v>
      </c>
      <c r="AN30" s="89"/>
      <c r="AO30" s="41"/>
      <c r="AP30" s="41"/>
      <c r="AQ30" s="41"/>
      <c r="AR30" s="41">
        <f>SUM(AN30:AQ30)</f>
        <v>0</v>
      </c>
      <c r="AS30" s="41"/>
      <c r="AT30" s="41"/>
      <c r="AU30" s="41"/>
      <c r="AV30" s="41"/>
      <c r="AW30" s="41"/>
      <c r="AX30" s="41"/>
      <c r="AY30" s="41"/>
      <c r="AZ30" s="41"/>
      <c r="BA30" s="41">
        <f>+AR30+AS30+AU30+AW30+AY30+AZ30</f>
        <v>0</v>
      </c>
      <c r="BB30" s="54"/>
      <c r="BC30" s="55">
        <v>13</v>
      </c>
      <c r="BD30" s="55"/>
      <c r="BE30" s="54"/>
      <c r="BF30" s="55"/>
    </row>
    <row r="31" spans="1:58" ht="12.95" customHeight="1">
      <c r="A31" s="44"/>
      <c r="B31" s="45"/>
      <c r="C31" s="450"/>
      <c r="D31" s="45"/>
      <c r="E31" s="46"/>
      <c r="F31" s="46"/>
      <c r="G31" s="463"/>
      <c r="H31" s="48"/>
      <c r="I31" s="49"/>
      <c r="J31" s="88"/>
      <c r="K31" s="88"/>
      <c r="L31" s="39"/>
      <c r="M31" s="39"/>
      <c r="N31" s="50"/>
      <c r="O31" s="51"/>
      <c r="P31" s="52"/>
      <c r="Q31" s="51"/>
      <c r="R31" s="419"/>
      <c r="S31" s="419"/>
      <c r="T31" s="41"/>
      <c r="U31" s="41"/>
      <c r="V31" s="41"/>
      <c r="W31" s="41"/>
      <c r="X31" s="42"/>
      <c r="Y31" s="220"/>
      <c r="Z31" s="41"/>
      <c r="AA31" s="41"/>
      <c r="AB31" s="41"/>
      <c r="AC31" s="41"/>
      <c r="AD31" s="41">
        <f>+AM31+BA31</f>
        <v>28</v>
      </c>
      <c r="AE31" s="238" t="s">
        <v>546</v>
      </c>
      <c r="AF31" s="37"/>
      <c r="AG31" s="37"/>
      <c r="AH31" s="37">
        <v>28</v>
      </c>
      <c r="AJ31" s="41"/>
      <c r="AK31" s="41"/>
      <c r="AL31" s="41"/>
      <c r="AM31" s="41">
        <f>SUM(AF31:AL31)+AT31+AV31+AX31</f>
        <v>28</v>
      </c>
      <c r="AN31" s="41"/>
      <c r="AO31" s="41"/>
      <c r="AP31" s="41"/>
      <c r="AQ31" s="41"/>
      <c r="AR31" s="41">
        <f>SUM(AN31:AQ31)</f>
        <v>0</v>
      </c>
      <c r="AS31" s="41"/>
      <c r="AT31" s="41"/>
      <c r="AU31" s="41"/>
      <c r="AV31" s="41"/>
      <c r="AW31" s="41"/>
      <c r="AX31" s="41"/>
      <c r="AY31" s="41"/>
      <c r="AZ31" s="41"/>
      <c r="BA31" s="41">
        <f>+AR31+AS31+AU31+AW31+AY31+AZ31</f>
        <v>0</v>
      </c>
      <c r="BB31" s="37"/>
      <c r="BC31" s="57"/>
      <c r="BD31" s="57"/>
      <c r="BE31" s="37"/>
      <c r="BF31" s="57"/>
    </row>
    <row r="32" spans="1:58" ht="12.95" customHeight="1">
      <c r="A32" s="44"/>
      <c r="B32" s="45"/>
      <c r="C32" s="450"/>
      <c r="D32" s="45"/>
      <c r="E32" s="46"/>
      <c r="F32" s="46"/>
      <c r="G32" s="47"/>
      <c r="H32" s="48"/>
      <c r="I32" s="49"/>
      <c r="J32" s="88"/>
      <c r="K32" s="88"/>
      <c r="L32" s="39"/>
      <c r="M32" s="39"/>
      <c r="N32" s="50"/>
      <c r="O32" s="51"/>
      <c r="P32" s="52"/>
      <c r="Q32" s="38"/>
      <c r="R32" s="419"/>
      <c r="S32" s="419"/>
      <c r="T32" s="41"/>
      <c r="U32" s="41"/>
      <c r="V32" s="41"/>
      <c r="W32" s="41"/>
      <c r="X32" s="42"/>
      <c r="Y32" s="220"/>
      <c r="Z32" s="41"/>
      <c r="AA32" s="41"/>
      <c r="AB32" s="41"/>
      <c r="AC32" s="41"/>
      <c r="AD32" s="41"/>
      <c r="AE32" s="241"/>
      <c r="AF32" s="41"/>
      <c r="AG32" s="41"/>
      <c r="AH32" s="41"/>
      <c r="AI32" s="459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37"/>
      <c r="BC32" s="57"/>
      <c r="BD32" s="57"/>
      <c r="BE32" s="37"/>
      <c r="BF32" s="57"/>
    </row>
    <row r="33" spans="1:58" ht="12.95" customHeight="1">
      <c r="A33" s="343">
        <v>46119</v>
      </c>
      <c r="B33" s="45" t="s">
        <v>523</v>
      </c>
      <c r="C33" s="450">
        <f>(M33*E33*O33*Q33)/100000000</f>
        <v>10.517895360000001</v>
      </c>
      <c r="D33" s="45" t="s">
        <v>408</v>
      </c>
      <c r="E33" s="46">
        <v>13.5</v>
      </c>
      <c r="F33" s="46">
        <v>1</v>
      </c>
      <c r="G33" s="463">
        <v>1700</v>
      </c>
      <c r="H33" s="48">
        <f>+N33</f>
        <v>0.24</v>
      </c>
      <c r="I33" s="49">
        <v>0.88</v>
      </c>
      <c r="J33" s="88">
        <f>E33*G33*(1-H33)*1440/1000000*2.77</f>
        <v>69.572649600000005</v>
      </c>
      <c r="K33" s="88">
        <f>(IF(G33&lt;L33,L33,G33)*(1-IF(H33&lt;N33,H33,N33))*E33*O33*Q33)/100000000</f>
        <v>10.643108399999999</v>
      </c>
      <c r="L33" s="39">
        <v>1680</v>
      </c>
      <c r="M33" s="39">
        <f>+L33-L33*0.24</f>
        <v>1276.8</v>
      </c>
      <c r="N33" s="50">
        <f>1-(M33/L33)</f>
        <v>0.24</v>
      </c>
      <c r="O33" s="51">
        <f>+'Trim Rwd'!H28</f>
        <v>270</v>
      </c>
      <c r="P33" s="52">
        <f>O33*(Q33-R33-S33)</f>
        <v>58320</v>
      </c>
      <c r="Q33" s="51">
        <v>226</v>
      </c>
      <c r="R33" s="419">
        <v>0</v>
      </c>
      <c r="S33" s="419">
        <v>10</v>
      </c>
      <c r="T33" s="41">
        <f>E33*M33*O33*Q33/100000000</f>
        <v>10.517895360000001</v>
      </c>
      <c r="U33" s="41">
        <f>E33*M33*O33*(Q33-R33-S33)/100000000</f>
        <v>10.05250176</v>
      </c>
      <c r="V33" s="41">
        <f>E33*G33*(1-N33)*O33/100*(R33+S33)/1000000</f>
        <v>0.47093400000000002</v>
      </c>
      <c r="W33" s="41">
        <f>+'7'!K13/1000</f>
        <v>11.138</v>
      </c>
      <c r="X33" s="416">
        <f>SUM(W33:W36)/SUM(K33:K36)</f>
        <v>0.94432381228372042</v>
      </c>
      <c r="Y33" s="220">
        <v>0</v>
      </c>
      <c r="Z33" s="41">
        <v>0</v>
      </c>
      <c r="AA33" s="53">
        <f>SUM(U33:U36)-SUM(W33:W36)-SUM(Z33:Z36)-SUM(Y33:Y36)</f>
        <v>1.1320457599999936</v>
      </c>
      <c r="AB33" s="53">
        <f>(SUM(K33:K36)-SUM(W33:W36)-SUM(Y33:Y36)-SUM(Z33:Z36)-SUM(AC33:AC36)-SUM(V33:V36))-AA33</f>
        <v>-5.5403999999923403E-3</v>
      </c>
      <c r="AC33" s="41">
        <f>K33-T33</f>
        <v>0.12521303999999844</v>
      </c>
      <c r="AD33" s="41">
        <f>+AM33+BA33</f>
        <v>10</v>
      </c>
      <c r="AE33" s="238" t="s">
        <v>555</v>
      </c>
      <c r="AF33" s="41">
        <v>10</v>
      </c>
      <c r="AG33" s="41"/>
      <c r="AH33" s="41"/>
      <c r="AI33" s="459"/>
      <c r="AJ33" s="41"/>
      <c r="AK33" s="41"/>
      <c r="AL33" s="41"/>
      <c r="AM33" s="41">
        <f>SUM(AF33:AL33)+AT33+AV33+AX33</f>
        <v>10</v>
      </c>
      <c r="AN33" s="41"/>
      <c r="AO33" s="41"/>
      <c r="AP33" s="41"/>
      <c r="AQ33" s="41"/>
      <c r="AR33" s="41">
        <f>SUM(AN33:AQ33)</f>
        <v>0</v>
      </c>
      <c r="AS33" s="41"/>
      <c r="AT33" s="41"/>
      <c r="AU33" s="41"/>
      <c r="AV33" s="41"/>
      <c r="AW33" s="41"/>
      <c r="AX33" s="41"/>
      <c r="AY33" s="41"/>
      <c r="AZ33" s="41"/>
      <c r="BA33" s="41">
        <f>+AR33+AS33+AU33+AW33+AY33+AZ33</f>
        <v>0</v>
      </c>
      <c r="BB33" s="37">
        <v>2</v>
      </c>
      <c r="BC33" s="55"/>
      <c r="BD33" s="55"/>
      <c r="BE33" s="37"/>
      <c r="BF33" s="55"/>
    </row>
    <row r="34" spans="1:58" ht="12.95" customHeight="1">
      <c r="A34" s="343"/>
      <c r="B34" s="45" t="s">
        <v>523</v>
      </c>
      <c r="C34" s="450">
        <f>(M34*E34*O34*Q34)/100000000</f>
        <v>53.328592</v>
      </c>
      <c r="D34" s="45" t="s">
        <v>408</v>
      </c>
      <c r="E34" s="46">
        <v>12.5</v>
      </c>
      <c r="F34" s="46">
        <v>1</v>
      </c>
      <c r="G34" s="463">
        <v>1700</v>
      </c>
      <c r="H34" s="48">
        <f>+N34</f>
        <v>0.24</v>
      </c>
      <c r="I34" s="49">
        <v>0.88</v>
      </c>
      <c r="J34" s="88">
        <f>E34*G34*(1-H34)*1440/1000000*2.77</f>
        <v>64.419120000000007</v>
      </c>
      <c r="K34" s="88">
        <f>(IF(G34&lt;L34,L34,G34)*(1-IF(H34&lt;N34,H34,N34))*E34*O34*Q34)/100000000</f>
        <v>53.328592</v>
      </c>
      <c r="L34" s="39">
        <v>1700</v>
      </c>
      <c r="M34" s="39">
        <f>+L34-L34*0.24</f>
        <v>1292</v>
      </c>
      <c r="N34" s="50">
        <f>1-(M34/L34)</f>
        <v>0.24</v>
      </c>
      <c r="O34" s="51">
        <f>+'Trim Rwd'!H29</f>
        <v>272</v>
      </c>
      <c r="P34" s="52">
        <f>O34*(Q34-R34-S34)</f>
        <v>319056</v>
      </c>
      <c r="Q34" s="51">
        <v>1214</v>
      </c>
      <c r="R34" s="419">
        <v>0</v>
      </c>
      <c r="S34" s="419">
        <f>11+30</f>
        <v>41</v>
      </c>
      <c r="T34" s="41">
        <f>E34*M34*O34*Q34/100000000</f>
        <v>53.328592</v>
      </c>
      <c r="U34" s="41">
        <f>E34*M34*O34*(Q34-R34-S34)/100000000</f>
        <v>51.527543999999999</v>
      </c>
      <c r="V34" s="41">
        <f>E34*G34*(1-N34)*O34/100*(R34+S34)/1000000</f>
        <v>1.801048</v>
      </c>
      <c r="W34" s="41">
        <f>+'7'!K14/1000</f>
        <v>45.898000000000003</v>
      </c>
      <c r="X34" s="42"/>
      <c r="Y34" s="220"/>
      <c r="Z34" s="41">
        <v>0</v>
      </c>
      <c r="AA34" s="41"/>
      <c r="AB34" s="41"/>
      <c r="AC34" s="41">
        <f>K34-T34</f>
        <v>0</v>
      </c>
      <c r="AD34" s="41">
        <f>+AM34+BA34</f>
        <v>11</v>
      </c>
      <c r="AE34" s="238" t="s">
        <v>558</v>
      </c>
      <c r="AF34" s="41"/>
      <c r="AG34" s="41">
        <v>11</v>
      </c>
      <c r="AH34" s="41"/>
      <c r="AI34" s="459"/>
      <c r="AJ34" s="41"/>
      <c r="AK34" s="41"/>
      <c r="AL34" s="41"/>
      <c r="AM34" s="41">
        <f>SUM(AF34:AL34)+AT34+AV34+AX34</f>
        <v>11</v>
      </c>
      <c r="AN34" s="89"/>
      <c r="AO34" s="41"/>
      <c r="AP34" s="41"/>
      <c r="AQ34" s="41"/>
      <c r="AR34" s="41">
        <f>SUM(AN34:AQ34)</f>
        <v>0</v>
      </c>
      <c r="AS34" s="41"/>
      <c r="AT34" s="41"/>
      <c r="AU34" s="41"/>
      <c r="AV34" s="41"/>
      <c r="AW34" s="41"/>
      <c r="AX34" s="41"/>
      <c r="AY34" s="41"/>
      <c r="AZ34" s="41"/>
      <c r="BA34" s="41">
        <f>+AR34+AS34+AU34+AW34+AY34+AZ34</f>
        <v>0</v>
      </c>
      <c r="BB34" s="54"/>
      <c r="BC34" s="55">
        <v>11</v>
      </c>
      <c r="BD34" s="55"/>
      <c r="BE34" s="54"/>
      <c r="BF34" s="55"/>
    </row>
    <row r="35" spans="1:58" ht="12.95" customHeight="1">
      <c r="A35" s="44"/>
      <c r="B35" s="45" t="s">
        <v>523</v>
      </c>
      <c r="C35" s="450"/>
      <c r="D35" s="45"/>
      <c r="E35" s="46">
        <v>13</v>
      </c>
      <c r="F35" s="46"/>
      <c r="G35" s="463"/>
      <c r="H35" s="48"/>
      <c r="I35" s="49"/>
      <c r="J35" s="88"/>
      <c r="K35" s="88"/>
      <c r="L35" s="39"/>
      <c r="M35" s="39"/>
      <c r="N35" s="50"/>
      <c r="O35" s="51"/>
      <c r="P35" s="52"/>
      <c r="Q35" s="51"/>
      <c r="R35" s="419"/>
      <c r="S35" s="419"/>
      <c r="T35" s="41"/>
      <c r="U35" s="41"/>
      <c r="V35" s="41"/>
      <c r="W35" s="41">
        <f>+'7'!K12/1000</f>
        <v>3.3740000000000001</v>
      </c>
      <c r="X35" s="42"/>
      <c r="Y35" s="220"/>
      <c r="Z35" s="41">
        <f>+'7'!D9/1000</f>
        <v>3.7999999999999999E-2</v>
      </c>
      <c r="AA35" s="41"/>
      <c r="AB35" s="41"/>
      <c r="AC35" s="41"/>
      <c r="AD35" s="41">
        <f>+AM35+BA35</f>
        <v>30</v>
      </c>
      <c r="AE35" s="238" t="s">
        <v>459</v>
      </c>
      <c r="AF35" s="37"/>
      <c r="AG35" s="37"/>
      <c r="AH35" s="37">
        <v>30</v>
      </c>
      <c r="AJ35" s="41"/>
      <c r="AK35" s="41"/>
      <c r="AL35" s="41"/>
      <c r="AM35" s="41">
        <f>SUM(AF35:AL35)+AT35+AV35+AX35</f>
        <v>30</v>
      </c>
      <c r="AN35" s="41"/>
      <c r="AO35" s="41"/>
      <c r="AP35" s="41"/>
      <c r="AQ35" s="41"/>
      <c r="AR35" s="41">
        <f>SUM(AN35:AQ35)</f>
        <v>0</v>
      </c>
      <c r="AS35" s="41"/>
      <c r="AT35" s="41"/>
      <c r="AU35" s="41"/>
      <c r="AV35" s="41"/>
      <c r="AW35" s="41"/>
      <c r="AX35" s="41"/>
      <c r="AY35" s="41"/>
      <c r="AZ35" s="41"/>
      <c r="BA35" s="41">
        <f>+AR35+AS35+AU35+AW35+AY35+AZ35</f>
        <v>0</v>
      </c>
      <c r="BB35" s="37"/>
      <c r="BC35" s="57"/>
      <c r="BD35" s="57"/>
      <c r="BE35" s="37"/>
      <c r="BF35" s="57"/>
    </row>
    <row r="36" spans="1:58" ht="12.95" customHeight="1">
      <c r="A36" s="44"/>
      <c r="B36" s="45"/>
      <c r="C36" s="450"/>
      <c r="D36" s="45"/>
      <c r="E36" s="46"/>
      <c r="F36" s="46"/>
      <c r="G36" s="47"/>
      <c r="H36" s="48"/>
      <c r="I36" s="49"/>
      <c r="J36" s="88"/>
      <c r="K36" s="88"/>
      <c r="L36" s="39"/>
      <c r="M36" s="39"/>
      <c r="N36" s="50"/>
      <c r="O36" s="51"/>
      <c r="P36" s="52"/>
      <c r="Q36" s="38"/>
      <c r="R36" s="419"/>
      <c r="S36" s="419"/>
      <c r="T36" s="41"/>
      <c r="U36" s="41"/>
      <c r="V36" s="41"/>
      <c r="W36" s="41"/>
      <c r="X36" s="42"/>
      <c r="Y36" s="220"/>
      <c r="Z36" s="41"/>
      <c r="AA36" s="41"/>
      <c r="AB36" s="41"/>
      <c r="AC36" s="41"/>
      <c r="AD36" s="41"/>
      <c r="AE36" s="241"/>
      <c r="AF36" s="41"/>
      <c r="AG36" s="41"/>
      <c r="AH36" s="41"/>
      <c r="AI36" s="459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37"/>
      <c r="BC36" s="57"/>
      <c r="BD36" s="57"/>
      <c r="BE36" s="37"/>
      <c r="BF36" s="57"/>
    </row>
    <row r="37" spans="1:58" ht="12.95" customHeight="1">
      <c r="A37" s="343">
        <v>46120</v>
      </c>
      <c r="B37" s="45" t="s">
        <v>523</v>
      </c>
      <c r="C37" s="450">
        <f>(M37*E37*O37*Q37)/100000000</f>
        <v>42.170879999999997</v>
      </c>
      <c r="D37" s="45" t="s">
        <v>408</v>
      </c>
      <c r="E37" s="46">
        <v>12.5</v>
      </c>
      <c r="F37" s="46">
        <v>1</v>
      </c>
      <c r="G37" s="463">
        <v>1700</v>
      </c>
      <c r="H37" s="48">
        <f>+N37</f>
        <v>0.24</v>
      </c>
      <c r="I37" s="49">
        <v>0.88</v>
      </c>
      <c r="J37" s="88">
        <f>E37*G37*(1-H37)*1440/1000000*2.77</f>
        <v>64.419120000000007</v>
      </c>
      <c r="K37" s="88">
        <f>(IF(G37&lt;L37,L37,G37)*(1-IF(H37&lt;N37,H37,N37))*E37*O37*Q37)/100000000</f>
        <v>42.170879999999997</v>
      </c>
      <c r="L37" s="39">
        <v>1700</v>
      </c>
      <c r="M37" s="39">
        <f>+L37-L37*0.24</f>
        <v>1292</v>
      </c>
      <c r="N37" s="50">
        <f>1-(M37/L37)</f>
        <v>0.24</v>
      </c>
      <c r="O37" s="51">
        <f>+'Trim Rwd'!H31</f>
        <v>272</v>
      </c>
      <c r="P37" s="52">
        <f>O37*(Q37-R37-S37)</f>
        <v>249152</v>
      </c>
      <c r="Q37" s="51">
        <v>960</v>
      </c>
      <c r="R37" s="419">
        <v>0</v>
      </c>
      <c r="S37" s="419">
        <v>44</v>
      </c>
      <c r="T37" s="41">
        <f>E37*M37*O37*Q37/100000000</f>
        <v>42.170879999999997</v>
      </c>
      <c r="U37" s="41">
        <f>E37*M37*O37*(Q37-R37-S37)/100000000</f>
        <v>40.238047999999999</v>
      </c>
      <c r="V37" s="41">
        <f>E37*G37*(1-N37)*O37/100*(R37+S37)/1000000</f>
        <v>1.9328320000000001</v>
      </c>
      <c r="W37" s="41">
        <f>+'8'!K14/1000</f>
        <v>27.305</v>
      </c>
      <c r="X37" s="416">
        <f>SUM(W37:W40)/SUM(K37:K40)</f>
        <v>0.92692772797605072</v>
      </c>
      <c r="Y37" s="220">
        <v>0</v>
      </c>
      <c r="Z37" s="41">
        <v>0</v>
      </c>
      <c r="AA37" s="53">
        <f>SUM(U37:U40)-SUM(W37:W40)-SUM(Z37:Z40)-SUM(Y37:Y40)</f>
        <v>2.2837013999999982</v>
      </c>
      <c r="AB37" s="53">
        <f>(SUM(K37:K40)-SUM(W37:W40)-SUM(Y37:Y40)-SUM(Z37:Z40)-SUM(AC37:AC40)-SUM(V37:V40))-AA37</f>
        <v>0</v>
      </c>
      <c r="AC37" s="41">
        <f>K37-T37</f>
        <v>0</v>
      </c>
      <c r="AD37" s="41">
        <f>+AM37+BA37</f>
        <v>0</v>
      </c>
      <c r="AE37" s="238" t="s">
        <v>277</v>
      </c>
      <c r="AF37" s="41">
        <v>0</v>
      </c>
      <c r="AG37" s="41"/>
      <c r="AH37" s="41"/>
      <c r="AI37" s="459"/>
      <c r="AJ37" s="41"/>
      <c r="AK37" s="41"/>
      <c r="AL37" s="41"/>
      <c r="AM37" s="41">
        <f>SUM(AF37:AL37)+AT37+AV37+AX37</f>
        <v>0</v>
      </c>
      <c r="AN37" s="41"/>
      <c r="AO37" s="41"/>
      <c r="AP37" s="41"/>
      <c r="AQ37" s="41"/>
      <c r="AR37" s="41">
        <f>SUM(AN37:AQ37)</f>
        <v>0</v>
      </c>
      <c r="AS37" s="41"/>
      <c r="AT37" s="41"/>
      <c r="AU37" s="41"/>
      <c r="AV37" s="41"/>
      <c r="AW37" s="41"/>
      <c r="AX37" s="41"/>
      <c r="AY37" s="41"/>
      <c r="AZ37" s="41"/>
      <c r="BA37" s="41">
        <f>+AR37+AS37+AU37+AW37+AY37+AZ37</f>
        <v>0</v>
      </c>
      <c r="BB37" s="37">
        <v>0</v>
      </c>
      <c r="BC37" s="55"/>
      <c r="BD37" s="55"/>
      <c r="BE37" s="37"/>
      <c r="BF37" s="55"/>
    </row>
    <row r="38" spans="1:58" ht="12.95" customHeight="1">
      <c r="A38" s="343"/>
      <c r="B38" s="45" t="s">
        <v>523</v>
      </c>
      <c r="C38" s="450">
        <f>(M38*E38*O38*Q38)/100000000</f>
        <v>21.727305600000001</v>
      </c>
      <c r="D38" s="45" t="s">
        <v>408</v>
      </c>
      <c r="E38" s="46">
        <v>13</v>
      </c>
      <c r="F38" s="46">
        <v>1</v>
      </c>
      <c r="G38" s="463">
        <v>1700</v>
      </c>
      <c r="H38" s="48">
        <f>+N38</f>
        <v>0.24</v>
      </c>
      <c r="I38" s="49">
        <v>0.88</v>
      </c>
      <c r="J38" s="88">
        <f>E38*G38*(1-H38)*1440/1000000*2.77</f>
        <v>66.995884799999999</v>
      </c>
      <c r="K38" s="88">
        <f>(IF(G38&lt;L38,L38,G38)*(1-IF(H38&lt;N38,H38,N38))*E38*O38*Q38)/100000000</f>
        <v>21.727305600000001</v>
      </c>
      <c r="L38" s="39">
        <v>1700</v>
      </c>
      <c r="M38" s="39">
        <f>+L38-L38*0.24</f>
        <v>1292</v>
      </c>
      <c r="N38" s="50">
        <f>1-(M38/L38)</f>
        <v>0.24</v>
      </c>
      <c r="O38" s="51">
        <f>+'Trim Rwd'!H32</f>
        <v>269.5</v>
      </c>
      <c r="P38" s="52">
        <f>O38*(Q38-R38-S38)</f>
        <v>126665</v>
      </c>
      <c r="Q38" s="51">
        <v>480</v>
      </c>
      <c r="R38" s="419">
        <v>0</v>
      </c>
      <c r="S38" s="419">
        <v>10</v>
      </c>
      <c r="T38" s="41">
        <f>E38*M38*O38*Q38/100000000</f>
        <v>21.727305600000001</v>
      </c>
      <c r="U38" s="41">
        <f>E38*M38*O38*(Q38-R38-S38)/100000000</f>
        <v>21.274653399999998</v>
      </c>
      <c r="V38" s="41">
        <f>E38*G38*(1-N38)*O38/100*(R38+S38)/1000000</f>
        <v>0.4526522</v>
      </c>
      <c r="W38" s="41">
        <f>+'8'!K12/1000</f>
        <v>31.923999999999999</v>
      </c>
      <c r="X38" s="42"/>
      <c r="Y38" s="220"/>
      <c r="Z38" s="41"/>
      <c r="AA38" s="41"/>
      <c r="AB38" s="41"/>
      <c r="AC38" s="41">
        <f>K38-T38</f>
        <v>0</v>
      </c>
      <c r="AD38" s="41">
        <f>+AM38+BA38</f>
        <v>17</v>
      </c>
      <c r="AE38" s="238" t="s">
        <v>572</v>
      </c>
      <c r="AF38" s="41"/>
      <c r="AG38" s="41">
        <v>17</v>
      </c>
      <c r="AH38" s="41"/>
      <c r="AI38" s="459"/>
      <c r="AJ38" s="41"/>
      <c r="AK38" s="41"/>
      <c r="AL38" s="41"/>
      <c r="AM38" s="41">
        <f>SUM(AF38:AL38)+AT38+AV38+AX38</f>
        <v>17</v>
      </c>
      <c r="AN38" s="89"/>
      <c r="AO38" s="41"/>
      <c r="AP38" s="41"/>
      <c r="AQ38" s="41"/>
      <c r="AR38" s="41">
        <f>SUM(AN38:AQ38)</f>
        <v>0</v>
      </c>
      <c r="AS38" s="41"/>
      <c r="AT38" s="41"/>
      <c r="AU38" s="41"/>
      <c r="AV38" s="41"/>
      <c r="AW38" s="41"/>
      <c r="AX38" s="41"/>
      <c r="AY38" s="41"/>
      <c r="AZ38" s="41"/>
      <c r="BA38" s="41">
        <f>+AR38+AS38+AU38+AW38+AY38+AZ38</f>
        <v>0</v>
      </c>
      <c r="BB38" s="54"/>
      <c r="BC38" s="55">
        <v>16</v>
      </c>
      <c r="BD38" s="55"/>
      <c r="BE38" s="54"/>
      <c r="BF38" s="55"/>
    </row>
    <row r="39" spans="1:58" ht="12.95" customHeight="1">
      <c r="A39" s="44"/>
      <c r="B39" s="45"/>
      <c r="C39" s="450"/>
      <c r="D39" s="45"/>
      <c r="E39" s="46"/>
      <c r="F39" s="46"/>
      <c r="G39" s="463"/>
      <c r="H39" s="48"/>
      <c r="I39" s="49"/>
      <c r="J39" s="88"/>
      <c r="K39" s="88"/>
      <c r="L39" s="39"/>
      <c r="M39" s="39"/>
      <c r="N39" s="50"/>
      <c r="O39" s="51"/>
      <c r="P39" s="52"/>
      <c r="Q39" s="51"/>
      <c r="R39" s="419"/>
      <c r="S39" s="419"/>
      <c r="T39" s="41"/>
      <c r="U39" s="41"/>
      <c r="V39" s="41"/>
      <c r="W39" s="41"/>
      <c r="X39" s="42"/>
      <c r="Y39" s="220"/>
      <c r="Z39" s="41"/>
      <c r="AA39" s="41"/>
      <c r="AB39" s="41"/>
      <c r="AC39" s="41"/>
      <c r="AD39" s="41">
        <f>+AM39+BA39</f>
        <v>37</v>
      </c>
      <c r="AE39" s="238" t="s">
        <v>573</v>
      </c>
      <c r="AF39" s="37"/>
      <c r="AG39" s="37"/>
      <c r="AH39" s="37">
        <v>37</v>
      </c>
      <c r="AJ39" s="41"/>
      <c r="AK39" s="41"/>
      <c r="AL39" s="41"/>
      <c r="AM39" s="41">
        <f>SUM(AF39:AL39)+AT39+AV39+AX39</f>
        <v>37</v>
      </c>
      <c r="AN39" s="41"/>
      <c r="AO39" s="41"/>
      <c r="AP39" s="41"/>
      <c r="AQ39" s="41"/>
      <c r="AR39" s="41">
        <f>SUM(AN39:AQ39)</f>
        <v>0</v>
      </c>
      <c r="AS39" s="41"/>
      <c r="AT39" s="41"/>
      <c r="AU39" s="41"/>
      <c r="AV39" s="41"/>
      <c r="AW39" s="41"/>
      <c r="AX39" s="41"/>
      <c r="AY39" s="41"/>
      <c r="AZ39" s="41"/>
      <c r="BA39" s="41">
        <f>+AR39+AS39+AU39+AW39+AY39+AZ39</f>
        <v>0</v>
      </c>
      <c r="BB39" s="37"/>
      <c r="BC39" s="57"/>
      <c r="BD39" s="57"/>
      <c r="BE39" s="37"/>
      <c r="BF39" s="57"/>
    </row>
    <row r="40" spans="1:58" ht="12.95" customHeight="1">
      <c r="A40" s="44"/>
      <c r="B40" s="45"/>
      <c r="C40" s="450"/>
      <c r="D40" s="45"/>
      <c r="E40" s="46"/>
      <c r="F40" s="46"/>
      <c r="G40" s="47"/>
      <c r="H40" s="48"/>
      <c r="I40" s="49"/>
      <c r="J40" s="88"/>
      <c r="K40" s="88"/>
      <c r="L40" s="39"/>
      <c r="M40" s="39"/>
      <c r="N40" s="50"/>
      <c r="O40" s="51"/>
      <c r="P40" s="52"/>
      <c r="Q40" s="38"/>
      <c r="R40" s="419"/>
      <c r="S40" s="419"/>
      <c r="T40" s="41"/>
      <c r="U40" s="41"/>
      <c r="V40" s="41"/>
      <c r="W40" s="41"/>
      <c r="X40" s="42"/>
      <c r="Y40" s="220"/>
      <c r="Z40" s="41"/>
      <c r="AA40" s="41"/>
      <c r="AB40" s="41"/>
      <c r="AC40" s="41"/>
      <c r="AD40" s="41"/>
      <c r="AE40" s="241"/>
      <c r="AF40" s="41"/>
      <c r="AG40" s="41"/>
      <c r="AH40" s="41"/>
      <c r="AI40" s="459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37"/>
      <c r="BC40" s="57"/>
      <c r="BD40" s="57"/>
      <c r="BE40" s="37"/>
      <c r="BF40" s="57"/>
    </row>
    <row r="41" spans="1:58" ht="12.95" customHeight="1">
      <c r="A41" s="343">
        <v>46121</v>
      </c>
      <c r="B41" s="45" t="s">
        <v>523</v>
      </c>
      <c r="C41" s="450">
        <f>(M41*E41*O41*Q41)/100000000</f>
        <v>64.926301440000003</v>
      </c>
      <c r="D41" s="45" t="s">
        <v>408</v>
      </c>
      <c r="E41" s="46">
        <v>13</v>
      </c>
      <c r="F41" s="46">
        <v>1</v>
      </c>
      <c r="G41" s="463">
        <v>1700</v>
      </c>
      <c r="H41" s="48">
        <f>+N41</f>
        <v>0.23999999999999988</v>
      </c>
      <c r="I41" s="49">
        <v>0.88</v>
      </c>
      <c r="J41" s="88">
        <f>E41*G41*(1-H41)*1440/1000000*2.77</f>
        <v>66.995884800000013</v>
      </c>
      <c r="K41" s="88">
        <f>(IF(G41&lt;L41,L41,G41)*(1-IF(H41&lt;N41,H41,N41))*E41*O41*Q41)/100000000</f>
        <v>65.18191680000001</v>
      </c>
      <c r="L41" s="39">
        <v>1693.3333333333333</v>
      </c>
      <c r="M41" s="39">
        <v>1286.9333333333334</v>
      </c>
      <c r="N41" s="50">
        <f>1-(M41/L41)</f>
        <v>0.23999999999999988</v>
      </c>
      <c r="O41" s="51">
        <f>+'Trim Rwd'!H34</f>
        <v>269.5</v>
      </c>
      <c r="P41" s="52">
        <f>O41*(Q41-R41-S41)</f>
        <v>377569.5</v>
      </c>
      <c r="Q41" s="51">
        <v>1440</v>
      </c>
      <c r="R41" s="419">
        <v>0</v>
      </c>
      <c r="S41" s="419">
        <v>39</v>
      </c>
      <c r="T41" s="41">
        <f>E41*M41*O41*Q41/100000000</f>
        <v>64.926301440000003</v>
      </c>
      <c r="U41" s="41">
        <f>E41*M41*O41*(Q41-R41-S41)/100000000</f>
        <v>63.167880776000004</v>
      </c>
      <c r="V41" s="41">
        <f>E41*G41*(1-N41)*O41/100*(R41+S41)/1000000</f>
        <v>1.7653435800000004</v>
      </c>
      <c r="W41" s="41">
        <f>+'9'!K34/1000</f>
        <v>61.509</v>
      </c>
      <c r="X41" s="416">
        <f>SUM(W41:W44)/SUM(K41:K44)</f>
        <v>0.94365129194850539</v>
      </c>
      <c r="Y41" s="220">
        <v>0</v>
      </c>
      <c r="Z41" s="41">
        <f>+'9'!D34/1000</f>
        <v>0.28199999999999997</v>
      </c>
      <c r="AA41" s="53">
        <f>SUM(U41:U44)-SUM(W41:W44)-SUM(Z41:Z44)-SUM(Y41:Y44)</f>
        <v>1.3768807760000037</v>
      </c>
      <c r="AB41" s="53">
        <f>(SUM(K41:K44)-SUM(W41:W44)-SUM(Y41:Y44)-SUM(Z41:Z44)-SUM(AC41:AC44)-SUM(V41:V44))-AA41</f>
        <v>-6.9229160000012779E-3</v>
      </c>
      <c r="AC41" s="41">
        <f>K41-T41</f>
        <v>0.25561536000000729</v>
      </c>
      <c r="AD41" s="41">
        <f>+AM41+BA41</f>
        <v>0</v>
      </c>
      <c r="AE41" s="238" t="s">
        <v>277</v>
      </c>
      <c r="AF41" s="41">
        <v>0</v>
      </c>
      <c r="AG41" s="41"/>
      <c r="AH41" s="41"/>
      <c r="AI41" s="459"/>
      <c r="AJ41" s="41"/>
      <c r="AK41" s="41"/>
      <c r="AL41" s="41"/>
      <c r="AM41" s="41">
        <f>SUM(AF41:AL41)+AT41+AV41+AX41</f>
        <v>0</v>
      </c>
      <c r="AN41" s="41"/>
      <c r="AO41" s="41"/>
      <c r="AP41" s="41"/>
      <c r="AQ41" s="41"/>
      <c r="AR41" s="41">
        <f>SUM(AN41:AQ41)</f>
        <v>0</v>
      </c>
      <c r="AS41" s="41"/>
      <c r="AT41" s="41"/>
      <c r="AU41" s="41"/>
      <c r="AV41" s="41"/>
      <c r="AW41" s="41"/>
      <c r="AX41" s="41"/>
      <c r="AY41" s="41"/>
      <c r="AZ41" s="41"/>
      <c r="BA41" s="41">
        <f>+AR41+AS41+AU41+AW41+AY41+AZ41</f>
        <v>0</v>
      </c>
      <c r="BB41" s="37">
        <v>0</v>
      </c>
      <c r="BC41" s="55"/>
      <c r="BD41" s="55"/>
      <c r="BE41" s="37"/>
      <c r="BF41" s="55"/>
    </row>
    <row r="42" spans="1:58" ht="12.95" customHeight="1">
      <c r="A42" s="343"/>
      <c r="B42" s="45"/>
      <c r="C42" s="450"/>
      <c r="D42" s="45"/>
      <c r="E42" s="46"/>
      <c r="F42" s="46"/>
      <c r="G42" s="463"/>
      <c r="H42" s="48"/>
      <c r="I42" s="49"/>
      <c r="J42" s="88"/>
      <c r="K42" s="88"/>
      <c r="L42" s="39"/>
      <c r="M42" s="39"/>
      <c r="N42" s="50"/>
      <c r="O42" s="51"/>
      <c r="P42" s="52"/>
      <c r="Q42" s="51"/>
      <c r="R42" s="419"/>
      <c r="S42" s="419"/>
      <c r="T42" s="41"/>
      <c r="U42" s="41"/>
      <c r="V42" s="41"/>
      <c r="W42" s="41"/>
      <c r="X42" s="42"/>
      <c r="Y42" s="220"/>
      <c r="Z42" s="41"/>
      <c r="AA42" s="41"/>
      <c r="AB42" s="41"/>
      <c r="AC42" s="41"/>
      <c r="AD42" s="41">
        <f>+AM42+BA42</f>
        <v>15</v>
      </c>
      <c r="AE42" s="238" t="s">
        <v>581</v>
      </c>
      <c r="AF42" s="41"/>
      <c r="AG42" s="41">
        <v>15</v>
      </c>
      <c r="AH42" s="41"/>
      <c r="AI42" s="459"/>
      <c r="AJ42" s="41"/>
      <c r="AK42" s="41"/>
      <c r="AL42" s="41"/>
      <c r="AM42" s="41">
        <f>SUM(AF42:AL42)+AT42+AV42+AX42</f>
        <v>15</v>
      </c>
      <c r="AN42" s="89"/>
      <c r="AO42" s="41"/>
      <c r="AP42" s="41"/>
      <c r="AQ42" s="41"/>
      <c r="AR42" s="41">
        <f>SUM(AN42:AQ42)</f>
        <v>0</v>
      </c>
      <c r="AS42" s="41"/>
      <c r="AT42" s="41"/>
      <c r="AU42" s="41"/>
      <c r="AV42" s="41"/>
      <c r="AW42" s="41"/>
      <c r="AX42" s="41"/>
      <c r="AY42" s="41"/>
      <c r="AZ42" s="41"/>
      <c r="BA42" s="41">
        <f>+AR42+AS42+AU42+AW42+AY42+AZ42</f>
        <v>0</v>
      </c>
      <c r="BB42" s="54"/>
      <c r="BC42" s="55">
        <v>14</v>
      </c>
      <c r="BD42" s="55"/>
      <c r="BE42" s="54"/>
      <c r="BF42" s="55"/>
    </row>
    <row r="43" spans="1:58" ht="12.95" customHeight="1">
      <c r="A43" s="44"/>
      <c r="B43" s="45"/>
      <c r="C43" s="450"/>
      <c r="D43" s="45"/>
      <c r="E43" s="46"/>
      <c r="F43" s="46"/>
      <c r="G43" s="463"/>
      <c r="H43" s="48"/>
      <c r="I43" s="49"/>
      <c r="J43" s="88"/>
      <c r="K43" s="88"/>
      <c r="L43" s="39"/>
      <c r="M43" s="39"/>
      <c r="N43" s="50"/>
      <c r="O43" s="51"/>
      <c r="P43" s="52"/>
      <c r="Q43" s="51"/>
      <c r="R43" s="419"/>
      <c r="S43" s="419"/>
      <c r="T43" s="41"/>
      <c r="U43" s="41"/>
      <c r="V43" s="41"/>
      <c r="W43" s="41"/>
      <c r="X43" s="42"/>
      <c r="Y43" s="220"/>
      <c r="Z43" s="41"/>
      <c r="AA43" s="41"/>
      <c r="AB43" s="41"/>
      <c r="AC43" s="41"/>
      <c r="AD43" s="41">
        <f>+AM43+BA43</f>
        <v>24</v>
      </c>
      <c r="AE43" s="238" t="s">
        <v>486</v>
      </c>
      <c r="AF43" s="37"/>
      <c r="AG43" s="37"/>
      <c r="AH43" s="37">
        <v>24</v>
      </c>
      <c r="AJ43" s="41"/>
      <c r="AK43" s="41"/>
      <c r="AL43" s="41"/>
      <c r="AM43" s="41">
        <f>SUM(AF43:AL43)+AT43+AV43+AX43</f>
        <v>24</v>
      </c>
      <c r="AN43" s="41"/>
      <c r="AO43" s="41"/>
      <c r="AP43" s="41"/>
      <c r="AQ43" s="41"/>
      <c r="AR43" s="41">
        <f>SUM(AN43:AQ43)</f>
        <v>0</v>
      </c>
      <c r="AS43" s="41"/>
      <c r="AT43" s="41"/>
      <c r="AU43" s="41"/>
      <c r="AV43" s="41"/>
      <c r="AW43" s="41"/>
      <c r="AX43" s="41"/>
      <c r="AY43" s="41"/>
      <c r="AZ43" s="41"/>
      <c r="BA43" s="41">
        <f>+AR43+AS43+AU43+AW43+AY43+AZ43</f>
        <v>0</v>
      </c>
      <c r="BB43" s="37"/>
      <c r="BC43" s="57"/>
      <c r="BD43" s="57"/>
      <c r="BE43" s="37"/>
      <c r="BF43" s="57"/>
    </row>
    <row r="44" spans="1:58" ht="12.95" customHeight="1">
      <c r="A44" s="44"/>
      <c r="B44" s="45"/>
      <c r="C44" s="450"/>
      <c r="D44" s="45"/>
      <c r="E44" s="46"/>
      <c r="F44" s="46"/>
      <c r="G44" s="47"/>
      <c r="H44" s="48"/>
      <c r="I44" s="49"/>
      <c r="J44" s="88"/>
      <c r="K44" s="88"/>
      <c r="L44" s="39"/>
      <c r="M44" s="39"/>
      <c r="N44" s="50"/>
      <c r="O44" s="51"/>
      <c r="P44" s="52"/>
      <c r="Q44" s="38"/>
      <c r="R44" s="419"/>
      <c r="S44" s="419"/>
      <c r="T44" s="41"/>
      <c r="U44" s="41"/>
      <c r="V44" s="41"/>
      <c r="W44" s="41"/>
      <c r="X44" s="42"/>
      <c r="Y44" s="220"/>
      <c r="Z44" s="41"/>
      <c r="AA44" s="41"/>
      <c r="AB44" s="41"/>
      <c r="AC44" s="41"/>
      <c r="AD44" s="41"/>
      <c r="AE44" s="241"/>
      <c r="AF44" s="41"/>
      <c r="AG44" s="41"/>
      <c r="AH44" s="41"/>
      <c r="AI44" s="459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37"/>
      <c r="BC44" s="57"/>
      <c r="BD44" s="57"/>
      <c r="BE44" s="37"/>
      <c r="BF44" s="57"/>
    </row>
    <row r="45" spans="1:58" ht="12.95" customHeight="1">
      <c r="A45" s="343">
        <v>46122</v>
      </c>
      <c r="B45" s="45" t="s">
        <v>523</v>
      </c>
      <c r="C45" s="450">
        <f>(M45*E45*O45*Q45)/100000000</f>
        <v>0.54318264000000005</v>
      </c>
      <c r="D45" s="45" t="s">
        <v>408</v>
      </c>
      <c r="E45" s="46">
        <v>13</v>
      </c>
      <c r="F45" s="46">
        <v>1</v>
      </c>
      <c r="G45" s="463">
        <v>1700</v>
      </c>
      <c r="H45" s="48">
        <f>+N45</f>
        <v>0.24</v>
      </c>
      <c r="I45" s="49">
        <v>0.88</v>
      </c>
      <c r="J45" s="88">
        <f>E45*G45*(1-H45)*1440/1000000*2.77</f>
        <v>66.995884799999999</v>
      </c>
      <c r="K45" s="88">
        <f>(IF(G45&lt;L45,L45,G45)*(1-IF(H45&lt;N45,H45,N45))*E45*O45*Q45)/100000000</f>
        <v>0.54318264000000005</v>
      </c>
      <c r="L45" s="39">
        <v>1700</v>
      </c>
      <c r="M45" s="39">
        <f>+L45-L45*0.24</f>
        <v>1292</v>
      </c>
      <c r="N45" s="50">
        <f>1-(M45/L45)</f>
        <v>0.24</v>
      </c>
      <c r="O45" s="51">
        <f>+'Trim Rwd'!H36</f>
        <v>269.5</v>
      </c>
      <c r="P45" s="52">
        <f>O45*(Q45-R45-S45)</f>
        <v>3234</v>
      </c>
      <c r="Q45" s="51">
        <v>12</v>
      </c>
      <c r="R45" s="419">
        <v>0</v>
      </c>
      <c r="S45" s="419">
        <v>0</v>
      </c>
      <c r="T45" s="41">
        <f>E45*M45*O45*Q45/100000000</f>
        <v>0.54318264000000005</v>
      </c>
      <c r="U45" s="41">
        <f>E45*M45*O45*(Q45-R45-S45)/100000000</f>
        <v>0.54318264000000005</v>
      </c>
      <c r="V45" s="41">
        <f>E45*G45*(1-N45)*O45/100*(R45+S45)/1000000</f>
        <v>0</v>
      </c>
      <c r="W45" s="41">
        <f>+'10'!K12/1000</f>
        <v>5.5579999999999998</v>
      </c>
      <c r="X45" s="416">
        <f>SUM(W45:W48)/SUM(K45:K48)</f>
        <v>0.83113884425451567</v>
      </c>
      <c r="Y45" s="220">
        <v>0</v>
      </c>
      <c r="Z45" s="41">
        <v>0</v>
      </c>
      <c r="AA45" s="53">
        <f>SUM(U45:U48)-SUM(W45:W48)-SUM(Z45:Z48)-SUM(Y45:Y48)</f>
        <v>10.604510235999999</v>
      </c>
      <c r="AB45" s="53">
        <f>(SUM(K45:K48)-SUM(W45:W48)-SUM(Y45:Y48)-SUM(Z45:Z48)-SUM(AC45:AC48)-SUM(V45:V48))-AA45</f>
        <v>5.1519049999996014E-2</v>
      </c>
      <c r="AC45" s="41">
        <f>K45-T45</f>
        <v>0</v>
      </c>
      <c r="AD45" s="41">
        <f>+AM45+BA45</f>
        <v>0</v>
      </c>
      <c r="AE45" s="238" t="s">
        <v>277</v>
      </c>
      <c r="AF45" s="41">
        <v>0</v>
      </c>
      <c r="AG45" s="41"/>
      <c r="AH45" s="41"/>
      <c r="AI45" s="459"/>
      <c r="AJ45" s="41"/>
      <c r="AK45" s="41"/>
      <c r="AL45" s="41"/>
      <c r="AM45" s="41">
        <f>SUM(AF45:AL45)+AT45+AV45+AX45</f>
        <v>0</v>
      </c>
      <c r="AN45" s="41"/>
      <c r="AO45" s="41"/>
      <c r="AP45" s="41"/>
      <c r="AQ45" s="41"/>
      <c r="AR45" s="41">
        <f>SUM(AN45:AQ45)</f>
        <v>0</v>
      </c>
      <c r="AS45" s="41"/>
      <c r="AT45" s="41"/>
      <c r="AU45" s="41"/>
      <c r="AV45" s="41"/>
      <c r="AW45" s="41"/>
      <c r="AX45" s="41"/>
      <c r="AY45" s="41"/>
      <c r="AZ45" s="41"/>
      <c r="BA45" s="41">
        <f>+AR45+AS45+AU45+AW45+AY45+AZ45</f>
        <v>0</v>
      </c>
      <c r="BB45" s="37">
        <v>0</v>
      </c>
      <c r="BC45" s="55"/>
      <c r="BD45" s="55"/>
      <c r="BE45" s="37"/>
      <c r="BF45" s="55"/>
    </row>
    <row r="46" spans="1:58" ht="12.95" customHeight="1">
      <c r="A46" s="343"/>
      <c r="B46" s="45" t="s">
        <v>231</v>
      </c>
      <c r="C46" s="450">
        <f>(M46*E46*O46*Q46)/100000000</f>
        <v>23.482881240000001</v>
      </c>
      <c r="D46" s="45" t="s">
        <v>408</v>
      </c>
      <c r="E46" s="46">
        <v>14</v>
      </c>
      <c r="F46" s="46">
        <v>1</v>
      </c>
      <c r="G46" s="463">
        <v>1270</v>
      </c>
      <c r="H46" s="48">
        <v>0</v>
      </c>
      <c r="I46" s="49">
        <v>0.88</v>
      </c>
      <c r="J46" s="88">
        <f>E46*G46*(1-H46)*1440/1000000*2.77</f>
        <v>70.920864000000009</v>
      </c>
      <c r="K46" s="88">
        <f>(IF(G46&lt;L46,L46,G46)*(1-IF(H46&lt;N46,H46,N46))*E46*O46*Q46)/100000000</f>
        <v>23.565359999999998</v>
      </c>
      <c r="L46" s="39">
        <v>1300</v>
      </c>
      <c r="M46" s="39">
        <f>+L46-L46*0.0035</f>
        <v>1295.45</v>
      </c>
      <c r="N46" s="50">
        <f>1-(M46/L46)</f>
        <v>3.4999999999999476E-3</v>
      </c>
      <c r="O46" s="51">
        <f>+'Trim Rwd'!H37</f>
        <v>260</v>
      </c>
      <c r="P46" s="52">
        <f>O46*(Q46-R46-S46)</f>
        <v>128180</v>
      </c>
      <c r="Q46" s="51">
        <v>498</v>
      </c>
      <c r="R46" s="419">
        <v>0</v>
      </c>
      <c r="S46" s="419">
        <v>5</v>
      </c>
      <c r="T46" s="41">
        <f>E46*M46*O46*Q46/100000000</f>
        <v>23.482881240000001</v>
      </c>
      <c r="U46" s="41">
        <f>E46*M46*O46*(Q46-R46-S46)/100000000</f>
        <v>23.247109340000002</v>
      </c>
      <c r="V46" s="41">
        <f>E46*G46*(1-N46)*O46/100*(R46+S46)/1000000</f>
        <v>0.23033101</v>
      </c>
      <c r="W46" s="41">
        <f>+'10'!K15/1000</f>
        <v>19.550999999999998</v>
      </c>
      <c r="X46" s="42"/>
      <c r="Y46" s="220"/>
      <c r="Z46" s="41">
        <f>+'10'!D8/1000</f>
        <v>0.74299999999999999</v>
      </c>
      <c r="AA46" s="41"/>
      <c r="AB46" s="41"/>
      <c r="AC46" s="41">
        <f>K46-T46</f>
        <v>8.2478759999997209E-2</v>
      </c>
      <c r="AD46" s="41">
        <f>+AM46+BA46</f>
        <v>0</v>
      </c>
      <c r="AE46" s="238" t="s">
        <v>591</v>
      </c>
      <c r="AF46" s="41"/>
      <c r="AG46" s="41">
        <v>0</v>
      </c>
      <c r="AH46" s="41"/>
      <c r="AI46" s="459"/>
      <c r="AJ46" s="41"/>
      <c r="AK46" s="41"/>
      <c r="AL46" s="41"/>
      <c r="AM46" s="41">
        <f>SUM(AF46:AL46)+AT46+AV46+AX46</f>
        <v>0</v>
      </c>
      <c r="AN46" s="89"/>
      <c r="AO46" s="41"/>
      <c r="AP46" s="41"/>
      <c r="AQ46" s="41"/>
      <c r="AR46" s="41">
        <f>SUM(AN46:AQ46)</f>
        <v>0</v>
      </c>
      <c r="AS46" s="41"/>
      <c r="AT46" s="41"/>
      <c r="AU46" s="41"/>
      <c r="AV46" s="41"/>
      <c r="AW46" s="41"/>
      <c r="AX46" s="41"/>
      <c r="AY46" s="41"/>
      <c r="AZ46" s="41"/>
      <c r="BA46" s="41">
        <f>+AR46+AS46+AU46+AW46+AY46+AZ46</f>
        <v>0</v>
      </c>
      <c r="BB46" s="54"/>
      <c r="BC46" s="55">
        <v>0</v>
      </c>
      <c r="BD46" s="55"/>
      <c r="BE46" s="54"/>
      <c r="BF46" s="55"/>
    </row>
    <row r="47" spans="1:58" ht="12.95" customHeight="1">
      <c r="A47" s="44"/>
      <c r="B47" s="45" t="s">
        <v>231</v>
      </c>
      <c r="C47" s="450">
        <f>(M47*E47*O47*Q47)/100000000</f>
        <v>53.994387887999999</v>
      </c>
      <c r="D47" s="45" t="s">
        <v>408</v>
      </c>
      <c r="E47" s="46">
        <v>17</v>
      </c>
      <c r="F47" s="46">
        <v>1</v>
      </c>
      <c r="G47" s="463">
        <v>1210</v>
      </c>
      <c r="H47" s="48">
        <v>0</v>
      </c>
      <c r="I47" s="49">
        <v>0.88</v>
      </c>
      <c r="J47" s="88">
        <f>E47*G47*(1-H47)*1440/1000000*2.77</f>
        <v>82.049616</v>
      </c>
      <c r="K47" s="88">
        <f>(IF(G47&lt;L47,L47,G47)*(1-IF(H47&lt;N47,H47,N47))*E47*O47*Q47)/100000000</f>
        <v>54.184032000000002</v>
      </c>
      <c r="L47" s="39">
        <v>1260</v>
      </c>
      <c r="M47" s="39">
        <f>+L47-L47*0.0035</f>
        <v>1255.5899999999999</v>
      </c>
      <c r="N47" s="50">
        <f>1-(M47/L47)</f>
        <v>3.5000000000000586E-3</v>
      </c>
      <c r="O47" s="51">
        <f>+'Trim Rwd'!H38</f>
        <v>272</v>
      </c>
      <c r="P47" s="52">
        <f>O47*(Q47-R47-S47)</f>
        <v>247520</v>
      </c>
      <c r="Q47" s="51">
        <v>930</v>
      </c>
      <c r="R47" s="419">
        <v>0</v>
      </c>
      <c r="S47" s="419">
        <v>20</v>
      </c>
      <c r="T47" s="41">
        <f>E47*M47*O47*Q47/100000000</f>
        <v>53.994387887999999</v>
      </c>
      <c r="U47" s="41">
        <f>E47*M47*O47*(Q47-R47-S47)/100000000</f>
        <v>52.833218256000002</v>
      </c>
      <c r="V47" s="41">
        <f>E47*G47*(1-N47)*O47/100*(R47+S47)/1000000</f>
        <v>1.1150914719999998</v>
      </c>
      <c r="W47" s="41">
        <f>+'10'!K16/1000</f>
        <v>39.963000000000001</v>
      </c>
      <c r="X47" s="42"/>
      <c r="Y47" s="220"/>
      <c r="Z47" s="41">
        <f>+'10'!D17/1000</f>
        <v>0.20399999999999999</v>
      </c>
      <c r="AA47" s="41"/>
      <c r="AB47" s="41"/>
      <c r="AC47" s="41">
        <f>K47-T47</f>
        <v>0.18964411200000342</v>
      </c>
      <c r="AD47" s="41">
        <f>+AM47+BA47</f>
        <v>7</v>
      </c>
      <c r="AE47" s="238" t="s">
        <v>592</v>
      </c>
      <c r="AF47" s="37"/>
      <c r="AG47" s="37"/>
      <c r="AH47" s="37">
        <v>7</v>
      </c>
      <c r="AI47" s="459"/>
      <c r="AJ47" s="41"/>
      <c r="AK47" s="41"/>
      <c r="AL47" s="41"/>
      <c r="AM47" s="41">
        <f>SUM(AF47:AL47)+AT47+AV47+AX47</f>
        <v>7</v>
      </c>
      <c r="AN47" s="41"/>
      <c r="AO47" s="41"/>
      <c r="AP47" s="41"/>
      <c r="AQ47" s="41"/>
      <c r="AR47" s="41">
        <f>SUM(AN47:AQ47)</f>
        <v>0</v>
      </c>
      <c r="AS47" s="41"/>
      <c r="AT47" s="41"/>
      <c r="AU47" s="41"/>
      <c r="AV47" s="41"/>
      <c r="AW47" s="41"/>
      <c r="AX47" s="41"/>
      <c r="AY47" s="41"/>
      <c r="AZ47" s="41"/>
      <c r="BA47" s="41">
        <f>+AR47+AS47+AU47+AW47+AY47+AZ47</f>
        <v>0</v>
      </c>
      <c r="BB47" s="37"/>
      <c r="BC47" s="57"/>
      <c r="BD47" s="57"/>
      <c r="BE47" s="37"/>
      <c r="BF47" s="57"/>
    </row>
    <row r="48" spans="1:58" ht="12.95" customHeight="1">
      <c r="A48" s="44"/>
      <c r="B48" s="45"/>
      <c r="C48" s="450"/>
      <c r="D48" s="45"/>
      <c r="E48" s="46"/>
      <c r="F48" s="46"/>
      <c r="G48" s="47"/>
      <c r="H48" s="48"/>
      <c r="I48" s="49"/>
      <c r="J48" s="88"/>
      <c r="K48" s="88"/>
      <c r="L48" s="39"/>
      <c r="M48" s="39"/>
      <c r="N48" s="50"/>
      <c r="O48" s="51"/>
      <c r="P48" s="52"/>
      <c r="Q48" s="38"/>
      <c r="R48" s="419"/>
      <c r="S48" s="419"/>
      <c r="T48" s="41"/>
      <c r="U48" s="41"/>
      <c r="V48" s="41"/>
      <c r="W48" s="41"/>
      <c r="X48" s="42"/>
      <c r="Y48" s="220"/>
      <c r="Z48" s="41"/>
      <c r="AA48" s="41"/>
      <c r="AB48" s="41"/>
      <c r="AC48" s="41"/>
      <c r="AD48" s="41">
        <f>+AM48+BA48</f>
        <v>18</v>
      </c>
      <c r="AE48" s="241" t="s">
        <v>487</v>
      </c>
      <c r="AF48" s="41"/>
      <c r="AG48" s="37"/>
      <c r="AH48" s="37"/>
      <c r="AI48" s="33">
        <v>18</v>
      </c>
      <c r="AJ48" s="41"/>
      <c r="AK48" s="41"/>
      <c r="AL48" s="41"/>
      <c r="AM48" s="41">
        <f>SUM(AF48:AL48)+AT48+AV48+AX48</f>
        <v>18</v>
      </c>
      <c r="AN48" s="41"/>
      <c r="AO48" s="41"/>
      <c r="AP48" s="41"/>
      <c r="AQ48" s="41"/>
      <c r="AR48" s="41">
        <f>SUM(AN48:AQ48)</f>
        <v>0</v>
      </c>
      <c r="AS48" s="41"/>
      <c r="AT48" s="41"/>
      <c r="AU48" s="41"/>
      <c r="AV48" s="41"/>
      <c r="AW48" s="41"/>
      <c r="AX48" s="41"/>
      <c r="AY48" s="41"/>
      <c r="AZ48" s="41"/>
      <c r="BA48" s="41">
        <f>+AR48+AS48+AU48+AW48+AY48+AZ48</f>
        <v>0</v>
      </c>
      <c r="BB48" s="37"/>
      <c r="BC48" s="57"/>
      <c r="BD48" s="57"/>
      <c r="BE48" s="37"/>
      <c r="BF48" s="57"/>
    </row>
    <row r="49" spans="1:58" ht="12.95" customHeight="1">
      <c r="A49" s="343"/>
      <c r="B49" s="45"/>
      <c r="C49" s="450"/>
      <c r="D49" s="45"/>
      <c r="E49" s="46"/>
      <c r="F49" s="46"/>
      <c r="G49" s="463"/>
      <c r="H49" s="48"/>
      <c r="I49" s="49"/>
      <c r="J49" s="88"/>
      <c r="K49" s="88"/>
      <c r="L49" s="39"/>
      <c r="M49" s="39"/>
      <c r="N49" s="50"/>
      <c r="O49" s="51"/>
      <c r="P49" s="52"/>
      <c r="Q49" s="51"/>
      <c r="R49" s="419"/>
      <c r="S49" s="419"/>
      <c r="T49" s="41"/>
      <c r="U49" s="41"/>
      <c r="V49" s="41"/>
      <c r="W49" s="41"/>
      <c r="X49" s="416"/>
      <c r="Y49" s="220"/>
      <c r="Z49" s="41"/>
      <c r="AA49" s="53"/>
      <c r="AB49" s="53"/>
      <c r="AC49" s="41"/>
      <c r="AD49" s="41"/>
      <c r="AE49" s="238"/>
      <c r="AF49" s="41"/>
      <c r="AG49" s="41"/>
      <c r="AH49" s="41"/>
      <c r="AI49" s="459"/>
      <c r="AJ49" s="41"/>
      <c r="AK49" s="41"/>
      <c r="AL49" s="41"/>
      <c r="AM49" s="41"/>
      <c r="AN49" s="89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54"/>
      <c r="BC49" s="55"/>
      <c r="BD49" s="55"/>
      <c r="BE49" s="55"/>
      <c r="BF49" s="55"/>
    </row>
    <row r="50" spans="1:58" ht="12.95" customHeight="1">
      <c r="A50" s="343">
        <v>46123</v>
      </c>
      <c r="B50" s="45" t="s">
        <v>231</v>
      </c>
      <c r="C50" s="450">
        <f>(M50*E50*O50*Q50)/100000000</f>
        <v>83.604213504000001</v>
      </c>
      <c r="D50" s="45" t="s">
        <v>609</v>
      </c>
      <c r="E50" s="46">
        <v>17</v>
      </c>
      <c r="F50" s="46">
        <v>1</v>
      </c>
      <c r="G50" s="463">
        <v>1210</v>
      </c>
      <c r="H50" s="48">
        <v>0</v>
      </c>
      <c r="I50" s="49">
        <v>0.88</v>
      </c>
      <c r="J50" s="88">
        <f>E50*G50*(1-H50)*1440/1000000*2.77</f>
        <v>82.049616</v>
      </c>
      <c r="K50" s="88">
        <f>(IF(G50&lt;L50,L50,G50)*(1-IF(H50&lt;N50,H50,N50))*E50*O50*Q50)/100000000</f>
        <v>83.897856000000004</v>
      </c>
      <c r="L50" s="39">
        <v>1260</v>
      </c>
      <c r="M50" s="39">
        <f>+L50-L50*0.0035</f>
        <v>1255.5899999999999</v>
      </c>
      <c r="N50" s="50">
        <f>1-(M50/L50)</f>
        <v>3.5000000000000586E-3</v>
      </c>
      <c r="O50" s="51">
        <f>+'Trim Rwd'!H40</f>
        <v>272</v>
      </c>
      <c r="P50" s="52">
        <f>O50*(Q50-R50-S50)</f>
        <v>389776</v>
      </c>
      <c r="Q50" s="51">
        <v>1440</v>
      </c>
      <c r="R50" s="419">
        <v>0</v>
      </c>
      <c r="S50" s="419">
        <v>7</v>
      </c>
      <c r="T50" s="41">
        <f>E50*M50*O50*Q50/100000000</f>
        <v>83.604213504000001</v>
      </c>
      <c r="U50" s="41">
        <f>E50*M50*O50*(Q50-R50-S50)/100000000</f>
        <v>83.197804132800002</v>
      </c>
      <c r="V50" s="41">
        <f>E50*G50*(1-N50)*O50/100*(R50+S50)/1000000</f>
        <v>0.39028201519999994</v>
      </c>
      <c r="W50" s="41">
        <f>+'11'!K34/1000</f>
        <v>80.748000000000005</v>
      </c>
      <c r="X50" s="416">
        <f>SUM(W50:W53)/SUM(K50:K53)</f>
        <v>0.96245606085571489</v>
      </c>
      <c r="Y50" s="220">
        <v>0</v>
      </c>
      <c r="Z50" s="41">
        <f>+'11'!D34/1000</f>
        <v>0.23499999999999999</v>
      </c>
      <c r="AA50" s="53">
        <f>SUM(U50:U53)-SUM(W50:W53)-SUM(Z50:Z53)-SUM(Y50:Y53)</f>
        <v>2.2148041327999972</v>
      </c>
      <c r="AB50" s="53">
        <f>(SUM(K50:K53)-SUM(W50:W53)-SUM(Y50:Y53)-SUM(Z50:Z53)-SUM(AC50:AC53)-SUM(V50:V53))-AA50</f>
        <v>1.6127355999998816E-2</v>
      </c>
      <c r="AC50" s="41">
        <f>K50-T50</f>
        <v>0.29364249600000392</v>
      </c>
      <c r="AD50" s="41">
        <f>+AM50+BA50</f>
        <v>0</v>
      </c>
      <c r="AE50" s="238" t="s">
        <v>277</v>
      </c>
      <c r="AF50" s="41">
        <v>0</v>
      </c>
      <c r="AG50" s="41"/>
      <c r="AH50" s="41"/>
      <c r="AI50" s="459"/>
      <c r="AJ50" s="41"/>
      <c r="AK50" s="41"/>
      <c r="AL50" s="41"/>
      <c r="AM50" s="41">
        <f>SUM(AF50:AL50)+AT50+AV50+AX50</f>
        <v>0</v>
      </c>
      <c r="AN50" s="41"/>
      <c r="AO50" s="41"/>
      <c r="AP50" s="41"/>
      <c r="AQ50" s="41"/>
      <c r="AR50" s="41">
        <f>SUM(AN50:AQ50)</f>
        <v>0</v>
      </c>
      <c r="AS50" s="41"/>
      <c r="AT50" s="41"/>
      <c r="AU50" s="41"/>
      <c r="AV50" s="41"/>
      <c r="AW50" s="41"/>
      <c r="AX50" s="41"/>
      <c r="AY50" s="41"/>
      <c r="AZ50" s="41"/>
      <c r="BA50" s="41">
        <f>+AR50+AS50+AU50+AW50+AY50+AZ50</f>
        <v>0</v>
      </c>
      <c r="BB50" s="37">
        <v>0</v>
      </c>
      <c r="BC50" s="55"/>
      <c r="BD50" s="55"/>
      <c r="BE50" s="37"/>
      <c r="BF50" s="55"/>
    </row>
    <row r="51" spans="1:58" ht="12.95" customHeight="1">
      <c r="A51" s="343"/>
      <c r="B51" s="45"/>
      <c r="C51" s="450"/>
      <c r="D51" s="45"/>
      <c r="E51" s="46"/>
      <c r="F51" s="46"/>
      <c r="G51" s="463"/>
      <c r="H51" s="48"/>
      <c r="I51" s="49"/>
      <c r="J51" s="88"/>
      <c r="K51" s="88"/>
      <c r="L51" s="39"/>
      <c r="M51" s="39"/>
      <c r="N51" s="50"/>
      <c r="O51" s="51"/>
      <c r="P51" s="52"/>
      <c r="Q51" s="51"/>
      <c r="R51" s="419"/>
      <c r="S51" s="419"/>
      <c r="T51" s="41"/>
      <c r="U51" s="41"/>
      <c r="V51" s="41"/>
      <c r="W51" s="41"/>
      <c r="X51" s="42"/>
      <c r="Y51" s="220"/>
      <c r="Z51" s="41"/>
      <c r="AA51" s="41"/>
      <c r="AB51" s="41"/>
      <c r="AC51" s="41"/>
      <c r="AD51" s="41">
        <f>+AM51+BA51</f>
        <v>0</v>
      </c>
      <c r="AE51" s="238" t="s">
        <v>591</v>
      </c>
      <c r="AF51" s="41"/>
      <c r="AG51" s="41">
        <v>0</v>
      </c>
      <c r="AH51" s="41"/>
      <c r="AI51" s="459"/>
      <c r="AJ51" s="41"/>
      <c r="AK51" s="41"/>
      <c r="AL51" s="41"/>
      <c r="AM51" s="41">
        <f>SUM(AF51:AL51)+AT51+AV51+AX51</f>
        <v>0</v>
      </c>
      <c r="AN51" s="89"/>
      <c r="AO51" s="41"/>
      <c r="AP51" s="41"/>
      <c r="AQ51" s="41"/>
      <c r="AR51" s="41">
        <f>SUM(AN51:AQ51)</f>
        <v>0</v>
      </c>
      <c r="AS51" s="41"/>
      <c r="AT51" s="41"/>
      <c r="AU51" s="41"/>
      <c r="AV51" s="41"/>
      <c r="AW51" s="41"/>
      <c r="AX51" s="41"/>
      <c r="AY51" s="41"/>
      <c r="AZ51" s="41"/>
      <c r="BA51" s="41">
        <f>+AR51+AS51+AU51+AW51+AY51+AZ51</f>
        <v>0</v>
      </c>
      <c r="BB51" s="54"/>
      <c r="BC51" s="55">
        <v>0</v>
      </c>
      <c r="BD51" s="55"/>
      <c r="BE51" s="54"/>
      <c r="BF51" s="55"/>
    </row>
    <row r="52" spans="1:58" ht="12.95" customHeight="1">
      <c r="A52" s="44"/>
      <c r="B52" s="45"/>
      <c r="C52" s="450"/>
      <c r="D52" s="45"/>
      <c r="E52" s="46"/>
      <c r="F52" s="46"/>
      <c r="G52" s="463"/>
      <c r="H52" s="48"/>
      <c r="I52" s="49"/>
      <c r="J52" s="88"/>
      <c r="K52" s="88"/>
      <c r="L52" s="39"/>
      <c r="M52" s="39"/>
      <c r="N52" s="50"/>
      <c r="O52" s="51"/>
      <c r="P52" s="52"/>
      <c r="Q52" s="51"/>
      <c r="R52" s="419"/>
      <c r="S52" s="419"/>
      <c r="T52" s="41"/>
      <c r="U52" s="41"/>
      <c r="V52" s="41"/>
      <c r="W52" s="41"/>
      <c r="X52" s="42"/>
      <c r="Y52" s="220"/>
      <c r="Z52" s="41"/>
      <c r="AA52" s="41"/>
      <c r="AB52" s="41"/>
      <c r="AC52" s="41"/>
      <c r="AD52" s="41">
        <f>+AM52+BA52</f>
        <v>7</v>
      </c>
      <c r="AE52" s="238" t="s">
        <v>612</v>
      </c>
      <c r="AF52" s="37"/>
      <c r="AG52" s="37"/>
      <c r="AH52" s="37">
        <v>7</v>
      </c>
      <c r="AI52" s="459"/>
      <c r="AJ52" s="41"/>
      <c r="AK52" s="41"/>
      <c r="AL52" s="41"/>
      <c r="AM52" s="41">
        <f>SUM(AF52:AL52)+AT52+AV52+AX52</f>
        <v>7</v>
      </c>
      <c r="AN52" s="41"/>
      <c r="AO52" s="41"/>
      <c r="AP52" s="41"/>
      <c r="AQ52" s="41"/>
      <c r="AR52" s="41">
        <f>SUM(AN52:AQ52)</f>
        <v>0</v>
      </c>
      <c r="AS52" s="41"/>
      <c r="AT52" s="41"/>
      <c r="AU52" s="41"/>
      <c r="AV52" s="41"/>
      <c r="AW52" s="41"/>
      <c r="AX52" s="41"/>
      <c r="AY52" s="41"/>
      <c r="AZ52" s="41"/>
      <c r="BA52" s="41">
        <f>+AR52+AS52+AU52+AW52+AY52+AZ52</f>
        <v>0</v>
      </c>
      <c r="BB52" s="37"/>
      <c r="BC52" s="57"/>
      <c r="BD52" s="57"/>
      <c r="BE52" s="37"/>
      <c r="BF52" s="57"/>
    </row>
    <row r="53" spans="1:58" ht="12.95" customHeight="1">
      <c r="A53" s="44"/>
      <c r="B53" s="45"/>
      <c r="C53" s="450"/>
      <c r="D53" s="45"/>
      <c r="E53" s="46"/>
      <c r="F53" s="46"/>
      <c r="G53" s="47"/>
      <c r="H53" s="48"/>
      <c r="I53" s="49"/>
      <c r="J53" s="88"/>
      <c r="K53" s="88"/>
      <c r="L53" s="39"/>
      <c r="M53" s="39"/>
      <c r="N53" s="50"/>
      <c r="O53" s="51"/>
      <c r="P53" s="52"/>
      <c r="Q53" s="38"/>
      <c r="R53" s="419"/>
      <c r="S53" s="419"/>
      <c r="T53" s="41"/>
      <c r="U53" s="41"/>
      <c r="V53" s="41"/>
      <c r="W53" s="41"/>
      <c r="X53" s="42"/>
      <c r="Y53" s="220"/>
      <c r="Z53" s="41"/>
      <c r="AA53" s="41"/>
      <c r="AB53" s="41"/>
      <c r="AC53" s="41"/>
      <c r="AD53" s="41"/>
      <c r="AE53" s="241"/>
      <c r="AF53" s="41"/>
      <c r="AG53" s="37"/>
      <c r="AH53" s="37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37"/>
      <c r="BC53" s="57"/>
      <c r="BD53" s="57"/>
      <c r="BE53" s="37"/>
      <c r="BF53" s="57"/>
    </row>
    <row r="54" spans="1:58" ht="12.95" customHeight="1">
      <c r="A54" s="343">
        <v>46124</v>
      </c>
      <c r="B54" s="45" t="s">
        <v>231</v>
      </c>
      <c r="C54" s="450">
        <f>(M54*E54*O54*Q54)/100000000</f>
        <v>66.419476049835609</v>
      </c>
      <c r="D54" s="45" t="s">
        <v>608</v>
      </c>
      <c r="E54" s="46">
        <v>17</v>
      </c>
      <c r="F54" s="46">
        <v>1</v>
      </c>
      <c r="G54" s="463">
        <v>1210</v>
      </c>
      <c r="H54" s="48">
        <v>0</v>
      </c>
      <c r="I54" s="49">
        <v>0.88</v>
      </c>
      <c r="J54" s="88">
        <f>E54*G54*(1-H54)*1440/1000000*2.77</f>
        <v>82.049616</v>
      </c>
      <c r="K54" s="88">
        <f>(IF(G54&lt;L54,L54,G54)*(1-IF(H54&lt;N54,H54,N54))*E54*O54*Q54)/100000000</f>
        <v>66.652760712328757</v>
      </c>
      <c r="L54" s="39">
        <v>1260</v>
      </c>
      <c r="M54" s="39">
        <f>+L54-L54*0.0035</f>
        <v>1255.5899999999999</v>
      </c>
      <c r="N54" s="50">
        <f>1-(M54/L54)</f>
        <v>3.5000000000000586E-3</v>
      </c>
      <c r="O54" s="51">
        <f>+'Trim Rwd'!H42</f>
        <v>267.32876712328766</v>
      </c>
      <c r="P54" s="52">
        <f>O54*(Q54-R54-S54)</f>
        <v>309834.0410958904</v>
      </c>
      <c r="Q54" s="51">
        <v>1164</v>
      </c>
      <c r="R54" s="419">
        <v>0</v>
      </c>
      <c r="S54" s="419">
        <v>5</v>
      </c>
      <c r="T54" s="41">
        <f>E54*M54*O54*Q54/100000000</f>
        <v>66.419476049835609</v>
      </c>
      <c r="U54" s="41">
        <f>E54*M54*O54*(Q54-R54-S54)/100000000</f>
        <v>66.134169022130123</v>
      </c>
      <c r="V54" s="41">
        <f>E54*G54*(1-N54)*O54/100*(R54+S54)/1000000</f>
        <v>0.2739853202568493</v>
      </c>
      <c r="W54" s="41">
        <f>+'12'!K16/1000</f>
        <v>68.319999999999993</v>
      </c>
      <c r="X54" s="416">
        <f>SUM(W54:W57)/SUM(K54:K57)</f>
        <v>1.0960021047342325</v>
      </c>
      <c r="Y54" s="220">
        <v>0</v>
      </c>
      <c r="Z54" s="41">
        <f>+'12'!D34/1000</f>
        <v>0.84599999999999997</v>
      </c>
      <c r="AA54" s="53">
        <f>SUM(U54:U57)-SUM(W54:W57)-SUM(Z54:Z57)-SUM(Y54:Y57)</f>
        <v>-9.4986581234698626</v>
      </c>
      <c r="AB54" s="53">
        <f>(SUM(K54:K57)-SUM(W54:W57)-SUM(Y54:Y57)-SUM(Z54:Z57)-SUM(AC54:AC57)-SUM(V54:V57))-AA54</f>
        <v>1.006850904863299E-2</v>
      </c>
      <c r="AC54" s="41">
        <f>K54-T54</f>
        <v>0.23328466249314772</v>
      </c>
      <c r="AD54" s="41">
        <f>+AM54+BA54</f>
        <v>0</v>
      </c>
      <c r="AE54" s="238" t="s">
        <v>277</v>
      </c>
      <c r="AF54" s="41">
        <v>0</v>
      </c>
      <c r="AG54" s="41"/>
      <c r="AH54" s="41"/>
      <c r="AI54" s="459"/>
      <c r="AJ54" s="41"/>
      <c r="AK54" s="41"/>
      <c r="AL54" s="41"/>
      <c r="AM54" s="41">
        <f>SUM(AF54:AL54)+AT54+AV54+AX54</f>
        <v>0</v>
      </c>
      <c r="AN54" s="41"/>
      <c r="AO54" s="41"/>
      <c r="AP54" s="41"/>
      <c r="AQ54" s="41"/>
      <c r="AR54" s="41">
        <f>SUM(AN54:AQ54)</f>
        <v>0</v>
      </c>
      <c r="AS54" s="41"/>
      <c r="AT54" s="41"/>
      <c r="AU54" s="41"/>
      <c r="AV54" s="41"/>
      <c r="AW54" s="41"/>
      <c r="AX54" s="41"/>
      <c r="AY54" s="41"/>
      <c r="AZ54" s="41"/>
      <c r="BA54" s="41">
        <f>+AR54+AS54+AU54+AW54+AY54+AZ54</f>
        <v>0</v>
      </c>
      <c r="BB54" s="37">
        <v>0</v>
      </c>
      <c r="BC54" s="55"/>
      <c r="BD54" s="55"/>
      <c r="BE54" s="37"/>
      <c r="BF54" s="55"/>
    </row>
    <row r="55" spans="1:58" ht="12.95" customHeight="1">
      <c r="A55" s="343"/>
      <c r="B55" s="45" t="s">
        <v>231</v>
      </c>
      <c r="C55" s="450">
        <f>(M55*E55*O55*Q55)/100000000</f>
        <v>14.527075852799998</v>
      </c>
      <c r="D55" s="45" t="s">
        <v>608</v>
      </c>
      <c r="E55" s="46">
        <v>16</v>
      </c>
      <c r="F55" s="46">
        <v>1</v>
      </c>
      <c r="G55" s="463">
        <v>1270</v>
      </c>
      <c r="H55" s="48">
        <v>0</v>
      </c>
      <c r="I55" s="49">
        <v>0.88</v>
      </c>
      <c r="J55" s="88">
        <f>E55*G55*(1-H55)*1440/1000000*2.77</f>
        <v>81.052415999999994</v>
      </c>
      <c r="K55" s="88">
        <f>(IF(G55&lt;L55,L55,G55)*(1-IF(H55&lt;N55,H55,N55))*E55*O55*Q55)/100000000</f>
        <v>14.6937984</v>
      </c>
      <c r="L55" s="39">
        <v>1260</v>
      </c>
      <c r="M55" s="39">
        <f>+L55-L55*0.0035</f>
        <v>1255.5899999999999</v>
      </c>
      <c r="N55" s="50">
        <f>1-(M55/L55)</f>
        <v>3.5000000000000586E-3</v>
      </c>
      <c r="O55" s="51">
        <f>+'Trim Rwd'!H48</f>
        <v>262</v>
      </c>
      <c r="P55" s="52">
        <f>O55*(Q55-R55-S55)</f>
        <v>71526</v>
      </c>
      <c r="Q55" s="51">
        <v>276</v>
      </c>
      <c r="R55" s="419">
        <v>0</v>
      </c>
      <c r="S55" s="419">
        <v>3</v>
      </c>
      <c r="T55" s="41">
        <f>E55*M55*O55*Q55/100000000</f>
        <v>14.527075852799998</v>
      </c>
      <c r="U55" s="41">
        <f>E55*M55*O55*(Q55-R55-S55)/100000000</f>
        <v>14.369172854399999</v>
      </c>
      <c r="V55" s="41">
        <f>E55*G55*(1-N55)*O55/100*(R55+S55)/1000000</f>
        <v>0.15915619679999998</v>
      </c>
      <c r="W55" s="41">
        <f>+'12'!K17/1000</f>
        <v>20.835999999999999</v>
      </c>
      <c r="X55" s="42"/>
      <c r="Y55" s="220"/>
      <c r="Z55" s="41"/>
      <c r="AA55" s="41"/>
      <c r="AB55" s="41"/>
      <c r="AC55" s="41">
        <f>K55-T55</f>
        <v>0.16672254720000268</v>
      </c>
      <c r="AD55" s="41">
        <f>+AM55+BA55</f>
        <v>0</v>
      </c>
      <c r="AE55" s="238" t="s">
        <v>591</v>
      </c>
      <c r="AF55" s="41"/>
      <c r="AG55" s="41">
        <v>0</v>
      </c>
      <c r="AH55" s="41"/>
      <c r="AI55" s="459"/>
      <c r="AJ55" s="41"/>
      <c r="AK55" s="41"/>
      <c r="AL55" s="41"/>
      <c r="AM55" s="41">
        <f>SUM(AF55:AL55)+AT55+AV55+AX55</f>
        <v>0</v>
      </c>
      <c r="AN55" s="89"/>
      <c r="AO55" s="41"/>
      <c r="AP55" s="41"/>
      <c r="AQ55" s="41"/>
      <c r="AR55" s="41">
        <f>SUM(AN55:AQ55)</f>
        <v>0</v>
      </c>
      <c r="AS55" s="41"/>
      <c r="AT55" s="41"/>
      <c r="AU55" s="41"/>
      <c r="AV55" s="41"/>
      <c r="AW55" s="41"/>
      <c r="AX55" s="41"/>
      <c r="AY55" s="41"/>
      <c r="AZ55" s="41"/>
      <c r="BA55" s="41">
        <f>+AR55+AS55+AU55+AW55+AY55+AZ55</f>
        <v>0</v>
      </c>
      <c r="BB55" s="54"/>
      <c r="BC55" s="55">
        <v>0</v>
      </c>
      <c r="BD55" s="55"/>
      <c r="BE55" s="54"/>
      <c r="BF55" s="55"/>
    </row>
    <row r="56" spans="1:58" ht="12.95" customHeight="1">
      <c r="A56" s="44"/>
      <c r="B56" s="45"/>
      <c r="C56" s="450"/>
      <c r="D56" s="45"/>
      <c r="E56" s="46"/>
      <c r="F56" s="46"/>
      <c r="G56" s="463"/>
      <c r="H56" s="48"/>
      <c r="I56" s="49"/>
      <c r="J56" s="88"/>
      <c r="K56" s="88"/>
      <c r="L56" s="39"/>
      <c r="M56" s="39"/>
      <c r="N56" s="50"/>
      <c r="O56" s="51"/>
      <c r="P56" s="52"/>
      <c r="Q56" s="51"/>
      <c r="R56" s="419"/>
      <c r="S56" s="419"/>
      <c r="T56" s="41"/>
      <c r="U56" s="41"/>
      <c r="V56" s="41"/>
      <c r="W56" s="41"/>
      <c r="X56" s="42"/>
      <c r="Y56" s="220"/>
      <c r="Z56" s="41"/>
      <c r="AA56" s="41"/>
      <c r="AB56" s="41"/>
      <c r="AC56" s="41"/>
      <c r="AD56" s="41">
        <f>+AM56+BA56</f>
        <v>8</v>
      </c>
      <c r="AE56" s="238" t="s">
        <v>592</v>
      </c>
      <c r="AF56" s="37"/>
      <c r="AG56" s="37"/>
      <c r="AH56" s="37">
        <v>8</v>
      </c>
      <c r="AI56" s="459"/>
      <c r="AJ56" s="41"/>
      <c r="AK56" s="41"/>
      <c r="AL56" s="41"/>
      <c r="AM56" s="41">
        <f>SUM(AF56:AL56)+AT56+AV56+AX56</f>
        <v>8</v>
      </c>
      <c r="AN56" s="41"/>
      <c r="AO56" s="41"/>
      <c r="AP56" s="41"/>
      <c r="AQ56" s="41"/>
      <c r="AR56" s="41">
        <f>SUM(AN56:AQ56)</f>
        <v>0</v>
      </c>
      <c r="AS56" s="41"/>
      <c r="AT56" s="41"/>
      <c r="AU56" s="41"/>
      <c r="AV56" s="41"/>
      <c r="AW56" s="41"/>
      <c r="AX56" s="41"/>
      <c r="AY56" s="41"/>
      <c r="AZ56" s="41"/>
      <c r="BA56" s="41">
        <f>+AR56+AS56+AU56+AW56+AY56+AZ56</f>
        <v>0</v>
      </c>
      <c r="BB56" s="37"/>
      <c r="BC56" s="57"/>
      <c r="BD56" s="57"/>
      <c r="BE56" s="37"/>
      <c r="BF56" s="57"/>
    </row>
    <row r="57" spans="1:58" ht="12.95" customHeight="1">
      <c r="A57" s="44"/>
      <c r="B57" s="45"/>
      <c r="C57" s="450"/>
      <c r="D57" s="45"/>
      <c r="E57" s="46"/>
      <c r="F57" s="46"/>
      <c r="G57" s="47"/>
      <c r="H57" s="48"/>
      <c r="I57" s="49"/>
      <c r="J57" s="88"/>
      <c r="K57" s="88"/>
      <c r="L57" s="39"/>
      <c r="M57" s="39"/>
      <c r="N57" s="50"/>
      <c r="O57" s="51"/>
      <c r="P57" s="52"/>
      <c r="Q57" s="38"/>
      <c r="R57" s="419"/>
      <c r="S57" s="419"/>
      <c r="T57" s="41"/>
      <c r="U57" s="41"/>
      <c r="V57" s="41"/>
      <c r="W57" s="41"/>
      <c r="X57" s="42"/>
      <c r="Y57" s="220"/>
      <c r="Z57" s="41"/>
      <c r="AA57" s="41"/>
      <c r="AB57" s="41"/>
      <c r="AC57" s="41"/>
      <c r="AD57" s="41"/>
      <c r="AE57" s="241"/>
      <c r="AF57" s="41"/>
      <c r="AG57" s="37"/>
      <c r="AH57" s="37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37"/>
      <c r="BC57" s="57"/>
      <c r="BD57" s="57"/>
      <c r="BE57" s="37"/>
      <c r="BF57" s="57"/>
    </row>
    <row r="58" spans="1:58" ht="12.95" customHeight="1">
      <c r="A58" s="343">
        <v>46125</v>
      </c>
      <c r="B58" s="45" t="s">
        <v>231</v>
      </c>
      <c r="C58" s="450">
        <f>(M58*E58*O58*Q58)/100000000</f>
        <v>70.095879110037714</v>
      </c>
      <c r="D58" s="45" t="s">
        <v>608</v>
      </c>
      <c r="E58" s="46">
        <v>16</v>
      </c>
      <c r="F58" s="46">
        <v>1</v>
      </c>
      <c r="G58" s="463">
        <v>1270</v>
      </c>
      <c r="H58" s="48">
        <v>0</v>
      </c>
      <c r="I58" s="49">
        <v>0.88</v>
      </c>
      <c r="J58" s="88">
        <f>E58*G58*(1-H58)*1440/1000000*2.77</f>
        <v>81.052415999999994</v>
      </c>
      <c r="K58" s="88">
        <f>(IF(G58&lt;L58,L58,G58)*(1-IF(H58&lt;N58,H58,N58))*E58*O58*Q58)/100000000</f>
        <v>76.663296000000003</v>
      </c>
      <c r="L58" s="39">
        <v>1165.2830188679245</v>
      </c>
      <c r="M58" s="39">
        <v>1161.2045283018865</v>
      </c>
      <c r="N58" s="50">
        <f>1-(M58/L58)</f>
        <v>3.5000000000002807E-3</v>
      </c>
      <c r="O58" s="51">
        <f>+'Trim Rwd'!H50</f>
        <v>262</v>
      </c>
      <c r="P58" s="52">
        <f>O58*(Q58-R58-S58)</f>
        <v>274838</v>
      </c>
      <c r="Q58" s="51">
        <v>1440</v>
      </c>
      <c r="R58" s="419">
        <v>380</v>
      </c>
      <c r="S58" s="419">
        <v>11</v>
      </c>
      <c r="T58" s="41">
        <f>E58*M58*O58*Q58/100000000</f>
        <v>70.095879110037714</v>
      </c>
      <c r="U58" s="41">
        <f>E58*M58*O58*(Q58-R58-S58)/100000000</f>
        <v>51.062900823909423</v>
      </c>
      <c r="V58" s="41">
        <f>E58*G58*(1-N58)*O58/100*(R58+S58)/1000000</f>
        <v>20.743357649599997</v>
      </c>
      <c r="W58" s="41">
        <f>+'13'!K34/1000</f>
        <v>55.878</v>
      </c>
      <c r="X58" s="416">
        <f>SUM(W58:W61)/SUM(K58:K61)</f>
        <v>0.72887552343170847</v>
      </c>
      <c r="Y58" s="220">
        <v>0</v>
      </c>
      <c r="Z58" s="41">
        <f>+'13'!D34/1000</f>
        <v>0.47399999999999998</v>
      </c>
      <c r="AA58" s="53">
        <f>SUM(U58:U61)-SUM(W58:W61)-SUM(Z58:Z61)-SUM(Y58:Y61)</f>
        <v>-5.289099176090577</v>
      </c>
      <c r="AB58" s="53">
        <f>(SUM(K58:K61)-SUM(W58:W61)-SUM(Y58:Y61)-SUM(Z58:Z61)-SUM(AC58:AC61)-SUM(V58:V61))-AA58</f>
        <v>-1.7103793634717057</v>
      </c>
      <c r="AC58" s="41">
        <f>K58-T58</f>
        <v>6.5674168899622885</v>
      </c>
      <c r="AD58" s="41">
        <f>+AM58+BA58</f>
        <v>0</v>
      </c>
      <c r="AE58" s="238" t="s">
        <v>277</v>
      </c>
      <c r="AF58" s="41">
        <v>0</v>
      </c>
      <c r="AG58" s="41"/>
      <c r="AH58" s="41"/>
      <c r="AI58" s="459"/>
      <c r="AJ58" s="41"/>
      <c r="AK58" s="41"/>
      <c r="AL58" s="41"/>
      <c r="AM58" s="41">
        <f>SUM(AF58:AL58)+AT58+AV58+AX58</f>
        <v>0</v>
      </c>
      <c r="AN58" s="41"/>
      <c r="AO58" s="41"/>
      <c r="AP58" s="41"/>
      <c r="AQ58" s="41"/>
      <c r="AR58" s="41">
        <f>SUM(AN58:AQ58)</f>
        <v>0</v>
      </c>
      <c r="AS58" s="41"/>
      <c r="AT58" s="41"/>
      <c r="AU58" s="41"/>
      <c r="AV58" s="41"/>
      <c r="AW58" s="41"/>
      <c r="AX58" s="41"/>
      <c r="AY58" s="41"/>
      <c r="AZ58" s="41"/>
      <c r="BA58" s="41">
        <f>+AR58+AS58+AU58+AW58+AY58+AZ58</f>
        <v>0</v>
      </c>
      <c r="BB58" s="37">
        <v>0</v>
      </c>
      <c r="BC58" s="55"/>
      <c r="BD58" s="55"/>
      <c r="BE58" s="37"/>
      <c r="BF58" s="55"/>
    </row>
    <row r="59" spans="1:58" ht="12.95" customHeight="1">
      <c r="A59" s="343"/>
      <c r="B59" s="45"/>
      <c r="C59" s="450"/>
      <c r="D59" s="45"/>
      <c r="E59" s="46"/>
      <c r="F59" s="46"/>
      <c r="G59" s="463"/>
      <c r="H59" s="48"/>
      <c r="I59" s="49"/>
      <c r="J59" s="88"/>
      <c r="K59" s="88"/>
      <c r="L59" s="39"/>
      <c r="M59" s="39"/>
      <c r="N59" s="50"/>
      <c r="O59" s="51"/>
      <c r="P59" s="52"/>
      <c r="Q59" s="51"/>
      <c r="R59" s="419"/>
      <c r="S59" s="419"/>
      <c r="T59" s="41"/>
      <c r="U59" s="41"/>
      <c r="V59" s="41"/>
      <c r="W59" s="41"/>
      <c r="X59" s="42"/>
      <c r="Y59" s="220"/>
      <c r="Z59" s="41"/>
      <c r="AA59" s="41"/>
      <c r="AB59" s="41"/>
      <c r="AC59" s="41"/>
      <c r="AD59" s="41">
        <f>+AM59+BA59</f>
        <v>0</v>
      </c>
      <c r="AE59" s="238" t="s">
        <v>591</v>
      </c>
      <c r="AF59" s="41"/>
      <c r="AG59" s="41">
        <v>0</v>
      </c>
      <c r="AH59" s="41"/>
      <c r="AI59" s="459"/>
      <c r="AJ59" s="41"/>
      <c r="AK59" s="41"/>
      <c r="AL59" s="41"/>
      <c r="AM59" s="41">
        <f>SUM(AF59:AL59)+AT59+AV59+AX59</f>
        <v>0</v>
      </c>
      <c r="AN59" s="89"/>
      <c r="AO59" s="41"/>
      <c r="AP59" s="41"/>
      <c r="AQ59" s="41"/>
      <c r="AR59" s="41">
        <f>SUM(AN59:AQ59)</f>
        <v>0</v>
      </c>
      <c r="AS59" s="41"/>
      <c r="AT59" s="41"/>
      <c r="AU59" s="41"/>
      <c r="AV59" s="41"/>
      <c r="AW59" s="41"/>
      <c r="AX59" s="41"/>
      <c r="AY59" s="41"/>
      <c r="AZ59" s="41"/>
      <c r="BA59" s="41">
        <f>+AR59+AS59+AU59+AW59+AY59+AZ59</f>
        <v>0</v>
      </c>
      <c r="BB59" s="54"/>
      <c r="BC59" s="55">
        <v>0</v>
      </c>
      <c r="BD59" s="55"/>
      <c r="BE59" s="54"/>
      <c r="BF59" s="55"/>
    </row>
    <row r="60" spans="1:58" ht="12.95" customHeight="1">
      <c r="A60" s="44"/>
      <c r="B60" s="45"/>
      <c r="C60" s="450"/>
      <c r="D60" s="45"/>
      <c r="E60" s="46"/>
      <c r="F60" s="46"/>
      <c r="G60" s="463"/>
      <c r="H60" s="48"/>
      <c r="I60" s="49"/>
      <c r="J60" s="88"/>
      <c r="K60" s="88"/>
      <c r="L60" s="39"/>
      <c r="M60" s="39"/>
      <c r="N60" s="50"/>
      <c r="O60" s="51"/>
      <c r="P60" s="52"/>
      <c r="Q60" s="51"/>
      <c r="R60" s="419"/>
      <c r="S60" s="419"/>
      <c r="T60" s="41"/>
      <c r="U60" s="41"/>
      <c r="V60" s="41"/>
      <c r="W60" s="41"/>
      <c r="X60" s="42"/>
      <c r="Y60" s="220"/>
      <c r="Z60" s="41"/>
      <c r="AA60" s="41"/>
      <c r="AB60" s="41"/>
      <c r="AC60" s="41"/>
      <c r="AD60" s="41">
        <f>+AM60+BA60</f>
        <v>11</v>
      </c>
      <c r="AE60" s="238" t="s">
        <v>634</v>
      </c>
      <c r="AF60" s="37"/>
      <c r="AG60" s="37"/>
      <c r="AH60" s="37">
        <v>11</v>
      </c>
      <c r="AI60" s="459"/>
      <c r="AJ60" s="41"/>
      <c r="AK60" s="41"/>
      <c r="AL60" s="41"/>
      <c r="AM60" s="41">
        <f>SUM(AF60:AL60)+AT60+AV60+AX60</f>
        <v>11</v>
      </c>
      <c r="AN60" s="41"/>
      <c r="AO60" s="41"/>
      <c r="AP60" s="41"/>
      <c r="AQ60" s="41"/>
      <c r="AR60" s="41">
        <f>SUM(AN60:AQ60)</f>
        <v>0</v>
      </c>
      <c r="AS60" s="41"/>
      <c r="AT60" s="41"/>
      <c r="AU60" s="41"/>
      <c r="AV60" s="41"/>
      <c r="AW60" s="41"/>
      <c r="AX60" s="41"/>
      <c r="AY60" s="41"/>
      <c r="AZ60" s="41"/>
      <c r="BA60" s="41">
        <f>+AR60+AS60+AU60+AW60+AY60+AZ60</f>
        <v>0</v>
      </c>
      <c r="BB60" s="37"/>
      <c r="BC60" s="57"/>
      <c r="BD60" s="57"/>
      <c r="BE60" s="37"/>
      <c r="BF60" s="57"/>
    </row>
    <row r="61" spans="1:58" ht="12.95" customHeight="1">
      <c r="A61" s="44"/>
      <c r="B61" s="45"/>
      <c r="C61" s="450"/>
      <c r="D61" s="45"/>
      <c r="E61" s="46"/>
      <c r="F61" s="46"/>
      <c r="G61" s="47"/>
      <c r="H61" s="48"/>
      <c r="I61" s="49"/>
      <c r="J61" s="88"/>
      <c r="K61" s="88"/>
      <c r="L61" s="39"/>
      <c r="M61" s="39"/>
      <c r="N61" s="50"/>
      <c r="O61" s="51"/>
      <c r="P61" s="52"/>
      <c r="Q61" s="38"/>
      <c r="R61" s="419"/>
      <c r="S61" s="419"/>
      <c r="T61" s="41"/>
      <c r="U61" s="41"/>
      <c r="V61" s="41"/>
      <c r="W61" s="41"/>
      <c r="X61" s="42"/>
      <c r="Y61" s="220"/>
      <c r="Z61" s="41"/>
      <c r="AA61" s="41"/>
      <c r="AB61" s="41"/>
      <c r="AC61" s="41"/>
      <c r="AD61" s="41">
        <f>+AM61+BA61</f>
        <v>380</v>
      </c>
      <c r="AE61" s="241" t="s">
        <v>635</v>
      </c>
      <c r="AF61" s="41"/>
      <c r="AG61" s="37"/>
      <c r="AH61" s="37"/>
      <c r="AI61" s="459"/>
      <c r="AJ61" s="41"/>
      <c r="AK61" s="41"/>
      <c r="AL61" s="41"/>
      <c r="AM61" s="41">
        <f>SUM(AF61:AL61)+AT61+AV61+AX61</f>
        <v>0</v>
      </c>
      <c r="AN61" s="41"/>
      <c r="AO61" s="41"/>
      <c r="AP61" s="41"/>
      <c r="AQ61" s="41"/>
      <c r="AR61" s="41">
        <f>SUM(AN61:AQ61)</f>
        <v>0</v>
      </c>
      <c r="AS61" s="41"/>
      <c r="AT61" s="41"/>
      <c r="AU61" s="41"/>
      <c r="AV61" s="41"/>
      <c r="AW61" s="41"/>
      <c r="AX61" s="41"/>
      <c r="AY61" s="41">
        <v>380</v>
      </c>
      <c r="AZ61" s="41"/>
      <c r="BA61" s="41">
        <f>+AR61+AS61+AU61+AW61+AY61+AZ61</f>
        <v>380</v>
      </c>
      <c r="BB61" s="37"/>
      <c r="BC61" s="57"/>
      <c r="BD61" s="57"/>
      <c r="BE61" s="37"/>
      <c r="BF61" s="57"/>
    </row>
    <row r="62" spans="1:58" ht="12.75" customHeight="1">
      <c r="A62" s="44"/>
      <c r="B62" s="45"/>
      <c r="C62" s="450"/>
      <c r="D62" s="45"/>
      <c r="E62" s="46"/>
      <c r="F62" s="46"/>
      <c r="G62" s="47"/>
      <c r="H62" s="48"/>
      <c r="I62" s="49"/>
      <c r="J62" s="88"/>
      <c r="K62" s="88"/>
      <c r="L62" s="39"/>
      <c r="M62" s="39"/>
      <c r="N62" s="50"/>
      <c r="O62" s="51"/>
      <c r="P62" s="52"/>
      <c r="Q62" s="51"/>
      <c r="R62" s="419"/>
      <c r="S62" s="419"/>
      <c r="T62" s="41"/>
      <c r="U62" s="41"/>
      <c r="V62" s="41"/>
      <c r="W62" s="41"/>
      <c r="X62" s="42"/>
      <c r="Y62" s="220"/>
      <c r="Z62" s="41"/>
      <c r="AA62" s="41"/>
      <c r="AB62" s="41"/>
      <c r="AC62" s="41"/>
      <c r="AD62" s="41"/>
      <c r="AE62" s="238"/>
      <c r="AF62" s="37"/>
      <c r="AG62" s="37"/>
      <c r="AH62" s="37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37"/>
      <c r="BC62" s="57"/>
      <c r="BD62" s="55"/>
      <c r="BE62" s="55"/>
      <c r="BF62" s="55"/>
    </row>
    <row r="63" spans="1:58" ht="12.95" customHeight="1">
      <c r="A63" s="343">
        <v>46126</v>
      </c>
      <c r="B63" s="45" t="s">
        <v>231</v>
      </c>
      <c r="C63" s="450">
        <f>(M63*E63*O63*Q63)/100000000</f>
        <v>78.259274495999989</v>
      </c>
      <c r="D63" s="45" t="s">
        <v>608</v>
      </c>
      <c r="E63" s="46">
        <v>16</v>
      </c>
      <c r="F63" s="46">
        <v>1</v>
      </c>
      <c r="G63" s="463">
        <v>1270</v>
      </c>
      <c r="H63" s="48">
        <v>0</v>
      </c>
      <c r="I63" s="49">
        <v>0.88</v>
      </c>
      <c r="J63" s="88">
        <f>E63*G63*(1-H63)*1440/1000000*2.77</f>
        <v>81.052415999999994</v>
      </c>
      <c r="K63" s="88">
        <f>(IF(G63&lt;L63,L63,G63)*(1-IF(H63&lt;N63,H63,N63))*E63*O63*Q63)/100000000</f>
        <v>78.7408128</v>
      </c>
      <c r="L63" s="39">
        <v>1266.6666666666667</v>
      </c>
      <c r="M63" s="39">
        <v>1262.2333333333331</v>
      </c>
      <c r="N63" s="50">
        <f>1-(M63/L63)</f>
        <v>3.5000000000002807E-3</v>
      </c>
      <c r="O63" s="51">
        <f>+'Trim Rwd'!H52</f>
        <v>269.10000000000002</v>
      </c>
      <c r="P63" s="52">
        <f>O63*(Q63-R63-S63)</f>
        <v>382929.30000000005</v>
      </c>
      <c r="Q63" s="51">
        <v>1440</v>
      </c>
      <c r="R63" s="419">
        <v>0</v>
      </c>
      <c r="S63" s="419">
        <v>17</v>
      </c>
      <c r="T63" s="41">
        <f>E63*M63*O63*Q63/100000000</f>
        <v>78.259274495999989</v>
      </c>
      <c r="U63" s="41">
        <f>E63*M63*O63*(Q63-R63-S63)/100000000</f>
        <v>77.335380283199996</v>
      </c>
      <c r="V63" s="41">
        <f>E63*G63*(1-N63)*O63/100*(R63+S63)/1000000</f>
        <v>0.9263255133599998</v>
      </c>
      <c r="W63" s="41">
        <f>+'14'!K34/1000</f>
        <v>73.936999999999998</v>
      </c>
      <c r="X63" s="416">
        <f>SUM(W63:W66)/SUM(K63:K66)</f>
        <v>0.93899208518203148</v>
      </c>
      <c r="Y63" s="220">
        <v>0</v>
      </c>
      <c r="Z63" s="41">
        <f>+'14'!D34/1000</f>
        <v>1.2629999999999999</v>
      </c>
      <c r="AA63" s="53">
        <f>SUM(U63:U66)-SUM(W63:W66)-SUM(Z63:Z66)-SUM(Y63:Y66)</f>
        <v>2.1353802831999982</v>
      </c>
      <c r="AB63" s="53">
        <f>(SUM(K63:K66)-SUM(W63:W66)-SUM(Y63:Y66)-SUM(Z63:Z66)-SUM(AC63:AC66)-SUM(V63:V66))-AA63</f>
        <v>-2.4313005600062887E-3</v>
      </c>
      <c r="AC63" s="41">
        <f>K63-T63</f>
        <v>0.48153830400001141</v>
      </c>
      <c r="AD63" s="41">
        <f>+AM63+BA63</f>
        <v>0</v>
      </c>
      <c r="AE63" s="238" t="s">
        <v>277</v>
      </c>
      <c r="AF63" s="41">
        <v>0</v>
      </c>
      <c r="AG63" s="41"/>
      <c r="AH63" s="41"/>
      <c r="AI63" s="459"/>
      <c r="AJ63" s="41"/>
      <c r="AK63" s="41"/>
      <c r="AL63" s="41"/>
      <c r="AM63" s="41">
        <f>SUM(AF63:AL63)+AT63+AV63+AX63</f>
        <v>0</v>
      </c>
      <c r="AN63" s="41"/>
      <c r="AO63" s="41"/>
      <c r="AP63" s="41"/>
      <c r="AQ63" s="41"/>
      <c r="AR63" s="41">
        <f>SUM(AN63:AQ63)</f>
        <v>0</v>
      </c>
      <c r="AS63" s="41"/>
      <c r="AT63" s="41"/>
      <c r="AU63" s="41"/>
      <c r="AV63" s="41"/>
      <c r="AW63" s="41"/>
      <c r="AX63" s="41"/>
      <c r="AY63" s="41"/>
      <c r="AZ63" s="41"/>
      <c r="BA63" s="41">
        <f>+AR63+AS63+AU63+AW63+AY63+AZ63</f>
        <v>0</v>
      </c>
      <c r="BB63" s="37">
        <v>0</v>
      </c>
      <c r="BC63" s="55"/>
      <c r="BD63" s="55"/>
      <c r="BE63" s="37"/>
      <c r="BF63" s="55"/>
    </row>
    <row r="64" spans="1:58" ht="12.95" customHeight="1">
      <c r="A64" s="343"/>
      <c r="B64" s="45"/>
      <c r="C64" s="450"/>
      <c r="D64" s="45"/>
      <c r="E64" s="46"/>
      <c r="F64" s="46"/>
      <c r="G64" s="463"/>
      <c r="H64" s="48"/>
      <c r="I64" s="49"/>
      <c r="J64" s="88"/>
      <c r="K64" s="88"/>
      <c r="L64" s="39"/>
      <c r="M64" s="39"/>
      <c r="N64" s="50"/>
      <c r="O64" s="51"/>
      <c r="P64" s="52"/>
      <c r="Q64" s="51"/>
      <c r="R64" s="419"/>
      <c r="S64" s="419"/>
      <c r="T64" s="41"/>
      <c r="U64" s="41"/>
      <c r="V64" s="41"/>
      <c r="W64" s="41"/>
      <c r="X64" s="42"/>
      <c r="Y64" s="220"/>
      <c r="Z64" s="41"/>
      <c r="AA64" s="41"/>
      <c r="AB64" s="41"/>
      <c r="AC64" s="41"/>
      <c r="AD64" s="41">
        <f>+AM64+BA64</f>
        <v>1</v>
      </c>
      <c r="AE64" s="238" t="s">
        <v>640</v>
      </c>
      <c r="AF64" s="41"/>
      <c r="AG64" s="41">
        <v>1</v>
      </c>
      <c r="AH64" s="41"/>
      <c r="AI64" s="459"/>
      <c r="AJ64" s="41"/>
      <c r="AK64" s="41"/>
      <c r="AL64" s="41"/>
      <c r="AM64" s="41">
        <f>SUM(AF64:AL64)+AT64+AV64+AX64</f>
        <v>1</v>
      </c>
      <c r="AN64" s="89"/>
      <c r="AO64" s="41"/>
      <c r="AP64" s="41"/>
      <c r="AQ64" s="41"/>
      <c r="AR64" s="41">
        <f>SUM(AN64:AQ64)</f>
        <v>0</v>
      </c>
      <c r="AS64" s="41"/>
      <c r="AT64" s="41"/>
      <c r="AU64" s="41"/>
      <c r="AV64" s="41"/>
      <c r="AW64" s="41"/>
      <c r="AX64" s="41"/>
      <c r="AY64" s="41"/>
      <c r="AZ64" s="41"/>
      <c r="BA64" s="41">
        <f>+AR64+AS64+AU64+AW64+AY64+AZ64</f>
        <v>0</v>
      </c>
      <c r="BB64" s="54"/>
      <c r="BC64" s="55">
        <v>1</v>
      </c>
      <c r="BD64" s="55"/>
      <c r="BE64" s="54"/>
      <c r="BF64" s="55"/>
    </row>
    <row r="65" spans="1:58" ht="12.95" customHeight="1">
      <c r="A65" s="44"/>
      <c r="B65" s="45"/>
      <c r="C65" s="450"/>
      <c r="D65" s="45"/>
      <c r="E65" s="46"/>
      <c r="F65" s="46"/>
      <c r="G65" s="463"/>
      <c r="H65" s="48"/>
      <c r="I65" s="49"/>
      <c r="J65" s="88"/>
      <c r="K65" s="88"/>
      <c r="L65" s="39"/>
      <c r="M65" s="39"/>
      <c r="N65" s="50"/>
      <c r="O65" s="51"/>
      <c r="P65" s="52"/>
      <c r="Q65" s="51"/>
      <c r="R65" s="419"/>
      <c r="S65" s="419"/>
      <c r="T65" s="41"/>
      <c r="U65" s="41"/>
      <c r="V65" s="41"/>
      <c r="W65" s="41"/>
      <c r="X65" s="42"/>
      <c r="Y65" s="220"/>
      <c r="Z65" s="41"/>
      <c r="AA65" s="41"/>
      <c r="AB65" s="41"/>
      <c r="AC65" s="41"/>
      <c r="AD65" s="41">
        <f>+AM65+BA65</f>
        <v>16</v>
      </c>
      <c r="AE65" s="238" t="s">
        <v>612</v>
      </c>
      <c r="AF65" s="37"/>
      <c r="AG65" s="37"/>
      <c r="AH65" s="37">
        <v>16</v>
      </c>
      <c r="AI65" s="459"/>
      <c r="AJ65" s="41"/>
      <c r="AK65" s="41"/>
      <c r="AL65" s="41"/>
      <c r="AM65" s="41">
        <f>SUM(AF65:AL65)+AT65+AV65+AX65</f>
        <v>16</v>
      </c>
      <c r="AN65" s="41"/>
      <c r="AO65" s="41"/>
      <c r="AP65" s="41"/>
      <c r="AQ65" s="41"/>
      <c r="AR65" s="41">
        <f>SUM(AN65:AQ65)</f>
        <v>0</v>
      </c>
      <c r="AS65" s="41"/>
      <c r="AT65" s="41"/>
      <c r="AU65" s="41"/>
      <c r="AV65" s="41"/>
      <c r="AW65" s="41"/>
      <c r="AX65" s="41"/>
      <c r="AY65" s="41"/>
      <c r="AZ65" s="41"/>
      <c r="BA65" s="41">
        <f>+AR65+AS65+AU65+AW65+AY65+AZ65</f>
        <v>0</v>
      </c>
      <c r="BB65" s="37"/>
      <c r="BC65" s="57"/>
      <c r="BD65" s="57"/>
      <c r="BE65" s="37"/>
      <c r="BF65" s="57"/>
    </row>
    <row r="66" spans="1:58" ht="12.95" customHeight="1">
      <c r="A66" s="44"/>
      <c r="B66" s="45"/>
      <c r="C66" s="450"/>
      <c r="D66" s="45"/>
      <c r="E66" s="46"/>
      <c r="F66" s="46"/>
      <c r="G66" s="47"/>
      <c r="H66" s="48"/>
      <c r="I66" s="49"/>
      <c r="J66" s="88"/>
      <c r="K66" s="88"/>
      <c r="L66" s="39"/>
      <c r="M66" s="39"/>
      <c r="N66" s="50"/>
      <c r="O66" s="51"/>
      <c r="P66" s="52"/>
      <c r="Q66" s="38"/>
      <c r="R66" s="419"/>
      <c r="S66" s="419"/>
      <c r="T66" s="41"/>
      <c r="U66" s="41"/>
      <c r="V66" s="41"/>
      <c r="W66" s="41"/>
      <c r="X66" s="42"/>
      <c r="Y66" s="220"/>
      <c r="Z66" s="41"/>
      <c r="AA66" s="41"/>
      <c r="AB66" s="41"/>
      <c r="AC66" s="41"/>
      <c r="AD66" s="41"/>
      <c r="AE66" s="241"/>
      <c r="AF66" s="41"/>
      <c r="AG66" s="37"/>
      <c r="AH66" s="37"/>
      <c r="AI66" s="459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37"/>
      <c r="BC66" s="57"/>
      <c r="BD66" s="57"/>
      <c r="BE66" s="37"/>
      <c r="BF66" s="57"/>
    </row>
    <row r="67" spans="1:58" ht="12.95" customHeight="1">
      <c r="A67" s="343">
        <v>46127</v>
      </c>
      <c r="B67" s="45" t="s">
        <v>231</v>
      </c>
      <c r="C67" s="450">
        <f>(M67*E67*O67*Q67)/100000000</f>
        <v>78.057232127999995</v>
      </c>
      <c r="D67" s="45" t="s">
        <v>608</v>
      </c>
      <c r="E67" s="46">
        <v>16</v>
      </c>
      <c r="F67" s="46">
        <v>1</v>
      </c>
      <c r="G67" s="463">
        <v>1270</v>
      </c>
      <c r="H67" s="48">
        <v>0</v>
      </c>
      <c r="I67" s="49">
        <v>0.88</v>
      </c>
      <c r="J67" s="88">
        <f>E67*G67*(1-H67)*1440/1000000*2.77</f>
        <v>81.052415999999994</v>
      </c>
      <c r="K67" s="88">
        <f>(IF(G67&lt;L67,L67,G67)*(1-IF(H67&lt;N67,H67,N67))*E67*O67*Q67)/100000000</f>
        <v>78.331391999999994</v>
      </c>
      <c r="L67" s="39">
        <v>1273.3333333333333</v>
      </c>
      <c r="M67" s="39">
        <v>1268.8766666666666</v>
      </c>
      <c r="N67" s="50">
        <f>1-(M67/L67)</f>
        <v>3.5000000000000586E-3</v>
      </c>
      <c r="O67" s="51">
        <f>+'Trim Rwd'!H56</f>
        <v>267</v>
      </c>
      <c r="P67" s="52">
        <f>O67*(Q67-R67-S67)</f>
        <v>381810</v>
      </c>
      <c r="Q67" s="51">
        <v>1440</v>
      </c>
      <c r="R67" s="419">
        <v>0</v>
      </c>
      <c r="S67" s="419">
        <v>10</v>
      </c>
      <c r="T67" s="41">
        <f>E67*M67*O67*Q67/100000000</f>
        <v>78.057232127999995</v>
      </c>
      <c r="U67" s="41">
        <f>E67*M67*O67*(Q67-R67-S67)/100000000</f>
        <v>77.51516801599999</v>
      </c>
      <c r="V67" s="41">
        <f>E67*G67*(1-N67)*O67/100*(R67+S67)/1000000</f>
        <v>0.54064509599999988</v>
      </c>
      <c r="W67" s="41">
        <f>+'15'!K34/1000</f>
        <v>80.088999999999999</v>
      </c>
      <c r="X67" s="416">
        <f>SUM(W67:W70)/SUM(K67:K70)</f>
        <v>1.0224381050192495</v>
      </c>
      <c r="Y67" s="220">
        <v>0</v>
      </c>
      <c r="Z67" s="41">
        <f>+'15'!D34/1000</f>
        <v>0.70599999999999996</v>
      </c>
      <c r="AA67" s="53">
        <f>SUM(U67:U70)-SUM(W67:W70)-SUM(Z67:Z70)-SUM(Y67:Y70)</f>
        <v>-3.2798319840000087</v>
      </c>
      <c r="AB67" s="53">
        <f>(SUM(K67:K70)-SUM(W67:W70)-SUM(Y67:Y70)-SUM(Z67:Z70)-SUM(AC67:AC70)-SUM(V67:V70))-AA67</f>
        <v>1.4190160000056018E-3</v>
      </c>
      <c r="AC67" s="41">
        <f>K67-T67</f>
        <v>0.27415987199999847</v>
      </c>
      <c r="AD67" s="41">
        <f>+AM67+BA67</f>
        <v>0</v>
      </c>
      <c r="AE67" s="238" t="s">
        <v>277</v>
      </c>
      <c r="AF67" s="41">
        <v>0</v>
      </c>
      <c r="AG67" s="41"/>
      <c r="AH67" s="41"/>
      <c r="AI67" s="459"/>
      <c r="AJ67" s="41"/>
      <c r="AK67" s="41"/>
      <c r="AL67" s="41"/>
      <c r="AM67" s="41">
        <f>SUM(AF67:AL67)+AT67+AV67+AX67</f>
        <v>0</v>
      </c>
      <c r="AN67" s="41"/>
      <c r="AO67" s="41"/>
      <c r="AP67" s="41"/>
      <c r="AQ67" s="41"/>
      <c r="AR67" s="41">
        <f>SUM(AN67:AQ67)</f>
        <v>0</v>
      </c>
      <c r="AS67" s="41"/>
      <c r="AT67" s="41"/>
      <c r="AU67" s="41"/>
      <c r="AV67" s="41"/>
      <c r="AW67" s="41"/>
      <c r="AX67" s="41"/>
      <c r="AY67" s="41"/>
      <c r="AZ67" s="41"/>
      <c r="BA67" s="41">
        <f>+AR67+AS67+AU67+AW67+AY67+AZ67</f>
        <v>0</v>
      </c>
      <c r="BB67" s="37">
        <v>0</v>
      </c>
      <c r="BC67" s="55"/>
      <c r="BD67" s="55"/>
      <c r="BE67" s="37"/>
      <c r="BF67" s="55"/>
    </row>
    <row r="68" spans="1:58" ht="12.95" customHeight="1">
      <c r="A68" s="343"/>
      <c r="B68" s="45"/>
      <c r="C68" s="450"/>
      <c r="D68" s="45"/>
      <c r="E68" s="46"/>
      <c r="F68" s="46"/>
      <c r="G68" s="463"/>
      <c r="H68" s="48"/>
      <c r="I68" s="49"/>
      <c r="J68" s="88"/>
      <c r="K68" s="88"/>
      <c r="L68" s="39"/>
      <c r="M68" s="39"/>
      <c r="N68" s="50"/>
      <c r="O68" s="51"/>
      <c r="P68" s="52"/>
      <c r="Q68" s="51"/>
      <c r="R68" s="419"/>
      <c r="S68" s="419"/>
      <c r="T68" s="41"/>
      <c r="U68" s="41"/>
      <c r="V68" s="41"/>
      <c r="W68" s="41"/>
      <c r="X68" s="42"/>
      <c r="Y68" s="220"/>
      <c r="Z68" s="41"/>
      <c r="AA68" s="41"/>
      <c r="AB68" s="41"/>
      <c r="AC68" s="41"/>
      <c r="AD68" s="41">
        <f>+AM68+BA68</f>
        <v>1</v>
      </c>
      <c r="AE68" s="238" t="s">
        <v>640</v>
      </c>
      <c r="AF68" s="41"/>
      <c r="AG68" s="41">
        <v>1</v>
      </c>
      <c r="AH68" s="41"/>
      <c r="AI68" s="459"/>
      <c r="AJ68" s="41"/>
      <c r="AK68" s="41"/>
      <c r="AL68" s="41"/>
      <c r="AM68" s="41">
        <f>SUM(AF68:AL68)+AT68+AV68+AX68</f>
        <v>1</v>
      </c>
      <c r="AN68" s="89"/>
      <c r="AO68" s="41"/>
      <c r="AP68" s="41"/>
      <c r="AQ68" s="41"/>
      <c r="AR68" s="41">
        <f>SUM(AN68:AQ68)</f>
        <v>0</v>
      </c>
      <c r="AS68" s="41"/>
      <c r="AT68" s="41"/>
      <c r="AU68" s="41"/>
      <c r="AV68" s="41"/>
      <c r="AW68" s="41"/>
      <c r="AX68" s="41"/>
      <c r="AY68" s="41"/>
      <c r="AZ68" s="41"/>
      <c r="BA68" s="41">
        <f>+AR68+AS68+AU68+AW68+AY68+AZ68</f>
        <v>0</v>
      </c>
      <c r="BB68" s="54"/>
      <c r="BC68" s="55">
        <v>1</v>
      </c>
      <c r="BD68" s="55"/>
      <c r="BE68" s="54"/>
      <c r="BF68" s="55"/>
    </row>
    <row r="69" spans="1:58" ht="12.95" customHeight="1">
      <c r="A69" s="44"/>
      <c r="B69" s="45"/>
      <c r="C69" s="450"/>
      <c r="D69" s="45"/>
      <c r="E69" s="46"/>
      <c r="F69" s="46"/>
      <c r="G69" s="463"/>
      <c r="H69" s="48"/>
      <c r="I69" s="49"/>
      <c r="J69" s="88"/>
      <c r="K69" s="88"/>
      <c r="L69" s="39"/>
      <c r="M69" s="39"/>
      <c r="N69" s="50"/>
      <c r="O69" s="51"/>
      <c r="P69" s="52"/>
      <c r="Q69" s="51"/>
      <c r="R69" s="419"/>
      <c r="S69" s="419"/>
      <c r="T69" s="41"/>
      <c r="U69" s="41"/>
      <c r="V69" s="41"/>
      <c r="W69" s="41"/>
      <c r="X69" s="42"/>
      <c r="Y69" s="220"/>
      <c r="Z69" s="41"/>
      <c r="AA69" s="41"/>
      <c r="AB69" s="41"/>
      <c r="AC69" s="41"/>
      <c r="AD69" s="41">
        <f>+AM69+BA69</f>
        <v>9</v>
      </c>
      <c r="AE69" s="238" t="s">
        <v>592</v>
      </c>
      <c r="AF69" s="37"/>
      <c r="AG69" s="37"/>
      <c r="AH69" s="37">
        <v>9</v>
      </c>
      <c r="AI69" s="459"/>
      <c r="AJ69" s="41"/>
      <c r="AK69" s="41"/>
      <c r="AL69" s="41"/>
      <c r="AM69" s="41">
        <f>SUM(AF69:AL69)+AT69+AV69+AX69</f>
        <v>9</v>
      </c>
      <c r="AN69" s="41"/>
      <c r="AO69" s="41"/>
      <c r="AP69" s="41"/>
      <c r="AQ69" s="41"/>
      <c r="AR69" s="41">
        <f>SUM(AN69:AQ69)</f>
        <v>0</v>
      </c>
      <c r="AS69" s="41"/>
      <c r="AT69" s="41"/>
      <c r="AU69" s="41"/>
      <c r="AV69" s="41"/>
      <c r="AW69" s="41"/>
      <c r="AX69" s="41"/>
      <c r="AY69" s="41"/>
      <c r="AZ69" s="41"/>
      <c r="BA69" s="41">
        <f>+AR69+AS69+AU69+AW69+AY69+AZ69</f>
        <v>0</v>
      </c>
      <c r="BB69" s="37"/>
      <c r="BC69" s="57"/>
      <c r="BD69" s="57"/>
      <c r="BE69" s="37"/>
      <c r="BF69" s="57"/>
    </row>
    <row r="70" spans="1:58" ht="12.95" customHeight="1">
      <c r="A70" s="44"/>
      <c r="B70" s="45"/>
      <c r="C70" s="450"/>
      <c r="D70" s="45"/>
      <c r="E70" s="46"/>
      <c r="F70" s="46"/>
      <c r="G70" s="47"/>
      <c r="H70" s="48"/>
      <c r="I70" s="49"/>
      <c r="J70" s="88"/>
      <c r="K70" s="88"/>
      <c r="L70" s="39"/>
      <c r="M70" s="39"/>
      <c r="N70" s="50"/>
      <c r="O70" s="51"/>
      <c r="P70" s="52"/>
      <c r="Q70" s="38"/>
      <c r="R70" s="419"/>
      <c r="S70" s="419"/>
      <c r="T70" s="41"/>
      <c r="U70" s="41"/>
      <c r="V70" s="41"/>
      <c r="W70" s="41"/>
      <c r="X70" s="42"/>
      <c r="Y70" s="220"/>
      <c r="Z70" s="41"/>
      <c r="AA70" s="41"/>
      <c r="AB70" s="41"/>
      <c r="AC70" s="41"/>
      <c r="AD70" s="41"/>
      <c r="AE70" s="241"/>
      <c r="AF70" s="41"/>
      <c r="AG70" s="37"/>
      <c r="AH70" s="37"/>
      <c r="AI70" s="459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37"/>
      <c r="BC70" s="57"/>
      <c r="BD70" s="57"/>
      <c r="BE70" s="37"/>
      <c r="BF70" s="57"/>
    </row>
    <row r="71" spans="1:58" ht="12.95" customHeight="1">
      <c r="A71" s="343">
        <v>46128</v>
      </c>
      <c r="B71" s="45" t="s">
        <v>231</v>
      </c>
      <c r="C71" s="450">
        <f>(M71*E71*O71*Q71)/100000000</f>
        <v>79.691938560000011</v>
      </c>
      <c r="D71" s="45" t="s">
        <v>608</v>
      </c>
      <c r="E71" s="46">
        <v>16</v>
      </c>
      <c r="F71" s="46">
        <v>1</v>
      </c>
      <c r="G71" s="463">
        <v>1270</v>
      </c>
      <c r="H71" s="48">
        <v>0</v>
      </c>
      <c r="I71" s="49">
        <v>0.88</v>
      </c>
      <c r="J71" s="88">
        <f>E71*G71*(1-H71)*1440/1000000*2.77</f>
        <v>81.052415999999994</v>
      </c>
      <c r="K71" s="88">
        <f>(IF(G71&lt;L71,L71,G71)*(1-IF(H71&lt;N71,H71,N71))*E71*O71*Q71)/100000000</f>
        <v>79.97184</v>
      </c>
      <c r="L71" s="39">
        <v>1300</v>
      </c>
      <c r="M71" s="39">
        <f>+L71-L71*0.0035</f>
        <v>1295.45</v>
      </c>
      <c r="N71" s="50">
        <f>1-(M71/L71)</f>
        <v>3.4999999999999476E-3</v>
      </c>
      <c r="O71" s="51">
        <f>+'Trim Rwd'!H58</f>
        <v>267</v>
      </c>
      <c r="P71" s="52">
        <f>O71*(Q71-R71-S71)</f>
        <v>382878</v>
      </c>
      <c r="Q71" s="51">
        <v>1440</v>
      </c>
      <c r="R71" s="419">
        <v>0</v>
      </c>
      <c r="S71" s="419">
        <v>6</v>
      </c>
      <c r="T71" s="41">
        <f>E71*M71*O71*Q71/100000000</f>
        <v>79.691938560000011</v>
      </c>
      <c r="U71" s="41">
        <f>E71*M71*O71*(Q71-R71-S71)/100000000</f>
        <v>79.359888816000009</v>
      </c>
      <c r="V71" s="41">
        <f>E71*G71*(1-N71)*O71/100*(R71+S71)/1000000</f>
        <v>0.32438705759999997</v>
      </c>
      <c r="W71" s="41">
        <f>+'16'!K34/1000</f>
        <v>79.995000000000005</v>
      </c>
      <c r="X71" s="416">
        <f>SUM(W71:W74)/SUM(K71:K74)</f>
        <v>1.0002896019398828</v>
      </c>
      <c r="Y71" s="220">
        <v>0</v>
      </c>
      <c r="Z71" s="41">
        <f>+'16'!D34/1000</f>
        <v>0.74299999999999999</v>
      </c>
      <c r="AA71" s="53">
        <f>SUM(U71:U74)-SUM(W71:W74)-SUM(Z71:Z74)-SUM(Y71:Y74)</f>
        <v>-1.3781111839999958</v>
      </c>
      <c r="AB71" s="53">
        <f>(SUM(K71:K74)-SUM(W71:W74)-SUM(Y71:Y74)-SUM(Z71:Z74)-SUM(AC71:AC74)-SUM(V71:V74))-AA71</f>
        <v>7.6626864000024497E-3</v>
      </c>
      <c r="AC71" s="41">
        <f>K71-T71</f>
        <v>0.27990143999998907</v>
      </c>
      <c r="AD71" s="41">
        <f>+AM71+BA71</f>
        <v>0</v>
      </c>
      <c r="AE71" s="238" t="s">
        <v>277</v>
      </c>
      <c r="AF71" s="41">
        <v>0</v>
      </c>
      <c r="AG71" s="41"/>
      <c r="AH71" s="41"/>
      <c r="AI71" s="459"/>
      <c r="AJ71" s="41"/>
      <c r="AK71" s="41"/>
      <c r="AL71" s="41"/>
      <c r="AM71" s="41">
        <f>SUM(AF71:AL71)+AT71+AV71+AX71</f>
        <v>0</v>
      </c>
      <c r="AN71" s="41"/>
      <c r="AO71" s="41"/>
      <c r="AP71" s="41"/>
      <c r="AQ71" s="41"/>
      <c r="AR71" s="41">
        <f>SUM(AN71:AQ71)</f>
        <v>0</v>
      </c>
      <c r="AS71" s="41"/>
      <c r="AT71" s="41"/>
      <c r="AU71" s="41"/>
      <c r="AV71" s="41"/>
      <c r="AW71" s="41"/>
      <c r="AX71" s="41"/>
      <c r="AY71" s="41"/>
      <c r="AZ71" s="41"/>
      <c r="BA71" s="41">
        <f>+AR71+AS71+AU71+AW71+AY71+AZ71</f>
        <v>0</v>
      </c>
      <c r="BB71" s="37">
        <v>0</v>
      </c>
      <c r="BC71" s="55"/>
      <c r="BD71" s="55"/>
      <c r="BE71" s="37"/>
      <c r="BF71" s="55"/>
    </row>
    <row r="72" spans="1:58" ht="12.95" customHeight="1">
      <c r="A72" s="343"/>
      <c r="B72" s="45"/>
      <c r="C72" s="450"/>
      <c r="D72" s="45"/>
      <c r="E72" s="46"/>
      <c r="F72" s="46"/>
      <c r="G72" s="463"/>
      <c r="H72" s="48"/>
      <c r="I72" s="49"/>
      <c r="J72" s="88"/>
      <c r="K72" s="88"/>
      <c r="L72" s="39"/>
      <c r="M72" s="39"/>
      <c r="N72" s="50"/>
      <c r="O72" s="51"/>
      <c r="P72" s="52"/>
      <c r="Q72" s="51"/>
      <c r="R72" s="419"/>
      <c r="S72" s="419"/>
      <c r="T72" s="41"/>
      <c r="U72" s="41"/>
      <c r="V72" s="41"/>
      <c r="W72" s="41"/>
      <c r="X72" s="42"/>
      <c r="Y72" s="220"/>
      <c r="Z72" s="41"/>
      <c r="AA72" s="41"/>
      <c r="AB72" s="41"/>
      <c r="AC72" s="41"/>
      <c r="AD72" s="41">
        <f>+AM72+BA72</f>
        <v>0</v>
      </c>
      <c r="AE72" s="238" t="s">
        <v>591</v>
      </c>
      <c r="AF72" s="41"/>
      <c r="AG72" s="41">
        <v>0</v>
      </c>
      <c r="AH72" s="41"/>
      <c r="AI72" s="459"/>
      <c r="AJ72" s="41"/>
      <c r="AK72" s="41"/>
      <c r="AL72" s="41"/>
      <c r="AM72" s="41">
        <f>SUM(AF72:AL72)+AT72+AV72+AX72</f>
        <v>0</v>
      </c>
      <c r="AN72" s="89"/>
      <c r="AO72" s="41"/>
      <c r="AP72" s="41"/>
      <c r="AQ72" s="41"/>
      <c r="AR72" s="41">
        <f>SUM(AN72:AQ72)</f>
        <v>0</v>
      </c>
      <c r="AS72" s="41"/>
      <c r="AT72" s="41"/>
      <c r="AU72" s="41"/>
      <c r="AV72" s="41"/>
      <c r="AW72" s="41"/>
      <c r="AX72" s="41"/>
      <c r="AY72" s="41"/>
      <c r="AZ72" s="41"/>
      <c r="BA72" s="41">
        <f>+AR72+AS72+AU72+AW72+AY72+AZ72</f>
        <v>0</v>
      </c>
      <c r="BB72" s="54"/>
      <c r="BC72" s="55">
        <v>0</v>
      </c>
      <c r="BD72" s="55"/>
      <c r="BE72" s="54"/>
      <c r="BF72" s="55"/>
    </row>
    <row r="73" spans="1:58" ht="12.95" customHeight="1">
      <c r="A73" s="44"/>
      <c r="B73" s="45"/>
      <c r="C73" s="450"/>
      <c r="D73" s="45"/>
      <c r="E73" s="46"/>
      <c r="F73" s="46"/>
      <c r="G73" s="463"/>
      <c r="H73" s="48"/>
      <c r="I73" s="49"/>
      <c r="J73" s="88"/>
      <c r="K73" s="88"/>
      <c r="L73" s="39"/>
      <c r="M73" s="39"/>
      <c r="N73" s="50"/>
      <c r="O73" s="51"/>
      <c r="P73" s="52"/>
      <c r="Q73" s="51"/>
      <c r="R73" s="419"/>
      <c r="S73" s="419"/>
      <c r="T73" s="41"/>
      <c r="U73" s="41"/>
      <c r="V73" s="41"/>
      <c r="W73" s="41"/>
      <c r="X73" s="42"/>
      <c r="Y73" s="220"/>
      <c r="Z73" s="41"/>
      <c r="AA73" s="41"/>
      <c r="AB73" s="41"/>
      <c r="AC73" s="41"/>
      <c r="AD73" s="41">
        <f>+AM73+BA73</f>
        <v>6</v>
      </c>
      <c r="AE73" s="238" t="s">
        <v>592</v>
      </c>
      <c r="AF73" s="37"/>
      <c r="AG73" s="37"/>
      <c r="AH73" s="37">
        <v>6</v>
      </c>
      <c r="AI73" s="459"/>
      <c r="AJ73" s="41"/>
      <c r="AK73" s="41"/>
      <c r="AL73" s="41"/>
      <c r="AM73" s="41">
        <f>SUM(AF73:AL73)+AT73+AV73+AX73</f>
        <v>6</v>
      </c>
      <c r="AN73" s="41"/>
      <c r="AO73" s="41"/>
      <c r="AP73" s="41"/>
      <c r="AQ73" s="41"/>
      <c r="AR73" s="41">
        <f>SUM(AN73:AQ73)</f>
        <v>0</v>
      </c>
      <c r="AS73" s="41"/>
      <c r="AT73" s="41"/>
      <c r="AU73" s="41"/>
      <c r="AV73" s="41"/>
      <c r="AW73" s="41"/>
      <c r="AX73" s="41"/>
      <c r="AY73" s="41"/>
      <c r="AZ73" s="41"/>
      <c r="BA73" s="41">
        <f>+AR73+AS73+AU73+AW73+AY73+AZ73</f>
        <v>0</v>
      </c>
      <c r="BB73" s="37"/>
      <c r="BC73" s="57"/>
      <c r="BD73" s="57"/>
      <c r="BE73" s="37"/>
      <c r="BF73" s="57"/>
    </row>
    <row r="74" spans="1:58" ht="12.95" customHeight="1">
      <c r="A74" s="44"/>
      <c r="B74" s="45"/>
      <c r="C74" s="450"/>
      <c r="D74" s="45"/>
      <c r="E74" s="46"/>
      <c r="F74" s="46"/>
      <c r="G74" s="47"/>
      <c r="H74" s="48"/>
      <c r="I74" s="49"/>
      <c r="J74" s="88"/>
      <c r="K74" s="88"/>
      <c r="L74" s="39"/>
      <c r="M74" s="39"/>
      <c r="N74" s="50"/>
      <c r="O74" s="51"/>
      <c r="P74" s="52"/>
      <c r="Q74" s="38"/>
      <c r="R74" s="419"/>
      <c r="S74" s="419"/>
      <c r="T74" s="41"/>
      <c r="U74" s="41"/>
      <c r="V74" s="41"/>
      <c r="W74" s="41"/>
      <c r="X74" s="42"/>
      <c r="Y74" s="220"/>
      <c r="Z74" s="41"/>
      <c r="AA74" s="41"/>
      <c r="AB74" s="41"/>
      <c r="AC74" s="41"/>
      <c r="AD74" s="41"/>
      <c r="AE74" s="241"/>
      <c r="AF74" s="41"/>
      <c r="AG74" s="37"/>
      <c r="AH74" s="37"/>
      <c r="AI74" s="459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37"/>
      <c r="BC74" s="57"/>
      <c r="BD74" s="57"/>
      <c r="BE74" s="37"/>
      <c r="BF74" s="57"/>
    </row>
    <row r="75" spans="1:58" ht="12.95" customHeight="1">
      <c r="A75" s="343">
        <v>46129</v>
      </c>
      <c r="B75" s="45" t="s">
        <v>231</v>
      </c>
      <c r="C75" s="450">
        <f>(M75*E75*O75*Q75)/100000000</f>
        <v>14.482477295999999</v>
      </c>
      <c r="D75" s="45" t="s">
        <v>608</v>
      </c>
      <c r="E75" s="46">
        <v>16</v>
      </c>
      <c r="F75" s="46">
        <v>1</v>
      </c>
      <c r="G75" s="463">
        <v>1270</v>
      </c>
      <c r="H75" s="48">
        <v>0</v>
      </c>
      <c r="I75" s="49">
        <v>0.88</v>
      </c>
      <c r="J75" s="88">
        <f>E75*G75*(1-H75)*1440/1000000*2.77</f>
        <v>81.052415999999994</v>
      </c>
      <c r="K75" s="88">
        <f>(IF(G75&lt;L75,L75,G75)*(1-IF(H75&lt;N75,H75,N75))*E75*O75*Q75)/100000000</f>
        <v>14.648688</v>
      </c>
      <c r="L75" s="39">
        <v>1260</v>
      </c>
      <c r="M75" s="39">
        <v>1255.5899999999999</v>
      </c>
      <c r="N75" s="50">
        <f>1-(M75/L75)</f>
        <v>3.5000000000000586E-3</v>
      </c>
      <c r="O75" s="51">
        <f>+'Trim Rwd'!H60</f>
        <v>267</v>
      </c>
      <c r="P75" s="52">
        <f>O75*(Q75-R75-S75)</f>
        <v>71289</v>
      </c>
      <c r="Q75" s="51">
        <v>270</v>
      </c>
      <c r="R75" s="419">
        <v>0</v>
      </c>
      <c r="S75" s="419">
        <v>3</v>
      </c>
      <c r="T75" s="41">
        <f>E75*M75*O75*Q75/100000000</f>
        <v>14.482477295999999</v>
      </c>
      <c r="U75" s="41">
        <f>E75*M75*O75*(Q75-R75-S75)/100000000</f>
        <v>14.321560881599998</v>
      </c>
      <c r="V75" s="41">
        <f>E75*G75*(1-N75)*O75/100*(R75+S75)/1000000</f>
        <v>0.16219352879999996</v>
      </c>
      <c r="W75" s="41">
        <f>+'17'!K17/1000</f>
        <v>27.721</v>
      </c>
      <c r="X75" s="416">
        <f>SUM(W75:W78)/SUM(K75:K78)</f>
        <v>0.99328624982802594</v>
      </c>
      <c r="Y75" s="220">
        <v>0</v>
      </c>
      <c r="Z75" s="41">
        <v>0</v>
      </c>
      <c r="AA75" s="53">
        <f>SUM(U75:U78)-SUM(W75:W78)-SUM(Z75:Z78)-SUM(Y75:Y78)</f>
        <v>-0.96927516685714965</v>
      </c>
      <c r="AB75" s="53">
        <f>(SUM(K75:K78)-SUM(W75:W78)-SUM(Y75:Y78)-SUM(Z75:Z78)-SUM(AC75:AC78)-SUM(V75:V78))-AA75</f>
        <v>2.4340793714300091E-2</v>
      </c>
      <c r="AC75" s="41">
        <f>K75-T75</f>
        <v>0.16621070400000093</v>
      </c>
      <c r="AD75" s="41">
        <f>+AM75+BA75</f>
        <v>0</v>
      </c>
      <c r="AE75" s="238" t="s">
        <v>277</v>
      </c>
      <c r="AF75" s="41">
        <v>0</v>
      </c>
      <c r="AG75" s="41"/>
      <c r="AH75" s="41"/>
      <c r="AI75" s="459"/>
      <c r="AJ75" s="41"/>
      <c r="AK75" s="41"/>
      <c r="AL75" s="41"/>
      <c r="AM75" s="41">
        <f>SUM(AF75:AL75)+AT75+AV75+AX75</f>
        <v>0</v>
      </c>
      <c r="AN75" s="41"/>
      <c r="AO75" s="41"/>
      <c r="AP75" s="41"/>
      <c r="AQ75" s="41"/>
      <c r="AR75" s="41">
        <f>SUM(AN75:AQ75)</f>
        <v>0</v>
      </c>
      <c r="AS75" s="41"/>
      <c r="AT75" s="41"/>
      <c r="AU75" s="41"/>
      <c r="AV75" s="41"/>
      <c r="AW75" s="41"/>
      <c r="AX75" s="41"/>
      <c r="AY75" s="41"/>
      <c r="AZ75" s="41"/>
      <c r="BA75" s="41">
        <f>+AR75+AS75+AU75+AW75+AY75+AZ75</f>
        <v>0</v>
      </c>
      <c r="BB75" s="37">
        <v>0</v>
      </c>
      <c r="BC75" s="55"/>
      <c r="BD75" s="55"/>
      <c r="BE75" s="37"/>
      <c r="BF75" s="55"/>
    </row>
    <row r="76" spans="1:58" ht="12.95" customHeight="1">
      <c r="A76" s="343"/>
      <c r="B76" s="45" t="s">
        <v>231</v>
      </c>
      <c r="C76" s="450">
        <f>(M76*E76*O76*Q76)/100000000</f>
        <v>68.509605699918367</v>
      </c>
      <c r="D76" s="45" t="s">
        <v>608</v>
      </c>
      <c r="E76" s="46">
        <v>17</v>
      </c>
      <c r="F76" s="46">
        <v>1</v>
      </c>
      <c r="G76" s="463">
        <v>1210</v>
      </c>
      <c r="H76" s="48">
        <v>0</v>
      </c>
      <c r="I76" s="49">
        <v>0.88</v>
      </c>
      <c r="J76" s="88">
        <f>E76*G76*(1-H76)*1440/1000000*2.77</f>
        <v>82.049616</v>
      </c>
      <c r="K76" s="88">
        <f>(IF(G76&lt;L76,L76,G76)*(1-IF(H76&lt;N76,H76,N76))*E76*O76*Q76)/100000000</f>
        <v>68.750231510204074</v>
      </c>
      <c r="L76" s="39">
        <v>1280</v>
      </c>
      <c r="M76" s="39">
        <v>1275.52</v>
      </c>
      <c r="N76" s="50">
        <f>1-(M76/L76)</f>
        <v>3.5000000000000586E-3</v>
      </c>
      <c r="O76" s="51">
        <f>+'Trim Rwd'!H61</f>
        <v>270.0408163265306</v>
      </c>
      <c r="P76" s="52">
        <f>O76*(Q76-R76-S76)</f>
        <v>313787.42857142858</v>
      </c>
      <c r="Q76" s="51">
        <v>1170</v>
      </c>
      <c r="R76" s="419">
        <v>0</v>
      </c>
      <c r="S76" s="419">
        <v>8</v>
      </c>
      <c r="T76" s="41">
        <f>E76*M76*O76*Q76/100000000</f>
        <v>68.509605699918367</v>
      </c>
      <c r="U76" s="41">
        <f>E76*M76*O76*(Q76-R76-S76)/100000000</f>
        <v>68.041163951542856</v>
      </c>
      <c r="V76" s="41">
        <f>E76*G76*(1-N76)*O76/100*(R76+S76)/1000000</f>
        <v>0.4428238402612244</v>
      </c>
      <c r="W76" s="41">
        <f>+'17'!K16/1000</f>
        <v>55.118000000000002</v>
      </c>
      <c r="X76" s="42"/>
      <c r="Y76" s="220"/>
      <c r="Z76" s="41">
        <f>+'17'!D34/1000</f>
        <v>0.49299999999999999</v>
      </c>
      <c r="AA76" s="41"/>
      <c r="AB76" s="41"/>
      <c r="AC76" s="41">
        <f>K76-T76</f>
        <v>0.24062581028570662</v>
      </c>
      <c r="AD76" s="41">
        <f>+AM76+BA76</f>
        <v>0</v>
      </c>
      <c r="AE76" s="238" t="s">
        <v>591</v>
      </c>
      <c r="AF76" s="41"/>
      <c r="AG76" s="41">
        <v>0</v>
      </c>
      <c r="AH76" s="41"/>
      <c r="AI76" s="459"/>
      <c r="AJ76" s="41"/>
      <c r="AK76" s="41"/>
      <c r="AL76" s="41"/>
      <c r="AM76" s="41">
        <f>SUM(AF76:AL76)+AT76+AV76+AX76</f>
        <v>0</v>
      </c>
      <c r="AN76" s="89"/>
      <c r="AO76" s="41"/>
      <c r="AP76" s="41"/>
      <c r="AQ76" s="41"/>
      <c r="AR76" s="41">
        <f>SUM(AN76:AQ76)</f>
        <v>0</v>
      </c>
      <c r="AS76" s="41"/>
      <c r="AT76" s="41"/>
      <c r="AU76" s="41"/>
      <c r="AV76" s="41"/>
      <c r="AW76" s="41"/>
      <c r="AX76" s="41"/>
      <c r="AY76" s="41"/>
      <c r="AZ76" s="41"/>
      <c r="BA76" s="41">
        <f>+AR76+AS76+AU76+AW76+AY76+AZ76</f>
        <v>0</v>
      </c>
      <c r="BB76" s="54"/>
      <c r="BC76" s="55">
        <v>0</v>
      </c>
      <c r="BD76" s="55"/>
      <c r="BE76" s="54"/>
      <c r="BF76" s="55"/>
    </row>
    <row r="77" spans="1:58" ht="12.95" customHeight="1">
      <c r="A77" s="44"/>
      <c r="B77" s="45"/>
      <c r="C77" s="450"/>
      <c r="D77" s="45"/>
      <c r="E77" s="46"/>
      <c r="F77" s="46"/>
      <c r="G77" s="463"/>
      <c r="H77" s="48"/>
      <c r="I77" s="49"/>
      <c r="J77" s="88"/>
      <c r="K77" s="88"/>
      <c r="L77" s="39"/>
      <c r="M77" s="39"/>
      <c r="N77" s="50"/>
      <c r="O77" s="51"/>
      <c r="P77" s="52"/>
      <c r="Q77" s="51"/>
      <c r="R77" s="419"/>
      <c r="S77" s="419"/>
      <c r="T77" s="41"/>
      <c r="U77" s="41"/>
      <c r="V77" s="41"/>
      <c r="W77" s="41"/>
      <c r="X77" s="42"/>
      <c r="Y77" s="220"/>
      <c r="Z77" s="41"/>
      <c r="AA77" s="41"/>
      <c r="AB77" s="41"/>
      <c r="AC77" s="41"/>
      <c r="AD77" s="41">
        <f>+AM77+BA77</f>
        <v>11</v>
      </c>
      <c r="AE77" s="238" t="s">
        <v>612</v>
      </c>
      <c r="AF77" s="37"/>
      <c r="AG77" s="37"/>
      <c r="AH77" s="37">
        <v>11</v>
      </c>
      <c r="AI77" s="459"/>
      <c r="AJ77" s="41"/>
      <c r="AK77" s="41"/>
      <c r="AL77" s="41"/>
      <c r="AM77" s="41">
        <f>SUM(AF77:AL77)+AT77+AV77+AX77</f>
        <v>11</v>
      </c>
      <c r="AN77" s="41"/>
      <c r="AO77" s="41"/>
      <c r="AP77" s="41"/>
      <c r="AQ77" s="41"/>
      <c r="AR77" s="41">
        <f>SUM(AN77:AQ77)</f>
        <v>0</v>
      </c>
      <c r="AS77" s="41"/>
      <c r="AT77" s="41"/>
      <c r="AU77" s="41"/>
      <c r="AV77" s="41"/>
      <c r="AW77" s="41"/>
      <c r="AX77" s="41"/>
      <c r="AY77" s="41"/>
      <c r="AZ77" s="41"/>
      <c r="BA77" s="41">
        <f>+AR77+AS77+AU77+AW77+AY77+AZ77</f>
        <v>0</v>
      </c>
      <c r="BB77" s="37"/>
      <c r="BC77" s="57"/>
      <c r="BD77" s="57"/>
      <c r="BE77" s="37"/>
      <c r="BF77" s="57"/>
    </row>
    <row r="78" spans="1:58" ht="12.95" customHeight="1">
      <c r="A78" s="44"/>
      <c r="B78" s="45"/>
      <c r="C78" s="450"/>
      <c r="D78" s="45"/>
      <c r="E78" s="46"/>
      <c r="F78" s="46"/>
      <c r="G78" s="47"/>
      <c r="H78" s="48"/>
      <c r="I78" s="49"/>
      <c r="J78" s="88"/>
      <c r="K78" s="88"/>
      <c r="L78" s="39"/>
      <c r="M78" s="39"/>
      <c r="N78" s="50"/>
      <c r="O78" s="51"/>
      <c r="P78" s="52"/>
      <c r="Q78" s="51"/>
      <c r="R78" s="419"/>
      <c r="S78" s="419"/>
      <c r="T78" s="41"/>
      <c r="U78" s="41"/>
      <c r="V78" s="41"/>
      <c r="W78" s="41"/>
      <c r="X78" s="42"/>
      <c r="Y78" s="220"/>
      <c r="Z78" s="41"/>
      <c r="AA78" s="41"/>
      <c r="AB78" s="41"/>
      <c r="AC78" s="41"/>
      <c r="AD78" s="41"/>
      <c r="AE78" s="238"/>
      <c r="AF78" s="37"/>
      <c r="AG78" s="37"/>
      <c r="AH78" s="37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37"/>
      <c r="BC78" s="57"/>
      <c r="BD78" s="55"/>
      <c r="BE78" s="55"/>
      <c r="BF78" s="55"/>
    </row>
    <row r="79" spans="1:58" ht="12.95" customHeight="1">
      <c r="A79" s="343">
        <v>46130</v>
      </c>
      <c r="B79" s="45" t="s">
        <v>231</v>
      </c>
      <c r="C79" s="450">
        <f>(M79*E79*O79*Q79)/100000000</f>
        <v>70.020740391875023</v>
      </c>
      <c r="D79" s="45" t="s">
        <v>608</v>
      </c>
      <c r="E79" s="46">
        <v>17</v>
      </c>
      <c r="F79" s="46">
        <v>1</v>
      </c>
      <c r="G79" s="463">
        <v>1210</v>
      </c>
      <c r="H79" s="48">
        <v>0</v>
      </c>
      <c r="I79" s="49">
        <v>0.88</v>
      </c>
      <c r="J79" s="88">
        <f>E79*G79*(1-H79)*1440/1000000*2.77</f>
        <v>82.049616</v>
      </c>
      <c r="K79" s="88">
        <f>(IF(G79&lt;L79,L79,G79)*(1-IF(H79&lt;N79,H79,N79))*E79*O79*Q79)/100000000</f>
        <v>70.26667375000001</v>
      </c>
      <c r="L79" s="39">
        <v>1300</v>
      </c>
      <c r="M79" s="39">
        <f>+L79-L79*0.0035</f>
        <v>1295.45</v>
      </c>
      <c r="N79" s="50">
        <f>1-(M79/L79)</f>
        <v>3.4999999999999476E-3</v>
      </c>
      <c r="O79" s="51">
        <f>+'Trim Rwd'!H64</f>
        <v>261.04166666666669</v>
      </c>
      <c r="P79" s="52">
        <f>O79*(Q79-R79-S79)</f>
        <v>316382.5</v>
      </c>
      <c r="Q79" s="51">
        <v>1218</v>
      </c>
      <c r="R79" s="419">
        <v>0</v>
      </c>
      <c r="S79" s="419">
        <v>6</v>
      </c>
      <c r="T79" s="41">
        <f>E79*M79*O79*Q79/100000000</f>
        <v>70.020740391875023</v>
      </c>
      <c r="U79" s="41">
        <f>E79*M79*O79*(Q79-R79-S79)/100000000</f>
        <v>69.67581063625002</v>
      </c>
      <c r="V79" s="41">
        <f>E79*G79*(1-N79)*O79/100*(R79+S79)/1000000</f>
        <v>0.32105000331250005</v>
      </c>
      <c r="W79" s="41">
        <f>+'18'!K16/1000</f>
        <v>76.516000000000005</v>
      </c>
      <c r="X79" s="42">
        <f>SUM(W79:W82)/SUM(K79:K82)</f>
        <v>0.9440063239886245</v>
      </c>
      <c r="Y79" s="220">
        <v>0</v>
      </c>
      <c r="Z79" s="41">
        <f>+'18'!D34/1000</f>
        <v>0.185</v>
      </c>
      <c r="AA79" s="41">
        <f>SUM(U79:U82)-SUM(W79:W82)-SUM(Z79:Z82)-SUM(Y79:Y82)</f>
        <v>3.6764971772500155</v>
      </c>
      <c r="AB79" s="41">
        <f>(SUM(K79:K82)-SUM(W79:W82)-SUM(Y79:Y82)-SUM(Z79:Z82)-SUM(AC79:AC82)-SUM(V79:V82))-AA79</f>
        <v>2.4997227412504763E-2</v>
      </c>
      <c r="AC79" s="41">
        <f>K79-T79</f>
        <v>0.24593335812498651</v>
      </c>
      <c r="AD79" s="41">
        <f>+AM79+BA79</f>
        <v>0</v>
      </c>
      <c r="AE79" s="238" t="s">
        <v>277</v>
      </c>
      <c r="AF79" s="41">
        <v>0</v>
      </c>
      <c r="AG79" s="41"/>
      <c r="AH79" s="41"/>
      <c r="AI79" s="459"/>
      <c r="AJ79" s="41"/>
      <c r="AK79" s="41"/>
      <c r="AL79" s="41"/>
      <c r="AM79" s="41">
        <f>SUM(AF79:AL79)+AT79+AV79+AX79</f>
        <v>0</v>
      </c>
      <c r="AN79" s="41"/>
      <c r="AO79" s="41"/>
      <c r="AP79" s="41"/>
      <c r="AQ79" s="41"/>
      <c r="AR79" s="41">
        <f>SUM(AN79:AQ79)</f>
        <v>0</v>
      </c>
      <c r="AS79" s="41"/>
      <c r="AT79" s="41"/>
      <c r="AU79" s="41"/>
      <c r="AV79" s="41"/>
      <c r="AW79" s="41"/>
      <c r="AX79" s="41"/>
      <c r="AY79" s="41"/>
      <c r="AZ79" s="41"/>
      <c r="BA79" s="41">
        <f>+AR79+AS79+AU79+AW79+AY79+AZ79</f>
        <v>0</v>
      </c>
      <c r="BB79" s="37">
        <v>0</v>
      </c>
      <c r="BC79" s="55"/>
      <c r="BD79" s="55"/>
      <c r="BE79" s="37"/>
      <c r="BF79" s="55"/>
    </row>
    <row r="80" spans="1:58" ht="12.95" customHeight="1">
      <c r="A80" s="343"/>
      <c r="B80" s="45" t="s">
        <v>231</v>
      </c>
      <c r="C80" s="450">
        <f>(M80*E80*O80*Q80)/100000000</f>
        <v>10.750110461999999</v>
      </c>
      <c r="D80" s="45" t="s">
        <v>608</v>
      </c>
      <c r="E80" s="46">
        <v>14</v>
      </c>
      <c r="F80" s="46">
        <v>1</v>
      </c>
      <c r="G80" s="463">
        <v>1270</v>
      </c>
      <c r="H80" s="48">
        <v>0</v>
      </c>
      <c r="I80" s="49">
        <v>0.88</v>
      </c>
      <c r="J80" s="88">
        <f>E80*G80*(1-H80)*1440/1000000*2.77</f>
        <v>70.920864000000009</v>
      </c>
      <c r="K80" s="88">
        <f>(IF(G80&lt;L80,L80,G80)*(1-IF(H80&lt;N80,H80,N80))*E80*O80*Q80)/100000000</f>
        <v>10.787868</v>
      </c>
      <c r="L80" s="39">
        <v>1300</v>
      </c>
      <c r="M80" s="39">
        <f>+L80-L80*0.0035</f>
        <v>1295.45</v>
      </c>
      <c r="N80" s="50">
        <f>1-(M80/L80)</f>
        <v>3.4999999999999476E-3</v>
      </c>
      <c r="O80" s="51">
        <f>+'Trim Rwd'!H70</f>
        <v>267</v>
      </c>
      <c r="P80" s="52">
        <f>O80*(Q80-R80-S80)</f>
        <v>59007</v>
      </c>
      <c r="Q80" s="51">
        <v>222</v>
      </c>
      <c r="R80" s="419">
        <v>0</v>
      </c>
      <c r="S80" s="419">
        <v>1</v>
      </c>
      <c r="T80" s="41">
        <f>E80*M80*O80*Q80/100000000</f>
        <v>10.750110461999999</v>
      </c>
      <c r="U80" s="41">
        <f>E80*M80*O80*(Q80-R80-S80)/100000000</f>
        <v>10.701686540999999</v>
      </c>
      <c r="V80" s="41">
        <f>E80*G80*(1-N80)*O80/100*(R80+S80)/1000000</f>
        <v>4.7306445900000001E-2</v>
      </c>
      <c r="W80" s="41">
        <f>+'18'!K15/1000</f>
        <v>0</v>
      </c>
      <c r="X80" s="416"/>
      <c r="Y80" s="220"/>
      <c r="Z80" s="41">
        <v>0</v>
      </c>
      <c r="AA80" s="53"/>
      <c r="AB80" s="53"/>
      <c r="AC80" s="41">
        <f>K80-T80</f>
        <v>3.7757538000001034E-2</v>
      </c>
      <c r="AD80" s="41">
        <f>+AM80+BA80</f>
        <v>1</v>
      </c>
      <c r="AE80" s="238" t="s">
        <v>640</v>
      </c>
      <c r="AF80" s="41"/>
      <c r="AG80" s="41">
        <v>1</v>
      </c>
      <c r="AH80" s="41"/>
      <c r="AI80" s="459"/>
      <c r="AJ80" s="41"/>
      <c r="AK80" s="41"/>
      <c r="AL80" s="41"/>
      <c r="AM80" s="41">
        <f>SUM(AF80:AL80)+AT80+AV80+AX80</f>
        <v>1</v>
      </c>
      <c r="AN80" s="89"/>
      <c r="AO80" s="41"/>
      <c r="AP80" s="41"/>
      <c r="AQ80" s="41"/>
      <c r="AR80" s="41">
        <f>SUM(AN80:AQ80)</f>
        <v>0</v>
      </c>
      <c r="AS80" s="41"/>
      <c r="AT80" s="41"/>
      <c r="AU80" s="41"/>
      <c r="AV80" s="41"/>
      <c r="AW80" s="41"/>
      <c r="AX80" s="41"/>
      <c r="AY80" s="41"/>
      <c r="AZ80" s="41"/>
      <c r="BA80" s="41">
        <f>+AR80+AS80+AU80+AW80+AY80+AZ80</f>
        <v>0</v>
      </c>
      <c r="BB80" s="54"/>
      <c r="BC80" s="55">
        <v>1</v>
      </c>
      <c r="BD80" s="55"/>
      <c r="BE80" s="54"/>
      <c r="BF80" s="55"/>
    </row>
    <row r="81" spans="1:58" ht="12.95" customHeight="1">
      <c r="A81" s="44"/>
      <c r="B81" s="45"/>
      <c r="C81" s="450"/>
      <c r="D81" s="45"/>
      <c r="E81" s="46"/>
      <c r="F81" s="46"/>
      <c r="G81" s="463"/>
      <c r="H81" s="48"/>
      <c r="I81" s="49"/>
      <c r="J81" s="88"/>
      <c r="K81" s="88"/>
      <c r="L81" s="39"/>
      <c r="M81" s="39"/>
      <c r="N81" s="50"/>
      <c r="O81" s="51"/>
      <c r="P81" s="52"/>
      <c r="Q81" s="51"/>
      <c r="R81" s="419"/>
      <c r="S81" s="419"/>
      <c r="T81" s="41"/>
      <c r="U81" s="41"/>
      <c r="V81" s="41"/>
      <c r="W81" s="41"/>
      <c r="X81" s="416"/>
      <c r="Y81" s="220"/>
      <c r="Z81" s="41"/>
      <c r="AA81" s="53"/>
      <c r="AB81" s="53"/>
      <c r="AC81" s="41"/>
      <c r="AD81" s="41">
        <f>+AM81+BA81</f>
        <v>6</v>
      </c>
      <c r="AE81" s="238" t="s">
        <v>592</v>
      </c>
      <c r="AF81" s="37"/>
      <c r="AG81" s="37"/>
      <c r="AH81" s="37">
        <v>6</v>
      </c>
      <c r="AI81" s="459"/>
      <c r="AJ81" s="41"/>
      <c r="AK81" s="41"/>
      <c r="AL81" s="41"/>
      <c r="AM81" s="41">
        <f>SUM(AF81:AL81)+AT81+AV81+AX81</f>
        <v>6</v>
      </c>
      <c r="AN81" s="41"/>
      <c r="AO81" s="41"/>
      <c r="AP81" s="41"/>
      <c r="AQ81" s="41"/>
      <c r="AR81" s="41">
        <f>SUM(AN81:AQ81)</f>
        <v>0</v>
      </c>
      <c r="AS81" s="41"/>
      <c r="AT81" s="41"/>
      <c r="AU81" s="41"/>
      <c r="AV81" s="41"/>
      <c r="AW81" s="41"/>
      <c r="AX81" s="41"/>
      <c r="AY81" s="41"/>
      <c r="AZ81" s="41"/>
      <c r="BA81" s="41">
        <f>+AR81+AS81+AU81+AW81+AY81+AZ81</f>
        <v>0</v>
      </c>
      <c r="BB81" s="37"/>
      <c r="BC81" s="57"/>
      <c r="BD81" s="57"/>
      <c r="BE81" s="37"/>
      <c r="BF81" s="57"/>
    </row>
    <row r="82" spans="1:58" ht="12.95" customHeight="1">
      <c r="A82" s="44"/>
      <c r="B82" s="45"/>
      <c r="C82" s="450"/>
      <c r="D82" s="45"/>
      <c r="E82" s="46"/>
      <c r="F82" s="46"/>
      <c r="G82" s="47"/>
      <c r="H82" s="48"/>
      <c r="I82" s="49"/>
      <c r="J82" s="88"/>
      <c r="K82" s="88"/>
      <c r="L82" s="39"/>
      <c r="M82" s="39"/>
      <c r="N82" s="50"/>
      <c r="O82" s="51"/>
      <c r="P82" s="52"/>
      <c r="Q82" s="51"/>
      <c r="R82" s="419"/>
      <c r="S82" s="419"/>
      <c r="T82" s="41"/>
      <c r="U82" s="41"/>
      <c r="V82" s="41"/>
      <c r="W82" s="41"/>
      <c r="X82" s="42"/>
      <c r="Y82" s="220"/>
      <c r="Z82" s="41"/>
      <c r="AA82" s="41"/>
      <c r="AB82" s="41"/>
      <c r="AC82" s="41"/>
      <c r="AD82" s="41"/>
      <c r="AE82" s="238"/>
      <c r="AF82" s="37"/>
      <c r="AG82" s="37"/>
      <c r="AH82" s="37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37"/>
      <c r="BC82" s="57"/>
      <c r="BD82" s="55"/>
      <c r="BE82" s="55"/>
      <c r="BF82" s="55"/>
    </row>
    <row r="83" spans="1:58" ht="12.95" customHeight="1">
      <c r="A83" s="343">
        <v>46131</v>
      </c>
      <c r="B83" s="45" t="s">
        <v>231</v>
      </c>
      <c r="C83" s="450">
        <f>(M83*E83*O83*Q83)/100000000</f>
        <v>52.068502443704212</v>
      </c>
      <c r="D83" s="45" t="s">
        <v>608</v>
      </c>
      <c r="E83" s="46">
        <v>14</v>
      </c>
      <c r="F83" s="46">
        <v>1</v>
      </c>
      <c r="G83" s="463">
        <v>1270</v>
      </c>
      <c r="H83" s="48">
        <v>0</v>
      </c>
      <c r="I83" s="49">
        <v>0.88</v>
      </c>
      <c r="J83" s="88">
        <f>E83*G83*(1-H83)*1440/1000000*2.77</f>
        <v>70.920864000000009</v>
      </c>
      <c r="K83" s="88">
        <f>(IF(G83&lt;L83,L83,G83)*(1-IF(H83&lt;N83,H83,N83))*E83*O83*Q83)/100000000</f>
        <v>52.251382281690141</v>
      </c>
      <c r="L83" s="39">
        <v>1300</v>
      </c>
      <c r="M83" s="39">
        <f>+L83-L83*0.0035</f>
        <v>1295.45</v>
      </c>
      <c r="N83" s="50">
        <f>1-(M83/L83)</f>
        <v>3.4999999999999476E-3</v>
      </c>
      <c r="O83" s="51">
        <f>+'Trim Rwd'!H72</f>
        <v>267.56338028169012</v>
      </c>
      <c r="P83" s="52">
        <f>O83*(Q83-R83-S83)</f>
        <v>284687.43661971827</v>
      </c>
      <c r="Q83" s="51">
        <v>1073</v>
      </c>
      <c r="R83" s="419">
        <v>0</v>
      </c>
      <c r="S83" s="419">
        <v>9</v>
      </c>
      <c r="T83" s="41">
        <f>E83*M83*O83*Q83/100000000</f>
        <v>52.068502443704212</v>
      </c>
      <c r="U83" s="41">
        <f>E83*M83*O83*(Q83-R83-S83)/100000000</f>
        <v>51.63176756766196</v>
      </c>
      <c r="V83" s="41">
        <f>E83*G83*(1-N83)*O83/100*(R83+S83)/1000000</f>
        <v>0.42665637890281688</v>
      </c>
      <c r="W83" s="41">
        <f>+'19'!K15/1000</f>
        <v>58.482999999999997</v>
      </c>
      <c r="X83" s="42">
        <f>SUM(W83:W86)/SUM(K83:K86)</f>
        <v>1.0044804784621213</v>
      </c>
      <c r="Y83" s="220">
        <v>0</v>
      </c>
      <c r="Z83" s="41">
        <f>+('19'!D16+'19'!D25)/1000</f>
        <v>0.51900000000000002</v>
      </c>
      <c r="AA83" s="41">
        <f>SUM(U83:U86)-SUM(W83:W86)-SUM(Z83:Z86)-SUM(Y83:Y86)</f>
        <v>-2.4355918043380225</v>
      </c>
      <c r="AB83" s="41">
        <f>(SUM(K83:K86)-SUM(W83:W86)-SUM(Y83:Y86)-SUM(Z83:Z86)-SUM(AC83:AC86)-SUM(V83:V86))-AA83</f>
        <v>1.058591493943517E-2</v>
      </c>
      <c r="AC83" s="41">
        <f>K83-T83</f>
        <v>0.18287983798592933</v>
      </c>
      <c r="AD83" s="41">
        <f>+AM83+BA83</f>
        <v>0</v>
      </c>
      <c r="AE83" s="238" t="s">
        <v>277</v>
      </c>
      <c r="AF83" s="41">
        <v>0</v>
      </c>
      <c r="AG83" s="41"/>
      <c r="AH83" s="41"/>
      <c r="AI83" s="459"/>
      <c r="AJ83" s="41"/>
      <c r="AK83" s="41"/>
      <c r="AL83" s="41"/>
      <c r="AM83" s="41">
        <f>SUM(AF83:AL83)+AT83+AV83+AX83</f>
        <v>0</v>
      </c>
      <c r="AN83" s="41"/>
      <c r="AO83" s="41"/>
      <c r="AP83" s="41"/>
      <c r="AQ83" s="41"/>
      <c r="AR83" s="41">
        <f>SUM(AN83:AQ83)</f>
        <v>0</v>
      </c>
      <c r="AS83" s="41"/>
      <c r="AT83" s="41"/>
      <c r="AU83" s="41"/>
      <c r="AV83" s="41"/>
      <c r="AW83" s="41"/>
      <c r="AX83" s="41"/>
      <c r="AY83" s="41"/>
      <c r="AZ83" s="41"/>
      <c r="BA83" s="41">
        <f>+AR83+AS83+AU83+AW83+AY83+AZ83</f>
        <v>0</v>
      </c>
      <c r="BB83" s="37">
        <v>0</v>
      </c>
      <c r="BC83" s="55"/>
      <c r="BD83" s="55"/>
      <c r="BE83" s="37"/>
      <c r="BF83" s="55"/>
    </row>
    <row r="84" spans="1:58" ht="12.95" customHeight="1">
      <c r="A84" s="343"/>
      <c r="B84" s="45" t="s">
        <v>231</v>
      </c>
      <c r="C84" s="450">
        <f>(M84*E84*O84*Q84)/100000000</f>
        <v>20.484456586000004</v>
      </c>
      <c r="D84" s="45" t="s">
        <v>608</v>
      </c>
      <c r="E84" s="46">
        <v>19</v>
      </c>
      <c r="F84" s="46">
        <v>1</v>
      </c>
      <c r="G84" s="463">
        <v>1090</v>
      </c>
      <c r="H84" s="48">
        <v>0</v>
      </c>
      <c r="I84" s="49">
        <v>0.88</v>
      </c>
      <c r="J84" s="88">
        <f>E84*G84*(1-H84)*1440/1000000*2.77</f>
        <v>82.608047999999997</v>
      </c>
      <c r="K84" s="88">
        <f>(IF(G84&lt;L84,L84,G84)*(1-IF(H84&lt;N84,H84,N84))*E84*O84*Q84)/100000000</f>
        <v>20.556404000000001</v>
      </c>
      <c r="L84" s="39">
        <v>1100</v>
      </c>
      <c r="M84" s="39">
        <f>+L84-L84*0.0035</f>
        <v>1096.1500000000001</v>
      </c>
      <c r="N84" s="50">
        <f>1-(M84/L84)</f>
        <v>3.4999999999999476E-3</v>
      </c>
      <c r="O84" s="51">
        <f>+'Trim Rwd'!H74</f>
        <v>268</v>
      </c>
      <c r="P84" s="52">
        <f>O84*(Q84-R84-S84)</f>
        <v>98088</v>
      </c>
      <c r="Q84" s="51">
        <v>367</v>
      </c>
      <c r="R84" s="419">
        <v>0</v>
      </c>
      <c r="S84" s="419">
        <v>1</v>
      </c>
      <c r="T84" s="41">
        <f>E84*M84*O84*Q84/100000000</f>
        <v>20.484456586000004</v>
      </c>
      <c r="U84" s="41">
        <f>E84*M84*O84*(Q84-R84-S84)/100000000</f>
        <v>20.428640628</v>
      </c>
      <c r="V84" s="41">
        <f>E84*G84*(1-N84)*O84/100*(R84+S84)/1000000</f>
        <v>5.5308540199999999E-2</v>
      </c>
      <c r="W84" s="41">
        <f>+'19'!K18/1000</f>
        <v>9.3160000000000007</v>
      </c>
      <c r="X84" s="416"/>
      <c r="Y84" s="220"/>
      <c r="Z84" s="41">
        <f>+'19'!D26/1000</f>
        <v>0.51800000000000002</v>
      </c>
      <c r="AA84" s="53"/>
      <c r="AB84" s="53"/>
      <c r="AC84" s="41">
        <f>K84-T84</f>
        <v>7.1947413999996712E-2</v>
      </c>
      <c r="AD84" s="41">
        <f>+AM84+BA84</f>
        <v>1</v>
      </c>
      <c r="AE84" s="238" t="s">
        <v>640</v>
      </c>
      <c r="AF84" s="41"/>
      <c r="AG84" s="41">
        <v>1</v>
      </c>
      <c r="AH84" s="41"/>
      <c r="AI84" s="459"/>
      <c r="AJ84" s="41"/>
      <c r="AK84" s="41"/>
      <c r="AL84" s="41"/>
      <c r="AM84" s="41">
        <f>SUM(AF84:AL84)+AT84+AV84+AX84</f>
        <v>1</v>
      </c>
      <c r="AN84" s="89"/>
      <c r="AO84" s="41"/>
      <c r="AP84" s="41"/>
      <c r="AQ84" s="41"/>
      <c r="AR84" s="41">
        <f>SUM(AN84:AQ84)</f>
        <v>0</v>
      </c>
      <c r="AS84" s="41"/>
      <c r="AT84" s="41"/>
      <c r="AU84" s="41"/>
      <c r="AV84" s="41"/>
      <c r="AW84" s="41"/>
      <c r="AX84" s="41"/>
      <c r="AY84" s="41"/>
      <c r="AZ84" s="41"/>
      <c r="BA84" s="41">
        <f>+AR84+AS84+AU84+AW84+AY84+AZ84</f>
        <v>0</v>
      </c>
      <c r="BB84" s="54"/>
      <c r="BC84" s="55">
        <v>1</v>
      </c>
      <c r="BD84" s="55"/>
      <c r="BE84" s="54"/>
      <c r="BF84" s="55"/>
    </row>
    <row r="85" spans="1:58" ht="12.95" customHeight="1">
      <c r="A85" s="44"/>
      <c r="B85" s="45" t="s">
        <v>231</v>
      </c>
      <c r="C85" s="450"/>
      <c r="D85" s="45"/>
      <c r="E85" s="46">
        <v>17</v>
      </c>
      <c r="F85" s="46"/>
      <c r="G85" s="463"/>
      <c r="H85" s="48"/>
      <c r="I85" s="49"/>
      <c r="J85" s="88"/>
      <c r="K85" s="88"/>
      <c r="L85" s="39"/>
      <c r="M85" s="39"/>
      <c r="N85" s="50"/>
      <c r="O85" s="51"/>
      <c r="P85" s="52"/>
      <c r="Q85" s="51"/>
      <c r="R85" s="419"/>
      <c r="S85" s="419"/>
      <c r="T85" s="41"/>
      <c r="U85" s="41"/>
      <c r="V85" s="41"/>
      <c r="W85" s="41">
        <f>+'19'!K16/1000</f>
        <v>5.335</v>
      </c>
      <c r="X85" s="416"/>
      <c r="Y85" s="220"/>
      <c r="Z85" s="41">
        <f>+'19'!D8/1000</f>
        <v>0.32500000000000001</v>
      </c>
      <c r="AA85" s="53"/>
      <c r="AB85" s="53"/>
      <c r="AC85" s="41"/>
      <c r="AD85" s="41">
        <f>+AM85+BA85</f>
        <v>9</v>
      </c>
      <c r="AE85" s="238" t="s">
        <v>666</v>
      </c>
      <c r="AF85" s="37"/>
      <c r="AG85" s="37"/>
      <c r="AH85" s="37">
        <v>9</v>
      </c>
      <c r="AI85" s="459"/>
      <c r="AJ85" s="41"/>
      <c r="AK85" s="41"/>
      <c r="AL85" s="41"/>
      <c r="AM85" s="41">
        <f>SUM(AF85:AL85)+AT85+AV85+AX85</f>
        <v>9</v>
      </c>
      <c r="AN85" s="41"/>
      <c r="AO85" s="41"/>
      <c r="AP85" s="41"/>
      <c r="AQ85" s="41"/>
      <c r="AR85" s="41">
        <f>SUM(AN85:AQ85)</f>
        <v>0</v>
      </c>
      <c r="AS85" s="41"/>
      <c r="AT85" s="41"/>
      <c r="AU85" s="41"/>
      <c r="AV85" s="41"/>
      <c r="AW85" s="41"/>
      <c r="AX85" s="41"/>
      <c r="AY85" s="41"/>
      <c r="AZ85" s="41"/>
      <c r="BA85" s="41">
        <f>+AR85+AS85+AU85+AW85+AY85+AZ85</f>
        <v>0</v>
      </c>
      <c r="BB85" s="37"/>
      <c r="BC85" s="57"/>
      <c r="BD85" s="57"/>
      <c r="BE85" s="37"/>
      <c r="BF85" s="57"/>
    </row>
    <row r="86" spans="1:58" ht="12.95" customHeight="1">
      <c r="A86" s="343"/>
      <c r="B86" s="45"/>
      <c r="C86" s="450"/>
      <c r="D86" s="45"/>
      <c r="E86" s="46"/>
      <c r="F86" s="46"/>
      <c r="G86" s="463"/>
      <c r="H86" s="48"/>
      <c r="I86" s="49"/>
      <c r="J86" s="88"/>
      <c r="K86" s="88"/>
      <c r="L86" s="39"/>
      <c r="M86" s="39"/>
      <c r="N86" s="50"/>
      <c r="O86" s="51"/>
      <c r="P86" s="52"/>
      <c r="Q86" s="51"/>
      <c r="R86" s="419"/>
      <c r="S86" s="419"/>
      <c r="T86" s="41"/>
      <c r="U86" s="41"/>
      <c r="V86" s="41"/>
      <c r="W86" s="41"/>
      <c r="X86" s="416"/>
      <c r="Y86" s="220"/>
      <c r="Z86" s="41"/>
      <c r="AA86" s="53"/>
      <c r="AB86" s="53"/>
      <c r="AC86" s="41"/>
      <c r="AD86" s="41"/>
      <c r="AE86" s="238"/>
      <c r="AF86" s="41"/>
      <c r="AG86" s="41"/>
      <c r="AH86" s="41"/>
      <c r="AI86" s="459"/>
      <c r="AJ86" s="41"/>
      <c r="AK86" s="41"/>
      <c r="AL86" s="41"/>
      <c r="AM86" s="41"/>
      <c r="AN86" s="89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54"/>
      <c r="BC86" s="55"/>
      <c r="BD86" s="55"/>
      <c r="BE86" s="55"/>
      <c r="BF86" s="55"/>
    </row>
    <row r="87" spans="1:58" ht="12.95" customHeight="1">
      <c r="A87" s="343">
        <v>46132</v>
      </c>
      <c r="B87" s="45" t="s">
        <v>231</v>
      </c>
      <c r="C87" s="450">
        <f>(M87*E87*O87*Q87)/100000000</f>
        <v>2.2183570514285718</v>
      </c>
      <c r="D87" s="45" t="s">
        <v>608</v>
      </c>
      <c r="E87" s="46">
        <v>19</v>
      </c>
      <c r="F87" s="46">
        <v>1</v>
      </c>
      <c r="G87" s="463">
        <v>1090</v>
      </c>
      <c r="H87" s="48">
        <v>0</v>
      </c>
      <c r="I87" s="49">
        <v>0.88</v>
      </c>
      <c r="J87" s="88">
        <f>E87*G87*(1-H87)*1440/1000000*2.77</f>
        <v>82.608047999999997</v>
      </c>
      <c r="K87" s="88">
        <f>(IF(G87&lt;L87,L87,G87)*(1-IF(H87&lt;N87,H87,N87))*E87*O87*Q87)/100000000</f>
        <v>2.2261485714285714</v>
      </c>
      <c r="L87" s="39">
        <v>1100</v>
      </c>
      <c r="M87" s="39">
        <f>+L87-L87*0.0035</f>
        <v>1096.1500000000001</v>
      </c>
      <c r="N87" s="50">
        <f>1-(M87/L87)</f>
        <v>3.4999999999999476E-3</v>
      </c>
      <c r="O87" s="51">
        <f>+'Trim Rwd'!H77</f>
        <v>266.28571428571428</v>
      </c>
      <c r="P87" s="52">
        <f>O87*(Q87-R87-S87)</f>
        <v>10651.428571428571</v>
      </c>
      <c r="Q87" s="51">
        <v>40</v>
      </c>
      <c r="R87" s="419">
        <v>0</v>
      </c>
      <c r="S87" s="419">
        <v>0</v>
      </c>
      <c r="T87" s="41">
        <f>E87*M87*O87*Q87/100000000</f>
        <v>2.2183570514285718</v>
      </c>
      <c r="U87" s="41">
        <f>E87*M87*O87*(Q87-R87-S87)/100000000</f>
        <v>2.2183570514285718</v>
      </c>
      <c r="V87" s="41">
        <f>E87*G87*(1-N87)*O87/100*(R87+S87)/1000000</f>
        <v>0</v>
      </c>
      <c r="W87" s="41">
        <f>+'20'!K18/1000</f>
        <v>12.875</v>
      </c>
      <c r="X87" s="42">
        <f>SUM(W87:W91)/SUM(K87:K91)</f>
        <v>1.0754025512867882</v>
      </c>
      <c r="Y87" s="220">
        <v>0</v>
      </c>
      <c r="Z87" s="41">
        <v>0</v>
      </c>
      <c r="AA87" s="41">
        <f>SUM(U87:U91)-SUM(W87:W91)-SUM(Z87:Z91)-SUM(Y87:Y91)</f>
        <v>-9.7701499157714249</v>
      </c>
      <c r="AB87" s="41">
        <f>(SUM(K87:K91)-SUM(W87:W91)-SUM(Y87:Y91)-SUM(Z87:Z91)-SUM(AC87:AC91)-SUM(V87:V91))-AA87</f>
        <v>-1.4567235600006612E-2</v>
      </c>
      <c r="AC87" s="41">
        <f>K87-T87</f>
        <v>7.7915199999996076E-3</v>
      </c>
      <c r="AD87" s="41">
        <f>+AM87+BA87</f>
        <v>0</v>
      </c>
      <c r="AE87" s="238" t="s">
        <v>277</v>
      </c>
      <c r="AF87" s="41">
        <v>0</v>
      </c>
      <c r="AG87" s="41"/>
      <c r="AH87" s="41"/>
      <c r="AI87" s="459"/>
      <c r="AJ87" s="41"/>
      <c r="AK87" s="41"/>
      <c r="AL87" s="41"/>
      <c r="AM87" s="41">
        <f>SUM(AF87:AL87)+AT87+AV87+AX87</f>
        <v>0</v>
      </c>
      <c r="AN87" s="41"/>
      <c r="AO87" s="41"/>
      <c r="AP87" s="41"/>
      <c r="AQ87" s="41"/>
      <c r="AR87" s="41">
        <f>SUM(AN87:AQ87)</f>
        <v>0</v>
      </c>
      <c r="AS87" s="41"/>
      <c r="AT87" s="41"/>
      <c r="AU87" s="41"/>
      <c r="AV87" s="41"/>
      <c r="AW87" s="41"/>
      <c r="AX87" s="41"/>
      <c r="AY87" s="41"/>
      <c r="AZ87" s="41"/>
      <c r="BA87" s="41">
        <f>+AR87+AS87+AU87+AW87+AY87+AZ87</f>
        <v>0</v>
      </c>
      <c r="BB87" s="37">
        <v>0</v>
      </c>
      <c r="BC87" s="55"/>
      <c r="BD87" s="55"/>
      <c r="BE87" s="37"/>
      <c r="BF87" s="55"/>
    </row>
    <row r="88" spans="1:58" ht="12.95" customHeight="1">
      <c r="A88" s="343"/>
      <c r="B88" s="45" t="s">
        <v>231</v>
      </c>
      <c r="C88" s="450">
        <f>(M88*E88*O88*Q88)/100000000</f>
        <v>9.7247956679999987</v>
      </c>
      <c r="D88" s="45" t="s">
        <v>608</v>
      </c>
      <c r="E88" s="46">
        <v>17</v>
      </c>
      <c r="F88" s="46">
        <v>1</v>
      </c>
      <c r="G88" s="463">
        <v>1210</v>
      </c>
      <c r="H88" s="48">
        <v>0</v>
      </c>
      <c r="I88" s="49">
        <v>0.88</v>
      </c>
      <c r="J88" s="88">
        <f>E88*G88*(1-H88)*1440/1000000*2.77</f>
        <v>82.049616</v>
      </c>
      <c r="K88" s="88">
        <f>(IF(G88&lt;L88,L88,G88)*(1-IF(H88&lt;N88,H88,N88))*E88*O88*Q88)/100000000</f>
        <v>9.7589520000000007</v>
      </c>
      <c r="L88" s="39">
        <v>1260</v>
      </c>
      <c r="M88" s="39">
        <f>+L88-L88*0.0035</f>
        <v>1255.5899999999999</v>
      </c>
      <c r="N88" s="50">
        <f>1-(M88/L88)</f>
        <v>3.5000000000000586E-3</v>
      </c>
      <c r="O88" s="51">
        <f>+'Trim Rwd'!H79</f>
        <v>268</v>
      </c>
      <c r="P88" s="52">
        <f>O88*(Q88-R88-S88)</f>
        <v>44756</v>
      </c>
      <c r="Q88" s="51">
        <v>170</v>
      </c>
      <c r="R88" s="419">
        <v>0</v>
      </c>
      <c r="S88" s="419">
        <v>3</v>
      </c>
      <c r="T88" s="41">
        <f>E88*M88*O88*Q88/100000000</f>
        <v>9.7247956679999987</v>
      </c>
      <c r="U88" s="41">
        <f>E88*M88*O88*(Q88-R88-S88)/100000000</f>
        <v>9.5531816267999989</v>
      </c>
      <c r="V88" s="41">
        <f>E88*G88*(1-N88)*O88/100*(R88+S88)/1000000</f>
        <v>0.16480396019999996</v>
      </c>
      <c r="W88" s="41">
        <f>+'20'!K16/1000</f>
        <v>9.1110000000000007</v>
      </c>
      <c r="X88" s="42"/>
      <c r="Y88" s="220"/>
      <c r="Z88" s="41">
        <f>+'20'!D8/1000</f>
        <v>9.7000000000000003E-2</v>
      </c>
      <c r="AA88" s="41"/>
      <c r="AB88" s="41"/>
      <c r="AC88" s="41">
        <f t="shared" ref="AC88:AC90" si="0">K88-T88</f>
        <v>3.415633200000201E-2</v>
      </c>
      <c r="AD88" s="41">
        <f>+AM88+BA88</f>
        <v>0</v>
      </c>
      <c r="AE88" s="238" t="s">
        <v>591</v>
      </c>
      <c r="AF88" s="41"/>
      <c r="AG88" s="41">
        <v>0</v>
      </c>
      <c r="AH88" s="41"/>
      <c r="AI88" s="459"/>
      <c r="AJ88" s="41"/>
      <c r="AK88" s="41"/>
      <c r="AL88" s="41"/>
      <c r="AM88" s="41">
        <f>SUM(AF88:AL88)+AT88+AV88+AX88</f>
        <v>0</v>
      </c>
      <c r="AN88" s="89"/>
      <c r="AO88" s="41"/>
      <c r="AP88" s="41"/>
      <c r="AQ88" s="41"/>
      <c r="AR88" s="41">
        <f>SUM(AN88:AQ88)</f>
        <v>0</v>
      </c>
      <c r="AS88" s="41"/>
      <c r="AT88" s="41"/>
      <c r="AU88" s="41"/>
      <c r="AV88" s="41"/>
      <c r="AW88" s="41"/>
      <c r="AX88" s="41"/>
      <c r="AY88" s="41"/>
      <c r="AZ88" s="41"/>
      <c r="BA88" s="41">
        <f>+AR88+AS88+AU88+AW88+AY88+AZ88</f>
        <v>0</v>
      </c>
      <c r="BB88" s="54"/>
      <c r="BC88" s="55">
        <v>0</v>
      </c>
      <c r="BD88" s="55"/>
      <c r="BE88" s="54"/>
      <c r="BF88" s="55"/>
    </row>
    <row r="89" spans="1:58" ht="12.95" customHeight="1">
      <c r="A89" s="44"/>
      <c r="B89" s="45" t="s">
        <v>231</v>
      </c>
      <c r="C89" s="450">
        <f>(M89*E89*O89*Q89)/100000000</f>
        <v>27.773929820000006</v>
      </c>
      <c r="D89" s="45" t="s">
        <v>608</v>
      </c>
      <c r="E89" s="46">
        <v>15.5</v>
      </c>
      <c r="F89" s="46">
        <v>1</v>
      </c>
      <c r="G89" s="463">
        <v>1270</v>
      </c>
      <c r="H89" s="48">
        <v>0</v>
      </c>
      <c r="I89" s="49">
        <v>0.88</v>
      </c>
      <c r="J89" s="88">
        <f>E89*G89*(1-H89)*1440/1000000*2.77</f>
        <v>78.519527999999994</v>
      </c>
      <c r="K89" s="88">
        <f>(IF(G89&lt;L89,L89,G89)*(1-IF(H89&lt;N89,H89,N89))*E89*O89*Q89)/100000000</f>
        <v>27.871479999999998</v>
      </c>
      <c r="L89" s="39">
        <v>1300</v>
      </c>
      <c r="M89" s="39">
        <f>+L89-L89*0.0035</f>
        <v>1295.45</v>
      </c>
      <c r="N89" s="50">
        <f>1-(M89/L89)</f>
        <v>3.4999999999999476E-3</v>
      </c>
      <c r="O89" s="51">
        <f>+'Trim Rwd'!H80</f>
        <v>266</v>
      </c>
      <c r="P89" s="52">
        <f>O89*(Q89-R89-S89)</f>
        <v>137256</v>
      </c>
      <c r="Q89" s="51">
        <v>520</v>
      </c>
      <c r="R89" s="419">
        <v>0</v>
      </c>
      <c r="S89" s="419">
        <v>4</v>
      </c>
      <c r="T89" s="41">
        <f>E89*M89*O89*Q89/100000000</f>
        <v>27.773929820000006</v>
      </c>
      <c r="U89" s="41">
        <f>E89*M89*O89*(Q89-R89-S89)/100000000</f>
        <v>27.560284206000002</v>
      </c>
      <c r="V89" s="41">
        <f>E89*G89*(1-N89)*O89/100*(R89+S89)/1000000</f>
        <v>0.20871533060000003</v>
      </c>
      <c r="W89" s="41">
        <f>+'20'!K19/1000</f>
        <v>26.491</v>
      </c>
      <c r="X89" s="416"/>
      <c r="Y89" s="220"/>
      <c r="Z89" s="41">
        <f>+('20'!D9+'20'!D16)/1000</f>
        <v>0.71299999999999997</v>
      </c>
      <c r="AA89" s="53"/>
      <c r="AB89" s="53"/>
      <c r="AC89" s="41">
        <f t="shared" si="0"/>
        <v>9.7550179999991826E-2</v>
      </c>
      <c r="AD89" s="41">
        <f>+AM89+BA89</f>
        <v>0</v>
      </c>
      <c r="AE89" s="238" t="s">
        <v>592</v>
      </c>
      <c r="AF89" s="37"/>
      <c r="AG89" s="37"/>
      <c r="AH89" s="37">
        <v>0</v>
      </c>
      <c r="AI89" s="459"/>
      <c r="AJ89" s="41"/>
      <c r="AK89" s="41"/>
      <c r="AL89" s="41"/>
      <c r="AM89" s="41">
        <f>SUM(AF89:AL89)+AT89+AV89+AX89</f>
        <v>0</v>
      </c>
      <c r="AN89" s="41"/>
      <c r="AO89" s="41"/>
      <c r="AP89" s="41"/>
      <c r="AQ89" s="41"/>
      <c r="AR89" s="41">
        <f>SUM(AN89:AQ89)</f>
        <v>0</v>
      </c>
      <c r="AS89" s="41"/>
      <c r="AT89" s="41"/>
      <c r="AU89" s="41"/>
      <c r="AV89" s="41"/>
      <c r="AW89" s="41"/>
      <c r="AX89" s="41"/>
      <c r="AY89" s="41"/>
      <c r="AZ89" s="41"/>
      <c r="BA89" s="41">
        <f>+AR89+AS89+AU89+AW89+AY89+AZ89</f>
        <v>0</v>
      </c>
      <c r="BB89" s="37"/>
      <c r="BC89" s="57"/>
      <c r="BD89" s="57"/>
      <c r="BE89" s="37"/>
      <c r="BF89" s="57"/>
    </row>
    <row r="90" spans="1:58" ht="12.95" customHeight="1">
      <c r="A90" s="343"/>
      <c r="B90" s="45" t="s">
        <v>231</v>
      </c>
      <c r="C90" s="450">
        <f>(M90*E90*O90*Q90)/100000000</f>
        <v>36.609656160000007</v>
      </c>
      <c r="D90" s="45" t="s">
        <v>608</v>
      </c>
      <c r="E90" s="46">
        <v>20</v>
      </c>
      <c r="F90" s="46">
        <v>1</v>
      </c>
      <c r="G90" s="463">
        <v>1030</v>
      </c>
      <c r="H90" s="48">
        <v>0</v>
      </c>
      <c r="I90" s="49">
        <v>0.88</v>
      </c>
      <c r="J90" s="88">
        <f>E90*G90*(1-H90)*1440/1000000*2.77</f>
        <v>82.169280000000001</v>
      </c>
      <c r="K90" s="88">
        <f>(IF(G90&lt;L90,L90,G90)*(1-IF(H90&lt;N90,H90,N90))*E90*O90*Q90)/100000000</f>
        <v>38.612639999999999</v>
      </c>
      <c r="L90" s="39">
        <v>980</v>
      </c>
      <c r="M90" s="39">
        <f t="shared" ref="M90" si="1">+L90-L90*0.0035</f>
        <v>976.57</v>
      </c>
      <c r="N90" s="50">
        <f>1-(M90/L90)</f>
        <v>3.4999999999999476E-3</v>
      </c>
      <c r="O90" s="51">
        <f>+'Trim Rwd'!H81</f>
        <v>264</v>
      </c>
      <c r="P90" s="52">
        <f>O90*(Q90-R90-S90)</f>
        <v>184800</v>
      </c>
      <c r="Q90" s="51">
        <v>710</v>
      </c>
      <c r="R90" s="419">
        <v>0</v>
      </c>
      <c r="S90" s="419">
        <v>10</v>
      </c>
      <c r="T90" s="41">
        <f>E90*M90*O90*Q90/100000000</f>
        <v>36.609656160000007</v>
      </c>
      <c r="U90" s="41">
        <f>E90*M90*O90*(Q90-R90-S90)/100000000</f>
        <v>36.094027200000006</v>
      </c>
      <c r="V90" s="41">
        <f>E90*G90*(1-N90)*O90/100*(R90+S90)/1000000</f>
        <v>0.54193656000000001</v>
      </c>
      <c r="W90" s="41">
        <f>+'20'!K20/1000</f>
        <v>30.718</v>
      </c>
      <c r="X90" s="416"/>
      <c r="Y90" s="220"/>
      <c r="Z90" s="41"/>
      <c r="AA90" s="53"/>
      <c r="AB90" s="53"/>
      <c r="AC90" s="41">
        <f t="shared" si="0"/>
        <v>2.0029838399999917</v>
      </c>
      <c r="AD90" s="41">
        <f>+AM90+BA90</f>
        <v>17</v>
      </c>
      <c r="AE90" s="241" t="s">
        <v>487</v>
      </c>
      <c r="AF90" s="41"/>
      <c r="AG90" s="41"/>
      <c r="AH90" s="41"/>
      <c r="AI90" s="459">
        <v>17</v>
      </c>
      <c r="AJ90" s="41"/>
      <c r="AK90" s="41"/>
      <c r="AL90" s="41"/>
      <c r="AM90" s="41">
        <f>SUM(AF90:AL90)+AT90+AV90+AX90</f>
        <v>17</v>
      </c>
      <c r="AN90" s="41"/>
      <c r="AO90" s="41"/>
      <c r="AP90" s="41"/>
      <c r="AQ90" s="41"/>
      <c r="AR90" s="41">
        <f>SUM(AN90:AQ90)</f>
        <v>0</v>
      </c>
      <c r="AS90" s="41"/>
      <c r="AT90" s="41"/>
      <c r="AU90" s="41"/>
      <c r="AV90" s="41"/>
      <c r="AW90" s="41"/>
      <c r="AX90" s="41"/>
      <c r="AY90" s="41"/>
      <c r="AZ90" s="41"/>
      <c r="BA90" s="41">
        <f>+AR90+AS90+AU90+AW90+AY90+AZ90</f>
        <v>0</v>
      </c>
      <c r="BB90" s="37"/>
      <c r="BC90" s="57"/>
      <c r="BD90" s="57"/>
      <c r="BE90" s="37"/>
      <c r="BF90" s="57"/>
    </row>
    <row r="91" spans="1:58" ht="12.95" customHeight="1">
      <c r="A91" s="44"/>
      <c r="B91" s="45" t="s">
        <v>231</v>
      </c>
      <c r="C91" s="450"/>
      <c r="D91" s="45"/>
      <c r="E91" s="46">
        <v>14</v>
      </c>
      <c r="F91" s="46"/>
      <c r="G91" s="47"/>
      <c r="H91" s="48"/>
      <c r="I91" s="49"/>
      <c r="J91" s="88"/>
      <c r="K91" s="88"/>
      <c r="L91" s="39"/>
      <c r="M91" s="39"/>
      <c r="N91" s="50"/>
      <c r="O91" s="51"/>
      <c r="P91" s="52"/>
      <c r="Q91" s="51"/>
      <c r="R91" s="419"/>
      <c r="S91" s="419"/>
      <c r="T91" s="41"/>
      <c r="U91" s="41"/>
      <c r="V91" s="41"/>
      <c r="W91" s="41">
        <f>+'20'!K15/1000</f>
        <v>5.1909999999999998</v>
      </c>
      <c r="X91" s="42"/>
      <c r="Y91" s="220"/>
      <c r="Z91" s="41"/>
      <c r="AA91" s="41"/>
      <c r="AB91" s="41"/>
      <c r="AC91" s="41"/>
      <c r="AD91" s="41"/>
      <c r="AE91" s="238"/>
      <c r="AF91" s="37"/>
      <c r="AG91" s="37"/>
      <c r="AH91" s="37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37"/>
      <c r="BC91" s="57"/>
      <c r="BD91" s="55"/>
      <c r="BE91" s="55"/>
      <c r="BF91" s="55"/>
    </row>
    <row r="92" spans="1:58" ht="12.95" customHeight="1">
      <c r="A92" s="44"/>
      <c r="B92" s="45"/>
      <c r="C92" s="450"/>
      <c r="D92" s="45"/>
      <c r="E92" s="46"/>
      <c r="F92" s="46"/>
      <c r="G92" s="463"/>
      <c r="H92" s="48"/>
      <c r="I92" s="49"/>
      <c r="J92" s="88"/>
      <c r="K92" s="88"/>
      <c r="L92" s="39"/>
      <c r="M92" s="39"/>
      <c r="N92" s="50"/>
      <c r="O92" s="51"/>
      <c r="P92" s="52"/>
      <c r="Q92" s="51"/>
      <c r="R92" s="419"/>
      <c r="S92" s="419"/>
      <c r="T92" s="41"/>
      <c r="U92" s="41"/>
      <c r="V92" s="41"/>
      <c r="W92" s="41"/>
      <c r="X92" s="416"/>
      <c r="Y92" s="220"/>
      <c r="Z92" s="41"/>
      <c r="AA92" s="53"/>
      <c r="AB92" s="53"/>
      <c r="AC92" s="41"/>
      <c r="AD92" s="41"/>
      <c r="AE92" s="241"/>
      <c r="AF92" s="41"/>
      <c r="AG92" s="41"/>
      <c r="AH92" s="41"/>
      <c r="AI92" s="41"/>
      <c r="AJ92" s="41"/>
      <c r="AK92" s="41"/>
      <c r="AL92" s="41"/>
      <c r="AM92" s="41"/>
      <c r="AN92" s="58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37"/>
      <c r="BC92" s="55"/>
      <c r="BD92" s="55"/>
      <c r="BE92" s="55"/>
      <c r="BF92" s="55"/>
    </row>
    <row r="93" spans="1:58" ht="12.95" customHeight="1">
      <c r="A93" s="343">
        <v>46133</v>
      </c>
      <c r="B93" s="45" t="s">
        <v>231</v>
      </c>
      <c r="C93" s="450">
        <f>(M93*E93*O93*Q93)/100000000</f>
        <v>37.898728560000002</v>
      </c>
      <c r="D93" s="45" t="s">
        <v>608</v>
      </c>
      <c r="E93" s="46">
        <v>20</v>
      </c>
      <c r="F93" s="46">
        <v>1</v>
      </c>
      <c r="G93" s="463">
        <v>1030</v>
      </c>
      <c r="H93" s="48">
        <v>0</v>
      </c>
      <c r="I93" s="49">
        <v>0.88</v>
      </c>
      <c r="J93" s="88">
        <f>E93*G93*(1-H93)*1440/1000000*2.77</f>
        <v>82.169280000000001</v>
      </c>
      <c r="K93" s="88">
        <f>(IF(G93&lt;L93,L93,G93)*(1-IF(H93&lt;N93,H93,N93))*E93*O93*Q93)/100000000</f>
        <v>39.972239999999999</v>
      </c>
      <c r="L93" s="39">
        <v>980</v>
      </c>
      <c r="M93" s="39">
        <f>+L93-L93*0.0035</f>
        <v>976.57</v>
      </c>
      <c r="N93" s="50">
        <f>1-(M93/L93)</f>
        <v>3.4999999999999476E-3</v>
      </c>
      <c r="O93" s="51">
        <f>+'Trim Rwd'!H83</f>
        <v>264</v>
      </c>
      <c r="P93" s="52">
        <f>O93*(Q93-R93-S93)</f>
        <v>192192</v>
      </c>
      <c r="Q93" s="51">
        <v>735</v>
      </c>
      <c r="R93" s="419">
        <v>0</v>
      </c>
      <c r="S93" s="419">
        <v>7</v>
      </c>
      <c r="T93" s="41">
        <f>E93*M93*O93*Q93/100000000</f>
        <v>37.898728560000002</v>
      </c>
      <c r="U93" s="41">
        <f>E93*M93*O93*(Q93-R93-S93)/100000000</f>
        <v>37.537788288000002</v>
      </c>
      <c r="V93" s="41">
        <f>E93*G93*(1-N93)*O93/100*(R93+S93)/1000000</f>
        <v>0.37935559200000002</v>
      </c>
      <c r="W93" s="41">
        <f>+'21'!K20/1000</f>
        <v>39.872</v>
      </c>
      <c r="X93" s="42">
        <f>SUM(W93:W96)/SUM(K93:K96)</f>
        <v>0.86719302409777588</v>
      </c>
      <c r="Y93" s="220">
        <v>0</v>
      </c>
      <c r="Z93" s="41">
        <f>+'21'!D16/1000</f>
        <v>1.2030000000000001</v>
      </c>
      <c r="AA93" s="41">
        <f>SUM(U93:U96)-SUM(W93:W96)-SUM(Z93:Z96)-SUM(Y93:Y96)</f>
        <v>4.8179204480000051</v>
      </c>
      <c r="AB93" s="41">
        <f>(SUM(K93:K96)-SUM(W93:W96)-SUM(Y93:Y96)-SUM(Z93:Z96)-SUM(AC93:AC96)-SUM(V93:V96))-AA93</f>
        <v>-2.5054680000007323E-2</v>
      </c>
      <c r="AC93" s="41">
        <f>K93-T93</f>
        <v>2.0735114399999972</v>
      </c>
      <c r="AD93" s="41">
        <f>+AM93+BA93</f>
        <v>0</v>
      </c>
      <c r="AE93" s="238" t="s">
        <v>277</v>
      </c>
      <c r="AF93" s="41">
        <v>0</v>
      </c>
      <c r="AG93" s="41"/>
      <c r="AH93" s="41"/>
      <c r="AI93" s="459"/>
      <c r="AJ93" s="41"/>
      <c r="AK93" s="41"/>
      <c r="AL93" s="41"/>
      <c r="AM93" s="41">
        <f>SUM(AF93:AL93)+AT93+AV93+AX93</f>
        <v>0</v>
      </c>
      <c r="AN93" s="41"/>
      <c r="AO93" s="41"/>
      <c r="AP93" s="41"/>
      <c r="AQ93" s="41"/>
      <c r="AR93" s="41">
        <f>SUM(AN93:AQ93)</f>
        <v>0</v>
      </c>
      <c r="AS93" s="41"/>
      <c r="AT93" s="41"/>
      <c r="AU93" s="41"/>
      <c r="AV93" s="41"/>
      <c r="AW93" s="41"/>
      <c r="AX93" s="41"/>
      <c r="AY93" s="41"/>
      <c r="AZ93" s="41"/>
      <c r="BA93" s="41">
        <f>+AR93+AS93+AU93+AW93+AY93+AZ93</f>
        <v>0</v>
      </c>
      <c r="BB93" s="37">
        <v>0</v>
      </c>
      <c r="BC93" s="55"/>
      <c r="BD93" s="55"/>
      <c r="BE93" s="37"/>
      <c r="BF93" s="55"/>
    </row>
    <row r="94" spans="1:58" ht="12.95" customHeight="1">
      <c r="A94" s="343"/>
      <c r="B94" s="45" t="s">
        <v>523</v>
      </c>
      <c r="C94" s="450">
        <f>(M94*E94*O94*Q94)/100000000</f>
        <v>30.244838399999999</v>
      </c>
      <c r="D94" s="45" t="s">
        <v>408</v>
      </c>
      <c r="E94" s="46">
        <v>12</v>
      </c>
      <c r="F94" s="46">
        <v>1</v>
      </c>
      <c r="G94" s="463">
        <v>1700</v>
      </c>
      <c r="H94" s="48">
        <f>+N94</f>
        <v>0.19999999999999996</v>
      </c>
      <c r="I94" s="49">
        <v>0.88</v>
      </c>
      <c r="J94" s="88">
        <f>E94*G94*(1-H94)*1440/1000000*2.77</f>
        <v>65.097216000000003</v>
      </c>
      <c r="K94" s="88">
        <f>(IF(G94&lt;L94,L94,G94)*(1-IF(H94&lt;N94,H94,N94))*E94*O94*Q94)/100000000</f>
        <v>30.604896</v>
      </c>
      <c r="L94" s="39">
        <v>1680</v>
      </c>
      <c r="M94" s="39">
        <v>1344</v>
      </c>
      <c r="N94" s="50">
        <f>1-(M94/L94)</f>
        <v>0.19999999999999996</v>
      </c>
      <c r="O94" s="51">
        <f>+'Trim Rwd'!H84</f>
        <v>266</v>
      </c>
      <c r="P94" s="52">
        <f>O94*(Q94-R94-S94)</f>
        <v>184072</v>
      </c>
      <c r="Q94" s="51">
        <v>705</v>
      </c>
      <c r="R94" s="419">
        <v>0</v>
      </c>
      <c r="S94" s="419">
        <v>13</v>
      </c>
      <c r="T94" s="41">
        <f>E94*M94*O94*Q94/100000000</f>
        <v>30.244838399999999</v>
      </c>
      <c r="U94" s="41">
        <f>E94*M94*O94*(Q94-R94-S94)/100000000</f>
        <v>29.687132160000001</v>
      </c>
      <c r="V94" s="41">
        <f>E94*G94*(1-N94)*O94/100*(R94+S94)/1000000</f>
        <v>0.5643456</v>
      </c>
      <c r="W94" s="41">
        <f>+'21'!K11/1000</f>
        <v>21.332000000000001</v>
      </c>
      <c r="X94" s="416"/>
      <c r="Y94" s="220"/>
      <c r="Z94" s="41"/>
      <c r="AA94" s="41"/>
      <c r="AB94" s="41"/>
      <c r="AC94" s="41">
        <f>K94-T94</f>
        <v>0.36005760000000109</v>
      </c>
      <c r="AD94" s="41">
        <f>+AM94+BA94</f>
        <v>7</v>
      </c>
      <c r="AE94" s="238" t="s">
        <v>705</v>
      </c>
      <c r="AF94" s="41"/>
      <c r="AG94" s="41">
        <v>7</v>
      </c>
      <c r="AH94" s="41"/>
      <c r="AI94" s="459"/>
      <c r="AJ94" s="41"/>
      <c r="AK94" s="41"/>
      <c r="AL94" s="41"/>
      <c r="AM94" s="41">
        <f>SUM(AF94:AL94)+AT94+AV94+AX94</f>
        <v>7</v>
      </c>
      <c r="AN94" s="89"/>
      <c r="AO94" s="41"/>
      <c r="AP94" s="41"/>
      <c r="AQ94" s="41"/>
      <c r="AR94" s="41">
        <f>SUM(AN94:AQ94)</f>
        <v>0</v>
      </c>
      <c r="AS94" s="41"/>
      <c r="AT94" s="41"/>
      <c r="AU94" s="41"/>
      <c r="AV94" s="41"/>
      <c r="AW94" s="41"/>
      <c r="AX94" s="41"/>
      <c r="AY94" s="41"/>
      <c r="AZ94" s="41"/>
      <c r="BA94" s="41">
        <f>+AR94+AS94+AU94+AW94+AY94+AZ94</f>
        <v>0</v>
      </c>
      <c r="BB94" s="54"/>
      <c r="BC94" s="55">
        <v>9</v>
      </c>
      <c r="BD94" s="55"/>
      <c r="BE94" s="54"/>
      <c r="BF94" s="55"/>
    </row>
    <row r="95" spans="1:58" ht="12.95" customHeight="1">
      <c r="A95" s="44"/>
      <c r="B95" s="45"/>
      <c r="C95" s="450"/>
      <c r="D95" s="45"/>
      <c r="E95" s="46"/>
      <c r="F95" s="46"/>
      <c r="G95" s="463"/>
      <c r="H95" s="48"/>
      <c r="I95" s="49"/>
      <c r="J95" s="88"/>
      <c r="K95" s="88"/>
      <c r="L95" s="39"/>
      <c r="M95" s="39"/>
      <c r="N95" s="50"/>
      <c r="O95" s="51"/>
      <c r="P95" s="52"/>
      <c r="Q95" s="51"/>
      <c r="R95" s="419"/>
      <c r="S95" s="419"/>
      <c r="T95" s="41"/>
      <c r="U95" s="41"/>
      <c r="V95" s="41"/>
      <c r="W95" s="41"/>
      <c r="X95" s="416"/>
      <c r="Y95" s="220"/>
      <c r="Z95" s="41"/>
      <c r="AA95" s="53"/>
      <c r="AB95" s="53"/>
      <c r="AC95" s="41"/>
      <c r="AD95" s="41">
        <f>+AM95+BA95</f>
        <v>13</v>
      </c>
      <c r="AE95" s="238" t="s">
        <v>612</v>
      </c>
      <c r="AF95" s="37"/>
      <c r="AG95" s="37"/>
      <c r="AH95" s="37">
        <v>13</v>
      </c>
      <c r="AI95" s="459"/>
      <c r="AJ95" s="41"/>
      <c r="AK95" s="41"/>
      <c r="AL95" s="41"/>
      <c r="AM95" s="41">
        <f>SUM(AF95:AL95)+AT95+AV95+AX95</f>
        <v>13</v>
      </c>
      <c r="AN95" s="41"/>
      <c r="AO95" s="41"/>
      <c r="AP95" s="41"/>
      <c r="AQ95" s="41"/>
      <c r="AR95" s="41">
        <f>SUM(AN95:AQ95)</f>
        <v>0</v>
      </c>
      <c r="AS95" s="41"/>
      <c r="AT95" s="41"/>
      <c r="AU95" s="41"/>
      <c r="AV95" s="41"/>
      <c r="AW95" s="41"/>
      <c r="AX95" s="41"/>
      <c r="AY95" s="41"/>
      <c r="AZ95" s="41"/>
      <c r="BA95" s="41">
        <f>+AR95+AS95+AU95+AW95+AY95+AZ95</f>
        <v>0</v>
      </c>
      <c r="BB95" s="37"/>
      <c r="BC95" s="57"/>
      <c r="BD95" s="57"/>
      <c r="BE95" s="37"/>
      <c r="BF95" s="57"/>
    </row>
    <row r="96" spans="1:58" ht="12.95" customHeight="1">
      <c r="A96" s="44"/>
      <c r="B96" s="45"/>
      <c r="C96" s="450"/>
      <c r="D96" s="45"/>
      <c r="E96" s="46"/>
      <c r="F96" s="46"/>
      <c r="G96" s="463"/>
      <c r="H96" s="48"/>
      <c r="I96" s="49"/>
      <c r="J96" s="88"/>
      <c r="K96" s="88"/>
      <c r="L96" s="39"/>
      <c r="M96" s="39"/>
      <c r="N96" s="50"/>
      <c r="O96" s="51"/>
      <c r="P96" s="52"/>
      <c r="Q96" s="51"/>
      <c r="R96" s="419"/>
      <c r="S96" s="419"/>
      <c r="T96" s="41"/>
      <c r="U96" s="41"/>
      <c r="V96" s="41"/>
      <c r="W96" s="41"/>
      <c r="X96" s="42"/>
      <c r="Y96" s="220"/>
      <c r="Z96" s="41"/>
      <c r="AA96" s="41"/>
      <c r="AB96" s="41"/>
      <c r="AC96" s="41"/>
      <c r="AD96" s="41"/>
      <c r="AE96" s="238"/>
      <c r="AF96" s="37"/>
      <c r="AG96" s="37"/>
      <c r="AH96" s="37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37"/>
      <c r="BC96" s="57"/>
      <c r="BD96" s="55"/>
      <c r="BE96" s="55"/>
      <c r="BF96" s="55"/>
    </row>
    <row r="97" spans="1:58" ht="12.95" customHeight="1">
      <c r="A97" s="343">
        <v>46134</v>
      </c>
      <c r="B97" s="45" t="s">
        <v>523</v>
      </c>
      <c r="C97" s="450">
        <f>(M97*E97*O97*Q97)/100000000</f>
        <v>60.083722400000006</v>
      </c>
      <c r="D97" s="45" t="s">
        <v>408</v>
      </c>
      <c r="E97" s="46">
        <v>12</v>
      </c>
      <c r="F97" s="46">
        <v>1</v>
      </c>
      <c r="G97" s="47">
        <v>1700</v>
      </c>
      <c r="H97" s="48">
        <f>+N97</f>
        <v>0.19999999999999996</v>
      </c>
      <c r="I97" s="49">
        <v>0.88</v>
      </c>
      <c r="J97" s="88">
        <f>E97*G97*(1-H97)*1440/1000000*2.77</f>
        <v>65.097216000000003</v>
      </c>
      <c r="K97" s="88">
        <f>(IF(G97&lt;L97,L97,G97)*(1-IF(H97&lt;N97,H97,N97))*E97*O97*Q97)/100000000</f>
        <v>60.083722400000006</v>
      </c>
      <c r="L97" s="39">
        <v>1706.9064748201438</v>
      </c>
      <c r="M97" s="39">
        <v>1365.5251798561151</v>
      </c>
      <c r="N97" s="50">
        <f>1-(M97/L97)</f>
        <v>0.19999999999999996</v>
      </c>
      <c r="O97" s="51">
        <f>+'Trim Rwd'!H86</f>
        <v>263.79166666666669</v>
      </c>
      <c r="P97" s="52">
        <f>O97*(Q97-R97-S97)</f>
        <v>341874</v>
      </c>
      <c r="Q97" s="51">
        <v>1390</v>
      </c>
      <c r="R97" s="419">
        <v>0</v>
      </c>
      <c r="S97" s="419">
        <v>94</v>
      </c>
      <c r="T97" s="41">
        <f>E97*M97*O97*Q97/100000000</f>
        <v>60.083722400000006</v>
      </c>
      <c r="U97" s="41">
        <f>E97*M97*O97*(Q97-R97-S97)/100000000</f>
        <v>56.020506640575555</v>
      </c>
      <c r="V97" s="41">
        <f>E97*G97*(1-N97)*O97/100*(R97+S97)/1000000</f>
        <v>4.0467751999999999</v>
      </c>
      <c r="W97" s="41">
        <f>+'22'!K11/1000</f>
        <v>51.393999999999998</v>
      </c>
      <c r="X97" s="42">
        <f>SUM(W97:W100)/SUM(K97:K100)</f>
        <v>0.86359075307645083</v>
      </c>
      <c r="Y97" s="220">
        <v>0</v>
      </c>
      <c r="Z97" s="41">
        <f>+('22'!D7+'22'!D16+'22'!D25)/1000</f>
        <v>0.92100000000000004</v>
      </c>
      <c r="AA97" s="41">
        <f>SUM(U97:U100)-SUM(W97:W100)-SUM(Z97:Z100)-SUM(Y97:Y100)</f>
        <v>3.0717055705755572</v>
      </c>
      <c r="AB97" s="41">
        <f>(SUM(K97:K100)-SUM(W97:W100)-SUM(Y97:Y100)-SUM(Z97:Z100)-SUM(AC97:AC100)-SUM(V97:V100))-AA97</f>
        <v>1.6440559424445667E-2</v>
      </c>
      <c r="AC97" s="41">
        <f>K97-T97</f>
        <v>0</v>
      </c>
      <c r="AD97" s="41">
        <f>+AM97+BA97</f>
        <v>20</v>
      </c>
      <c r="AE97" s="238" t="s">
        <v>522</v>
      </c>
      <c r="AF97" s="41">
        <v>20</v>
      </c>
      <c r="AG97" s="41"/>
      <c r="AH97" s="41"/>
      <c r="AI97" s="459"/>
      <c r="AJ97" s="41"/>
      <c r="AK97" s="41"/>
      <c r="AL97" s="41"/>
      <c r="AM97" s="41">
        <f>SUM(AF97:AL97)+AT97+AV97+AX97</f>
        <v>20</v>
      </c>
      <c r="AN97" s="41"/>
      <c r="AO97" s="41"/>
      <c r="AP97" s="41"/>
      <c r="AQ97" s="41"/>
      <c r="AR97" s="41">
        <f>SUM(AN97:AQ97)</f>
        <v>0</v>
      </c>
      <c r="AS97" s="41"/>
      <c r="AT97" s="41"/>
      <c r="AU97" s="41"/>
      <c r="AV97" s="41"/>
      <c r="AW97" s="41"/>
      <c r="AX97" s="41"/>
      <c r="AY97" s="41"/>
      <c r="AZ97" s="41"/>
      <c r="BA97" s="41">
        <f>+AR97+AS97+AU97+AW97+AY97+AZ97</f>
        <v>0</v>
      </c>
      <c r="BB97" s="37">
        <v>4</v>
      </c>
      <c r="BC97" s="55"/>
      <c r="BD97" s="55"/>
      <c r="BE97" s="37"/>
      <c r="BF97" s="55"/>
    </row>
    <row r="98" spans="1:58" ht="12.95" customHeight="1">
      <c r="A98" s="343"/>
      <c r="B98" s="45" t="s">
        <v>231</v>
      </c>
      <c r="C98" s="450">
        <f>(M98*E98*O98*Q98)/100000000</f>
        <v>2.7961989300000001</v>
      </c>
      <c r="D98" s="45" t="s">
        <v>408</v>
      </c>
      <c r="E98" s="46">
        <v>17</v>
      </c>
      <c r="F98" s="46">
        <v>1</v>
      </c>
      <c r="G98" s="463">
        <v>1210</v>
      </c>
      <c r="H98" s="48">
        <v>0</v>
      </c>
      <c r="I98" s="49">
        <v>0.88</v>
      </c>
      <c r="J98" s="88">
        <f>E98*G98*(1-H98)*1440/1000000*2.77</f>
        <v>82.049616</v>
      </c>
      <c r="K98" s="88">
        <f>(IF(G98&lt;L98,L98,G98)*(1-IF(H98&lt;N98,H98,N98))*E98*O98*Q98)/100000000</f>
        <v>2.8060200000000002</v>
      </c>
      <c r="L98" s="39">
        <v>1260</v>
      </c>
      <c r="M98" s="39">
        <v>1255.5899999999999</v>
      </c>
      <c r="N98" s="50">
        <f>1-(M98/L98)</f>
        <v>3.5000000000000586E-3</v>
      </c>
      <c r="O98" s="51">
        <f>+'Trim Rwd'!H88</f>
        <v>262</v>
      </c>
      <c r="P98" s="52">
        <f>O98*(Q98-R98-S98)</f>
        <v>13100</v>
      </c>
      <c r="Q98" s="51">
        <v>50</v>
      </c>
      <c r="R98" s="419">
        <v>0</v>
      </c>
      <c r="S98" s="419">
        <v>0</v>
      </c>
      <c r="T98" s="41">
        <f>E98*M98*O98*Q98/100000000</f>
        <v>2.7961989300000001</v>
      </c>
      <c r="U98" s="41">
        <f>E98*M98*O98*(Q98-R98-S98)/100000000</f>
        <v>2.7961989300000001</v>
      </c>
      <c r="V98" s="41">
        <f>E98*G98*(1-N98)*O98/100*(R98+S98)/1000000</f>
        <v>0</v>
      </c>
      <c r="W98" s="41">
        <f>+'22'!K16/1000</f>
        <v>2.9169999999999998</v>
      </c>
      <c r="X98" s="416"/>
      <c r="Y98" s="220"/>
      <c r="Z98" s="41">
        <f>+('22'!D8+'22'!D17+'22'!D26)/1000</f>
        <v>0.51300000000000001</v>
      </c>
      <c r="AA98" s="41"/>
      <c r="AB98" s="41"/>
      <c r="AC98" s="41">
        <f>K98-T98</f>
        <v>9.8210700000000983E-3</v>
      </c>
      <c r="AD98" s="41">
        <f>+AM98+BA98</f>
        <v>13</v>
      </c>
      <c r="AE98" s="238" t="s">
        <v>723</v>
      </c>
      <c r="AF98" s="41"/>
      <c r="AG98" s="41">
        <v>13</v>
      </c>
      <c r="AH98" s="41"/>
      <c r="AI98" s="459"/>
      <c r="AJ98" s="41"/>
      <c r="AK98" s="41"/>
      <c r="AL98" s="41"/>
      <c r="AM98" s="41">
        <f>SUM(AF98:AL98)+AT98+AV98+AX98</f>
        <v>13</v>
      </c>
      <c r="AN98" s="89"/>
      <c r="AO98" s="41"/>
      <c r="AP98" s="41"/>
      <c r="AQ98" s="41"/>
      <c r="AR98" s="41">
        <f>SUM(AN98:AQ98)</f>
        <v>0</v>
      </c>
      <c r="AS98" s="41"/>
      <c r="AT98" s="41"/>
      <c r="AU98" s="41"/>
      <c r="AV98" s="41"/>
      <c r="AW98" s="41"/>
      <c r="AX98" s="41"/>
      <c r="AY98" s="41"/>
      <c r="AZ98" s="41"/>
      <c r="BA98" s="41">
        <f>+AR98+AS98+AU98+AW98+AY98+AZ98</f>
        <v>0</v>
      </c>
      <c r="BB98" s="54"/>
      <c r="BC98" s="55">
        <v>8</v>
      </c>
      <c r="BD98" s="55"/>
      <c r="BE98" s="54"/>
      <c r="BF98" s="55"/>
    </row>
    <row r="99" spans="1:58" ht="12.95" customHeight="1">
      <c r="A99" s="44"/>
      <c r="B99" s="45"/>
      <c r="C99" s="450"/>
      <c r="D99" s="45"/>
      <c r="E99" s="46"/>
      <c r="F99" s="46"/>
      <c r="G99" s="463"/>
      <c r="H99" s="48"/>
      <c r="I99" s="49"/>
      <c r="J99" s="88"/>
      <c r="K99" s="88"/>
      <c r="L99" s="39"/>
      <c r="M99" s="39"/>
      <c r="N99" s="50"/>
      <c r="O99" s="51"/>
      <c r="P99" s="52"/>
      <c r="Q99" s="51"/>
      <c r="R99" s="419"/>
      <c r="S99" s="419"/>
      <c r="T99" s="41"/>
      <c r="U99" s="41"/>
      <c r="V99" s="41"/>
      <c r="W99" s="41"/>
      <c r="X99" s="416"/>
      <c r="Y99" s="220"/>
      <c r="Z99" s="41"/>
      <c r="AA99" s="53"/>
      <c r="AB99" s="53"/>
      <c r="AC99" s="41"/>
      <c r="AD99" s="41">
        <f>+AM99+BA99</f>
        <v>31</v>
      </c>
      <c r="AE99" s="238" t="s">
        <v>486</v>
      </c>
      <c r="AF99" s="37"/>
      <c r="AG99" s="37"/>
      <c r="AH99" s="37">
        <v>31</v>
      </c>
      <c r="AI99" s="459"/>
      <c r="AJ99" s="41"/>
      <c r="AK99" s="41"/>
      <c r="AL99" s="41"/>
      <c r="AM99" s="41">
        <f>SUM(AF99:AL99)+AT99+AV99+AX99</f>
        <v>31</v>
      </c>
      <c r="AN99" s="41"/>
      <c r="AO99" s="41"/>
      <c r="AP99" s="41"/>
      <c r="AQ99" s="41"/>
      <c r="AR99" s="41">
        <f>SUM(AN99:AQ99)</f>
        <v>0</v>
      </c>
      <c r="AS99" s="41"/>
      <c r="AT99" s="41"/>
      <c r="AU99" s="41"/>
      <c r="AV99" s="41"/>
      <c r="AW99" s="41"/>
      <c r="AX99" s="41"/>
      <c r="AY99" s="41"/>
      <c r="AZ99" s="41"/>
      <c r="BA99" s="41">
        <f>+AR99+AS99+AU99+AW99+AY99+AZ99</f>
        <v>0</v>
      </c>
      <c r="BB99" s="37"/>
      <c r="BC99" s="57"/>
      <c r="BD99" s="57"/>
      <c r="BE99" s="37"/>
      <c r="BF99" s="57"/>
    </row>
    <row r="100" spans="1:58" ht="12.95" customHeight="1">
      <c r="A100" s="44"/>
      <c r="B100" s="45"/>
      <c r="C100" s="450"/>
      <c r="D100" s="45"/>
      <c r="E100" s="46"/>
      <c r="F100" s="46"/>
      <c r="G100" s="47"/>
      <c r="H100" s="48"/>
      <c r="I100" s="49"/>
      <c r="J100" s="88"/>
      <c r="K100" s="88"/>
      <c r="L100" s="39"/>
      <c r="M100" s="39"/>
      <c r="N100" s="50"/>
      <c r="O100" s="51"/>
      <c r="P100" s="52"/>
      <c r="Q100" s="51"/>
      <c r="R100" s="419"/>
      <c r="S100" s="419"/>
      <c r="T100" s="41"/>
      <c r="U100" s="41"/>
      <c r="V100" s="41"/>
      <c r="W100" s="41"/>
      <c r="X100" s="42"/>
      <c r="Y100" s="220"/>
      <c r="Z100" s="41"/>
      <c r="AA100" s="41"/>
      <c r="AB100" s="41"/>
      <c r="AC100" s="41"/>
      <c r="AD100" s="41">
        <f>+AM100+BA100</f>
        <v>15</v>
      </c>
      <c r="AE100" s="241" t="s">
        <v>487</v>
      </c>
      <c r="AF100" s="37"/>
      <c r="AG100" s="37"/>
      <c r="AH100" s="37"/>
      <c r="AI100" s="33">
        <v>15</v>
      </c>
      <c r="AJ100" s="41"/>
      <c r="AK100" s="41"/>
      <c r="AL100" s="41"/>
      <c r="AM100" s="41">
        <f t="shared" ref="AM100:AM101" si="2">SUM(AF100:AL100)+AT100+AV100+AX100</f>
        <v>15</v>
      </c>
      <c r="AN100" s="41"/>
      <c r="AO100" s="41"/>
      <c r="AP100" s="41"/>
      <c r="AQ100" s="41"/>
      <c r="AR100" s="41">
        <f t="shared" ref="AR100:AR101" si="3">SUM(AN100:AQ100)</f>
        <v>0</v>
      </c>
      <c r="AS100" s="41"/>
      <c r="AT100" s="41"/>
      <c r="AU100" s="41"/>
      <c r="AV100" s="41"/>
      <c r="AW100" s="41"/>
      <c r="AX100" s="41"/>
      <c r="AY100" s="41"/>
      <c r="AZ100" s="41"/>
      <c r="BA100" s="41">
        <f t="shared" ref="BA100:BA101" si="4">+AR100+AS100+AU100+AW100+AY100+AZ100</f>
        <v>0</v>
      </c>
      <c r="BB100" s="37"/>
      <c r="BC100" s="57"/>
      <c r="BD100" s="57"/>
      <c r="BE100" s="37"/>
      <c r="BF100" s="57"/>
    </row>
    <row r="101" spans="1:58" ht="12.95" customHeight="1">
      <c r="A101" s="44"/>
      <c r="B101" s="45"/>
      <c r="C101" s="450"/>
      <c r="D101" s="45"/>
      <c r="E101" s="46"/>
      <c r="F101" s="46"/>
      <c r="G101" s="463"/>
      <c r="H101" s="48"/>
      <c r="I101" s="49"/>
      <c r="J101" s="88"/>
      <c r="K101" s="88"/>
      <c r="L101" s="39"/>
      <c r="M101" s="39"/>
      <c r="N101" s="50"/>
      <c r="O101" s="51"/>
      <c r="P101" s="52"/>
      <c r="Q101" s="51"/>
      <c r="R101" s="419"/>
      <c r="S101" s="419"/>
      <c r="T101" s="41"/>
      <c r="U101" s="41"/>
      <c r="V101" s="41"/>
      <c r="W101" s="41"/>
      <c r="X101" s="42"/>
      <c r="Y101" s="220"/>
      <c r="Z101" s="41"/>
      <c r="AA101" s="41"/>
      <c r="AB101" s="41"/>
      <c r="AC101" s="41"/>
      <c r="AD101" s="41">
        <f>+AM101+BA101</f>
        <v>15</v>
      </c>
      <c r="AE101" s="614" t="s">
        <v>711</v>
      </c>
      <c r="AF101" s="41"/>
      <c r="AG101" s="41"/>
      <c r="AH101" s="41"/>
      <c r="AI101" s="41"/>
      <c r="AJ101" s="41"/>
      <c r="AK101" s="41">
        <v>15</v>
      </c>
      <c r="AL101" s="41"/>
      <c r="AM101" s="41">
        <f t="shared" si="2"/>
        <v>15</v>
      </c>
      <c r="AN101" s="41"/>
      <c r="AO101" s="41"/>
      <c r="AP101" s="41"/>
      <c r="AQ101" s="41"/>
      <c r="AR101" s="41">
        <f t="shared" si="3"/>
        <v>0</v>
      </c>
      <c r="AS101" s="41"/>
      <c r="AT101" s="41"/>
      <c r="AU101" s="41"/>
      <c r="AV101" s="41"/>
      <c r="AW101" s="41"/>
      <c r="AX101" s="41"/>
      <c r="AY101" s="41"/>
      <c r="AZ101" s="41"/>
      <c r="BA101" s="41">
        <f t="shared" si="4"/>
        <v>0</v>
      </c>
      <c r="BB101" s="37"/>
      <c r="BC101" s="57"/>
      <c r="BD101" s="57"/>
      <c r="BE101" s="37"/>
      <c r="BF101" s="57"/>
    </row>
    <row r="102" spans="1:58" ht="12.95" customHeight="1">
      <c r="A102" s="343"/>
      <c r="B102" s="45"/>
      <c r="C102" s="450"/>
      <c r="D102" s="45"/>
      <c r="E102" s="46"/>
      <c r="F102" s="46"/>
      <c r="G102" s="47"/>
      <c r="H102" s="48"/>
      <c r="I102" s="49"/>
      <c r="J102" s="88"/>
      <c r="K102" s="88"/>
      <c r="L102" s="39"/>
      <c r="M102" s="39"/>
      <c r="N102" s="50"/>
      <c r="O102" s="51"/>
      <c r="P102" s="52"/>
      <c r="Q102" s="51"/>
      <c r="R102" s="419"/>
      <c r="S102" s="419"/>
      <c r="T102" s="41"/>
      <c r="U102" s="41"/>
      <c r="V102" s="41"/>
      <c r="W102" s="41"/>
      <c r="X102" s="416"/>
      <c r="Y102" s="220"/>
      <c r="Z102" s="41"/>
      <c r="AA102" s="53"/>
      <c r="AB102" s="53"/>
      <c r="AC102" s="41"/>
      <c r="AD102" s="41"/>
      <c r="AE102" s="2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37"/>
      <c r="BC102" s="55"/>
      <c r="BD102" s="55"/>
      <c r="BE102" s="55"/>
      <c r="BF102" s="55"/>
    </row>
    <row r="103" spans="1:58" ht="12.95" customHeight="1">
      <c r="A103" s="343">
        <v>46135</v>
      </c>
      <c r="B103" s="45" t="s">
        <v>523</v>
      </c>
      <c r="C103" s="450">
        <f>(M103*E103*O103*Q103)/100000000</f>
        <v>13.904260169491526</v>
      </c>
      <c r="D103" s="45" t="s">
        <v>408</v>
      </c>
      <c r="E103" s="46">
        <v>12</v>
      </c>
      <c r="F103" s="46">
        <v>1</v>
      </c>
      <c r="G103" s="47">
        <v>1700</v>
      </c>
      <c r="H103" s="48">
        <f>+N103</f>
        <v>0.22769719848996617</v>
      </c>
      <c r="I103" s="49">
        <v>0.88</v>
      </c>
      <c r="J103" s="88">
        <f>E103*G103*(1-H103)*1440/1000000*2.77</f>
        <v>62.843452859129755</v>
      </c>
      <c r="K103" s="88">
        <f>(IF(G103&lt;L103,L103,G103)*(1-IF(H103&lt;N103,H103,N103))*E103*O103*Q103)/100000000</f>
        <v>13.904260169491526</v>
      </c>
      <c r="L103" s="39">
        <v>1706.1016949152543</v>
      </c>
      <c r="M103" s="39">
        <v>1317.6271186440679</v>
      </c>
      <c r="N103" s="50">
        <f>1-(M103/L103)</f>
        <v>0.22769719848996617</v>
      </c>
      <c r="O103" s="51">
        <f>+'Trim Rwd'!H90</f>
        <v>262.5</v>
      </c>
      <c r="P103" s="52">
        <f>O103*(Q103-R103-S103)</f>
        <v>71400</v>
      </c>
      <c r="Q103" s="51">
        <f>295+40</f>
        <v>335</v>
      </c>
      <c r="R103" s="419">
        <v>40</v>
      </c>
      <c r="S103" s="419">
        <v>23</v>
      </c>
      <c r="T103" s="41">
        <f>E103*M103*O103*Q103/100000000</f>
        <v>13.904260169491526</v>
      </c>
      <c r="U103" s="41">
        <f>E103*M103*O103*(Q103-R103-S103)/100000000</f>
        <v>11.289429152542372</v>
      </c>
      <c r="V103" s="41">
        <f>E103*G103*(1-N103)*O103/100*(R103+S103)/1000000</f>
        <v>2.6054793463143255</v>
      </c>
      <c r="W103" s="41">
        <f>+'23'!K11/1000</f>
        <v>16.364999999999998</v>
      </c>
      <c r="X103" s="42">
        <f>SUM(W103:W106)/SUM(K103:K106)</f>
        <v>0.83601893191862287</v>
      </c>
      <c r="Y103" s="220">
        <v>0</v>
      </c>
      <c r="Z103" s="41">
        <f>+'23'!D16/1000</f>
        <v>0.312</v>
      </c>
      <c r="AA103" s="41">
        <f>SUM(U103:U106)-SUM(W103:W106)-SUM(Z103:Z106)-SUM(Y103:Y106)</f>
        <v>4.7611861474173454</v>
      </c>
      <c r="AB103" s="41">
        <f>(SUM(K103:K106)-SUM(W103:W106)-SUM(Y103:Y106)-SUM(Z103:Z106)-SUM(AC103:AC106)-SUM(V103:V106))-AA103</f>
        <v>-5.2275629503307108E-2</v>
      </c>
      <c r="AC103" s="41">
        <f>K103-T103</f>
        <v>0</v>
      </c>
      <c r="AD103" s="41">
        <f>+AM103+BA103</f>
        <v>0</v>
      </c>
      <c r="AE103" s="238" t="s">
        <v>277</v>
      </c>
      <c r="AF103" s="41">
        <v>0</v>
      </c>
      <c r="AG103" s="41"/>
      <c r="AH103" s="41"/>
      <c r="AI103" s="459"/>
      <c r="AJ103" s="41"/>
      <c r="AK103" s="41"/>
      <c r="AL103" s="41"/>
      <c r="AM103" s="41">
        <f>SUM(AF103:AL103)+AT103+AV103+AX103</f>
        <v>0</v>
      </c>
      <c r="AN103" s="41"/>
      <c r="AO103" s="41"/>
      <c r="AP103" s="41"/>
      <c r="AQ103" s="41"/>
      <c r="AR103" s="41">
        <f>SUM(AN103:AQ103)</f>
        <v>0</v>
      </c>
      <c r="AS103" s="41"/>
      <c r="AT103" s="41"/>
      <c r="AU103" s="41"/>
      <c r="AV103" s="41"/>
      <c r="AW103" s="41"/>
      <c r="AX103" s="41"/>
      <c r="AY103" s="41"/>
      <c r="AZ103" s="41"/>
      <c r="BA103" s="41">
        <f>+AR103+AS103+AU103+AW103+AY103+AZ103</f>
        <v>0</v>
      </c>
      <c r="BB103" s="37">
        <v>0</v>
      </c>
      <c r="BC103" s="55"/>
      <c r="BD103" s="55"/>
      <c r="BE103" s="37"/>
      <c r="BF103" s="55"/>
    </row>
    <row r="104" spans="1:58" ht="12.95" customHeight="1">
      <c r="A104" s="343"/>
      <c r="B104" s="45" t="s">
        <v>231</v>
      </c>
      <c r="C104" s="450">
        <f>(M104*E104*O104*Q104)/100000000</f>
        <v>57.816204128421056</v>
      </c>
      <c r="D104" s="45" t="s">
        <v>408</v>
      </c>
      <c r="E104" s="46">
        <v>20</v>
      </c>
      <c r="F104" s="46">
        <v>1</v>
      </c>
      <c r="G104" s="463">
        <v>1030</v>
      </c>
      <c r="H104" s="48">
        <v>0</v>
      </c>
      <c r="I104" s="49">
        <v>0.88</v>
      </c>
      <c r="J104" s="88">
        <f>E104*G104*(1-H104)*1440/1000000*2.77</f>
        <v>82.169280000000001</v>
      </c>
      <c r="K104" s="88">
        <f>(IF(G104&lt;L104,L104,G104)*(1-IF(H104&lt;N104,H104,N104))*E104*O104*Q104)/100000000</f>
        <v>61.43613894736842</v>
      </c>
      <c r="L104" s="39">
        <v>972.71493212669679</v>
      </c>
      <c r="M104" s="39">
        <v>969.31042986425336</v>
      </c>
      <c r="N104" s="50">
        <f>1-(M104/L104)</f>
        <v>3.4999999999999476E-3</v>
      </c>
      <c r="O104" s="51">
        <f>+'Trim Rwd'!H91</f>
        <v>269.89473684210526</v>
      </c>
      <c r="P104" s="52">
        <f>O104*(Q104-R104-S104)</f>
        <v>292835.78947368421</v>
      </c>
      <c r="Q104" s="51">
        <v>1105</v>
      </c>
      <c r="R104" s="419">
        <v>0</v>
      </c>
      <c r="S104" s="419">
        <v>20</v>
      </c>
      <c r="T104" s="41">
        <f>E104*M104*O104*Q104/100000000</f>
        <v>57.816204128421056</v>
      </c>
      <c r="U104" s="41">
        <f>E104*M104*O104*(Q104-R104-S104)/100000000</f>
        <v>56.769756994874975</v>
      </c>
      <c r="V104" s="41">
        <f>E104*G104*(1-N104)*O104/100*(R104+S104)/1000000</f>
        <v>1.1080744336842108</v>
      </c>
      <c r="W104" s="41">
        <f>+'23'!K20/1000</f>
        <v>46.621000000000002</v>
      </c>
      <c r="X104" s="416"/>
      <c r="Y104" s="220"/>
      <c r="Z104" s="41">
        <v>0</v>
      </c>
      <c r="AA104" s="53"/>
      <c r="AB104" s="53"/>
      <c r="AC104" s="41">
        <f>K104-T104</f>
        <v>3.6199348189473639</v>
      </c>
      <c r="AD104" s="41">
        <f>+AM104+BA104</f>
        <v>4</v>
      </c>
      <c r="AE104" s="238" t="s">
        <v>721</v>
      </c>
      <c r="AF104" s="41"/>
      <c r="AG104" s="41">
        <v>4</v>
      </c>
      <c r="AH104" s="41"/>
      <c r="AI104" s="459"/>
      <c r="AJ104" s="41"/>
      <c r="AK104" s="41"/>
      <c r="AL104" s="41"/>
      <c r="AM104" s="41">
        <f>SUM(AF104:AL104)+AT104+AV104+AX104</f>
        <v>4</v>
      </c>
      <c r="AN104" s="89"/>
      <c r="AO104" s="41"/>
      <c r="AP104" s="41"/>
      <c r="AQ104" s="41"/>
      <c r="AR104" s="41">
        <f>SUM(AN104:AQ104)</f>
        <v>0</v>
      </c>
      <c r="AS104" s="41"/>
      <c r="AT104" s="41"/>
      <c r="AU104" s="41"/>
      <c r="AV104" s="41"/>
      <c r="AW104" s="41"/>
      <c r="AX104" s="41"/>
      <c r="AY104" s="41"/>
      <c r="AZ104" s="41"/>
      <c r="BA104" s="41">
        <f>+AR104+AS104+AU104+AW104+AY104+AZ104</f>
        <v>0</v>
      </c>
      <c r="BB104" s="54"/>
      <c r="BC104" s="55">
        <v>2</v>
      </c>
      <c r="BD104" s="55"/>
      <c r="BE104" s="54"/>
      <c r="BF104" s="55"/>
    </row>
    <row r="105" spans="1:58" ht="12.95" customHeight="1">
      <c r="A105" s="44"/>
      <c r="B105" s="45"/>
      <c r="C105" s="450"/>
      <c r="D105" s="45"/>
      <c r="E105" s="46"/>
      <c r="F105" s="46"/>
      <c r="G105" s="463"/>
      <c r="H105" s="48"/>
      <c r="I105" s="49"/>
      <c r="J105" s="88"/>
      <c r="K105" s="88"/>
      <c r="L105" s="39"/>
      <c r="M105" s="39"/>
      <c r="N105" s="50"/>
      <c r="O105" s="51"/>
      <c r="P105" s="52"/>
      <c r="Q105" s="51"/>
      <c r="R105" s="419"/>
      <c r="S105" s="419"/>
      <c r="T105" s="41"/>
      <c r="U105" s="41"/>
      <c r="V105" s="41"/>
      <c r="W105" s="41"/>
      <c r="X105" s="416"/>
      <c r="Y105" s="220"/>
      <c r="Z105" s="41"/>
      <c r="AA105" s="53"/>
      <c r="AB105" s="53"/>
      <c r="AC105" s="41"/>
      <c r="AD105" s="41">
        <f>+AM105+BA105</f>
        <v>14</v>
      </c>
      <c r="AE105" s="238" t="s">
        <v>486</v>
      </c>
      <c r="AF105" s="37"/>
      <c r="AG105" s="37"/>
      <c r="AH105" s="37">
        <v>14</v>
      </c>
      <c r="AI105" s="459"/>
      <c r="AJ105" s="41"/>
      <c r="AK105" s="41"/>
      <c r="AL105" s="41"/>
      <c r="AM105" s="41">
        <f>SUM(AF105:AL105)+AT105+AV105+AX105</f>
        <v>14</v>
      </c>
      <c r="AN105" s="41"/>
      <c r="AO105" s="41"/>
      <c r="AP105" s="41"/>
      <c r="AQ105" s="41"/>
      <c r="AR105" s="41">
        <f>SUM(AN105:AQ105)</f>
        <v>0</v>
      </c>
      <c r="AS105" s="41"/>
      <c r="AT105" s="41"/>
      <c r="AU105" s="41"/>
      <c r="AV105" s="41"/>
      <c r="AW105" s="41"/>
      <c r="AX105" s="41"/>
      <c r="AY105" s="41"/>
      <c r="AZ105" s="41"/>
      <c r="BA105" s="41">
        <f>+AR105+AS105+AU105+AW105+AY105+AZ105</f>
        <v>0</v>
      </c>
      <c r="BB105" s="37"/>
      <c r="BC105" s="57"/>
      <c r="BD105" s="57"/>
      <c r="BE105" s="37"/>
      <c r="BF105" s="57"/>
    </row>
    <row r="106" spans="1:58" ht="12.95" customHeight="1">
      <c r="A106" s="44"/>
      <c r="B106" s="45"/>
      <c r="C106" s="450"/>
      <c r="D106" s="45"/>
      <c r="E106" s="46"/>
      <c r="F106" s="46"/>
      <c r="G106" s="47"/>
      <c r="H106" s="48"/>
      <c r="I106" s="49"/>
      <c r="J106" s="88"/>
      <c r="K106" s="88"/>
      <c r="L106" s="39"/>
      <c r="M106" s="39"/>
      <c r="N106" s="50"/>
      <c r="O106" s="51"/>
      <c r="P106" s="52"/>
      <c r="Q106" s="51"/>
      <c r="R106" s="419"/>
      <c r="S106" s="419"/>
      <c r="T106" s="41"/>
      <c r="U106" s="41"/>
      <c r="V106" s="41"/>
      <c r="W106" s="41"/>
      <c r="X106" s="42"/>
      <c r="Y106" s="220"/>
      <c r="Z106" s="41"/>
      <c r="AA106" s="41"/>
      <c r="AB106" s="41"/>
      <c r="AC106" s="41"/>
      <c r="AD106" s="41">
        <f>+AM106+BA106</f>
        <v>25</v>
      </c>
      <c r="AE106" s="241" t="s">
        <v>487</v>
      </c>
      <c r="AF106" s="37"/>
      <c r="AG106" s="37"/>
      <c r="AH106" s="37"/>
      <c r="AI106" s="33">
        <v>25</v>
      </c>
      <c r="AJ106" s="41"/>
      <c r="AK106" s="41"/>
      <c r="AL106" s="41"/>
      <c r="AM106" s="41">
        <f t="shared" ref="AM106" si="5">SUM(AF106:AL106)+AT106+AV106+AX106</f>
        <v>25</v>
      </c>
      <c r="AN106" s="41"/>
      <c r="AO106" s="41"/>
      <c r="AP106" s="41"/>
      <c r="AQ106" s="41"/>
      <c r="AR106" s="41">
        <f t="shared" ref="AR106" si="6">SUM(AN106:AQ106)</f>
        <v>0</v>
      </c>
      <c r="AS106" s="41"/>
      <c r="AT106" s="41"/>
      <c r="AU106" s="41"/>
      <c r="AV106" s="41"/>
      <c r="AW106" s="41"/>
      <c r="AX106" s="41"/>
      <c r="AY106" s="41"/>
      <c r="AZ106" s="41"/>
      <c r="BA106" s="41">
        <f t="shared" ref="BA106" si="7">+AR106+AS106+AU106+AW106+AY106+AZ106</f>
        <v>0</v>
      </c>
      <c r="BB106" s="37"/>
      <c r="BC106" s="57"/>
      <c r="BD106" s="57"/>
      <c r="BE106" s="37"/>
      <c r="BF106" s="57"/>
    </row>
    <row r="107" spans="1:58" ht="12.95" customHeight="1">
      <c r="A107" s="343"/>
      <c r="B107" s="45"/>
      <c r="C107" s="450"/>
      <c r="D107" s="45"/>
      <c r="E107" s="46"/>
      <c r="F107" s="46"/>
      <c r="G107" s="463"/>
      <c r="H107" s="48"/>
      <c r="I107" s="49"/>
      <c r="J107" s="88"/>
      <c r="K107" s="88"/>
      <c r="L107" s="39"/>
      <c r="M107" s="39"/>
      <c r="N107" s="50"/>
      <c r="O107" s="51"/>
      <c r="P107" s="52"/>
      <c r="Q107" s="51"/>
      <c r="R107" s="419"/>
      <c r="S107" s="419"/>
      <c r="T107" s="41"/>
      <c r="U107" s="41"/>
      <c r="V107" s="41"/>
      <c r="W107" s="41"/>
      <c r="X107" s="42"/>
      <c r="Y107" s="220"/>
      <c r="Z107" s="41"/>
      <c r="AA107" s="53"/>
      <c r="AB107" s="53"/>
      <c r="AC107" s="41"/>
      <c r="AD107" s="41">
        <f>+AM107+BA107</f>
        <v>40</v>
      </c>
      <c r="AE107" s="241" t="s">
        <v>734</v>
      </c>
      <c r="AF107" s="41"/>
      <c r="AG107" s="41"/>
      <c r="AH107" s="41"/>
      <c r="AI107" s="41"/>
      <c r="AJ107" s="41"/>
      <c r="AK107" s="41"/>
      <c r="AL107" s="41"/>
      <c r="AM107" s="41">
        <f t="shared" ref="AM107" si="8">SUM(AF107:AL107)+AT107+AV107+AX107</f>
        <v>0</v>
      </c>
      <c r="AN107" s="41"/>
      <c r="AO107" s="41"/>
      <c r="AP107" s="41">
        <v>40</v>
      </c>
      <c r="AQ107" s="41"/>
      <c r="AR107" s="41">
        <f t="shared" ref="AR107" si="9">SUM(AN107:AQ107)</f>
        <v>40</v>
      </c>
      <c r="AS107" s="41"/>
      <c r="AT107" s="41"/>
      <c r="AU107" s="41"/>
      <c r="AV107" s="41"/>
      <c r="AW107" s="41"/>
      <c r="AX107" s="41"/>
      <c r="AY107" s="41"/>
      <c r="AZ107" s="41"/>
      <c r="BA107" s="41">
        <f t="shared" ref="BA107" si="10">+AR107+AS107+AU107+AW107+AY107+AZ107</f>
        <v>40</v>
      </c>
      <c r="BB107" s="37"/>
      <c r="BC107" s="57"/>
      <c r="BD107" s="57"/>
      <c r="BE107" s="37"/>
      <c r="BF107" s="57"/>
    </row>
    <row r="108" spans="1:58" ht="12.75" customHeight="1">
      <c r="A108" s="343"/>
      <c r="B108" s="45"/>
      <c r="C108" s="450"/>
      <c r="D108" s="45"/>
      <c r="E108" s="46"/>
      <c r="F108" s="46"/>
      <c r="G108" s="463"/>
      <c r="H108" s="48"/>
      <c r="I108" s="49"/>
      <c r="J108" s="88"/>
      <c r="K108" s="88"/>
      <c r="L108" s="39"/>
      <c r="M108" s="39"/>
      <c r="N108" s="50"/>
      <c r="O108" s="51"/>
      <c r="P108" s="52"/>
      <c r="Q108" s="51"/>
      <c r="R108" s="419"/>
      <c r="S108" s="419"/>
      <c r="T108" s="41"/>
      <c r="U108" s="41"/>
      <c r="V108" s="41"/>
      <c r="W108" s="41"/>
      <c r="X108" s="416"/>
      <c r="Y108" s="220"/>
      <c r="Z108" s="41"/>
      <c r="AA108" s="53"/>
      <c r="AB108" s="53"/>
      <c r="AC108" s="41"/>
      <c r="AD108" s="41"/>
      <c r="AE108" s="238"/>
      <c r="AF108" s="41"/>
      <c r="AG108" s="41"/>
      <c r="AH108" s="41"/>
      <c r="AI108" s="459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37"/>
      <c r="BC108" s="55"/>
      <c r="BD108" s="55"/>
      <c r="BE108" s="55"/>
      <c r="BF108" s="55"/>
    </row>
    <row r="109" spans="1:58" ht="12.95" customHeight="1">
      <c r="A109" s="343">
        <v>46136</v>
      </c>
      <c r="B109" s="45" t="s">
        <v>231</v>
      </c>
      <c r="C109" s="450">
        <f>(M109*E109*O109*Q109)/100000000</f>
        <v>17.920592428199999</v>
      </c>
      <c r="D109" s="45" t="s">
        <v>408</v>
      </c>
      <c r="E109" s="46">
        <v>20.5</v>
      </c>
      <c r="F109" s="46">
        <v>1</v>
      </c>
      <c r="G109" s="463">
        <v>1010</v>
      </c>
      <c r="H109" s="48">
        <v>0</v>
      </c>
      <c r="I109" s="49">
        <v>0.88</v>
      </c>
      <c r="J109" s="88">
        <f>E109*G109*(1-H109)*1440/1000000*2.77</f>
        <v>82.588104000000001</v>
      </c>
      <c r="K109" s="88">
        <f>(IF(G109&lt;L109,L109,G109)*(1-IF(H109&lt;N109,H109,N109))*E109*O109*Q109)/100000000</f>
        <v>17.983534800000001</v>
      </c>
      <c r="L109" s="39">
        <v>1010</v>
      </c>
      <c r="M109" s="39">
        <f>+L109-L109*0.0035</f>
        <v>1006.465</v>
      </c>
      <c r="N109" s="50">
        <f>1-(M109/L109)</f>
        <v>3.4999999999999476E-3</v>
      </c>
      <c r="O109" s="51">
        <f>+'Trim Rwd'!H94</f>
        <v>264</v>
      </c>
      <c r="P109" s="52">
        <f>O109*(Q109-R109-S109)</f>
        <v>84216</v>
      </c>
      <c r="Q109" s="51">
        <v>329</v>
      </c>
      <c r="R109" s="419">
        <v>0</v>
      </c>
      <c r="S109" s="419">
        <v>10</v>
      </c>
      <c r="T109" s="41">
        <f>E109*M109*O109*Q109/100000000</f>
        <v>17.920592428199999</v>
      </c>
      <c r="U109" s="41">
        <f>E109*M109*O109*(Q109-R109-S109)/100000000</f>
        <v>17.375893570199999</v>
      </c>
      <c r="V109" s="41">
        <f>E109*G109*(1-N109)*O109/100*(R109+S109)/1000000</f>
        <v>0.54469885799999995</v>
      </c>
      <c r="W109" s="41">
        <f>+'24'!K21/1000</f>
        <v>19.381</v>
      </c>
      <c r="X109" s="416">
        <f>SUM(W109:W112)/SUM(K109:K112)</f>
        <v>0.96942085537937561</v>
      </c>
      <c r="Y109" s="220">
        <v>0</v>
      </c>
      <c r="Z109" s="41">
        <v>0</v>
      </c>
      <c r="AA109" s="53">
        <f>SUM(U109:U112)-SUM(W109:W112)-SUM(Z109:Z112)-SUM(Y109:Y112)</f>
        <v>-0.37574563931400462</v>
      </c>
      <c r="AB109" s="53">
        <f>(SUM(K109:K112)-SUM(W109:W112)-SUM(Y109:Y112)-SUM(Z109:Z112)-SUM(AC109:AC112)-SUM(V109:V112))-AA109</f>
        <v>7.9197807313992286E-2</v>
      </c>
      <c r="AC109" s="41">
        <f>K109-T109</f>
        <v>6.2942371800001951E-2</v>
      </c>
      <c r="AD109" s="41">
        <f>+AM109+BA109</f>
        <v>10</v>
      </c>
      <c r="AE109" s="238" t="s">
        <v>555</v>
      </c>
      <c r="AF109" s="41">
        <v>10</v>
      </c>
      <c r="AG109" s="41"/>
      <c r="AH109" s="41"/>
      <c r="AI109" s="459"/>
      <c r="AJ109" s="41"/>
      <c r="AK109" s="41"/>
      <c r="AL109" s="41"/>
      <c r="AM109" s="41">
        <f>SUM(AF109:AL109)+AT109+AV109+AX109</f>
        <v>10</v>
      </c>
      <c r="AN109" s="89"/>
      <c r="AO109" s="41"/>
      <c r="AP109" s="41"/>
      <c r="AQ109" s="41"/>
      <c r="AR109" s="41">
        <f>SUM(AN109:AQ109)</f>
        <v>0</v>
      </c>
      <c r="AS109" s="41"/>
      <c r="AT109" s="41"/>
      <c r="AU109" s="41"/>
      <c r="AV109" s="41"/>
      <c r="AW109" s="41"/>
      <c r="AX109" s="41"/>
      <c r="AY109" s="41"/>
      <c r="AZ109" s="41"/>
      <c r="BA109" s="41">
        <f>+AR109+AS109+AU109+AW109+AY109+AZ109</f>
        <v>0</v>
      </c>
      <c r="BB109" s="54">
        <v>2</v>
      </c>
      <c r="BC109" s="55"/>
      <c r="BD109" s="55"/>
      <c r="BE109" s="55"/>
      <c r="BF109" s="55"/>
    </row>
    <row r="110" spans="1:58" ht="12.95" customHeight="1">
      <c r="A110" s="44"/>
      <c r="B110" s="45" t="s">
        <v>231</v>
      </c>
      <c r="C110" s="450">
        <f>(M110*E110*O110*Q110)/100000000</f>
        <v>49.171890069973919</v>
      </c>
      <c r="D110" s="45" t="s">
        <v>408</v>
      </c>
      <c r="E110" s="46">
        <v>21.5</v>
      </c>
      <c r="F110" s="46">
        <v>1</v>
      </c>
      <c r="G110" s="463">
        <v>960</v>
      </c>
      <c r="H110" s="48">
        <v>0</v>
      </c>
      <c r="I110" s="49">
        <v>0.88</v>
      </c>
      <c r="J110" s="88">
        <f>E110*G110*(1-H110)*1440/1000000*2.77</f>
        <v>82.328831999999991</v>
      </c>
      <c r="K110" s="88">
        <f>(IF(G110&lt;L110,L110,G110)*(1-IF(H110&lt;N110,H110,N110))*E110*O110*Q110)/100000000</f>
        <v>49.344596156521739</v>
      </c>
      <c r="L110" s="39">
        <v>1014.9940546967896</v>
      </c>
      <c r="M110" s="39">
        <v>1011.4415755053508</v>
      </c>
      <c r="N110" s="50">
        <f>1-(M110/L110)</f>
        <v>3.5000000000000586E-3</v>
      </c>
      <c r="O110" s="51">
        <f>+'Trim Rwd'!H95</f>
        <v>268.86956521739131</v>
      </c>
      <c r="P110" s="52">
        <f>O110*(Q110-R110-S110)</f>
        <v>219397.5652173913</v>
      </c>
      <c r="Q110" s="51">
        <v>841</v>
      </c>
      <c r="R110" s="419">
        <v>0</v>
      </c>
      <c r="S110" s="419">
        <f>10+15</f>
        <v>25</v>
      </c>
      <c r="T110" s="41">
        <f>E110*M110*O110*Q110/100000000</f>
        <v>49.171890069973919</v>
      </c>
      <c r="U110" s="41">
        <f>E110*M110*O110*(Q110-R110-S110)/100000000</f>
        <v>47.710181090485996</v>
      </c>
      <c r="V110" s="41">
        <f>E110*G110*(1-N110)*O110/100*(R110+S110)/1000000</f>
        <v>1.382511172173913</v>
      </c>
      <c r="W110" s="41">
        <f>+'24'!K22/1000</f>
        <v>51.832999999999998</v>
      </c>
      <c r="X110" s="42"/>
      <c r="Y110" s="220"/>
      <c r="Z110" s="41"/>
      <c r="AA110" s="41"/>
      <c r="AB110" s="41"/>
      <c r="AC110" s="41">
        <f>K110-T110</f>
        <v>0.17270608654781938</v>
      </c>
      <c r="AD110" s="41">
        <f>+AM110+BA110</f>
        <v>3</v>
      </c>
      <c r="AE110" s="238" t="s">
        <v>721</v>
      </c>
      <c r="AF110" s="37"/>
      <c r="AG110" s="37">
        <v>3</v>
      </c>
      <c r="AH110" s="37"/>
      <c r="AJ110" s="41"/>
      <c r="AK110" s="41"/>
      <c r="AL110" s="41"/>
      <c r="AM110" s="41">
        <f>SUM(AF110:AL110)+AT110+AV110+AX110</f>
        <v>3</v>
      </c>
      <c r="AN110" s="41"/>
      <c r="AO110" s="41"/>
      <c r="AP110" s="41"/>
      <c r="AQ110" s="41"/>
      <c r="AR110" s="41">
        <f>SUM(AN110:AQ110)</f>
        <v>0</v>
      </c>
      <c r="AS110" s="41"/>
      <c r="AT110" s="41"/>
      <c r="AU110" s="41"/>
      <c r="AV110" s="41"/>
      <c r="AW110" s="41"/>
      <c r="AX110" s="41"/>
      <c r="AY110" s="41"/>
      <c r="AZ110" s="41"/>
      <c r="BA110" s="41">
        <f>+AR110+AS110+AU110+AW110+AY110+AZ110</f>
        <v>0</v>
      </c>
      <c r="BB110" s="37"/>
      <c r="BC110" s="55">
        <v>2</v>
      </c>
      <c r="BD110" s="55"/>
      <c r="BE110" s="55"/>
      <c r="BF110" s="55"/>
    </row>
    <row r="111" spans="1:58" ht="12.95" customHeight="1">
      <c r="A111" s="343"/>
      <c r="B111" s="45" t="s">
        <v>231</v>
      </c>
      <c r="C111" s="450">
        <f>(M111*E111*O111*Q111)/100000000</f>
        <v>3.4241733000000001</v>
      </c>
      <c r="D111" s="45" t="s">
        <v>408</v>
      </c>
      <c r="E111" s="46">
        <v>25</v>
      </c>
      <c r="F111" s="46">
        <v>1</v>
      </c>
      <c r="G111" s="47">
        <v>830</v>
      </c>
      <c r="H111" s="48">
        <v>0</v>
      </c>
      <c r="I111" s="49">
        <v>0.88</v>
      </c>
      <c r="J111" s="88">
        <f>E111*G111*(1-H111)*1440/1000000*2.77</f>
        <v>82.767600000000002</v>
      </c>
      <c r="K111" s="88">
        <f>(IF(G111&lt;L111,L111,G111)*(1-IF(H111&lt;N111,H111,N111))*E111*O111*Q111)/100000000</f>
        <v>3.4361999999999999</v>
      </c>
      <c r="L111" s="39">
        <v>830</v>
      </c>
      <c r="M111" s="39">
        <f>+L111-L111*0.0035</f>
        <v>827.09500000000003</v>
      </c>
      <c r="N111" s="50">
        <f>1-(M111/L111)</f>
        <v>3.4999999999999476E-3</v>
      </c>
      <c r="O111" s="51">
        <f>+'Trim Rwd'!H97</f>
        <v>276</v>
      </c>
      <c r="P111" s="52">
        <f>O111*(Q111-R111-S111)</f>
        <v>16560</v>
      </c>
      <c r="Q111" s="51">
        <v>60</v>
      </c>
      <c r="R111" s="419">
        <v>0</v>
      </c>
      <c r="S111" s="419">
        <v>0</v>
      </c>
      <c r="T111" s="41">
        <f>E111*M111*O111*Q111/100000000</f>
        <v>3.4241733000000001</v>
      </c>
      <c r="U111" s="41">
        <f>E111*M111*O111*(Q111-R111-S111)/100000000</f>
        <v>3.4241733000000001</v>
      </c>
      <c r="V111" s="41">
        <f>E111*G111*(1-N111)*O111/100*(R111+S111)/1000000</f>
        <v>0</v>
      </c>
      <c r="W111" s="41">
        <f>+'24'!K23/1000</f>
        <v>0</v>
      </c>
      <c r="X111" s="416"/>
      <c r="Y111" s="220"/>
      <c r="Z111" s="41"/>
      <c r="AA111" s="53"/>
      <c r="AB111" s="53"/>
      <c r="AC111" s="41">
        <f>K111-T111</f>
        <v>1.2026699999999835E-2</v>
      </c>
      <c r="AD111" s="41">
        <f>+AM111+BA111</f>
        <v>20</v>
      </c>
      <c r="AE111" s="238" t="s">
        <v>592</v>
      </c>
      <c r="AF111" s="41"/>
      <c r="AG111" s="41"/>
      <c r="AH111" s="41">
        <v>20</v>
      </c>
      <c r="AI111" s="41"/>
      <c r="AJ111" s="41"/>
      <c r="AK111" s="41"/>
      <c r="AL111" s="41"/>
      <c r="AM111" s="41">
        <f>SUM(AF111:AL111)+AT111+AV111+AX111</f>
        <v>20</v>
      </c>
      <c r="AN111" s="41"/>
      <c r="AO111" s="41"/>
      <c r="AP111" s="41"/>
      <c r="AQ111" s="41"/>
      <c r="AR111" s="41">
        <f>SUM(AN111:AQ111)</f>
        <v>0</v>
      </c>
      <c r="AS111" s="41"/>
      <c r="AT111" s="41"/>
      <c r="AU111" s="41"/>
      <c r="AV111" s="41"/>
      <c r="AW111" s="41"/>
      <c r="AX111" s="41"/>
      <c r="AY111" s="41"/>
      <c r="AZ111" s="41"/>
      <c r="BA111" s="41">
        <f>+AR111+AS111+AU111+AW111+AY111+AZ111</f>
        <v>0</v>
      </c>
      <c r="BB111" s="37"/>
      <c r="BC111" s="55"/>
      <c r="BD111" s="55"/>
      <c r="BE111" s="55"/>
      <c r="BF111" s="55"/>
    </row>
    <row r="112" spans="1:58" ht="12.95" customHeight="1">
      <c r="A112" s="343"/>
      <c r="B112" s="45" t="s">
        <v>523</v>
      </c>
      <c r="C112" s="450">
        <f>(M112*E112*O112*Q112)/100000000</f>
        <v>9.1163519999999991</v>
      </c>
      <c r="D112" s="45" t="s">
        <v>408</v>
      </c>
      <c r="E112" s="46">
        <v>12</v>
      </c>
      <c r="F112" s="46">
        <v>1</v>
      </c>
      <c r="G112" s="47">
        <v>1700</v>
      </c>
      <c r="H112" s="48">
        <f>+N112</f>
        <v>0.19999999999999996</v>
      </c>
      <c r="I112" s="49">
        <v>0.88</v>
      </c>
      <c r="J112" s="88">
        <f>E112*G112*(1-H112)*1440/1000000*2.77</f>
        <v>65.097216000000003</v>
      </c>
      <c r="K112" s="88">
        <f>(IF(G112&lt;L112,L112,G112)*(1-IF(H112&lt;N112,H112,N112))*E112*O112*Q112)/100000000</f>
        <v>9.1163519999999991</v>
      </c>
      <c r="L112" s="39">
        <v>1700</v>
      </c>
      <c r="M112" s="39">
        <f>+L112-L112*0.2</f>
        <v>1360</v>
      </c>
      <c r="N112" s="50">
        <f>1-(M112/L112)</f>
        <v>0.19999999999999996</v>
      </c>
      <c r="O112" s="51">
        <f>+'Trim Rwd'!H98</f>
        <v>266</v>
      </c>
      <c r="P112" s="52">
        <f>O112*(Q112-R112-S112)</f>
        <v>52402</v>
      </c>
      <c r="Q112" s="51">
        <v>210</v>
      </c>
      <c r="R112" s="419">
        <v>0</v>
      </c>
      <c r="S112" s="419">
        <v>13</v>
      </c>
      <c r="T112" s="41">
        <f>E112*M112*O112*Q112/100000000</f>
        <v>9.1163519999999991</v>
      </c>
      <c r="U112" s="41">
        <f>E112*M112*O112*(Q112-R112-S112)/100000000</f>
        <v>8.5520063999999998</v>
      </c>
      <c r="V112" s="41">
        <f>E112*G112*(1-N112)*O112/100*(R112+S112)/1000000</f>
        <v>0.5643456</v>
      </c>
      <c r="W112" s="41">
        <f>+'24'!K11/1000</f>
        <v>6.2240000000000002</v>
      </c>
      <c r="X112" s="416"/>
      <c r="Y112" s="220"/>
      <c r="Z112" s="41"/>
      <c r="AA112" s="53"/>
      <c r="AB112" s="53"/>
      <c r="AC112" s="41">
        <f>K112-T112</f>
        <v>0</v>
      </c>
      <c r="AD112" s="41">
        <f>+AM112+BA112</f>
        <v>15</v>
      </c>
      <c r="AE112" s="238" t="s">
        <v>487</v>
      </c>
      <c r="AF112" s="41"/>
      <c r="AG112" s="41"/>
      <c r="AH112" s="41"/>
      <c r="AI112" s="459">
        <v>15</v>
      </c>
      <c r="AJ112" s="41"/>
      <c r="AK112" s="41"/>
      <c r="AL112" s="41"/>
      <c r="AM112" s="41">
        <f t="shared" ref="AM112" si="11">SUM(AF112:AL112)+AT112+AV112+AX112</f>
        <v>15</v>
      </c>
      <c r="AN112" s="41"/>
      <c r="AO112" s="41"/>
      <c r="AP112" s="41"/>
      <c r="AQ112" s="41"/>
      <c r="AR112" s="41">
        <f t="shared" ref="AR112" si="12">SUM(AN112:AQ112)</f>
        <v>0</v>
      </c>
      <c r="AS112" s="41"/>
      <c r="AT112" s="41"/>
      <c r="AU112" s="41"/>
      <c r="AV112" s="41"/>
      <c r="AW112" s="41"/>
      <c r="AX112" s="41"/>
      <c r="AY112" s="41"/>
      <c r="AZ112" s="41"/>
      <c r="BA112" s="41">
        <f t="shared" ref="BA112" si="13">+AR112+AS112+AU112+AW112+AY112+AZ112</f>
        <v>0</v>
      </c>
      <c r="BB112" s="37"/>
      <c r="BC112" s="55"/>
      <c r="BD112" s="55"/>
      <c r="BE112" s="55"/>
      <c r="BF112" s="55"/>
    </row>
    <row r="113" spans="1:58" ht="12.95" customHeight="1">
      <c r="A113" s="343"/>
      <c r="B113" s="45"/>
      <c r="C113" s="450"/>
      <c r="D113" s="45"/>
      <c r="E113" s="46"/>
      <c r="F113" s="46"/>
      <c r="G113" s="463"/>
      <c r="H113" s="48"/>
      <c r="I113" s="49"/>
      <c r="J113" s="88"/>
      <c r="K113" s="88"/>
      <c r="L113" s="39"/>
      <c r="M113" s="39"/>
      <c r="N113" s="50"/>
      <c r="O113" s="51"/>
      <c r="P113" s="52"/>
      <c r="Q113" s="51"/>
      <c r="R113" s="419"/>
      <c r="S113" s="419"/>
      <c r="T113" s="41"/>
      <c r="U113" s="41"/>
      <c r="V113" s="41"/>
      <c r="W113" s="41"/>
      <c r="X113" s="416"/>
      <c r="Y113" s="220"/>
      <c r="Z113" s="41"/>
      <c r="AA113" s="53"/>
      <c r="AB113" s="53"/>
      <c r="AC113" s="41"/>
      <c r="AD113" s="41"/>
      <c r="AE113" s="238"/>
      <c r="AF113" s="41"/>
      <c r="AG113" s="41"/>
      <c r="AH113" s="41"/>
      <c r="AI113" s="459"/>
      <c r="AJ113" s="41"/>
      <c r="AK113" s="41"/>
      <c r="AL113" s="41"/>
      <c r="AM113" s="41"/>
      <c r="AN113" s="89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54"/>
      <c r="BC113" s="55"/>
      <c r="BD113" s="55"/>
      <c r="BE113" s="55"/>
      <c r="BF113" s="55"/>
    </row>
    <row r="114" spans="1:58" ht="12.95" customHeight="1">
      <c r="A114" s="343">
        <v>46137</v>
      </c>
      <c r="B114" s="45" t="s">
        <v>523</v>
      </c>
      <c r="C114" s="450">
        <f>(M114*E114*O114*Q114)/100000000</f>
        <v>20.388194111999997</v>
      </c>
      <c r="D114" s="45" t="s">
        <v>408</v>
      </c>
      <c r="E114" s="46">
        <v>12</v>
      </c>
      <c r="F114" s="46">
        <v>1</v>
      </c>
      <c r="G114" s="47">
        <v>1700</v>
      </c>
      <c r="H114" s="48">
        <f>+N114</f>
        <v>0.22429752066115693</v>
      </c>
      <c r="I114" s="49">
        <v>0.88</v>
      </c>
      <c r="J114" s="88">
        <f>E114*G114*(1-H114)*1440/1000000*2.77</f>
        <v>63.120089811570253</v>
      </c>
      <c r="K114" s="88">
        <f>(IF(G114&lt;L114,L114,G114)*(1-IF(H114&lt;N114,H114,N114))*E114*O114*Q114)/100000000</f>
        <v>20.388194111999997</v>
      </c>
      <c r="L114" s="39">
        <v>1700</v>
      </c>
      <c r="M114" s="39">
        <v>1318.6942148760331</v>
      </c>
      <c r="N114" s="50">
        <f>1-(M114/L114)</f>
        <v>0.22429752066115693</v>
      </c>
      <c r="O114" s="51">
        <f>+'Trim Rwd'!H100</f>
        <v>266.2</v>
      </c>
      <c r="P114" s="52">
        <f>O114*(Q114-R114-S114)</f>
        <v>125912.59999999999</v>
      </c>
      <c r="Q114" s="51">
        <v>484</v>
      </c>
      <c r="R114" s="419">
        <v>0</v>
      </c>
      <c r="S114" s="419">
        <v>11</v>
      </c>
      <c r="T114" s="41">
        <f>E114*M114*O114*Q114/100000000</f>
        <v>20.388194111999997</v>
      </c>
      <c r="U114" s="41">
        <f>E114*M114*O114*(Q114-R114-S114)/100000000</f>
        <v>19.924826063999998</v>
      </c>
      <c r="V114" s="41">
        <f>E114*G114*(1-N114)*O114/100*(R114+S114)/1000000</f>
        <v>0.46336804800000014</v>
      </c>
      <c r="W114" s="41">
        <f>+'25'!K11/1000</f>
        <v>24.565000000000001</v>
      </c>
      <c r="X114" s="416">
        <f>SUM(W114:W118)/SUM(K114:K118)</f>
        <v>0.93639340526767023</v>
      </c>
      <c r="Y114" s="220">
        <v>0</v>
      </c>
      <c r="Z114" s="41">
        <v>0</v>
      </c>
      <c r="AA114" s="53">
        <f>SUM(U114:U118)-SUM(W114:W118)-SUM(Z114:Z118)-SUM(Y114:Y118)</f>
        <v>2.0946150840000044</v>
      </c>
      <c r="AB114" s="53">
        <f>(SUM(K114:K118)-SUM(W114:W118)-SUM(Y114:Y118)-SUM(Z114:Z118)-SUM(AC114:AC118)-SUM(V114:V118))-AA114</f>
        <v>2.0627549999909789E-3</v>
      </c>
      <c r="AC114" s="41">
        <f>K114-T114</f>
        <v>0</v>
      </c>
      <c r="AD114" s="41">
        <f>+AM114+BA114</f>
        <v>0</v>
      </c>
      <c r="AE114" s="238" t="s">
        <v>277</v>
      </c>
      <c r="AF114" s="41">
        <v>0</v>
      </c>
      <c r="AG114" s="41"/>
      <c r="AH114" s="41"/>
      <c r="AI114" s="459"/>
      <c r="AJ114" s="41"/>
      <c r="AK114" s="41"/>
      <c r="AL114" s="41"/>
      <c r="AM114" s="41">
        <f>SUM(AF114:AL114)+AT114+AV114+AX114</f>
        <v>0</v>
      </c>
      <c r="AN114" s="89"/>
      <c r="AO114" s="41"/>
      <c r="AP114" s="41"/>
      <c r="AQ114" s="41"/>
      <c r="AR114" s="41">
        <f>SUM(AN114:AQ114)</f>
        <v>0</v>
      </c>
      <c r="AS114" s="41"/>
      <c r="AT114" s="41"/>
      <c r="AU114" s="41"/>
      <c r="AV114" s="41"/>
      <c r="AW114" s="41"/>
      <c r="AX114" s="41"/>
      <c r="AY114" s="41"/>
      <c r="AZ114" s="41"/>
      <c r="BA114" s="41">
        <f>+AR114+AS114+AU114+AW114+AY114+AZ114</f>
        <v>0</v>
      </c>
      <c r="BB114" s="54">
        <v>0</v>
      </c>
      <c r="BC114" s="55"/>
      <c r="BD114" s="55"/>
      <c r="BE114" s="55"/>
      <c r="BF114" s="55"/>
    </row>
    <row r="115" spans="1:58" ht="12.95" customHeight="1">
      <c r="A115" s="44"/>
      <c r="B115" s="45" t="s">
        <v>231</v>
      </c>
      <c r="C115" s="450">
        <f>(M115*E115*O115*Q115)/100000000</f>
        <v>3.8119712400000001</v>
      </c>
      <c r="D115" s="45" t="s">
        <v>408</v>
      </c>
      <c r="E115" s="46">
        <v>25</v>
      </c>
      <c r="F115" s="46">
        <v>1</v>
      </c>
      <c r="G115" s="47">
        <v>830</v>
      </c>
      <c r="H115" s="48">
        <v>0</v>
      </c>
      <c r="I115" s="49">
        <v>0.88</v>
      </c>
      <c r="J115" s="88">
        <f>E115*G115*(1-H115)*1440/1000000*2.77</f>
        <v>82.767600000000002</v>
      </c>
      <c r="K115" s="88">
        <f>(IF(G115&lt;L115,L115,G115)*(1-IF(H115&lt;N115,H115,N115))*E115*O115*Q115)/100000000</f>
        <v>3.8253599999999999</v>
      </c>
      <c r="L115" s="39">
        <v>840</v>
      </c>
      <c r="M115" s="39">
        <f>+L115-L115*0.0035</f>
        <v>837.06</v>
      </c>
      <c r="N115" s="50">
        <f>1-(M115/L115)</f>
        <v>3.5000000000000586E-3</v>
      </c>
      <c r="O115" s="51">
        <f>+'Trim Rwd'!H102</f>
        <v>276</v>
      </c>
      <c r="P115" s="52">
        <f>O115*(Q115-R115-S115)</f>
        <v>17388</v>
      </c>
      <c r="Q115" s="51">
        <v>66</v>
      </c>
      <c r="R115" s="419">
        <v>0</v>
      </c>
      <c r="S115" s="419">
        <v>3</v>
      </c>
      <c r="T115" s="41">
        <f>E115*M115*O115*Q115/100000000</f>
        <v>3.8119712400000001</v>
      </c>
      <c r="U115" s="41">
        <f>E115*M115*O115*(Q115-R115-S115)/100000000</f>
        <v>3.6386998199999998</v>
      </c>
      <c r="V115" s="41">
        <f>E115*G115*(1-N115)*O115/100*(R115+S115)/1000000</f>
        <v>0.17120866500000001</v>
      </c>
      <c r="W115" s="41">
        <f>+'25'!K23/1000</f>
        <v>0</v>
      </c>
      <c r="X115" s="42"/>
      <c r="Y115" s="220"/>
      <c r="Z115" s="41"/>
      <c r="AA115" s="41"/>
      <c r="AB115" s="41"/>
      <c r="AC115" s="41">
        <f>K115-T115</f>
        <v>1.3388759999999778E-2</v>
      </c>
      <c r="AD115" s="41">
        <f>+AM115+BA115</f>
        <v>11</v>
      </c>
      <c r="AE115" s="238" t="s">
        <v>705</v>
      </c>
      <c r="AF115" s="37"/>
      <c r="AG115" s="37">
        <v>11</v>
      </c>
      <c r="AH115" s="37"/>
      <c r="AJ115" s="41"/>
      <c r="AK115" s="41"/>
      <c r="AL115" s="41"/>
      <c r="AM115" s="41">
        <f>SUM(AF115:AL115)+AT115+AV115+AX115</f>
        <v>11</v>
      </c>
      <c r="AN115" s="41"/>
      <c r="AO115" s="41"/>
      <c r="AP115" s="41"/>
      <c r="AQ115" s="41"/>
      <c r="AR115" s="41">
        <f>SUM(AN115:AQ115)</f>
        <v>0</v>
      </c>
      <c r="AS115" s="41"/>
      <c r="AT115" s="41"/>
      <c r="AU115" s="41"/>
      <c r="AV115" s="41"/>
      <c r="AW115" s="41"/>
      <c r="AX115" s="41"/>
      <c r="AY115" s="41"/>
      <c r="AZ115" s="41"/>
      <c r="BA115" s="41">
        <f>+AR115+AS115+AU115+AW115+AY115+AZ115</f>
        <v>0</v>
      </c>
      <c r="BB115" s="37"/>
      <c r="BC115" s="55">
        <v>9</v>
      </c>
      <c r="BD115" s="55"/>
      <c r="BE115" s="55"/>
      <c r="BF115" s="55"/>
    </row>
    <row r="116" spans="1:58" ht="12.95" customHeight="1">
      <c r="A116" s="343"/>
      <c r="B116" s="45" t="s">
        <v>523</v>
      </c>
      <c r="C116" s="450">
        <f>(M116*E116*O116*Q116)/100000000</f>
        <v>40.286045799999997</v>
      </c>
      <c r="D116" s="45" t="s">
        <v>408</v>
      </c>
      <c r="E116" s="46">
        <v>13</v>
      </c>
      <c r="F116" s="46">
        <v>1</v>
      </c>
      <c r="G116" s="47">
        <v>1700</v>
      </c>
      <c r="H116" s="48">
        <f>+N116</f>
        <v>0.24</v>
      </c>
      <c r="I116" s="49">
        <v>0.88</v>
      </c>
      <c r="J116" s="88">
        <f>E116*G116*(1-H116)*1440/1000000*2.77</f>
        <v>66.995884799999999</v>
      </c>
      <c r="K116" s="88">
        <f>(IF(G116&lt;L116,L116,G116)*(1-IF(H116&lt;N116,H116,N116))*E116*O116*Q116)/100000000</f>
        <v>40.286045799999997</v>
      </c>
      <c r="L116" s="39">
        <v>1700</v>
      </c>
      <c r="M116" s="39">
        <f>+L116-L116*0.24</f>
        <v>1292</v>
      </c>
      <c r="N116" s="50">
        <f>1-(M116/L116)</f>
        <v>0.24</v>
      </c>
      <c r="O116" s="51">
        <f>+'Trim Rwd'!H103</f>
        <v>269.5</v>
      </c>
      <c r="P116" s="52">
        <f>O116*(Q116-R116-S116)</f>
        <v>231770</v>
      </c>
      <c r="Q116" s="51">
        <v>890</v>
      </c>
      <c r="R116" s="419">
        <v>0</v>
      </c>
      <c r="S116" s="419">
        <v>30</v>
      </c>
      <c r="T116" s="41">
        <f>E116*M116*O116*Q116/100000000</f>
        <v>40.286045799999997</v>
      </c>
      <c r="U116" s="41">
        <f>E116*M116*O116*(Q116-R116-S116)/100000000</f>
        <v>38.928089200000002</v>
      </c>
      <c r="V116" s="41">
        <f>E116*G116*(1-N116)*O116/100*(R116+S116)/1000000</f>
        <v>1.3579566000000001</v>
      </c>
      <c r="W116" s="41">
        <f>+'25'!K12/1000</f>
        <v>33.212000000000003</v>
      </c>
      <c r="X116" s="416"/>
      <c r="Y116" s="220"/>
      <c r="Z116" s="41"/>
      <c r="AA116" s="53"/>
      <c r="AB116" s="53"/>
      <c r="AC116" s="41">
        <f>K116-T116</f>
        <v>0</v>
      </c>
      <c r="AD116" s="41">
        <f>+AM116+BA116</f>
        <v>33</v>
      </c>
      <c r="AE116" s="238" t="s">
        <v>546</v>
      </c>
      <c r="AF116" s="41"/>
      <c r="AG116" s="41"/>
      <c r="AH116" s="41">
        <v>33</v>
      </c>
      <c r="AI116" s="41"/>
      <c r="AJ116" s="41"/>
      <c r="AK116" s="41"/>
      <c r="AL116" s="41"/>
      <c r="AM116" s="41">
        <f>SUM(AF116:AL116)+AT116+AV116+AX116</f>
        <v>33</v>
      </c>
      <c r="AN116" s="41"/>
      <c r="AO116" s="41"/>
      <c r="AP116" s="41"/>
      <c r="AQ116" s="41"/>
      <c r="AR116" s="41">
        <f>SUM(AN116:AQ116)</f>
        <v>0</v>
      </c>
      <c r="AS116" s="41"/>
      <c r="AT116" s="41"/>
      <c r="AU116" s="41"/>
      <c r="AV116" s="41"/>
      <c r="AW116" s="41"/>
      <c r="AX116" s="41"/>
      <c r="AY116" s="41"/>
      <c r="AZ116" s="41"/>
      <c r="BA116" s="41">
        <f>+AR116+AS116+AU116+AW116+AY116+AZ116</f>
        <v>0</v>
      </c>
      <c r="BB116" s="37"/>
      <c r="BC116" s="55"/>
      <c r="BD116" s="55"/>
      <c r="BE116" s="55"/>
      <c r="BF116" s="55"/>
    </row>
    <row r="117" spans="1:58" ht="12.95" customHeight="1">
      <c r="A117" s="343"/>
      <c r="B117" s="45" t="s">
        <v>231</v>
      </c>
      <c r="C117" s="450"/>
      <c r="D117" s="45"/>
      <c r="E117" s="46">
        <v>21.5</v>
      </c>
      <c r="F117" s="46"/>
      <c r="G117" s="47"/>
      <c r="H117" s="48"/>
      <c r="I117" s="49"/>
      <c r="J117" s="88"/>
      <c r="K117" s="88"/>
      <c r="L117" s="39"/>
      <c r="M117" s="39"/>
      <c r="N117" s="50"/>
      <c r="O117" s="51"/>
      <c r="P117" s="52"/>
      <c r="Q117" s="51"/>
      <c r="R117" s="419"/>
      <c r="S117" s="419"/>
      <c r="T117" s="41"/>
      <c r="U117" s="41"/>
      <c r="V117" s="41"/>
      <c r="W117" s="41">
        <f>+'25'!K22/1000</f>
        <v>2.62</v>
      </c>
      <c r="X117" s="416"/>
      <c r="Y117" s="220"/>
      <c r="Z117" s="41"/>
      <c r="AA117" s="53"/>
      <c r="AB117" s="53"/>
      <c r="AC117" s="41"/>
      <c r="AD117" s="41"/>
      <c r="AE117" s="238"/>
      <c r="AF117" s="41"/>
      <c r="AG117" s="41"/>
      <c r="AH117" s="41"/>
      <c r="AI117" s="625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37"/>
      <c r="BC117" s="55"/>
      <c r="BD117" s="55"/>
      <c r="BE117" s="55"/>
      <c r="BF117" s="55"/>
    </row>
    <row r="118" spans="1:58" ht="12.95" customHeight="1">
      <c r="A118" s="343"/>
      <c r="B118" s="45"/>
      <c r="C118" s="450"/>
      <c r="D118" s="45"/>
      <c r="E118" s="46"/>
      <c r="F118" s="46"/>
      <c r="G118" s="47"/>
      <c r="H118" s="48"/>
      <c r="I118" s="49"/>
      <c r="J118" s="88"/>
      <c r="K118" s="88"/>
      <c r="L118" s="39"/>
      <c r="M118" s="39"/>
      <c r="N118" s="50"/>
      <c r="O118" s="51"/>
      <c r="P118" s="52"/>
      <c r="Q118" s="51"/>
      <c r="R118" s="419"/>
      <c r="S118" s="419"/>
      <c r="T118" s="41"/>
      <c r="U118" s="41"/>
      <c r="V118" s="41"/>
      <c r="W118" s="41"/>
      <c r="X118" s="416"/>
      <c r="Y118" s="220"/>
      <c r="Z118" s="41"/>
      <c r="AA118" s="53"/>
      <c r="AB118" s="53"/>
      <c r="AC118" s="41"/>
      <c r="AD118" s="41"/>
      <c r="AE118" s="238"/>
      <c r="AF118" s="41"/>
      <c r="AG118" s="41"/>
      <c r="AH118" s="41"/>
      <c r="AI118" s="459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37"/>
      <c r="BC118" s="55"/>
      <c r="BD118" s="55"/>
      <c r="BE118" s="55"/>
      <c r="BF118" s="55"/>
    </row>
    <row r="119" spans="1:58" ht="12.95" customHeight="1">
      <c r="A119" s="343">
        <v>46138</v>
      </c>
      <c r="B119" s="45" t="s">
        <v>523</v>
      </c>
      <c r="C119" s="450">
        <f>(M119*E119*O119*Q119)/100000000</f>
        <v>56.128872800000003</v>
      </c>
      <c r="D119" s="45" t="s">
        <v>408</v>
      </c>
      <c r="E119" s="46">
        <v>13</v>
      </c>
      <c r="F119" s="46">
        <v>1</v>
      </c>
      <c r="G119" s="47">
        <v>1700</v>
      </c>
      <c r="H119" s="48">
        <f>+N119</f>
        <v>0.24</v>
      </c>
      <c r="I119" s="49">
        <v>0.88</v>
      </c>
      <c r="J119" s="88">
        <f>E119*G119*(1-H119)*1440/1000000*2.77</f>
        <v>66.995884799999999</v>
      </c>
      <c r="K119" s="88">
        <f>(IF(G119&lt;L119,L119,G119)*(1-IF(H119&lt;N119,H119,N119))*E119*O119*Q119)/100000000</f>
        <v>56.128872800000003</v>
      </c>
      <c r="L119" s="39">
        <v>1700</v>
      </c>
      <c r="M119" s="39">
        <f t="shared" ref="M119" si="14">+L119-L119*0.24</f>
        <v>1292</v>
      </c>
      <c r="N119" s="50">
        <f>1-(M119/L119)</f>
        <v>0.24</v>
      </c>
      <c r="O119" s="51">
        <f>+'Trim Rwd'!H106</f>
        <v>269.5</v>
      </c>
      <c r="P119" s="52">
        <f>O119*(Q119-R119-S119)</f>
        <v>324747.5</v>
      </c>
      <c r="Q119" s="51">
        <v>1240</v>
      </c>
      <c r="R119" s="419">
        <v>0</v>
      </c>
      <c r="S119" s="419">
        <v>35</v>
      </c>
      <c r="T119" s="41">
        <f>E119*M119*O119*Q119/100000000</f>
        <v>56.128872800000003</v>
      </c>
      <c r="U119" s="41">
        <f>E119*M119*O119*(Q119-R119-S119)/100000000</f>
        <v>54.544590100000001</v>
      </c>
      <c r="V119" s="41">
        <f>E119*G119*(1-N119)*O119/100*(R119+S119)/1000000</f>
        <v>1.5842826999999999</v>
      </c>
      <c r="W119" s="41">
        <f>+'26'!K12/1000</f>
        <v>62.58</v>
      </c>
      <c r="X119" s="416">
        <f>SUM(W119:W122)/SUM(K119:K122)</f>
        <v>1.0042279582866636</v>
      </c>
      <c r="Y119" s="220">
        <v>0</v>
      </c>
      <c r="Z119" s="41">
        <v>0</v>
      </c>
      <c r="AA119" s="53">
        <f>SUM(U119:U122)-SUM(W119:W122)-SUM(Z119:Z122)-SUM(Y119:Y122)</f>
        <v>-2.1070778999999931</v>
      </c>
      <c r="AB119" s="53">
        <f>(SUM(K119:K122)-SUM(W119:W122)-SUM(Y119:Y122)-SUM(Z119:Z122)-SUM(AC119:AC122)-SUM(V119:V122))-AA119</f>
        <v>0</v>
      </c>
      <c r="AC119" s="41">
        <f>K119-T119</f>
        <v>0</v>
      </c>
      <c r="AD119" s="41">
        <f>+AM119+BA119</f>
        <v>0</v>
      </c>
      <c r="AE119" s="238" t="s">
        <v>277</v>
      </c>
      <c r="AF119" s="41">
        <v>0</v>
      </c>
      <c r="AG119" s="41"/>
      <c r="AH119" s="41"/>
      <c r="AI119" s="459"/>
      <c r="AJ119" s="41"/>
      <c r="AK119" s="41"/>
      <c r="AL119" s="41"/>
      <c r="AM119" s="41">
        <f>SUM(AF119:AL119)+AT119+AV119+AX119</f>
        <v>0</v>
      </c>
      <c r="AN119" s="89"/>
      <c r="AO119" s="41"/>
      <c r="AP119" s="41"/>
      <c r="AQ119" s="41"/>
      <c r="AR119" s="41">
        <f>SUM(AN119:AQ119)</f>
        <v>0</v>
      </c>
      <c r="AS119" s="41"/>
      <c r="AT119" s="41"/>
      <c r="AU119" s="41"/>
      <c r="AV119" s="41"/>
      <c r="AW119" s="41"/>
      <c r="AX119" s="41"/>
      <c r="AY119" s="41"/>
      <c r="AZ119" s="41"/>
      <c r="BA119" s="41">
        <f>+AR119+AS119+AU119+AW119+AY119+AZ119</f>
        <v>0</v>
      </c>
      <c r="BB119" s="54">
        <v>0</v>
      </c>
      <c r="BC119" s="55"/>
      <c r="BD119" s="55"/>
      <c r="BE119" s="55"/>
      <c r="BF119" s="55"/>
    </row>
    <row r="120" spans="1:58" ht="12.95" customHeight="1">
      <c r="A120" s="44"/>
      <c r="B120" s="45" t="s">
        <v>523</v>
      </c>
      <c r="C120" s="450">
        <f>(M120*E120*O120*Q120)/100000000</f>
        <v>9.7675199999999993</v>
      </c>
      <c r="D120" s="45" t="s">
        <v>408</v>
      </c>
      <c r="E120" s="46">
        <v>13.5</v>
      </c>
      <c r="F120" s="46">
        <v>1</v>
      </c>
      <c r="G120" s="47">
        <v>1700</v>
      </c>
      <c r="H120" s="48">
        <f>+N120</f>
        <v>0.19999999999999996</v>
      </c>
      <c r="I120" s="49">
        <v>0.88</v>
      </c>
      <c r="J120" s="88">
        <f>E120*G120*(1-H120)*1440/1000000*2.77</f>
        <v>73.234368000000003</v>
      </c>
      <c r="K120" s="88">
        <f>(IF(G120&lt;L120,L120,G120)*(1-IF(H120&lt;N120,H120,N120))*E120*O120*Q120)/100000000</f>
        <v>9.7675199999999993</v>
      </c>
      <c r="L120" s="39">
        <v>1700</v>
      </c>
      <c r="M120" s="39">
        <f>+L120-L120*0.2</f>
        <v>1360</v>
      </c>
      <c r="N120" s="50">
        <f>1-(M120/L120)</f>
        <v>0.19999999999999996</v>
      </c>
      <c r="O120" s="51">
        <f>+'Trim Rwd'!H107</f>
        <v>266</v>
      </c>
      <c r="P120" s="52">
        <f>O120*(Q120-R120-S120)</f>
        <v>51870</v>
      </c>
      <c r="Q120" s="51">
        <v>200</v>
      </c>
      <c r="R120" s="419">
        <v>0</v>
      </c>
      <c r="S120" s="419">
        <v>5</v>
      </c>
      <c r="T120" s="41">
        <f>E120*M120*O120*Q120/100000000</f>
        <v>9.7675199999999993</v>
      </c>
      <c r="U120" s="41">
        <f>E120*M120*O120*(Q120-R120-S120)/100000000</f>
        <v>9.5233319999999999</v>
      </c>
      <c r="V120" s="41">
        <f>E120*G120*(1-N120)*O120/100*(R120+S120)/1000000</f>
        <v>0.24418799999999999</v>
      </c>
      <c r="W120" s="41">
        <f>+'26'!K13/1000</f>
        <v>3.5950000000000002</v>
      </c>
      <c r="X120" s="42"/>
      <c r="Y120" s="220"/>
      <c r="Z120" s="41"/>
      <c r="AA120" s="41"/>
      <c r="AB120" s="41"/>
      <c r="AC120" s="41">
        <f>K120-T120</f>
        <v>0</v>
      </c>
      <c r="AD120" s="41">
        <f>+AM120+BA120</f>
        <v>11</v>
      </c>
      <c r="AE120" s="238" t="s">
        <v>558</v>
      </c>
      <c r="AF120" s="37"/>
      <c r="AG120" s="37">
        <v>11</v>
      </c>
      <c r="AH120" s="37"/>
      <c r="AJ120" s="41"/>
      <c r="AK120" s="41"/>
      <c r="AL120" s="41"/>
      <c r="AM120" s="41">
        <f>SUM(AF120:AL120)+AT120+AV120+AX120</f>
        <v>11</v>
      </c>
      <c r="AN120" s="41"/>
      <c r="AO120" s="41"/>
      <c r="AP120" s="41"/>
      <c r="AQ120" s="41"/>
      <c r="AR120" s="41">
        <f>SUM(AN120:AQ120)</f>
        <v>0</v>
      </c>
      <c r="AS120" s="41"/>
      <c r="AT120" s="41"/>
      <c r="AU120" s="41"/>
      <c r="AV120" s="41"/>
      <c r="AW120" s="41"/>
      <c r="AX120" s="41"/>
      <c r="AY120" s="41"/>
      <c r="AZ120" s="41"/>
      <c r="BA120" s="41">
        <f>+AR120+AS120+AU120+AW120+AY120+AZ120</f>
        <v>0</v>
      </c>
      <c r="BB120" s="37"/>
      <c r="BC120" s="55">
        <v>11</v>
      </c>
      <c r="BD120" s="55"/>
      <c r="BE120" s="55"/>
      <c r="BF120" s="55"/>
    </row>
    <row r="121" spans="1:58" ht="12.95" customHeight="1">
      <c r="A121" s="343"/>
      <c r="B121" s="45"/>
      <c r="C121" s="450"/>
      <c r="D121" s="45"/>
      <c r="E121" s="46"/>
      <c r="F121" s="46"/>
      <c r="G121" s="47"/>
      <c r="H121" s="48"/>
      <c r="I121" s="49"/>
      <c r="J121" s="88"/>
      <c r="K121" s="88"/>
      <c r="L121" s="39"/>
      <c r="M121" s="39"/>
      <c r="N121" s="50"/>
      <c r="O121" s="51"/>
      <c r="P121" s="52"/>
      <c r="Q121" s="51"/>
      <c r="R121" s="419"/>
      <c r="S121" s="419"/>
      <c r="T121" s="41"/>
      <c r="U121" s="41"/>
      <c r="V121" s="41"/>
      <c r="W121" s="41"/>
      <c r="X121" s="416"/>
      <c r="Y121" s="220"/>
      <c r="Z121" s="41"/>
      <c r="AA121" s="53"/>
      <c r="AB121" s="53"/>
      <c r="AC121" s="41"/>
      <c r="AD121" s="41">
        <f>+AM121+BA121</f>
        <v>23</v>
      </c>
      <c r="AE121" s="238" t="s">
        <v>486</v>
      </c>
      <c r="AF121" s="41"/>
      <c r="AG121" s="41"/>
      <c r="AH121" s="41">
        <v>23</v>
      </c>
      <c r="AI121" s="41"/>
      <c r="AJ121" s="41"/>
      <c r="AK121" s="41"/>
      <c r="AL121" s="41"/>
      <c r="AM121" s="41">
        <f>SUM(AF121:AL121)+AT121+AV121+AX121</f>
        <v>23</v>
      </c>
      <c r="AN121" s="41"/>
      <c r="AO121" s="41"/>
      <c r="AP121" s="41"/>
      <c r="AQ121" s="41"/>
      <c r="AR121" s="41">
        <f>SUM(AN121:AQ121)</f>
        <v>0</v>
      </c>
      <c r="AS121" s="41"/>
      <c r="AT121" s="41"/>
      <c r="AU121" s="41"/>
      <c r="AV121" s="41"/>
      <c r="AW121" s="41"/>
      <c r="AX121" s="41"/>
      <c r="AY121" s="41"/>
      <c r="AZ121" s="41"/>
      <c r="BA121" s="41">
        <f>+AR121+AS121+AU121+AW121+AY121+AZ121</f>
        <v>0</v>
      </c>
      <c r="BB121" s="37"/>
      <c r="BC121" s="55"/>
      <c r="BD121" s="55"/>
      <c r="BE121" s="55"/>
      <c r="BF121" s="55"/>
    </row>
    <row r="122" spans="1:58" ht="12.95" customHeight="1">
      <c r="A122" s="343"/>
      <c r="B122" s="45"/>
      <c r="C122" s="450"/>
      <c r="D122" s="45"/>
      <c r="E122" s="46"/>
      <c r="F122" s="46"/>
      <c r="G122" s="463"/>
      <c r="H122" s="48"/>
      <c r="I122" s="49"/>
      <c r="J122" s="88"/>
      <c r="K122" s="88"/>
      <c r="L122" s="39"/>
      <c r="M122" s="39"/>
      <c r="N122" s="50"/>
      <c r="O122" s="51"/>
      <c r="P122" s="52"/>
      <c r="Q122" s="51"/>
      <c r="R122" s="419"/>
      <c r="S122" s="419"/>
      <c r="T122" s="41"/>
      <c r="U122" s="41"/>
      <c r="V122" s="41"/>
      <c r="W122" s="41"/>
      <c r="X122" s="416"/>
      <c r="Y122" s="220"/>
      <c r="Z122" s="41"/>
      <c r="AA122" s="53"/>
      <c r="AB122" s="53"/>
      <c r="AC122" s="41"/>
      <c r="AD122" s="41">
        <f>+AM122+BA122</f>
        <v>6</v>
      </c>
      <c r="AE122" s="241" t="s">
        <v>487</v>
      </c>
      <c r="AF122" s="41"/>
      <c r="AG122" s="41"/>
      <c r="AH122" s="41"/>
      <c r="AI122" s="459">
        <v>6</v>
      </c>
      <c r="AJ122" s="41"/>
      <c r="AK122" s="41"/>
      <c r="AL122" s="41"/>
      <c r="AM122" s="41">
        <f>SUM(AF122:AL122)+AT122+AV122+AX122</f>
        <v>6</v>
      </c>
      <c r="AN122" s="41"/>
      <c r="AO122" s="41"/>
      <c r="AP122" s="41"/>
      <c r="AQ122" s="41"/>
      <c r="AR122" s="41">
        <f>SUM(AN122:AQ122)</f>
        <v>0</v>
      </c>
      <c r="AS122" s="41"/>
      <c r="AT122" s="41"/>
      <c r="AU122" s="41"/>
      <c r="AV122" s="41"/>
      <c r="AW122" s="41"/>
      <c r="AX122" s="41"/>
      <c r="AY122" s="41"/>
      <c r="AZ122" s="41"/>
      <c r="BA122" s="41">
        <f>+AR122+AS122+AU122+AW122+AY122+AZ122</f>
        <v>0</v>
      </c>
      <c r="BB122" s="37"/>
      <c r="BC122" s="55"/>
      <c r="BD122" s="55"/>
      <c r="BE122" s="55"/>
      <c r="BF122" s="55"/>
    </row>
    <row r="123" spans="1:58" ht="12.95" customHeight="1">
      <c r="A123" s="44"/>
      <c r="B123" s="45"/>
      <c r="C123" s="450"/>
      <c r="D123" s="45"/>
      <c r="E123" s="46"/>
      <c r="F123" s="46"/>
      <c r="G123" s="463"/>
      <c r="H123" s="48"/>
      <c r="I123" s="49"/>
      <c r="J123" s="88"/>
      <c r="K123" s="88"/>
      <c r="L123" s="39"/>
      <c r="M123" s="39"/>
      <c r="N123" s="50"/>
      <c r="O123" s="51"/>
      <c r="P123" s="52"/>
      <c r="Q123" s="51"/>
      <c r="R123" s="419"/>
      <c r="S123" s="419"/>
      <c r="T123" s="41"/>
      <c r="U123" s="41"/>
      <c r="V123" s="41"/>
      <c r="W123" s="41"/>
      <c r="X123" s="42"/>
      <c r="Y123" s="220"/>
      <c r="Z123" s="41"/>
      <c r="AA123" s="41"/>
      <c r="AB123" s="41"/>
      <c r="AC123" s="41"/>
      <c r="AD123" s="41"/>
      <c r="AE123" s="238"/>
      <c r="AF123" s="37"/>
      <c r="AG123" s="37"/>
      <c r="AH123" s="37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37"/>
      <c r="BC123" s="57"/>
      <c r="BD123" s="55"/>
      <c r="BE123" s="55"/>
      <c r="BF123" s="55"/>
    </row>
    <row r="124" spans="1:58" ht="12.95" customHeight="1">
      <c r="A124" s="343">
        <v>46139</v>
      </c>
      <c r="B124" s="45" t="s">
        <v>523</v>
      </c>
      <c r="C124" s="450">
        <f>(M124*E124*O124*Q124)/100000000</f>
        <v>0.97675199999999995</v>
      </c>
      <c r="D124" s="45" t="s">
        <v>408</v>
      </c>
      <c r="E124" s="46">
        <v>13.5</v>
      </c>
      <c r="F124" s="46">
        <v>1</v>
      </c>
      <c r="G124" s="47">
        <v>1700</v>
      </c>
      <c r="H124" s="48">
        <v>0.2</v>
      </c>
      <c r="I124" s="49">
        <v>0.88</v>
      </c>
      <c r="J124" s="88">
        <f>E124*G124*(1-H124)*1440/1000000*2.77</f>
        <v>73.234368000000003</v>
      </c>
      <c r="K124" s="88">
        <f>(IF(G124&lt;L124,L124,G124)*(1-IF(H124&lt;N124,H124,N124))*E124*O124*Q124)/100000000</f>
        <v>0.97675199999999995</v>
      </c>
      <c r="L124" s="39">
        <v>1700</v>
      </c>
      <c r="M124" s="39">
        <f>+L124-L124*0.2</f>
        <v>1360</v>
      </c>
      <c r="N124" s="50">
        <f>1-(M124/L124)</f>
        <v>0.19999999999999996</v>
      </c>
      <c r="O124" s="51">
        <f>+'Trim Rwd'!H109</f>
        <v>266</v>
      </c>
      <c r="P124" s="52">
        <f>O124*(Q124-R124-S124)</f>
        <v>5320</v>
      </c>
      <c r="Q124" s="51">
        <v>20</v>
      </c>
      <c r="R124" s="419">
        <v>0</v>
      </c>
      <c r="S124" s="419">
        <v>0</v>
      </c>
      <c r="T124" s="41">
        <f>E124*M124*O124*Q124/100000000</f>
        <v>0.97675199999999995</v>
      </c>
      <c r="U124" s="41">
        <f>E124*M124*O124*(Q124-R124-S124)/100000000</f>
        <v>0.97675199999999995</v>
      </c>
      <c r="V124" s="41">
        <f>E124*G124*(1-N124)*O124/100*(R124+S124)/1000000</f>
        <v>0</v>
      </c>
      <c r="W124" s="41">
        <f>+'27'!K13/1000</f>
        <v>6.992</v>
      </c>
      <c r="X124" s="416">
        <f>SUM(W124:W127)/SUM(K124:K127)</f>
        <v>0.92521364439820597</v>
      </c>
      <c r="Y124" s="220">
        <v>0</v>
      </c>
      <c r="Z124" s="41">
        <v>0</v>
      </c>
      <c r="AA124" s="53">
        <f>SUM(U124:U127)-SUM(W124:W127)-SUM(Z124:Z127)-SUM(Y124:Y127)</f>
        <v>1.829844032000006</v>
      </c>
      <c r="AB124" s="53">
        <f>(SUM(K124:K127)-SUM(W124:W127)-SUM(Y124:Y127)-SUM(Z124:Z127)-SUM(AC124:AC127)-SUM(V124:V127))-AA124</f>
        <v>-8.2156503822261584E-15</v>
      </c>
      <c r="AC124" s="41">
        <f>K124-T124</f>
        <v>0</v>
      </c>
      <c r="AD124" s="41">
        <f>+AM124+BA124</f>
        <v>0</v>
      </c>
      <c r="AE124" s="238" t="s">
        <v>277</v>
      </c>
      <c r="AF124" s="41">
        <v>0</v>
      </c>
      <c r="AG124" s="41"/>
      <c r="AH124" s="41"/>
      <c r="AI124" s="459"/>
      <c r="AJ124" s="41"/>
      <c r="AK124" s="41"/>
      <c r="AL124" s="41"/>
      <c r="AM124" s="41">
        <f>SUM(AF124:AL124)+AT124+AV124+AX124</f>
        <v>0</v>
      </c>
      <c r="AN124" s="89"/>
      <c r="AO124" s="41"/>
      <c r="AP124" s="41"/>
      <c r="AQ124" s="41"/>
      <c r="AR124" s="41">
        <f>SUM(AN124:AQ124)</f>
        <v>0</v>
      </c>
      <c r="AS124" s="41"/>
      <c r="AT124" s="41"/>
      <c r="AU124" s="41"/>
      <c r="AV124" s="41"/>
      <c r="AW124" s="41"/>
      <c r="AX124" s="41"/>
      <c r="AY124" s="41"/>
      <c r="AZ124" s="41"/>
      <c r="BA124" s="41">
        <f>+AR124+AS124+AU124+AW124+AY124+AZ124</f>
        <v>0</v>
      </c>
      <c r="BB124" s="54">
        <v>0</v>
      </c>
      <c r="BC124" s="55"/>
      <c r="BD124" s="55"/>
      <c r="BE124" s="55"/>
      <c r="BF124" s="55"/>
    </row>
    <row r="125" spans="1:58" ht="12.95" customHeight="1">
      <c r="A125" s="44"/>
      <c r="B125" s="45" t="s">
        <v>523</v>
      </c>
      <c r="C125" s="450">
        <f>(M125*E125*O125*Q125)/100000000</f>
        <v>24.558336000000001</v>
      </c>
      <c r="D125" s="45" t="s">
        <v>408</v>
      </c>
      <c r="E125" s="46">
        <v>12</v>
      </c>
      <c r="F125" s="46">
        <v>1</v>
      </c>
      <c r="G125" s="47">
        <v>1700</v>
      </c>
      <c r="H125" s="48">
        <v>0.2</v>
      </c>
      <c r="I125" s="49">
        <v>0.88</v>
      </c>
      <c r="J125" s="88">
        <f>E125*G125*(1-H125)*1440/1000000*2.77</f>
        <v>65.097216000000003</v>
      </c>
      <c r="K125" s="88">
        <f>(IF(G125&lt;L125,L125,G125)*(1-IF(H125&lt;N125,H125,N125))*E125*O125*Q125)/100000000</f>
        <v>24.558336000000001</v>
      </c>
      <c r="L125" s="39">
        <v>1700</v>
      </c>
      <c r="M125" s="39">
        <f>+L125-L125*0.2</f>
        <v>1360</v>
      </c>
      <c r="N125" s="50">
        <f>1-(M125/L125)</f>
        <v>0.19999999999999996</v>
      </c>
      <c r="O125" s="51">
        <f>+'Trim Rwd'!H110</f>
        <v>264</v>
      </c>
      <c r="P125" s="52">
        <f>O125*(Q125-R125-S125)</f>
        <v>146256</v>
      </c>
      <c r="Q125" s="51">
        <v>570</v>
      </c>
      <c r="R125" s="419">
        <v>0</v>
      </c>
      <c r="S125" s="419">
        <v>16</v>
      </c>
      <c r="T125" s="41">
        <f>E125*M125*O125*Q125/100000000</f>
        <v>24.558336000000001</v>
      </c>
      <c r="U125" s="41">
        <f>E125*M125*O125*(Q125-R125-S125)/100000000</f>
        <v>23.868979199999998</v>
      </c>
      <c r="V125" s="41">
        <f>E125*G125*(1-N125)*O125/100*(R125+S125)/1000000</f>
        <v>0.68935679999999999</v>
      </c>
      <c r="W125" s="41">
        <f>+'27'!K11/1000</f>
        <v>22.747</v>
      </c>
      <c r="X125" s="42"/>
      <c r="Y125" s="220"/>
      <c r="Z125" s="41">
        <f>+'27'!D34/1000</f>
        <v>1.24</v>
      </c>
      <c r="AA125" s="41"/>
      <c r="AB125" s="41"/>
      <c r="AC125" s="41">
        <f>K125-T125</f>
        <v>0</v>
      </c>
      <c r="AD125" s="41">
        <f>+AM125+BA125</f>
        <v>13</v>
      </c>
      <c r="AE125" s="238" t="s">
        <v>572</v>
      </c>
      <c r="AF125" s="37"/>
      <c r="AG125" s="37">
        <v>13</v>
      </c>
      <c r="AH125" s="37"/>
      <c r="AJ125" s="41"/>
      <c r="AK125" s="41"/>
      <c r="AL125" s="41"/>
      <c r="AM125" s="41">
        <f>SUM(AF125:AL125)+AT125+AV125+AX125</f>
        <v>13</v>
      </c>
      <c r="AN125" s="41"/>
      <c r="AO125" s="41"/>
      <c r="AP125" s="41"/>
      <c r="AQ125" s="41"/>
      <c r="AR125" s="41">
        <f>SUM(AN125:AQ125)</f>
        <v>0</v>
      </c>
      <c r="AS125" s="41"/>
      <c r="AT125" s="41"/>
      <c r="AU125" s="41"/>
      <c r="AV125" s="41"/>
      <c r="AW125" s="41"/>
      <c r="AX125" s="41"/>
      <c r="AY125" s="41"/>
      <c r="AZ125" s="41"/>
      <c r="BA125" s="41">
        <f>+AR125+AS125+AU125+AW125+AY125+AZ125</f>
        <v>0</v>
      </c>
      <c r="BB125" s="37"/>
      <c r="BC125" s="55">
        <v>16</v>
      </c>
      <c r="BD125" s="55"/>
      <c r="BE125" s="55"/>
      <c r="BF125" s="55"/>
    </row>
    <row r="126" spans="1:58" ht="12.95" customHeight="1">
      <c r="A126" s="343"/>
      <c r="B126" s="45" t="s">
        <v>523</v>
      </c>
      <c r="C126" s="450">
        <f>(M126*E126*O126*Q126)/100000000</f>
        <v>34.499694599999998</v>
      </c>
      <c r="D126" s="45" t="s">
        <v>408</v>
      </c>
      <c r="E126" s="46">
        <v>10.5</v>
      </c>
      <c r="F126" s="46">
        <v>1</v>
      </c>
      <c r="G126" s="47">
        <v>1730</v>
      </c>
      <c r="H126" s="48">
        <v>0.16</v>
      </c>
      <c r="I126" s="49">
        <v>0.88</v>
      </c>
      <c r="J126" s="88">
        <f>E126*G126*(1-H126)*1440/1000000*2.77</f>
        <v>60.863503679999987</v>
      </c>
      <c r="K126" s="88">
        <f>(IF(G126&lt;L126,L126,G126)*(1-IF(H126&lt;N126,H126,N126))*E126*O126*Q126)/100000000</f>
        <v>34.499694599999998</v>
      </c>
      <c r="L126" s="39">
        <v>1730</v>
      </c>
      <c r="M126" s="39">
        <f>+L126-L126*0.16</f>
        <v>1453.2</v>
      </c>
      <c r="N126" s="50">
        <f>1-(M126/L126)</f>
        <v>0.15999999999999992</v>
      </c>
      <c r="O126" s="51">
        <f>+'Trim Rwd'!H111</f>
        <v>266</v>
      </c>
      <c r="P126" s="52">
        <f>O126*(Q126-R126-S126)</f>
        <v>221312</v>
      </c>
      <c r="Q126" s="51">
        <v>850</v>
      </c>
      <c r="R126" s="419">
        <v>0</v>
      </c>
      <c r="S126" s="419">
        <v>18</v>
      </c>
      <c r="T126" s="41">
        <f>E126*M126*O126*Q126/100000000</f>
        <v>34.499694599999998</v>
      </c>
      <c r="U126" s="41">
        <f>E126*M126*O126*(Q126-R126-S126)/100000000</f>
        <v>33.769112832000005</v>
      </c>
      <c r="V126" s="41">
        <f>E126*G126*(1-N126)*O126/100*(R126+S126)/1000000</f>
        <v>0.73058176800000008</v>
      </c>
      <c r="W126" s="41">
        <f>+'27'!K24/1000</f>
        <v>25.806000000000001</v>
      </c>
      <c r="X126" s="416"/>
      <c r="Y126" s="220"/>
      <c r="Z126" s="41"/>
      <c r="AA126" s="53"/>
      <c r="AB126" s="53"/>
      <c r="AC126" s="41">
        <f>K126-T126</f>
        <v>0</v>
      </c>
      <c r="AD126" s="41">
        <f>+AM126+BA126</f>
        <v>16</v>
      </c>
      <c r="AE126" s="238" t="s">
        <v>666</v>
      </c>
      <c r="AF126" s="41"/>
      <c r="AG126" s="41"/>
      <c r="AH126" s="41">
        <v>16</v>
      </c>
      <c r="AI126" s="41"/>
      <c r="AJ126" s="41"/>
      <c r="AK126" s="41"/>
      <c r="AL126" s="41"/>
      <c r="AM126" s="41">
        <f>SUM(AF126:AL126)+AT126+AV126+AX126</f>
        <v>16</v>
      </c>
      <c r="AN126" s="41"/>
      <c r="AO126" s="41"/>
      <c r="AP126" s="41"/>
      <c r="AQ126" s="41"/>
      <c r="AR126" s="41">
        <f>SUM(AN126:AQ126)</f>
        <v>0</v>
      </c>
      <c r="AS126" s="41"/>
      <c r="AT126" s="41"/>
      <c r="AU126" s="41"/>
      <c r="AV126" s="41"/>
      <c r="AW126" s="41"/>
      <c r="AX126" s="41"/>
      <c r="AY126" s="41"/>
      <c r="AZ126" s="41"/>
      <c r="BA126" s="41">
        <f>+AR126+AS126+AU126+AW126+AY126+AZ126</f>
        <v>0</v>
      </c>
      <c r="BB126" s="37"/>
      <c r="BC126" s="55"/>
      <c r="BD126" s="55"/>
      <c r="BE126" s="55"/>
      <c r="BF126" s="55"/>
    </row>
    <row r="127" spans="1:58" ht="12.95" customHeight="1">
      <c r="A127" s="343"/>
      <c r="B127" s="45"/>
      <c r="C127" s="450"/>
      <c r="D127" s="45"/>
      <c r="E127" s="46"/>
      <c r="F127" s="46"/>
      <c r="G127" s="463"/>
      <c r="H127" s="48"/>
      <c r="I127" s="49"/>
      <c r="J127" s="88"/>
      <c r="K127" s="88"/>
      <c r="L127" s="39"/>
      <c r="M127" s="39"/>
      <c r="N127" s="50"/>
      <c r="O127" s="51"/>
      <c r="P127" s="52"/>
      <c r="Q127" s="51"/>
      <c r="R127" s="419"/>
      <c r="S127" s="419"/>
      <c r="T127" s="41"/>
      <c r="U127" s="41"/>
      <c r="V127" s="41"/>
      <c r="W127" s="41"/>
      <c r="X127" s="416"/>
      <c r="Y127" s="220"/>
      <c r="Z127" s="41"/>
      <c r="AA127" s="53"/>
      <c r="AB127" s="53"/>
      <c r="AC127" s="41"/>
      <c r="AD127" s="41">
        <f>+AM127+BA127</f>
        <v>5</v>
      </c>
      <c r="AE127" s="241" t="s">
        <v>487</v>
      </c>
      <c r="AF127" s="41"/>
      <c r="AG127" s="41"/>
      <c r="AH127" s="41"/>
      <c r="AI127" s="459">
        <v>5</v>
      </c>
      <c r="AJ127" s="41"/>
      <c r="AK127" s="41"/>
      <c r="AL127" s="41"/>
      <c r="AM127" s="41">
        <f>SUM(AF127:AL127)+AT127+AV127+AX127</f>
        <v>5</v>
      </c>
      <c r="AN127" s="41"/>
      <c r="AO127" s="41"/>
      <c r="AP127" s="41"/>
      <c r="AQ127" s="41"/>
      <c r="AR127" s="41">
        <f>SUM(AN127:AQ127)</f>
        <v>0</v>
      </c>
      <c r="AS127" s="41"/>
      <c r="AT127" s="41"/>
      <c r="AU127" s="41"/>
      <c r="AV127" s="41"/>
      <c r="AW127" s="41"/>
      <c r="AX127" s="41"/>
      <c r="AY127" s="41"/>
      <c r="AZ127" s="41"/>
      <c r="BA127" s="41">
        <f>+AR127+AS127+AU127+AW127+AY127+AZ127</f>
        <v>0</v>
      </c>
      <c r="BB127" s="37"/>
      <c r="BC127" s="55"/>
      <c r="BD127" s="55"/>
      <c r="BE127" s="55"/>
      <c r="BF127" s="55"/>
    </row>
    <row r="128" spans="1:58" ht="12.95" customHeight="1">
      <c r="A128" s="44"/>
      <c r="B128" s="45"/>
      <c r="C128" s="450"/>
      <c r="D128" s="45"/>
      <c r="E128" s="46"/>
      <c r="F128" s="46"/>
      <c r="G128" s="463"/>
      <c r="H128" s="48"/>
      <c r="I128" s="49"/>
      <c r="J128" s="88"/>
      <c r="K128" s="88"/>
      <c r="L128" s="39"/>
      <c r="M128" s="39"/>
      <c r="N128" s="50"/>
      <c r="O128" s="51"/>
      <c r="P128" s="52"/>
      <c r="Q128" s="51"/>
      <c r="R128" s="419"/>
      <c r="S128" s="419"/>
      <c r="T128" s="41"/>
      <c r="U128" s="41"/>
      <c r="V128" s="41"/>
      <c r="W128" s="41"/>
      <c r="X128" s="42"/>
      <c r="Y128" s="220"/>
      <c r="Z128" s="41"/>
      <c r="AA128" s="41"/>
      <c r="AB128" s="41"/>
      <c r="AC128" s="41"/>
      <c r="AD128" s="41"/>
      <c r="AE128" s="238"/>
      <c r="AF128" s="37"/>
      <c r="AG128" s="37"/>
      <c r="AH128" s="37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37"/>
      <c r="BC128" s="57"/>
      <c r="BD128" s="55"/>
      <c r="BE128" s="55"/>
      <c r="BF128" s="55"/>
    </row>
    <row r="129" spans="1:58" ht="12.95" customHeight="1">
      <c r="A129" s="343">
        <v>46140</v>
      </c>
      <c r="B129" s="45" t="s">
        <v>523</v>
      </c>
      <c r="C129" s="450">
        <f>(M129*E129*O129*Q129)/100000000</f>
        <v>3.24703008</v>
      </c>
      <c r="D129" s="45" t="s">
        <v>408</v>
      </c>
      <c r="E129" s="46">
        <v>10.5</v>
      </c>
      <c r="F129" s="46">
        <v>1</v>
      </c>
      <c r="G129" s="47">
        <v>1730</v>
      </c>
      <c r="H129" s="48">
        <v>0.16</v>
      </c>
      <c r="I129" s="49">
        <v>0.88</v>
      </c>
      <c r="J129" s="88">
        <f>E129*G129*(1-H129)*1440/1000000*2.77</f>
        <v>60.863503679999987</v>
      </c>
      <c r="K129" s="88">
        <f>(IF(G129&lt;L129,L129,G129)*(1-IF(H129&lt;N129,H129,N129))*E129*O129*Q129)/100000000</f>
        <v>3.24703008</v>
      </c>
      <c r="L129" s="39">
        <v>1730</v>
      </c>
      <c r="M129" s="39">
        <v>1453.2</v>
      </c>
      <c r="N129" s="50">
        <f>1-(M129/L129)</f>
        <v>0.15999999999999992</v>
      </c>
      <c r="O129" s="51">
        <f>+'Trim Rwd'!H113</f>
        <v>266</v>
      </c>
      <c r="P129" s="52">
        <f>O129*(Q129-R129-S129)</f>
        <v>20216</v>
      </c>
      <c r="Q129" s="51">
        <v>80</v>
      </c>
      <c r="R129" s="419">
        <v>0</v>
      </c>
      <c r="S129" s="419">
        <v>4</v>
      </c>
      <c r="T129" s="41">
        <f>E129*M129*O129*Q129/100000000</f>
        <v>3.24703008</v>
      </c>
      <c r="U129" s="41">
        <f>E129*M129*O129*(Q129-R129-S129)/100000000</f>
        <v>3.0846785760000004</v>
      </c>
      <c r="V129" s="41">
        <f>E129*G129*(1-N129)*O129/100*(R129+S129)/1000000</f>
        <v>0.16235150400000001</v>
      </c>
      <c r="W129" s="41">
        <f>+'28'!K24/1000</f>
        <v>10.07</v>
      </c>
      <c r="X129" s="416">
        <f>SUM(W129:W132)/SUM(K129:K132)</f>
        <v>0.84650162026193498</v>
      </c>
      <c r="Y129" s="220">
        <v>0</v>
      </c>
      <c r="Z129" s="41">
        <v>0</v>
      </c>
      <c r="AA129" s="53">
        <f>SUM(U129:U132)-SUM(W129:W132)-SUM(Z129:Z132)-SUM(Y129:Y132)</f>
        <v>1.5520661728992242</v>
      </c>
      <c r="AB129" s="53">
        <f>(SUM(K129:K132)-SUM(W129:W132)-SUM(Y129:Y132)-SUM(Z129:Z132)-SUM(AC129:AC132)-SUM(V129:V132))-AA129</f>
        <v>-0.16716589147285754</v>
      </c>
      <c r="AC129" s="41">
        <f>K129-T129</f>
        <v>0</v>
      </c>
      <c r="AD129" s="41">
        <f>+AM129+BA129</f>
        <v>0</v>
      </c>
      <c r="AE129" s="238" t="s">
        <v>277</v>
      </c>
      <c r="AF129" s="41">
        <v>0</v>
      </c>
      <c r="AG129" s="41"/>
      <c r="AH129" s="41"/>
      <c r="AI129" s="459"/>
      <c r="AJ129" s="41"/>
      <c r="AK129" s="41"/>
      <c r="AL129" s="41"/>
      <c r="AM129" s="41">
        <f>SUM(AF129:AL129)+AT129+AV129+AX129</f>
        <v>0</v>
      </c>
      <c r="AN129" s="89"/>
      <c r="AO129" s="41"/>
      <c r="AP129" s="41"/>
      <c r="AQ129" s="41"/>
      <c r="AR129" s="41">
        <f>SUM(AN129:AQ129)</f>
        <v>0</v>
      </c>
      <c r="AS129" s="41"/>
      <c r="AT129" s="41"/>
      <c r="AU129" s="41"/>
      <c r="AV129" s="41"/>
      <c r="AW129" s="41"/>
      <c r="AX129" s="41"/>
      <c r="AY129" s="41"/>
      <c r="AZ129" s="41"/>
      <c r="BA129" s="41">
        <f>+AR129+AS129+AU129+AW129+AY129+AZ129</f>
        <v>0</v>
      </c>
      <c r="BB129" s="54">
        <v>0</v>
      </c>
      <c r="BC129" s="55"/>
      <c r="BD129" s="55"/>
      <c r="BE129" s="55"/>
      <c r="BF129" s="55"/>
    </row>
    <row r="130" spans="1:58" ht="12.95" customHeight="1">
      <c r="A130" s="44"/>
      <c r="B130" s="45" t="s">
        <v>798</v>
      </c>
      <c r="C130" s="450">
        <f>(M130*E130*O130*Q130)/100000000</f>
        <v>53.094821705426362</v>
      </c>
      <c r="D130" s="45" t="s">
        <v>408</v>
      </c>
      <c r="E130" s="46">
        <v>13</v>
      </c>
      <c r="F130" s="46">
        <v>1</v>
      </c>
      <c r="G130" s="47">
        <v>1500</v>
      </c>
      <c r="H130" s="48">
        <v>0.2</v>
      </c>
      <c r="I130" s="49">
        <v>0.88</v>
      </c>
      <c r="J130" s="88">
        <f>E130*G130*(1-H130)*1440/1000000*2.77</f>
        <v>62.225279999999998</v>
      </c>
      <c r="K130" s="88">
        <f>(IF(G130&lt;L130,L130,G130)*(1-IF(H130&lt;N130,H130,N130))*E130*O130*Q130)/100000000</f>
        <v>55.1616</v>
      </c>
      <c r="L130" s="39">
        <v>1443.7984496124031</v>
      </c>
      <c r="M130" s="39">
        <v>1155.0387596899225</v>
      </c>
      <c r="N130" s="50">
        <f>1-(M130/L130)</f>
        <v>0.20000000000000007</v>
      </c>
      <c r="O130" s="51">
        <f>+'Trim Rwd'!H114</f>
        <v>260</v>
      </c>
      <c r="P130" s="52">
        <f>O130*(Q130-R130-S130)</f>
        <v>325000</v>
      </c>
      <c r="Q130" s="51">
        <v>1360</v>
      </c>
      <c r="R130" s="419">
        <v>70</v>
      </c>
      <c r="S130" s="419">
        <v>40</v>
      </c>
      <c r="T130" s="41">
        <f>E130*M130*O130*Q130/100000000</f>
        <v>53.094821705426362</v>
      </c>
      <c r="U130" s="41">
        <f>E130*M130*O130*(Q130-R130-S130)/100000000</f>
        <v>48.80038759689922</v>
      </c>
      <c r="V130" s="41">
        <f>E130*G130*(1-N130)*O130/100*(R130+S130)/1000000</f>
        <v>4.4615999999999989</v>
      </c>
      <c r="W130" s="41">
        <f>+'28'!K25/1000</f>
        <v>39.372999999999998</v>
      </c>
      <c r="X130" s="42"/>
      <c r="Y130" s="220"/>
      <c r="Z130" s="41">
        <f>+'28'!D34/1000</f>
        <v>0.89</v>
      </c>
      <c r="AA130" s="41"/>
      <c r="AB130" s="41"/>
      <c r="AC130" s="41">
        <f>K130-T130</f>
        <v>2.0667782945736377</v>
      </c>
      <c r="AD130" s="41">
        <f>+AM130+BA130</f>
        <v>8</v>
      </c>
      <c r="AE130" s="238" t="s">
        <v>558</v>
      </c>
      <c r="AF130" s="37"/>
      <c r="AG130" s="37">
        <v>8</v>
      </c>
      <c r="AH130" s="37"/>
      <c r="AJ130" s="41"/>
      <c r="AK130" s="41"/>
      <c r="AL130" s="41"/>
      <c r="AM130" s="41">
        <f>SUM(AF130:AL130)+AT130+AV130+AX130</f>
        <v>8</v>
      </c>
      <c r="AN130" s="41"/>
      <c r="AO130" s="41"/>
      <c r="AP130" s="41"/>
      <c r="AQ130" s="41"/>
      <c r="AR130" s="41">
        <f>SUM(AN130:AQ130)</f>
        <v>0</v>
      </c>
      <c r="AS130" s="41"/>
      <c r="AT130" s="41"/>
      <c r="AU130" s="41"/>
      <c r="AV130" s="41"/>
      <c r="AW130" s="41"/>
      <c r="AX130" s="41"/>
      <c r="AY130" s="41"/>
      <c r="AZ130" s="41"/>
      <c r="BA130" s="41">
        <f>+AR130+AS130+AU130+AW130+AY130+AZ130</f>
        <v>0</v>
      </c>
      <c r="BB130" s="37"/>
      <c r="BC130" s="55">
        <v>11</v>
      </c>
      <c r="BD130" s="55"/>
      <c r="BE130" s="55"/>
      <c r="BF130" s="55"/>
    </row>
    <row r="131" spans="1:58" ht="12.95" customHeight="1">
      <c r="A131" s="343"/>
      <c r="B131" s="45"/>
      <c r="C131" s="450"/>
      <c r="D131" s="45"/>
      <c r="E131" s="46"/>
      <c r="F131" s="46"/>
      <c r="G131" s="47"/>
      <c r="H131" s="48"/>
      <c r="I131" s="49"/>
      <c r="J131" s="88"/>
      <c r="K131" s="88"/>
      <c r="L131" s="39"/>
      <c r="M131" s="39"/>
      <c r="N131" s="50"/>
      <c r="O131" s="51"/>
      <c r="P131" s="52"/>
      <c r="Q131" s="51"/>
      <c r="R131" s="419"/>
      <c r="S131" s="419"/>
      <c r="T131" s="41"/>
      <c r="U131" s="41"/>
      <c r="V131" s="41"/>
      <c r="W131" s="41"/>
      <c r="X131" s="416"/>
      <c r="Y131" s="220"/>
      <c r="Z131" s="41"/>
      <c r="AA131" s="53"/>
      <c r="AB131" s="53"/>
      <c r="AC131" s="41"/>
      <c r="AD131" s="41">
        <f>+AM131+BA131</f>
        <v>11</v>
      </c>
      <c r="AE131" s="238" t="s">
        <v>800</v>
      </c>
      <c r="AF131" s="41"/>
      <c r="AG131" s="41"/>
      <c r="AH131" s="41">
        <v>11</v>
      </c>
      <c r="AI131" s="41"/>
      <c r="AJ131" s="41"/>
      <c r="AK131" s="41"/>
      <c r="AL131" s="41"/>
      <c r="AM131" s="41">
        <f>SUM(AF131:AL131)+AT131+AV131+AX131</f>
        <v>11</v>
      </c>
      <c r="AN131" s="41"/>
      <c r="AO131" s="41"/>
      <c r="AP131" s="41"/>
      <c r="AQ131" s="41"/>
      <c r="AR131" s="41">
        <f>SUM(AN131:AQ131)</f>
        <v>0</v>
      </c>
      <c r="AS131" s="41"/>
      <c r="AT131" s="41"/>
      <c r="AU131" s="41"/>
      <c r="AV131" s="41"/>
      <c r="AW131" s="41"/>
      <c r="AX131" s="41"/>
      <c r="AY131" s="41"/>
      <c r="AZ131" s="41"/>
      <c r="BA131" s="41">
        <f>+AR131+AS131+AU131+AW131+AY131+AZ131</f>
        <v>0</v>
      </c>
      <c r="BB131" s="37"/>
      <c r="BC131" s="55"/>
      <c r="BD131" s="55"/>
      <c r="BE131" s="55"/>
      <c r="BF131" s="55"/>
    </row>
    <row r="132" spans="1:58" ht="12.95" customHeight="1">
      <c r="A132" s="343"/>
      <c r="B132" s="45"/>
      <c r="C132" s="450"/>
      <c r="D132" s="45"/>
      <c r="E132" s="46"/>
      <c r="F132" s="46"/>
      <c r="G132" s="463"/>
      <c r="H132" s="48"/>
      <c r="I132" s="49"/>
      <c r="J132" s="88"/>
      <c r="K132" s="88"/>
      <c r="L132" s="39"/>
      <c r="M132" s="39"/>
      <c r="N132" s="50"/>
      <c r="O132" s="51"/>
      <c r="P132" s="52"/>
      <c r="Q132" s="51"/>
      <c r="R132" s="419"/>
      <c r="S132" s="419"/>
      <c r="T132" s="41"/>
      <c r="U132" s="41"/>
      <c r="V132" s="41"/>
      <c r="W132" s="41"/>
      <c r="X132" s="416"/>
      <c r="Y132" s="220"/>
      <c r="Z132" s="41"/>
      <c r="AA132" s="53"/>
      <c r="AB132" s="53"/>
      <c r="AC132" s="41"/>
      <c r="AD132" s="41">
        <f>+AM132+BA132</f>
        <v>25</v>
      </c>
      <c r="AE132" s="241" t="s">
        <v>487</v>
      </c>
      <c r="AF132" s="41"/>
      <c r="AG132" s="41"/>
      <c r="AH132" s="41"/>
      <c r="AI132" s="459">
        <v>25</v>
      </c>
      <c r="AJ132" s="41"/>
      <c r="AK132" s="41"/>
      <c r="AL132" s="41"/>
      <c r="AM132" s="41">
        <f>SUM(AF132:AL132)+AT132+AV132+AX132</f>
        <v>25</v>
      </c>
      <c r="AN132" s="41"/>
      <c r="AO132" s="41"/>
      <c r="AP132" s="41"/>
      <c r="AQ132" s="41"/>
      <c r="AR132" s="41">
        <f>SUM(AN132:AQ132)</f>
        <v>0</v>
      </c>
      <c r="AS132" s="41"/>
      <c r="AT132" s="41"/>
      <c r="AU132" s="41"/>
      <c r="AV132" s="41"/>
      <c r="AW132" s="41"/>
      <c r="AX132" s="41"/>
      <c r="AY132" s="41"/>
      <c r="AZ132" s="41"/>
      <c r="BA132" s="41">
        <f>+AR132+AS132+AU132+AW132+AY132+AZ132</f>
        <v>0</v>
      </c>
      <c r="BB132" s="37"/>
      <c r="BC132" s="55"/>
      <c r="BD132" s="55"/>
      <c r="BE132" s="55"/>
      <c r="BF132" s="55"/>
    </row>
    <row r="133" spans="1:58" ht="12.95" customHeight="1">
      <c r="A133" s="44"/>
      <c r="B133" s="45"/>
      <c r="C133" s="450"/>
      <c r="D133" s="45"/>
      <c r="E133" s="46"/>
      <c r="F133" s="46"/>
      <c r="G133" s="463"/>
      <c r="H133" s="48"/>
      <c r="I133" s="49"/>
      <c r="J133" s="88"/>
      <c r="K133" s="88"/>
      <c r="L133" s="39"/>
      <c r="M133" s="39"/>
      <c r="N133" s="50"/>
      <c r="O133" s="51"/>
      <c r="P133" s="52"/>
      <c r="Q133" s="51"/>
      <c r="R133" s="419"/>
      <c r="S133" s="419"/>
      <c r="T133" s="41"/>
      <c r="U133" s="41"/>
      <c r="V133" s="41"/>
      <c r="W133" s="41"/>
      <c r="X133" s="42"/>
      <c r="Y133" s="220"/>
      <c r="Z133" s="41"/>
      <c r="AA133" s="41"/>
      <c r="AB133" s="41"/>
      <c r="AC133" s="41"/>
      <c r="AD133" s="41">
        <f>+AM133+BA133</f>
        <v>70</v>
      </c>
      <c r="AE133" s="241" t="s">
        <v>792</v>
      </c>
      <c r="AF133" s="37"/>
      <c r="AG133" s="37"/>
      <c r="AH133" s="37"/>
      <c r="AI133" s="459"/>
      <c r="AJ133" s="41"/>
      <c r="AK133" s="41"/>
      <c r="AL133" s="41"/>
      <c r="AM133" s="41">
        <f>SUM(AF133:AL133)+AT133+AV133+AX133</f>
        <v>0</v>
      </c>
      <c r="AN133" s="41"/>
      <c r="AO133" s="41"/>
      <c r="AP133" s="41"/>
      <c r="AQ133" s="41"/>
      <c r="AR133" s="41">
        <f>SUM(AN133:AQ133)</f>
        <v>0</v>
      </c>
      <c r="AS133" s="41"/>
      <c r="AT133" s="41"/>
      <c r="AU133" s="41"/>
      <c r="AV133" s="41"/>
      <c r="AW133" s="41">
        <v>70</v>
      </c>
      <c r="AX133" s="41"/>
      <c r="AY133" s="41"/>
      <c r="AZ133" s="41"/>
      <c r="BA133" s="41">
        <f>+AR133+AS133+AU133+AW133+AY133+AZ133</f>
        <v>70</v>
      </c>
      <c r="BB133" s="37"/>
      <c r="BC133" s="55"/>
      <c r="BD133" s="55">
        <v>1</v>
      </c>
      <c r="BE133" s="55"/>
      <c r="BF133" s="55"/>
    </row>
    <row r="134" spans="1:58" ht="12.95" customHeight="1">
      <c r="A134" s="44"/>
      <c r="B134" s="45"/>
      <c r="C134" s="450"/>
      <c r="D134" s="45"/>
      <c r="E134" s="46"/>
      <c r="F134" s="46"/>
      <c r="G134" s="463"/>
      <c r="H134" s="48"/>
      <c r="I134" s="49"/>
      <c r="J134" s="88"/>
      <c r="K134" s="88"/>
      <c r="L134" s="39"/>
      <c r="M134" s="39"/>
      <c r="N134" s="50"/>
      <c r="O134" s="51"/>
      <c r="P134" s="52"/>
      <c r="Q134" s="51"/>
      <c r="R134" s="419"/>
      <c r="S134" s="419"/>
      <c r="T134" s="41"/>
      <c r="U134" s="41"/>
      <c r="V134" s="41"/>
      <c r="W134" s="41"/>
      <c r="X134" s="42"/>
      <c r="Y134" s="220"/>
      <c r="Z134" s="41"/>
      <c r="AA134" s="41"/>
      <c r="AB134" s="41"/>
      <c r="AC134" s="41"/>
      <c r="AD134" s="41"/>
      <c r="AE134" s="238"/>
      <c r="AF134" s="37"/>
      <c r="AG134" s="37"/>
      <c r="AH134" s="37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37"/>
      <c r="BC134" s="57"/>
      <c r="BD134" s="55"/>
      <c r="BE134" s="55"/>
      <c r="BF134" s="55"/>
    </row>
    <row r="135" spans="1:58" ht="12.95" customHeight="1">
      <c r="A135" s="44">
        <v>46141</v>
      </c>
      <c r="B135" s="45" t="s">
        <v>798</v>
      </c>
      <c r="C135" s="450">
        <f>(M135*E135*O135*Q135)/100000000</f>
        <v>56.459519999999998</v>
      </c>
      <c r="D135" s="45" t="s">
        <v>408</v>
      </c>
      <c r="E135" s="46">
        <v>13</v>
      </c>
      <c r="F135" s="46">
        <v>1</v>
      </c>
      <c r="G135" s="47">
        <v>1500</v>
      </c>
      <c r="H135" s="48">
        <v>0.2</v>
      </c>
      <c r="I135" s="49">
        <v>0.88</v>
      </c>
      <c r="J135" s="88">
        <f>E135*G135*(1-H135)*1440/1000000*2.77</f>
        <v>62.225279999999998</v>
      </c>
      <c r="K135" s="88">
        <f>(IF(G135&lt;L135,L135,G135)*(1-IF(H135&lt;N135,H135,N135))*E135*O135*Q135)/100000000</f>
        <v>58.406399999999998</v>
      </c>
      <c r="L135" s="39">
        <v>1450</v>
      </c>
      <c r="M135" s="39">
        <v>1160</v>
      </c>
      <c r="N135" s="50">
        <f>1-(M135/L135)</f>
        <v>0.19999999999999996</v>
      </c>
      <c r="O135" s="51">
        <f>+'Trim Rwd'!H116</f>
        <v>260</v>
      </c>
      <c r="P135" s="52">
        <f>O135*(Q135-R135-S135)</f>
        <v>305240</v>
      </c>
      <c r="Q135" s="51">
        <v>1440</v>
      </c>
      <c r="R135" s="419">
        <v>255</v>
      </c>
      <c r="S135" s="419">
        <v>11</v>
      </c>
      <c r="T135" s="41">
        <f>E135*M135*O135*Q135/100000000</f>
        <v>56.459519999999998</v>
      </c>
      <c r="U135" s="41">
        <f>E135*M135*O135*(Q135-R135-S135)/100000000</f>
        <v>46.030192</v>
      </c>
      <c r="V135" s="41">
        <f>E135*G135*(1-N135)*O135/100*(R135+S135)/1000000</f>
        <v>10.788959999999999</v>
      </c>
      <c r="W135" s="41">
        <f>+'29'!K34/1000</f>
        <v>49.027999999999999</v>
      </c>
      <c r="X135" s="416">
        <f>SUM(W135:W138)/SUM(K135:K138)</f>
        <v>0.83942855577470965</v>
      </c>
      <c r="Y135" s="220">
        <v>0</v>
      </c>
      <c r="Z135" s="41">
        <f>+'29'!D34/1000</f>
        <v>1.1439999999999999</v>
      </c>
      <c r="AA135" s="53">
        <f>SUM(U135:U138)-SUM(W135:W138)-SUM(Z135:Z138)-SUM(Y135:Y138)</f>
        <v>-4.1418079999999993</v>
      </c>
      <c r="AB135" s="53">
        <f>(SUM(K135:K138)-SUM(W135:W138)-SUM(Y135:Y138)-SUM(Z135:Z138)-SUM(AC135:AC138)-SUM(V135:V138))-AA135</f>
        <v>-0.35963200000000128</v>
      </c>
      <c r="AC135" s="41">
        <f>K135-T135</f>
        <v>1.9468800000000002</v>
      </c>
      <c r="AD135" s="41">
        <f>+AM135+BA135</f>
        <v>0</v>
      </c>
      <c r="AE135" s="238" t="s">
        <v>277</v>
      </c>
      <c r="AF135" s="41">
        <v>0</v>
      </c>
      <c r="AG135" s="41"/>
      <c r="AH135" s="41"/>
      <c r="AI135" s="459"/>
      <c r="AJ135" s="41"/>
      <c r="AK135" s="41"/>
      <c r="AL135" s="41"/>
      <c r="AM135" s="41">
        <f>SUM(AF135:AL135)+AT135+AV135+AX135</f>
        <v>0</v>
      </c>
      <c r="AN135" s="89"/>
      <c r="AO135" s="41"/>
      <c r="AP135" s="41"/>
      <c r="AQ135" s="41"/>
      <c r="AR135" s="41">
        <f>SUM(AN135:AQ135)</f>
        <v>0</v>
      </c>
      <c r="AS135" s="41"/>
      <c r="AT135" s="41"/>
      <c r="AU135" s="41"/>
      <c r="AV135" s="41"/>
      <c r="AW135" s="41"/>
      <c r="AX135" s="41"/>
      <c r="AY135" s="41"/>
      <c r="AZ135" s="41"/>
      <c r="BA135" s="41">
        <f>+AR135+AS135+AU135+AW135+AY135+AZ135</f>
        <v>0</v>
      </c>
      <c r="BB135" s="54">
        <v>0</v>
      </c>
      <c r="BC135" s="55"/>
      <c r="BD135" s="55"/>
      <c r="BE135" s="55"/>
      <c r="BF135" s="55"/>
    </row>
    <row r="136" spans="1:58" ht="12.95" customHeight="1">
      <c r="A136" s="44"/>
      <c r="B136" s="45"/>
      <c r="C136" s="450"/>
      <c r="D136" s="45"/>
      <c r="E136" s="46"/>
      <c r="F136" s="46"/>
      <c r="G136" s="47"/>
      <c r="H136" s="48"/>
      <c r="I136" s="49"/>
      <c r="J136" s="88"/>
      <c r="K136" s="88"/>
      <c r="L136" s="39"/>
      <c r="M136" s="39"/>
      <c r="N136" s="50"/>
      <c r="O136" s="51"/>
      <c r="P136" s="52"/>
      <c r="Q136" s="51"/>
      <c r="R136" s="419"/>
      <c r="S136" s="419"/>
      <c r="T136" s="41"/>
      <c r="U136" s="41"/>
      <c r="V136" s="41"/>
      <c r="W136" s="41"/>
      <c r="X136" s="42"/>
      <c r="Y136" s="220"/>
      <c r="Z136" s="41"/>
      <c r="AA136" s="41"/>
      <c r="AB136" s="41"/>
      <c r="AC136" s="41"/>
      <c r="AD136" s="41">
        <f>+AM136+BA136</f>
        <v>4</v>
      </c>
      <c r="AE136" s="238" t="s">
        <v>450</v>
      </c>
      <c r="AF136" s="37"/>
      <c r="AG136" s="37">
        <v>4</v>
      </c>
      <c r="AH136" s="37"/>
      <c r="AJ136" s="41"/>
      <c r="AK136" s="41"/>
      <c r="AL136" s="41"/>
      <c r="AM136" s="41">
        <f>SUM(AF136:AL136)+AT136+AV136+AX136</f>
        <v>4</v>
      </c>
      <c r="AN136" s="41"/>
      <c r="AO136" s="41"/>
      <c r="AP136" s="41"/>
      <c r="AQ136" s="41"/>
      <c r="AR136" s="41">
        <f>SUM(AN136:AQ136)</f>
        <v>0</v>
      </c>
      <c r="AS136" s="41"/>
      <c r="AT136" s="41"/>
      <c r="AU136" s="41"/>
      <c r="AV136" s="41"/>
      <c r="AW136" s="41"/>
      <c r="AX136" s="41"/>
      <c r="AY136" s="41"/>
      <c r="AZ136" s="41"/>
      <c r="BA136" s="41">
        <f>+AR136+AS136+AU136+AW136+AY136+AZ136</f>
        <v>0</v>
      </c>
      <c r="BB136" s="37"/>
      <c r="BC136" s="55">
        <v>11</v>
      </c>
      <c r="BD136" s="55"/>
      <c r="BE136" s="55"/>
      <c r="BF136" s="55"/>
    </row>
    <row r="137" spans="1:58" ht="12.95" customHeight="1">
      <c r="A137" s="343"/>
      <c r="B137" s="45"/>
      <c r="C137" s="450"/>
      <c r="D137" s="45"/>
      <c r="E137" s="46"/>
      <c r="F137" s="46"/>
      <c r="G137" s="47"/>
      <c r="H137" s="48"/>
      <c r="I137" s="49"/>
      <c r="J137" s="88"/>
      <c r="K137" s="88"/>
      <c r="L137" s="39"/>
      <c r="M137" s="39"/>
      <c r="N137" s="50"/>
      <c r="O137" s="51"/>
      <c r="P137" s="52"/>
      <c r="Q137" s="51"/>
      <c r="R137" s="419"/>
      <c r="S137" s="419"/>
      <c r="T137" s="41"/>
      <c r="U137" s="41"/>
      <c r="V137" s="41"/>
      <c r="W137" s="41"/>
      <c r="X137" s="416"/>
      <c r="Y137" s="220"/>
      <c r="Z137" s="41"/>
      <c r="AA137" s="53"/>
      <c r="AB137" s="53"/>
      <c r="AC137" s="41"/>
      <c r="AD137" s="41">
        <f>+AM137+BA137</f>
        <v>7</v>
      </c>
      <c r="AE137" s="238" t="s">
        <v>810</v>
      </c>
      <c r="AF137" s="41"/>
      <c r="AG137" s="41"/>
      <c r="AH137" s="41">
        <v>7</v>
      </c>
      <c r="AI137" s="41"/>
      <c r="AJ137" s="41"/>
      <c r="AK137" s="41"/>
      <c r="AL137" s="41"/>
      <c r="AM137" s="41">
        <f>SUM(AF137:AL137)+AT137+AV137+AX137</f>
        <v>7</v>
      </c>
      <c r="AN137" s="41"/>
      <c r="AO137" s="41"/>
      <c r="AP137" s="41"/>
      <c r="AQ137" s="41"/>
      <c r="AR137" s="41">
        <f>SUM(AN137:AQ137)</f>
        <v>0</v>
      </c>
      <c r="AS137" s="41"/>
      <c r="AT137" s="41"/>
      <c r="AU137" s="41"/>
      <c r="AV137" s="41"/>
      <c r="AW137" s="41"/>
      <c r="AX137" s="41"/>
      <c r="AY137" s="41"/>
      <c r="AZ137" s="41"/>
      <c r="BA137" s="41">
        <f>+AR137+AS137+AU137+AW137+AY137+AZ137</f>
        <v>0</v>
      </c>
      <c r="BB137" s="37"/>
      <c r="BC137" s="55"/>
      <c r="BD137" s="55"/>
      <c r="BE137" s="55"/>
      <c r="BF137" s="55"/>
    </row>
    <row r="138" spans="1:58" ht="12.95" customHeight="1">
      <c r="A138" s="44"/>
      <c r="B138" s="45"/>
      <c r="C138" s="450"/>
      <c r="D138" s="45"/>
      <c r="E138" s="46"/>
      <c r="F138" s="46"/>
      <c r="G138" s="463"/>
      <c r="H138" s="48"/>
      <c r="I138" s="49"/>
      <c r="J138" s="88"/>
      <c r="K138" s="88"/>
      <c r="L138" s="39"/>
      <c r="M138" s="39"/>
      <c r="N138" s="50"/>
      <c r="O138" s="51"/>
      <c r="P138" s="52"/>
      <c r="Q138" s="51"/>
      <c r="R138" s="419"/>
      <c r="S138" s="419"/>
      <c r="T138" s="41"/>
      <c r="U138" s="41"/>
      <c r="V138" s="41"/>
      <c r="W138" s="41"/>
      <c r="X138" s="42"/>
      <c r="Y138" s="220"/>
      <c r="Z138" s="41"/>
      <c r="AA138" s="41"/>
      <c r="AB138" s="41"/>
      <c r="AC138" s="41"/>
      <c r="AD138" s="41">
        <f>+AM138+BA138</f>
        <v>255</v>
      </c>
      <c r="AE138" s="241" t="s">
        <v>807</v>
      </c>
      <c r="AF138" s="37"/>
      <c r="AG138" s="37"/>
      <c r="AH138" s="37"/>
      <c r="AI138" s="459"/>
      <c r="AJ138" s="41"/>
      <c r="AK138" s="41"/>
      <c r="AL138" s="41"/>
      <c r="AM138" s="41">
        <f>SUM(AF138:AL138)+AT138+AV138+AX138</f>
        <v>0</v>
      </c>
      <c r="AN138" s="41"/>
      <c r="AO138" s="41"/>
      <c r="AP138" s="41"/>
      <c r="AQ138" s="41"/>
      <c r="AR138" s="41">
        <f>SUM(AN138:AQ138)</f>
        <v>0</v>
      </c>
      <c r="AS138" s="41"/>
      <c r="AT138" s="41"/>
      <c r="AU138" s="41"/>
      <c r="AV138" s="41"/>
      <c r="AW138" s="41">
        <v>255</v>
      </c>
      <c r="AX138" s="41"/>
      <c r="AY138" s="41"/>
      <c r="AZ138" s="41"/>
      <c r="BA138" s="41">
        <f>+AR138+AS138+AU138+AW138+AY138+AZ138</f>
        <v>255</v>
      </c>
      <c r="BB138" s="37"/>
      <c r="BC138" s="55"/>
      <c r="BD138" s="55">
        <v>1</v>
      </c>
      <c r="BE138" s="55"/>
      <c r="BF138" s="55"/>
    </row>
    <row r="139" spans="1:58" ht="12.95" customHeight="1">
      <c r="A139" s="44"/>
      <c r="B139" s="3"/>
      <c r="C139" s="450"/>
      <c r="D139" s="45"/>
      <c r="E139" s="255"/>
      <c r="F139" s="46"/>
      <c r="G139" s="47"/>
      <c r="H139" s="48"/>
      <c r="I139" s="49"/>
      <c r="J139" s="88"/>
      <c r="K139" s="88"/>
      <c r="L139" s="39"/>
      <c r="M139" s="39"/>
      <c r="N139" s="50"/>
      <c r="O139" s="51"/>
      <c r="P139" s="52"/>
      <c r="Q139" s="348"/>
      <c r="R139" s="54"/>
      <c r="S139" s="54"/>
      <c r="T139" s="41"/>
      <c r="U139" s="41"/>
      <c r="V139" s="41"/>
      <c r="W139" s="37"/>
      <c r="X139" s="42"/>
      <c r="Y139" s="42"/>
      <c r="Z139" s="37"/>
      <c r="AA139" s="53"/>
      <c r="AB139" s="53"/>
      <c r="AC139" s="41"/>
      <c r="AD139" s="41"/>
      <c r="AE139" s="22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37"/>
      <c r="BC139" s="55"/>
      <c r="BD139" s="55"/>
      <c r="BE139" s="55"/>
      <c r="BF139" s="55"/>
    </row>
    <row r="140" spans="1:58" ht="12.95" customHeight="1">
      <c r="A140" s="44">
        <v>46142</v>
      </c>
      <c r="B140" s="45" t="s">
        <v>798</v>
      </c>
      <c r="C140" s="450">
        <f>(M140*E140*O140*Q140)/100000000</f>
        <v>56.203221873417718</v>
      </c>
      <c r="D140" s="45" t="s">
        <v>408</v>
      </c>
      <c r="E140" s="46">
        <v>13</v>
      </c>
      <c r="F140" s="46">
        <v>1</v>
      </c>
      <c r="G140" s="47">
        <v>1500</v>
      </c>
      <c r="H140" s="48">
        <v>0.2</v>
      </c>
      <c r="I140" s="49">
        <v>0.88</v>
      </c>
      <c r="J140" s="88">
        <f>E140*G140*(1-H140)*1440/1000000*2.77</f>
        <v>62.225279999999998</v>
      </c>
      <c r="K140" s="88">
        <f>(IF(G140&lt;L140,L140,G140)*(1-IF(H140&lt;N140,H140,N140))*E140*O140*Q140)/100000000</f>
        <v>58.406399999999998</v>
      </c>
      <c r="L140" s="39">
        <v>1443.4177215189873</v>
      </c>
      <c r="M140" s="39">
        <v>1154.7341772151899</v>
      </c>
      <c r="N140" s="50">
        <f>1-(M140/L140)</f>
        <v>0.19999999999999996</v>
      </c>
      <c r="O140" s="51">
        <f>+'Trim Rwd'!H119</f>
        <v>260</v>
      </c>
      <c r="P140" s="52">
        <f>O140*(Q140-R140-S140)</f>
        <v>323700</v>
      </c>
      <c r="Q140" s="51">
        <v>1440</v>
      </c>
      <c r="R140" s="419">
        <v>176</v>
      </c>
      <c r="S140" s="419">
        <v>19</v>
      </c>
      <c r="T140" s="41">
        <f>E140*M140*O140*Q140/100000000</f>
        <v>56.203221873417718</v>
      </c>
      <c r="U140" s="41">
        <f>E140*M140*O140*(Q140-R140-S140)/100000000</f>
        <v>48.592368911392406</v>
      </c>
      <c r="V140" s="41">
        <f>E140*G140*(1-N140)*O140/100*(R140+S140)/1000000</f>
        <v>7.9092000000000002</v>
      </c>
      <c r="W140" s="41">
        <f>+'30'!K34/1000</f>
        <v>51.228000000000002</v>
      </c>
      <c r="X140" s="416">
        <f>SUM(W140:W143)/SUM(K140:K143)</f>
        <v>0.87709566074950696</v>
      </c>
      <c r="Y140" s="626">
        <f>+SUM(RBP!$AG$3:$AG$4)</f>
        <v>6.9</v>
      </c>
      <c r="Z140" s="41">
        <f>+'30'!D34/1000</f>
        <v>0.627</v>
      </c>
      <c r="AA140" s="53">
        <f>SUM(U140:U143)-SUM(W140:W143)-SUM(Z140:Z143)-SUM(Y140:Y143)</f>
        <v>-10.162631088607597</v>
      </c>
      <c r="AB140" s="53">
        <f>(SUM(K140:K143)-SUM(W140:W143)-SUM(Y140:Y143)-SUM(Z140:Z143)-SUM(AC140:AC143)-SUM(V140:V143))-AA140</f>
        <v>-0.2983470379746862</v>
      </c>
      <c r="AC140" s="41">
        <f>K140-T140</f>
        <v>2.2031781265822801</v>
      </c>
      <c r="AD140" s="41">
        <f>+AM140+BA140</f>
        <v>0</v>
      </c>
      <c r="AE140" s="238" t="s">
        <v>277</v>
      </c>
      <c r="AF140" s="41">
        <v>0</v>
      </c>
      <c r="AG140" s="41"/>
      <c r="AH140" s="41"/>
      <c r="AI140" s="459"/>
      <c r="AJ140" s="41"/>
      <c r="AK140" s="41"/>
      <c r="AL140" s="41"/>
      <c r="AM140" s="41">
        <f>SUM(AF140:AL140)+AT140+AV140+AX140</f>
        <v>0</v>
      </c>
      <c r="AN140" s="89"/>
      <c r="AO140" s="41"/>
      <c r="AP140" s="41"/>
      <c r="AQ140" s="41"/>
      <c r="AR140" s="41">
        <f>SUM(AN140:AQ140)</f>
        <v>0</v>
      </c>
      <c r="AS140" s="41"/>
      <c r="AT140" s="41"/>
      <c r="AU140" s="41"/>
      <c r="AV140" s="41"/>
      <c r="AW140" s="41"/>
      <c r="AX140" s="41"/>
      <c r="AY140" s="41"/>
      <c r="AZ140" s="41"/>
      <c r="BA140" s="41">
        <f>+AR140+AS140+AU140+AW140+AY140+AZ140</f>
        <v>0</v>
      </c>
      <c r="BB140" s="54">
        <v>0</v>
      </c>
      <c r="BC140" s="55"/>
      <c r="BD140" s="55"/>
      <c r="BE140" s="55"/>
      <c r="BF140" s="55"/>
    </row>
    <row r="141" spans="1:58" ht="12.95" customHeight="1">
      <c r="A141" s="44"/>
      <c r="B141" s="45"/>
      <c r="C141" s="450"/>
      <c r="D141" s="45"/>
      <c r="E141" s="46"/>
      <c r="F141" s="46"/>
      <c r="G141" s="47"/>
      <c r="H141" s="48"/>
      <c r="I141" s="49"/>
      <c r="J141" s="88"/>
      <c r="K141" s="88"/>
      <c r="L141" s="39"/>
      <c r="M141" s="39"/>
      <c r="N141" s="50"/>
      <c r="O141" s="51"/>
      <c r="P141" s="52"/>
      <c r="Q141" s="51"/>
      <c r="R141" s="419"/>
      <c r="S141" s="419"/>
      <c r="T141" s="41"/>
      <c r="U141" s="41"/>
      <c r="V141" s="41"/>
      <c r="W141" s="41"/>
      <c r="X141" s="42"/>
      <c r="Y141" s="220"/>
      <c r="Z141" s="41"/>
      <c r="AA141" s="41"/>
      <c r="AB141" s="41"/>
      <c r="AC141" s="41"/>
      <c r="AD141" s="41">
        <f>+AM141+BA141</f>
        <v>8</v>
      </c>
      <c r="AE141" s="238" t="s">
        <v>723</v>
      </c>
      <c r="AF141" s="37"/>
      <c r="AG141" s="37">
        <v>8</v>
      </c>
      <c r="AH141" s="37"/>
      <c r="AJ141" s="41"/>
      <c r="AK141" s="41"/>
      <c r="AL141" s="41"/>
      <c r="AM141" s="41">
        <f>SUM(AF141:AL141)+AT141+AV141+AX141</f>
        <v>8</v>
      </c>
      <c r="AN141" s="41"/>
      <c r="AO141" s="41"/>
      <c r="AP141" s="41"/>
      <c r="AQ141" s="41"/>
      <c r="AR141" s="41">
        <f>SUM(AN141:AQ141)</f>
        <v>0</v>
      </c>
      <c r="AS141" s="41"/>
      <c r="AT141" s="41"/>
      <c r="AU141" s="41"/>
      <c r="AV141" s="41"/>
      <c r="AW141" s="41"/>
      <c r="AX141" s="41"/>
      <c r="AY141" s="41"/>
      <c r="AZ141" s="41"/>
      <c r="BA141" s="41">
        <f>+AR141+AS141+AU141+AW141+AY141+AZ141</f>
        <v>0</v>
      </c>
      <c r="BB141" s="37"/>
      <c r="BC141" s="55">
        <v>8</v>
      </c>
      <c r="BD141" s="55"/>
      <c r="BE141" s="55"/>
      <c r="BF141" s="55"/>
    </row>
    <row r="142" spans="1:58" ht="12.95" customHeight="1">
      <c r="A142" s="343"/>
      <c r="B142" s="45"/>
      <c r="C142" s="450"/>
      <c r="D142" s="45"/>
      <c r="E142" s="46"/>
      <c r="F142" s="46"/>
      <c r="G142" s="47"/>
      <c r="H142" s="48"/>
      <c r="I142" s="49"/>
      <c r="J142" s="88"/>
      <c r="K142" s="88"/>
      <c r="L142" s="39"/>
      <c r="M142" s="39"/>
      <c r="N142" s="50"/>
      <c r="O142" s="51"/>
      <c r="P142" s="52"/>
      <c r="Q142" s="51"/>
      <c r="R142" s="419"/>
      <c r="S142" s="419"/>
      <c r="T142" s="41"/>
      <c r="U142" s="41"/>
      <c r="V142" s="41"/>
      <c r="W142" s="41"/>
      <c r="X142" s="416"/>
      <c r="Y142" s="220"/>
      <c r="Z142" s="41"/>
      <c r="AA142" s="53"/>
      <c r="AB142" s="53"/>
      <c r="AC142" s="41"/>
      <c r="AD142" s="41">
        <f>+AM142+BA142</f>
        <v>11</v>
      </c>
      <c r="AE142" s="238" t="s">
        <v>819</v>
      </c>
      <c r="AF142" s="41"/>
      <c r="AG142" s="41"/>
      <c r="AH142" s="41">
        <v>11</v>
      </c>
      <c r="AI142" s="41"/>
      <c r="AJ142" s="41"/>
      <c r="AK142" s="41"/>
      <c r="AL142" s="41"/>
      <c r="AM142" s="41">
        <f>SUM(AF142:AL142)+AT142+AV142+AX142</f>
        <v>11</v>
      </c>
      <c r="AN142" s="41"/>
      <c r="AO142" s="41"/>
      <c r="AP142" s="41"/>
      <c r="AQ142" s="41"/>
      <c r="AR142" s="41">
        <f>SUM(AN142:AQ142)</f>
        <v>0</v>
      </c>
      <c r="AS142" s="41"/>
      <c r="AT142" s="41"/>
      <c r="AU142" s="41"/>
      <c r="AV142" s="41"/>
      <c r="AW142" s="41"/>
      <c r="AX142" s="41"/>
      <c r="AY142" s="41"/>
      <c r="AZ142" s="41"/>
      <c r="BA142" s="41">
        <f>+AR142+AS142+AU142+AW142+AY142+AZ142</f>
        <v>0</v>
      </c>
      <c r="BB142" s="37"/>
      <c r="BC142" s="55"/>
      <c r="BD142" s="55"/>
      <c r="BE142" s="55"/>
      <c r="BF142" s="55"/>
    </row>
    <row r="143" spans="1:58" ht="12.95" customHeight="1">
      <c r="A143" s="44"/>
      <c r="B143" s="45"/>
      <c r="C143" s="450"/>
      <c r="D143" s="45"/>
      <c r="E143" s="46"/>
      <c r="F143" s="46"/>
      <c r="G143" s="463"/>
      <c r="H143" s="48"/>
      <c r="I143" s="49"/>
      <c r="J143" s="88"/>
      <c r="K143" s="88"/>
      <c r="L143" s="39"/>
      <c r="M143" s="39"/>
      <c r="N143" s="50"/>
      <c r="O143" s="51"/>
      <c r="P143" s="52"/>
      <c r="Q143" s="51"/>
      <c r="R143" s="419"/>
      <c r="S143" s="419"/>
      <c r="T143" s="41"/>
      <c r="U143" s="41"/>
      <c r="V143" s="41"/>
      <c r="W143" s="41"/>
      <c r="X143" s="42"/>
      <c r="Y143" s="220"/>
      <c r="Z143" s="41"/>
      <c r="AA143" s="41"/>
      <c r="AB143" s="41"/>
      <c r="AC143" s="41"/>
      <c r="AD143" s="41">
        <f>+AM143+BA143</f>
        <v>176</v>
      </c>
      <c r="AE143" s="241" t="s">
        <v>812</v>
      </c>
      <c r="AF143" s="37"/>
      <c r="AG143" s="37"/>
      <c r="AH143" s="37"/>
      <c r="AI143" s="459"/>
      <c r="AJ143" s="41"/>
      <c r="AK143" s="41"/>
      <c r="AL143" s="41"/>
      <c r="AM143" s="41">
        <f>SUM(AF143:AL143)+AT143+AV143+AX143</f>
        <v>0</v>
      </c>
      <c r="AN143" s="41"/>
      <c r="AO143" s="41"/>
      <c r="AP143" s="41"/>
      <c r="AQ143" s="41"/>
      <c r="AR143" s="41">
        <f>SUM(AN143:AQ143)</f>
        <v>0</v>
      </c>
      <c r="AS143" s="41"/>
      <c r="AT143" s="41"/>
      <c r="AU143" s="41"/>
      <c r="AV143" s="41"/>
      <c r="AW143" s="41">
        <v>176</v>
      </c>
      <c r="AX143" s="41"/>
      <c r="AY143" s="41"/>
      <c r="AZ143" s="41"/>
      <c r="BA143" s="41">
        <f>+AR143+AS143+AU143+AW143+AY143+AZ143</f>
        <v>176</v>
      </c>
      <c r="BB143" s="37"/>
      <c r="BC143" s="55"/>
      <c r="BD143" s="55">
        <v>1</v>
      </c>
      <c r="BE143" s="55"/>
      <c r="BF143" s="55"/>
    </row>
    <row r="144" spans="1:58" ht="12.95" customHeight="1">
      <c r="A144" s="44"/>
      <c r="B144" s="3"/>
      <c r="C144" s="450"/>
      <c r="D144" s="45"/>
      <c r="E144" s="255"/>
      <c r="F144" s="46"/>
      <c r="G144" s="47"/>
      <c r="H144" s="48"/>
      <c r="I144" s="49"/>
      <c r="J144" s="88"/>
      <c r="K144" s="88"/>
      <c r="L144" s="39"/>
      <c r="M144" s="39"/>
      <c r="N144" s="50"/>
      <c r="O144" s="51"/>
      <c r="P144" s="52"/>
      <c r="Q144" s="348"/>
      <c r="R144" s="54"/>
      <c r="S144" s="54"/>
      <c r="T144" s="41"/>
      <c r="U144" s="41"/>
      <c r="V144" s="41"/>
      <c r="W144" s="37"/>
      <c r="X144" s="42"/>
      <c r="Y144" s="42"/>
      <c r="Z144" s="37"/>
      <c r="AA144" s="53"/>
      <c r="AB144" s="53"/>
      <c r="AC144" s="41"/>
      <c r="AD144" s="41"/>
      <c r="AE144" s="22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37"/>
      <c r="BC144" s="55"/>
      <c r="BD144" s="55"/>
      <c r="BE144" s="55"/>
      <c r="BF144" s="55"/>
    </row>
    <row r="145" spans="1:58">
      <c r="R145" s="420"/>
      <c r="S145" s="420"/>
      <c r="AA145" s="256">
        <f>U145-W145-Z145</f>
        <v>0</v>
      </c>
      <c r="AB145" s="256"/>
      <c r="AC145" s="257">
        <f>K145-T145</f>
        <v>0</v>
      </c>
      <c r="AD145" s="41"/>
      <c r="AF145" s="56"/>
      <c r="AG145" s="56"/>
      <c r="AH145" s="56"/>
      <c r="AI145" s="56"/>
      <c r="AJ145" s="56"/>
      <c r="AK145" s="56"/>
      <c r="AL145" s="56"/>
      <c r="AM145" s="41"/>
      <c r="AN145" s="56"/>
      <c r="AO145" s="56"/>
      <c r="AP145" s="56"/>
      <c r="AQ145" s="56"/>
      <c r="AR145" s="41"/>
      <c r="AS145" s="56"/>
      <c r="AT145" s="56"/>
      <c r="AU145" s="56"/>
      <c r="AV145" s="56"/>
      <c r="AW145" s="56"/>
      <c r="AX145" s="56"/>
      <c r="AY145" s="56"/>
      <c r="AZ145" s="56"/>
      <c r="BA145" s="41"/>
      <c r="BB145" s="69"/>
      <c r="BC145" s="69"/>
      <c r="BD145" s="55"/>
      <c r="BE145" s="55"/>
      <c r="BF145" s="55"/>
    </row>
    <row r="146" spans="1:58" s="29" customFormat="1" ht="12.95" customHeight="1">
      <c r="A146" s="62"/>
      <c r="B146" s="63"/>
      <c r="C146" s="451">
        <f>SUM(C6:C144)</f>
        <v>2069.7917852743349</v>
      </c>
      <c r="D146" s="63"/>
      <c r="E146" s="64"/>
      <c r="F146" s="64"/>
      <c r="G146" s="65"/>
      <c r="H146" s="65"/>
      <c r="I146" s="66">
        <v>0.85</v>
      </c>
      <c r="J146" s="88"/>
      <c r="K146" s="90">
        <f>SUM(K6:K144)</f>
        <v>2110.6528909610261</v>
      </c>
      <c r="L146" s="68"/>
      <c r="M146" s="68"/>
      <c r="N146" s="69"/>
      <c r="O146" s="70">
        <f>P146/(Q146-R146-S146)</f>
        <v>267.57245591035064</v>
      </c>
      <c r="P146" s="67">
        <f>SUM(P6:P144)</f>
        <v>11019168.87930006</v>
      </c>
      <c r="Q146" s="350">
        <f>SUM(Q6:Q145)</f>
        <v>43200</v>
      </c>
      <c r="R146" s="67">
        <f t="shared" ref="R146:W146" si="15">SUM(R6:R144)</f>
        <v>1056</v>
      </c>
      <c r="S146" s="67">
        <f t="shared" si="15"/>
        <v>962</v>
      </c>
      <c r="T146" s="67">
        <f t="shared" si="15"/>
        <v>2069.7917852743349</v>
      </c>
      <c r="U146" s="67">
        <f t="shared" si="15"/>
        <v>1981.3961855067078</v>
      </c>
      <c r="V146" s="375">
        <f t="shared" si="15"/>
        <v>92.080816451869168</v>
      </c>
      <c r="W146" s="462">
        <f t="shared" si="15"/>
        <v>1962.1950000000006</v>
      </c>
      <c r="X146" s="379">
        <f>W146/K146</f>
        <v>0.92966257426941035</v>
      </c>
      <c r="Y146" s="376">
        <f>SUM(Y6:Y144)</f>
        <v>6.9</v>
      </c>
      <c r="Z146" s="462">
        <f>SUM(Z6:Z144)</f>
        <v>15.998999999999997</v>
      </c>
      <c r="AA146" s="67">
        <f>SUM(AA6:AA144)</f>
        <v>-3.6978144932921939</v>
      </c>
      <c r="AB146" s="67">
        <f>SUM(AB6:AB144)</f>
        <v>-3.6852166842423357</v>
      </c>
      <c r="AC146" s="67">
        <f>SUM(AC6:AC144)</f>
        <v>40.861105686691367</v>
      </c>
      <c r="AD146" s="41">
        <f>SUM(AD6:AD145)</f>
        <v>2018</v>
      </c>
      <c r="AE146" s="71"/>
      <c r="AF146" s="67">
        <f t="shared" ref="AF146:BF146" si="16">SUM(AF6:AF145)</f>
        <v>65</v>
      </c>
      <c r="AG146" s="67">
        <f t="shared" si="16"/>
        <v>220</v>
      </c>
      <c r="AH146" s="67">
        <f t="shared" si="16"/>
        <v>521</v>
      </c>
      <c r="AI146" s="67">
        <f t="shared" si="16"/>
        <v>141</v>
      </c>
      <c r="AJ146" s="67">
        <f t="shared" si="16"/>
        <v>0</v>
      </c>
      <c r="AK146" s="67">
        <f t="shared" si="16"/>
        <v>15</v>
      </c>
      <c r="AL146" s="67">
        <f t="shared" si="16"/>
        <v>0</v>
      </c>
      <c r="AM146" s="67">
        <f t="shared" si="16"/>
        <v>962</v>
      </c>
      <c r="AN146" s="56">
        <f t="shared" si="16"/>
        <v>0</v>
      </c>
      <c r="AO146" s="56">
        <f t="shared" si="16"/>
        <v>0</v>
      </c>
      <c r="AP146" s="56">
        <f t="shared" si="16"/>
        <v>40</v>
      </c>
      <c r="AQ146" s="56">
        <f t="shared" si="16"/>
        <v>0</v>
      </c>
      <c r="AR146" s="67">
        <f t="shared" si="16"/>
        <v>40</v>
      </c>
      <c r="AS146" s="67">
        <f t="shared" si="16"/>
        <v>0</v>
      </c>
      <c r="AT146" s="67">
        <f t="shared" si="16"/>
        <v>0</v>
      </c>
      <c r="AU146" s="67">
        <f t="shared" si="16"/>
        <v>0</v>
      </c>
      <c r="AV146" s="67">
        <f t="shared" si="16"/>
        <v>0</v>
      </c>
      <c r="AW146" s="67">
        <f t="shared" si="16"/>
        <v>501</v>
      </c>
      <c r="AX146" s="67">
        <f t="shared" si="16"/>
        <v>0</v>
      </c>
      <c r="AY146" s="67">
        <f t="shared" si="16"/>
        <v>515</v>
      </c>
      <c r="AZ146" s="67">
        <f t="shared" si="16"/>
        <v>0</v>
      </c>
      <c r="BA146" s="67">
        <f t="shared" si="16"/>
        <v>1056</v>
      </c>
      <c r="BB146" s="56">
        <f t="shared" si="16"/>
        <v>13</v>
      </c>
      <c r="BC146" s="56">
        <f t="shared" si="16"/>
        <v>219</v>
      </c>
      <c r="BD146" s="56">
        <f t="shared" si="16"/>
        <v>3</v>
      </c>
      <c r="BE146" s="56">
        <f t="shared" si="16"/>
        <v>1</v>
      </c>
      <c r="BF146" s="56">
        <f t="shared" si="16"/>
        <v>0</v>
      </c>
    </row>
    <row r="147" spans="1:58" s="29" customFormat="1" ht="12.95" customHeight="1">
      <c r="A147" s="62"/>
      <c r="B147" s="63"/>
      <c r="C147" s="63"/>
      <c r="D147" s="63"/>
      <c r="E147" s="64"/>
      <c r="F147" s="64"/>
      <c r="G147" s="65"/>
      <c r="H147" s="65"/>
      <c r="I147" s="65"/>
      <c r="J147" s="91"/>
      <c r="K147" s="91"/>
      <c r="L147" s="68"/>
      <c r="M147" s="68"/>
      <c r="N147" s="69"/>
      <c r="O147" s="918"/>
      <c r="P147" s="919"/>
      <c r="Q147" s="65">
        <f>30*1440-Q146</f>
        <v>0</v>
      </c>
      <c r="R147" s="72">
        <f>R146/Q146</f>
        <v>2.4444444444444446E-2</v>
      </c>
      <c r="S147" s="72">
        <f>S146/Q146</f>
        <v>2.2268518518518517E-2</v>
      </c>
      <c r="T147" s="361"/>
      <c r="U147" s="361"/>
      <c r="V147" s="363">
        <f>V146/K146</f>
        <v>4.3626698092429007E-2</v>
      </c>
      <c r="W147" s="380" t="s">
        <v>174</v>
      </c>
      <c r="X147" s="381">
        <v>0.85</v>
      </c>
      <c r="Y147" s="377">
        <f>Y146/K146</f>
        <v>3.2691306228274609E-3</v>
      </c>
      <c r="Z147" s="73">
        <f>Z146/K146</f>
        <v>7.5801189615386285E-3</v>
      </c>
      <c r="AA147" s="73">
        <f>AA146/K146</f>
        <v>-1.7519766083415539E-3</v>
      </c>
      <c r="AB147" s="73">
        <f>AB146/K146</f>
        <v>-1.7460079295958401E-3</v>
      </c>
      <c r="AC147" s="96">
        <f>AC146/K146</f>
        <v>1.9359462591732182E-2</v>
      </c>
      <c r="AD147" s="364"/>
      <c r="AE147" s="43"/>
      <c r="AF147" s="73">
        <f>AF146/$AD$146*$V$147</f>
        <v>1.4052207016887442E-3</v>
      </c>
      <c r="AG147" s="73">
        <f>AG146/$AD$146*$V$147</f>
        <v>4.7561316057157486E-3</v>
      </c>
      <c r="AH147" s="73">
        <f>AH146/$AD$146*$V$147</f>
        <v>1.1263384393535933E-2</v>
      </c>
      <c r="AI147" s="73">
        <f>AI146/$AD$146*$V$147</f>
        <v>3.0482479836632754E-3</v>
      </c>
      <c r="AJ147" s="73">
        <f t="shared" ref="AJ147:AS147" si="17">AJ146/$AD$146*$V$147</f>
        <v>0</v>
      </c>
      <c r="AK147" s="73">
        <f t="shared" si="17"/>
        <v>3.2428170038971014E-4</v>
      </c>
      <c r="AL147" s="73">
        <f>AL146/$AD$146*$V$147</f>
        <v>0</v>
      </c>
      <c r="AM147" s="73">
        <f t="shared" si="17"/>
        <v>2.0797266384993414E-2</v>
      </c>
      <c r="AN147" s="73">
        <f t="shared" si="17"/>
        <v>0</v>
      </c>
      <c r="AO147" s="73">
        <f t="shared" si="17"/>
        <v>0</v>
      </c>
      <c r="AP147" s="73">
        <f t="shared" si="17"/>
        <v>8.6475120103922712E-4</v>
      </c>
      <c r="AQ147" s="73">
        <f>AQ146/$AD$146*$V$147</f>
        <v>0</v>
      </c>
      <c r="AR147" s="73">
        <f t="shared" si="17"/>
        <v>8.6475120103922712E-4</v>
      </c>
      <c r="AS147" s="73">
        <f t="shared" si="17"/>
        <v>0</v>
      </c>
      <c r="AT147" s="73">
        <f t="shared" ref="AT147:BA147" si="18">AT146/$AD$146*$V$147</f>
        <v>0</v>
      </c>
      <c r="AU147" s="73">
        <f t="shared" si="18"/>
        <v>0</v>
      </c>
      <c r="AV147" s="73">
        <f t="shared" si="18"/>
        <v>0</v>
      </c>
      <c r="AW147" s="73">
        <f t="shared" si="18"/>
        <v>1.0831008793016319E-2</v>
      </c>
      <c r="AX147" s="73">
        <f t="shared" si="18"/>
        <v>0</v>
      </c>
      <c r="AY147" s="73">
        <f t="shared" si="18"/>
        <v>1.1133671713380051E-2</v>
      </c>
      <c r="AZ147" s="73">
        <f t="shared" si="18"/>
        <v>0</v>
      </c>
      <c r="BA147" s="73">
        <f t="shared" si="18"/>
        <v>2.2829431707435593E-2</v>
      </c>
      <c r="BB147" s="38" t="s">
        <v>173</v>
      </c>
      <c r="BC147" s="38" t="s">
        <v>173</v>
      </c>
      <c r="BD147" s="38" t="s">
        <v>415</v>
      </c>
      <c r="BE147" s="38" t="s">
        <v>415</v>
      </c>
      <c r="BF147" s="38" t="s">
        <v>415</v>
      </c>
    </row>
    <row r="148" spans="1:58" ht="12.95" customHeight="1">
      <c r="A148" s="62"/>
      <c r="B148" s="63"/>
      <c r="C148" s="63"/>
      <c r="D148" s="63"/>
      <c r="E148" s="64"/>
      <c r="F148" s="64"/>
      <c r="G148" s="38"/>
      <c r="H148" s="38"/>
      <c r="I148" s="38"/>
      <c r="J148" s="88"/>
      <c r="K148" s="88"/>
      <c r="L148" s="39"/>
      <c r="M148" s="39"/>
      <c r="N148" s="37"/>
      <c r="O148" s="40"/>
      <c r="P148" s="32"/>
      <c r="Q148" s="38"/>
      <c r="R148" s="95">
        <f>R146-(BA146)</f>
        <v>0</v>
      </c>
      <c r="S148" s="95">
        <f>+S146-AM146</f>
        <v>0</v>
      </c>
      <c r="T148" s="37"/>
      <c r="U148" s="37"/>
      <c r="V148" s="37"/>
      <c r="W148" s="41">
        <f>+W146-'31'!$M$34/1000</f>
        <v>0</v>
      </c>
      <c r="X148" s="378"/>
      <c r="Y148" s="74">
        <f>+Y146-SUM(RBP!AG3:AG4)</f>
        <v>0</v>
      </c>
      <c r="Z148" s="41">
        <f>+Z146-'31'!J56/1000</f>
        <v>0</v>
      </c>
      <c r="AA148" s="37"/>
      <c r="AB148" s="37"/>
      <c r="AC148" s="37"/>
      <c r="AD148" s="37"/>
      <c r="AE148" s="43"/>
      <c r="AF148" s="351"/>
      <c r="AG148" s="351"/>
      <c r="AH148" s="351"/>
      <c r="AI148" s="351"/>
      <c r="AJ148" s="83"/>
      <c r="AK148" s="83"/>
      <c r="AL148" s="83"/>
      <c r="AM148" s="83"/>
      <c r="AN148" s="83"/>
      <c r="AO148" s="83"/>
      <c r="AP148" s="83"/>
      <c r="AQ148" s="83"/>
      <c r="AR148" s="83"/>
      <c r="AS148" s="83"/>
      <c r="AT148" s="83"/>
      <c r="AU148" s="83"/>
      <c r="AV148" s="83"/>
      <c r="AW148" s="83"/>
      <c r="AX148" s="83"/>
      <c r="AY148" s="83"/>
      <c r="AZ148" s="83"/>
      <c r="BA148" s="83"/>
      <c r="BB148" s="93">
        <f>BB146/($Q$146/1440)/2</f>
        <v>0.21666666666666667</v>
      </c>
      <c r="BC148" s="93">
        <f>BC146/($Q$146/1440)/2</f>
        <v>3.65</v>
      </c>
      <c r="BD148" s="570">
        <f>BD146/($Q$146/1440)</f>
        <v>0.1</v>
      </c>
      <c r="BE148" s="570">
        <f>BE146/($Q$146/1440)</f>
        <v>3.3333333333333333E-2</v>
      </c>
      <c r="BF148" s="570">
        <f>BF146/($Q$146/1440)</f>
        <v>0</v>
      </c>
    </row>
    <row r="149" spans="1:58">
      <c r="A149" s="75"/>
      <c r="B149" s="76"/>
      <c r="C149" s="76"/>
      <c r="D149" s="76"/>
      <c r="E149" s="77"/>
      <c r="F149" s="77"/>
      <c r="G149" s="78"/>
      <c r="H149" s="78"/>
      <c r="I149" s="78"/>
      <c r="J149" s="92"/>
      <c r="K149" s="92"/>
      <c r="O149" s="79"/>
      <c r="P149" s="80"/>
      <c r="Q149" s="78"/>
      <c r="R149" s="59"/>
      <c r="S149" s="59"/>
      <c r="U149" s="81"/>
      <c r="V149" s="81"/>
      <c r="W149" s="82" t="s">
        <v>120</v>
      </c>
      <c r="X149" s="94">
        <f>W146/U146</f>
        <v>0.99030926492785354</v>
      </c>
      <c r="Y149" s="94"/>
      <c r="Z149" s="59"/>
      <c r="AD149" s="89"/>
      <c r="AE149" s="84"/>
      <c r="AF149" s="85"/>
      <c r="AG149" s="85"/>
      <c r="AH149" s="85"/>
      <c r="AI149" s="85"/>
      <c r="AJ149" s="85"/>
      <c r="AK149" s="85"/>
      <c r="AL149" s="85"/>
      <c r="AM149" s="85"/>
      <c r="AN149" s="83"/>
      <c r="AO149" s="83"/>
      <c r="AP149" s="83"/>
      <c r="AQ149" s="83"/>
      <c r="AR149" s="83"/>
      <c r="AS149" s="85"/>
      <c r="AT149" s="85"/>
      <c r="AU149" s="85"/>
      <c r="AV149" s="85"/>
      <c r="AW149" s="85"/>
      <c r="AX149" s="85"/>
      <c r="AY149" s="85"/>
      <c r="AZ149" s="85"/>
      <c r="BA149" s="83"/>
      <c r="BB149" s="29"/>
      <c r="BC149" s="83"/>
      <c r="BD149" s="83"/>
      <c r="BE149" s="29"/>
      <c r="BF149" s="83"/>
    </row>
    <row r="150" spans="1:58">
      <c r="A150" s="75"/>
      <c r="B150" s="76"/>
      <c r="C150" s="76"/>
      <c r="D150" s="76"/>
      <c r="E150" s="77"/>
      <c r="F150" s="77"/>
      <c r="G150" s="78"/>
      <c r="H150" s="78"/>
      <c r="I150" s="78"/>
      <c r="J150" s="92"/>
      <c r="K150" s="92"/>
      <c r="O150" s="79"/>
      <c r="P150" s="80"/>
      <c r="Q150" s="78"/>
      <c r="R150" s="59"/>
      <c r="S150" s="59"/>
      <c r="U150" s="81"/>
      <c r="V150" s="81"/>
      <c r="W150" s="82"/>
      <c r="X150" s="83"/>
      <c r="Y150" s="83"/>
      <c r="Z150" s="59"/>
      <c r="AA150" s="99"/>
      <c r="AB150" s="99"/>
      <c r="AD150" s="89"/>
      <c r="AE150" s="84"/>
      <c r="AF150" s="85"/>
      <c r="AG150" s="85"/>
      <c r="AH150" s="85"/>
      <c r="AI150" s="85"/>
      <c r="AJ150" s="85"/>
      <c r="AK150" s="85"/>
      <c r="AL150" s="85"/>
      <c r="AM150" s="85"/>
      <c r="AN150" s="85"/>
      <c r="AO150" s="83"/>
      <c r="AP150" s="83"/>
      <c r="AQ150" s="83"/>
      <c r="AR150" s="85"/>
      <c r="AS150" s="83"/>
      <c r="AT150" s="83"/>
      <c r="AU150" s="83"/>
      <c r="AV150" s="83"/>
      <c r="AW150" s="83"/>
      <c r="AX150" s="83"/>
      <c r="AY150" s="83"/>
      <c r="AZ150" s="83"/>
      <c r="BA150" s="83"/>
      <c r="BB150" s="29"/>
      <c r="BC150" s="83"/>
      <c r="BD150" s="83"/>
      <c r="BE150" s="29"/>
      <c r="BF150" s="83"/>
    </row>
    <row r="151" spans="1:58">
      <c r="A151" s="75"/>
      <c r="B151" s="76"/>
      <c r="C151" s="76"/>
      <c r="D151" s="76"/>
      <c r="E151" s="77"/>
      <c r="F151" s="77"/>
      <c r="G151" s="78"/>
      <c r="H151" s="78"/>
      <c r="I151" s="78"/>
      <c r="J151" s="92"/>
      <c r="K151" s="92"/>
      <c r="O151" s="79"/>
      <c r="P151" s="80"/>
      <c r="Q151" s="78"/>
      <c r="R151" s="362"/>
      <c r="S151" s="59"/>
      <c r="U151" s="81"/>
      <c r="V151" s="81"/>
      <c r="W151" s="82" t="s">
        <v>143</v>
      </c>
      <c r="X151" s="351">
        <f>+W146+Y146</f>
        <v>1969.0950000000007</v>
      </c>
      <c r="Y151" s="83"/>
      <c r="Z151" s="59"/>
      <c r="AD151" s="89"/>
      <c r="AE151" s="84"/>
      <c r="AF151" s="89"/>
      <c r="AG151" s="89"/>
      <c r="AH151" s="89"/>
      <c r="AI151" s="89"/>
      <c r="AJ151" s="83"/>
      <c r="AK151" s="83"/>
      <c r="AL151" s="83"/>
      <c r="AM151" s="85"/>
      <c r="AN151" s="83"/>
      <c r="AO151" s="83"/>
      <c r="AP151" s="83"/>
      <c r="AQ151" s="83"/>
      <c r="AR151" s="85"/>
      <c r="AS151" s="83"/>
      <c r="AT151" s="83"/>
      <c r="AU151" s="83"/>
      <c r="AV151" s="83"/>
      <c r="AW151" s="83"/>
      <c r="AX151" s="83"/>
      <c r="AY151" s="83"/>
      <c r="AZ151" s="83"/>
      <c r="BA151" s="83"/>
      <c r="BB151" s="29"/>
      <c r="BC151" s="83"/>
      <c r="BD151" s="83"/>
      <c r="BE151" s="29"/>
      <c r="BF151" s="83"/>
    </row>
    <row r="152" spans="1:58">
      <c r="A152" s="75"/>
      <c r="C152" s="76" t="s">
        <v>232</v>
      </c>
      <c r="D152" s="76"/>
      <c r="E152" s="77"/>
      <c r="F152" s="77"/>
      <c r="G152" s="78"/>
      <c r="H152" s="78"/>
      <c r="I152" s="78"/>
      <c r="J152" s="92"/>
      <c r="K152" s="92"/>
      <c r="O152" s="79"/>
      <c r="P152" s="80"/>
      <c r="Q152" s="78"/>
      <c r="R152" s="362"/>
      <c r="S152" s="59"/>
      <c r="U152" s="81"/>
      <c r="V152" s="373"/>
      <c r="W152" s="374"/>
      <c r="X152" s="367"/>
      <c r="Y152" s="374"/>
      <c r="Z152" s="367"/>
      <c r="AD152" s="360"/>
      <c r="AE152" s="84"/>
      <c r="AF152" s="360"/>
      <c r="AG152" s="360"/>
      <c r="AH152" s="360"/>
      <c r="AI152" s="360"/>
      <c r="AJ152" s="83"/>
      <c r="AK152" s="83"/>
      <c r="AL152" s="83"/>
      <c r="AM152" s="83"/>
      <c r="AN152" s="83"/>
      <c r="AO152" s="83"/>
      <c r="AP152" s="83"/>
      <c r="AQ152" s="83"/>
      <c r="AR152" s="83"/>
      <c r="AS152" s="83"/>
      <c r="AT152" s="83"/>
      <c r="AU152" s="83"/>
      <c r="AV152" s="83"/>
      <c r="AW152" s="83"/>
      <c r="AX152" s="83"/>
      <c r="AY152" s="83"/>
      <c r="AZ152" s="83"/>
      <c r="BA152" s="83"/>
      <c r="BB152" s="29"/>
      <c r="BC152" s="83"/>
      <c r="BD152" s="83"/>
      <c r="BE152" s="29"/>
      <c r="BF152" s="83"/>
    </row>
    <row r="153" spans="1:58">
      <c r="A153" s="75"/>
      <c r="B153" s="76"/>
      <c r="C153" s="76" t="s">
        <v>235</v>
      </c>
      <c r="D153" s="76"/>
      <c r="E153" s="77"/>
      <c r="F153" s="77"/>
      <c r="G153" s="78"/>
      <c r="H153" s="78"/>
      <c r="I153" s="78"/>
      <c r="J153" s="92"/>
      <c r="K153" s="92"/>
      <c r="O153" s="79"/>
      <c r="P153" s="80"/>
      <c r="Q153" s="78"/>
      <c r="R153" s="362"/>
      <c r="S153" s="59"/>
      <c r="V153" s="365"/>
      <c r="W153" s="366" t="s">
        <v>230</v>
      </c>
      <c r="X153" s="365"/>
      <c r="Y153" s="365"/>
      <c r="Z153" s="367"/>
      <c r="AE153" s="84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29"/>
      <c r="BE153" s="29"/>
    </row>
    <row r="154" spans="1:58">
      <c r="A154" s="75"/>
      <c r="B154" s="76"/>
      <c r="C154" s="76"/>
      <c r="D154" s="76"/>
      <c r="E154" s="77"/>
      <c r="F154" s="77"/>
      <c r="G154" s="78"/>
      <c r="H154" s="78"/>
      <c r="I154" s="78"/>
      <c r="J154" s="92"/>
      <c r="K154" s="92"/>
      <c r="O154" s="79"/>
      <c r="P154" s="80"/>
      <c r="Q154" s="78"/>
      <c r="R154" s="362"/>
      <c r="S154" s="59"/>
      <c r="V154" s="365"/>
      <c r="W154" s="368" t="s">
        <v>329</v>
      </c>
      <c r="X154" s="372">
        <f>Y147</f>
        <v>3.2691306228274609E-3</v>
      </c>
      <c r="Y154" s="369"/>
      <c r="Z154" s="367"/>
      <c r="AE154" s="84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29"/>
      <c r="BE154" s="29"/>
    </row>
    <row r="155" spans="1:58">
      <c r="R155" s="99"/>
      <c r="V155" s="365"/>
      <c r="W155" s="368" t="s">
        <v>153</v>
      </c>
      <c r="X155" s="371">
        <f>Z147</f>
        <v>7.5801189615386285E-3</v>
      </c>
      <c r="Y155" s="370"/>
      <c r="Z155" s="365"/>
    </row>
    <row r="156" spans="1:58">
      <c r="R156" s="99"/>
      <c r="V156" s="365"/>
      <c r="W156" s="368" t="s">
        <v>154</v>
      </c>
      <c r="X156" s="371">
        <f>AC147</f>
        <v>1.9359462591732182E-2</v>
      </c>
      <c r="Y156" s="371"/>
      <c r="Z156" s="365"/>
    </row>
    <row r="157" spans="1:58">
      <c r="R157" s="99"/>
      <c r="V157" s="365"/>
      <c r="W157" s="368" t="s">
        <v>155</v>
      </c>
      <c r="X157" s="371">
        <f>AA147</f>
        <v>-1.7519766083415539E-3</v>
      </c>
      <c r="Y157" s="370"/>
      <c r="Z157" s="365"/>
    </row>
    <row r="158" spans="1:58">
      <c r="V158" s="365"/>
      <c r="W158" s="368" t="s">
        <v>171</v>
      </c>
      <c r="X158" s="371">
        <f>AB147</f>
        <v>-1.7460079295958401E-3</v>
      </c>
      <c r="Y158" s="370" t="s">
        <v>169</v>
      </c>
      <c r="Z158" s="365"/>
    </row>
    <row r="159" spans="1:58">
      <c r="V159" s="365"/>
      <c r="W159" s="368" t="s">
        <v>207</v>
      </c>
      <c r="X159" s="371">
        <f>AF147</f>
        <v>1.4052207016887442E-3</v>
      </c>
      <c r="Y159" s="370"/>
      <c r="Z159" s="365"/>
    </row>
    <row r="160" spans="1:58">
      <c r="V160" s="365"/>
      <c r="W160" s="368" t="s">
        <v>208</v>
      </c>
      <c r="X160" s="371">
        <f>+AG147</f>
        <v>4.7561316057157486E-3</v>
      </c>
      <c r="Y160" s="370"/>
      <c r="Z160" s="365"/>
    </row>
    <row r="161" spans="22:26" s="33" customFormat="1">
      <c r="V161" s="365"/>
      <c r="W161" s="368" t="s">
        <v>209</v>
      </c>
      <c r="X161" s="371">
        <f>+AH147</f>
        <v>1.1263384393535933E-2</v>
      </c>
      <c r="Y161" s="370"/>
      <c r="Z161" s="365"/>
    </row>
    <row r="162" spans="22:26" s="33" customFormat="1">
      <c r="V162" s="365"/>
      <c r="W162" s="368" t="s">
        <v>210</v>
      </c>
      <c r="X162" s="371">
        <f>+AI147</f>
        <v>3.0482479836632754E-3</v>
      </c>
      <c r="Y162" s="370"/>
      <c r="Z162" s="365"/>
    </row>
    <row r="163" spans="22:26" s="33" customFormat="1">
      <c r="V163" s="365"/>
      <c r="W163" s="368" t="s">
        <v>162</v>
      </c>
      <c r="X163" s="371">
        <f>+AJ147</f>
        <v>0</v>
      </c>
      <c r="Y163" s="370"/>
      <c r="Z163" s="365"/>
    </row>
    <row r="164" spans="22:26" s="33" customFormat="1">
      <c r="V164" s="365"/>
      <c r="W164" s="368" t="s">
        <v>164</v>
      </c>
      <c r="X164" s="371">
        <f>+AK147</f>
        <v>3.2428170038971014E-4</v>
      </c>
      <c r="Y164" s="370"/>
      <c r="Z164" s="365"/>
    </row>
    <row r="165" spans="22:26" s="33" customFormat="1">
      <c r="V165" s="365"/>
      <c r="W165" s="368" t="s">
        <v>163</v>
      </c>
      <c r="X165" s="371">
        <f>+AL147</f>
        <v>0</v>
      </c>
      <c r="Y165" s="370"/>
      <c r="Z165" s="365"/>
    </row>
    <row r="166" spans="22:26" s="33" customFormat="1">
      <c r="V166" s="365"/>
      <c r="W166" s="368" t="s">
        <v>156</v>
      </c>
      <c r="X166" s="371">
        <f>+AN147</f>
        <v>0</v>
      </c>
      <c r="Y166" s="370"/>
      <c r="Z166" s="365"/>
    </row>
    <row r="167" spans="22:26" s="33" customFormat="1">
      <c r="V167" s="365"/>
      <c r="W167" s="368" t="s">
        <v>166</v>
      </c>
      <c r="X167" s="371">
        <f>+AO147</f>
        <v>0</v>
      </c>
      <c r="Y167" s="370"/>
      <c r="Z167" s="365"/>
    </row>
    <row r="168" spans="22:26" s="33" customFormat="1">
      <c r="V168" s="365"/>
      <c r="W168" s="368" t="s">
        <v>157</v>
      </c>
      <c r="X168" s="371">
        <f>+AP147</f>
        <v>8.6475120103922712E-4</v>
      </c>
      <c r="Y168" s="370"/>
      <c r="Z168" s="365"/>
    </row>
    <row r="169" spans="22:26" s="33" customFormat="1">
      <c r="V169" s="365"/>
      <c r="W169" s="368" t="s">
        <v>165</v>
      </c>
      <c r="X169" s="371">
        <f>+AQ147</f>
        <v>0</v>
      </c>
      <c r="Y169" s="370"/>
      <c r="Z169" s="365"/>
    </row>
    <row r="170" spans="22:26" s="33" customFormat="1">
      <c r="V170" s="365"/>
      <c r="W170" s="368" t="s">
        <v>168</v>
      </c>
      <c r="X170" s="371">
        <f>+AS147</f>
        <v>0</v>
      </c>
      <c r="Y170" s="370"/>
      <c r="Z170" s="365"/>
    </row>
    <row r="171" spans="22:26" s="33" customFormat="1">
      <c r="V171" s="365"/>
      <c r="W171" s="368" t="s">
        <v>330</v>
      </c>
      <c r="X171" s="371">
        <f>+AT147</f>
        <v>0</v>
      </c>
      <c r="Y171" s="370"/>
      <c r="Z171" s="365"/>
    </row>
    <row r="172" spans="22:26" s="33" customFormat="1">
      <c r="V172" s="365"/>
      <c r="W172" s="368" t="s">
        <v>247</v>
      </c>
      <c r="X172" s="371">
        <f>+AU147</f>
        <v>0</v>
      </c>
      <c r="Y172" s="370"/>
      <c r="Z172" s="365"/>
    </row>
    <row r="173" spans="22:26" s="33" customFormat="1">
      <c r="V173" s="365"/>
      <c r="W173" s="368" t="s">
        <v>336</v>
      </c>
      <c r="X173" s="371">
        <f>AV147</f>
        <v>0</v>
      </c>
      <c r="Y173" s="370"/>
      <c r="Z173" s="365"/>
    </row>
    <row r="174" spans="22:26" s="33" customFormat="1">
      <c r="V174" s="365"/>
      <c r="W174" s="368" t="s">
        <v>337</v>
      </c>
      <c r="X174" s="371">
        <f>AW147</f>
        <v>1.0831008793016319E-2</v>
      </c>
      <c r="Y174" s="370"/>
      <c r="Z174" s="365"/>
    </row>
    <row r="175" spans="22:26" s="33" customFormat="1">
      <c r="V175" s="365"/>
      <c r="W175" s="365" t="s">
        <v>167</v>
      </c>
      <c r="X175" s="371">
        <f>AX147+AY147</f>
        <v>1.1133671713380051E-2</v>
      </c>
      <c r="Y175" s="371"/>
      <c r="Z175" s="365"/>
    </row>
    <row r="176" spans="22:26" s="33" customFormat="1">
      <c r="V176" s="365"/>
      <c r="W176" s="365" t="s">
        <v>335</v>
      </c>
      <c r="X176" s="371">
        <f>AZ147</f>
        <v>0</v>
      </c>
      <c r="Y176" s="365"/>
      <c r="Z176" s="365"/>
    </row>
    <row r="177" spans="22:26" s="33" customFormat="1" hidden="1">
      <c r="V177" s="365"/>
      <c r="W177" s="365"/>
      <c r="X177" s="531">
        <f>SUM(X154:X176)</f>
        <v>7.0337425730589875E-2</v>
      </c>
      <c r="Y177" s="365"/>
      <c r="Z177" s="365"/>
    </row>
    <row r="178" spans="22:26" s="33" customFormat="1"/>
    <row r="179" spans="22:26" s="33" customFormat="1">
      <c r="X179" s="99">
        <f>+X177+X146</f>
        <v>1.0000000000000002</v>
      </c>
    </row>
    <row r="180" spans="22:26" s="33" customFormat="1"/>
    <row r="181" spans="22:26" s="33" customFormat="1"/>
    <row r="182" spans="22:26" s="33" customFormat="1"/>
    <row r="183" spans="22:26" s="33" customFormat="1"/>
    <row r="184" spans="22:26" s="33" customFormat="1"/>
    <row r="185" spans="22:26" s="33" customFormat="1"/>
    <row r="186" spans="22:26" s="33" customFormat="1"/>
    <row r="187" spans="22:26" s="33" customFormat="1"/>
    <row r="188" spans="22:26" s="33" customFormat="1"/>
    <row r="189" spans="22:26" s="33" customFormat="1"/>
    <row r="190" spans="22:26" s="33" customFormat="1"/>
    <row r="191" spans="22:26" s="33" customFormat="1"/>
    <row r="192" spans="22:26" s="33" customFormat="1"/>
    <row r="193" s="33" customFormat="1"/>
    <row r="194" s="33" customFormat="1"/>
    <row r="195" s="33" customFormat="1"/>
    <row r="196" s="33" customFormat="1"/>
    <row r="197" s="33" customFormat="1"/>
    <row r="198" s="33" customFormat="1"/>
    <row r="199" s="33" customFormat="1"/>
    <row r="200" s="33" customFormat="1"/>
    <row r="201" s="33" customFormat="1"/>
    <row r="202" s="33" customFormat="1"/>
    <row r="203" s="33" customFormat="1"/>
    <row r="204" s="33" customFormat="1"/>
    <row r="205" s="33" customFormat="1"/>
    <row r="206" s="33" customFormat="1"/>
    <row r="207" s="33" customFormat="1"/>
    <row r="208" s="33" customFormat="1"/>
    <row r="209" s="33" customFormat="1"/>
    <row r="210" s="33" customFormat="1"/>
    <row r="211" s="33" customFormat="1"/>
    <row r="212" s="33" customFormat="1"/>
    <row r="213" s="33" customFormat="1"/>
    <row r="214" s="33" customFormat="1"/>
    <row r="215" s="33" customFormat="1"/>
    <row r="216" s="33" customFormat="1"/>
    <row r="217" s="33" customFormat="1"/>
    <row r="218" s="33" customFormat="1"/>
    <row r="219" s="33" customFormat="1"/>
    <row r="220" s="33" customFormat="1"/>
    <row r="221" s="33" customFormat="1"/>
    <row r="222" s="33" customFormat="1"/>
    <row r="223" s="33" customFormat="1"/>
    <row r="224" s="33" customFormat="1"/>
    <row r="225" s="33" customFormat="1"/>
    <row r="226" s="33" customFormat="1"/>
    <row r="227" s="33" customFormat="1"/>
    <row r="228" s="33" customFormat="1"/>
    <row r="229" s="33" customFormat="1"/>
    <row r="230" s="33" customFormat="1"/>
    <row r="231" s="33" customFormat="1"/>
    <row r="232" s="33" customFormat="1"/>
    <row r="233" s="33" customFormat="1"/>
    <row r="234" s="33" customFormat="1"/>
    <row r="235" s="33" customFormat="1"/>
    <row r="236" s="33" customFormat="1"/>
    <row r="237" s="33" customFormat="1"/>
    <row r="238" s="33" customFormat="1"/>
    <row r="239" s="33" customFormat="1"/>
    <row r="240" s="33" customFormat="1"/>
    <row r="241" s="33" customFormat="1"/>
    <row r="242" s="33" customFormat="1"/>
    <row r="243" s="33" customFormat="1"/>
    <row r="244" s="33" customFormat="1"/>
    <row r="245" s="33" customFormat="1"/>
    <row r="246" s="33" customFormat="1"/>
    <row r="247" s="33" customFormat="1"/>
    <row r="248" s="33" customFormat="1"/>
    <row r="249" s="33" customFormat="1"/>
    <row r="250" s="33" customFormat="1"/>
    <row r="251" s="33" customFormat="1"/>
    <row r="252" s="33" customFormat="1"/>
    <row r="253" s="33" customFormat="1"/>
    <row r="254" s="33" customFormat="1"/>
    <row r="255" s="33" customFormat="1"/>
    <row r="256" s="33" customFormat="1"/>
    <row r="257" s="33" customFormat="1"/>
    <row r="258" s="33" customFormat="1"/>
    <row r="259" s="33" customFormat="1"/>
    <row r="260" s="33" customFormat="1"/>
    <row r="261" s="33" customFormat="1"/>
    <row r="262" s="33" customFormat="1"/>
    <row r="263" s="33" customFormat="1"/>
    <row r="264" s="33" customFormat="1"/>
    <row r="265" s="33" customFormat="1"/>
    <row r="266" s="33" customFormat="1"/>
    <row r="267" s="33" customFormat="1"/>
    <row r="268" s="33" customFormat="1"/>
    <row r="269" s="33" customFormat="1"/>
    <row r="270" s="33" customFormat="1"/>
    <row r="271" s="33" customFormat="1"/>
    <row r="272" s="33" customFormat="1"/>
    <row r="273" s="33" customFormat="1"/>
    <row r="274" s="33" customFormat="1"/>
    <row r="275" s="33" customFormat="1"/>
    <row r="276" s="33" customFormat="1"/>
    <row r="277" s="33" customFormat="1"/>
    <row r="278" s="33" customFormat="1"/>
    <row r="279" s="33" customFormat="1"/>
    <row r="280" s="33" customFormat="1"/>
    <row r="281" s="33" customFormat="1"/>
    <row r="282" s="33" customFormat="1"/>
    <row r="283" s="33" customFormat="1"/>
    <row r="284" s="33" customFormat="1"/>
    <row r="285" s="33" customFormat="1"/>
    <row r="286" s="33" customFormat="1"/>
    <row r="287" s="33" customFormat="1"/>
    <row r="288" s="33" customFormat="1"/>
  </sheetData>
  <mergeCells count="50">
    <mergeCell ref="BD3:BD5"/>
    <mergeCell ref="BE3:BE5"/>
    <mergeCell ref="BF3:BF5"/>
    <mergeCell ref="F3:F5"/>
    <mergeCell ref="Y3:Y5"/>
    <mergeCell ref="AA3:AA5"/>
    <mergeCell ref="AB3:AB5"/>
    <mergeCell ref="L3:N4"/>
    <mergeCell ref="O3:O5"/>
    <mergeCell ref="Q3:Q5"/>
    <mergeCell ref="R3:R5"/>
    <mergeCell ref="AM3:AM5"/>
    <mergeCell ref="BA3:BA5"/>
    <mergeCell ref="AF4:AH4"/>
    <mergeCell ref="AI4:AI5"/>
    <mergeCell ref="G3:K4"/>
    <mergeCell ref="C3:C5"/>
    <mergeCell ref="A3:A5"/>
    <mergeCell ref="B3:B5"/>
    <mergeCell ref="D3:D5"/>
    <mergeCell ref="E3:E5"/>
    <mergeCell ref="O147:P147"/>
    <mergeCell ref="AC3:AC5"/>
    <mergeCell ref="AE3:AE5"/>
    <mergeCell ref="AD3:AD5"/>
    <mergeCell ref="AF3:AL3"/>
    <mergeCell ref="AJ4:AJ5"/>
    <mergeCell ref="V3:V5"/>
    <mergeCell ref="AK4:AK5"/>
    <mergeCell ref="AL4:AL5"/>
    <mergeCell ref="U3:U5"/>
    <mergeCell ref="W3:W5"/>
    <mergeCell ref="X3:X5"/>
    <mergeCell ref="Z3:Z5"/>
    <mergeCell ref="S3:S5"/>
    <mergeCell ref="T3:T5"/>
    <mergeCell ref="P3:P5"/>
    <mergeCell ref="BB3:BB5"/>
    <mergeCell ref="BC3:BC5"/>
    <mergeCell ref="AN4:AN5"/>
    <mergeCell ref="AO4:AO5"/>
    <mergeCell ref="AP4:AP5"/>
    <mergeCell ref="AR4:AR5"/>
    <mergeCell ref="AN3:AR3"/>
    <mergeCell ref="AS3:AS5"/>
    <mergeCell ref="AQ4:AQ5"/>
    <mergeCell ref="AT3:AU4"/>
    <mergeCell ref="AV3:AW3"/>
    <mergeCell ref="AX3:AY3"/>
    <mergeCell ref="AZ3:AZ5"/>
  </mergeCells>
  <phoneticPr fontId="31" type="noConversion"/>
  <conditionalFormatting sqref="B6:C6 B8:C9 B26:C26 B34:C34 B62:C62 B98:C98 B113:C113 B130:C132 C147 B35 B39:C39 C144:C145 B144:B147">
    <cfRule type="cellIs" dxfId="28933" priority="21304" stopIfTrue="1" operator="equal">
      <formula>"Towel"</formula>
    </cfRule>
    <cfRule type="cellIs" dxfId="28932" priority="21305" stopIfTrue="1" operator="equal">
      <formula>"Napkin Hs"</formula>
    </cfRule>
  </conditionalFormatting>
  <conditionalFormatting sqref="B11:C11">
    <cfRule type="cellIs" dxfId="28931" priority="17115" stopIfTrue="1" operator="equal">
      <formula>"Towel"</formula>
    </cfRule>
    <cfRule type="cellIs" dxfId="28930" priority="17116" stopIfTrue="1" operator="equal">
      <formula>"Napkin Hs"</formula>
    </cfRule>
  </conditionalFormatting>
  <conditionalFormatting sqref="B12:C12">
    <cfRule type="cellIs" dxfId="28929" priority="17121" stopIfTrue="1" operator="equal">
      <formula>"Towel"</formula>
    </cfRule>
    <cfRule type="cellIs" dxfId="28928" priority="17122" stopIfTrue="1" operator="equal">
      <formula>"Napkin Hs"</formula>
    </cfRule>
  </conditionalFormatting>
  <conditionalFormatting sqref="B13:C14">
    <cfRule type="cellIs" dxfId="28927" priority="17127" stopIfTrue="1" operator="equal">
      <formula>"Towel"</formula>
    </cfRule>
    <cfRule type="cellIs" dxfId="28926" priority="17128" stopIfTrue="1" operator="equal">
      <formula>"Napkin Hs"</formula>
    </cfRule>
  </conditionalFormatting>
  <conditionalFormatting sqref="B19:C19">
    <cfRule type="cellIs" dxfId="28925" priority="17103" stopIfTrue="1" operator="equal">
      <formula>"Towel"</formula>
    </cfRule>
    <cfRule type="cellIs" dxfId="28924" priority="17104" stopIfTrue="1" operator="equal">
      <formula>"Napkin Hs"</formula>
    </cfRule>
  </conditionalFormatting>
  <conditionalFormatting sqref="B21:C21">
    <cfRule type="cellIs" dxfId="28923" priority="17067" stopIfTrue="1" operator="equal">
      <formula>"Towel"</formula>
    </cfRule>
    <cfRule type="cellIs" dxfId="28922" priority="17068" stopIfTrue="1" operator="equal">
      <formula>"Napkin Hs"</formula>
    </cfRule>
  </conditionalFormatting>
  <conditionalFormatting sqref="B22:C22">
    <cfRule type="cellIs" dxfId="28921" priority="17073" stopIfTrue="1" operator="equal">
      <formula>"Towel"</formula>
    </cfRule>
    <cfRule type="cellIs" dxfId="28920" priority="17074" stopIfTrue="1" operator="equal">
      <formula>"Napkin Hs"</formula>
    </cfRule>
  </conditionalFormatting>
  <conditionalFormatting sqref="B24:C24">
    <cfRule type="cellIs" dxfId="28919" priority="20705" stopIfTrue="1" operator="equal">
      <formula>"Towel"</formula>
    </cfRule>
    <cfRule type="cellIs" dxfId="28918" priority="20706" stopIfTrue="1" operator="equal">
      <formula>"Napkin Hs"</formula>
    </cfRule>
  </conditionalFormatting>
  <conditionalFormatting sqref="B26:C26">
    <cfRule type="cellIs" dxfId="28917" priority="17043" stopIfTrue="1" operator="equal">
      <formula>"Towel"</formula>
    </cfRule>
    <cfRule type="cellIs" dxfId="28916" priority="17044" stopIfTrue="1" operator="equal">
      <formula>"Napkin Hs"</formula>
    </cfRule>
  </conditionalFormatting>
  <conditionalFormatting sqref="B27:C27">
    <cfRule type="cellIs" dxfId="28915" priority="17049" stopIfTrue="1" operator="equal">
      <formula>"Towel"</formula>
    </cfRule>
    <cfRule type="cellIs" dxfId="28914" priority="17050" stopIfTrue="1" operator="equal">
      <formula>"Napkin Hs"</formula>
    </cfRule>
    <cfRule type="cellIs" dxfId="28913" priority="20669" stopIfTrue="1" operator="equal">
      <formula>"Towel"</formula>
    </cfRule>
    <cfRule type="cellIs" dxfId="28912" priority="20670" stopIfTrue="1" operator="equal">
      <formula>"Napkin Hs"</formula>
    </cfRule>
  </conditionalFormatting>
  <conditionalFormatting sqref="B28:C28">
    <cfRule type="cellIs" dxfId="28911" priority="17025" stopIfTrue="1" operator="equal">
      <formula>"Towel"</formula>
    </cfRule>
    <cfRule type="cellIs" dxfId="28910" priority="17026" stopIfTrue="1" operator="equal">
      <formula>"Napkin Hs"</formula>
    </cfRule>
    <cfRule type="cellIs" dxfId="28909" priority="17031" stopIfTrue="1" operator="equal">
      <formula>"Towel"</formula>
    </cfRule>
    <cfRule type="cellIs" dxfId="28908" priority="17032" stopIfTrue="1" operator="equal">
      <formula>"Napkin Hs"</formula>
    </cfRule>
  </conditionalFormatting>
  <conditionalFormatting sqref="C35">
    <cfRule type="cellIs" dxfId="28907" priority="20589" stopIfTrue="1" operator="equal">
      <formula>"Towel"</formula>
    </cfRule>
    <cfRule type="cellIs" dxfId="28906" priority="20590" stopIfTrue="1" operator="equal">
      <formula>"Napkin Hs"</formula>
    </cfRule>
    <cfRule type="cellIs" dxfId="28905" priority="20633" stopIfTrue="1" operator="equal">
      <formula>"Towel"</formula>
    </cfRule>
    <cfRule type="cellIs" dxfId="28904" priority="20634" stopIfTrue="1" operator="equal">
      <formula>"Napkin Hs"</formula>
    </cfRule>
    <cfRule type="cellIs" dxfId="28903" priority="20661" stopIfTrue="1" operator="equal">
      <formula>"Towel"</formula>
    </cfRule>
    <cfRule type="cellIs" dxfId="28902" priority="20662" stopIfTrue="1" operator="equal">
      <formula>"Napkin Hs"</formula>
    </cfRule>
    <cfRule type="cellIs" dxfId="28901" priority="21177" stopIfTrue="1" operator="equal">
      <formula>"Towel"</formula>
    </cfRule>
    <cfRule type="cellIs" dxfId="28900" priority="21178" stopIfTrue="1" operator="equal">
      <formula>"Napkin Hs"</formula>
    </cfRule>
  </conditionalFormatting>
  <conditionalFormatting sqref="B36:C36">
    <cfRule type="cellIs" dxfId="28899" priority="20595" stopIfTrue="1" operator="equal">
      <formula>"Towel"</formula>
    </cfRule>
    <cfRule type="cellIs" dxfId="28898" priority="20596" stopIfTrue="1" operator="equal">
      <formula>"Napkin Hs"</formula>
    </cfRule>
    <cfRule type="cellIs" dxfId="28897" priority="20629" stopIfTrue="1" operator="equal">
      <formula>"Towel"</formula>
    </cfRule>
    <cfRule type="cellIs" dxfId="28896" priority="20630" stopIfTrue="1" operator="equal">
      <formula>"Napkin Hs"</formula>
    </cfRule>
    <cfRule type="cellIs" dxfId="28895" priority="21171" stopIfTrue="1" operator="equal">
      <formula>"Towel"</formula>
    </cfRule>
    <cfRule type="cellIs" dxfId="28894" priority="21172" stopIfTrue="1" operator="equal">
      <formula>"Napkin Hs"</formula>
    </cfRule>
  </conditionalFormatting>
  <conditionalFormatting sqref="B39:C39">
    <cfRule type="cellIs" dxfId="28893" priority="20515" stopIfTrue="1" operator="equal">
      <formula>"Towel"</formula>
    </cfRule>
    <cfRule type="cellIs" dxfId="28892" priority="20516" stopIfTrue="1" operator="equal">
      <formula>"Napkin Hs"</formula>
    </cfRule>
    <cfRule type="cellIs" dxfId="28891" priority="20555" stopIfTrue="1" operator="equal">
      <formula>"Towel"</formula>
    </cfRule>
    <cfRule type="cellIs" dxfId="28890" priority="20556" stopIfTrue="1" operator="equal">
      <formula>"Napkin Hs"</formula>
    </cfRule>
    <cfRule type="cellIs" dxfId="28889" priority="20565" stopIfTrue="1" operator="equal">
      <formula>"Towel"</formula>
    </cfRule>
    <cfRule type="cellIs" dxfId="28888" priority="20566" stopIfTrue="1" operator="equal">
      <formula>"Napkin Hs"</formula>
    </cfRule>
    <cfRule type="cellIs" dxfId="28887" priority="20583" stopIfTrue="1" operator="equal">
      <formula>"Towel"</formula>
    </cfRule>
    <cfRule type="cellIs" dxfId="28886" priority="20584" stopIfTrue="1" operator="equal">
      <formula>"Napkin Hs"</formula>
    </cfRule>
    <cfRule type="cellIs" dxfId="28885" priority="20607" stopIfTrue="1" operator="equal">
      <formula>"Towel"</formula>
    </cfRule>
    <cfRule type="cellIs" dxfId="28884" priority="20608" stopIfTrue="1" operator="equal">
      <formula>"Napkin Hs"</formula>
    </cfRule>
    <cfRule type="cellIs" dxfId="28883" priority="20619" stopIfTrue="1" operator="equal">
      <formula>"Towel"</formula>
    </cfRule>
    <cfRule type="cellIs" dxfId="28882" priority="20620" stopIfTrue="1" operator="equal">
      <formula>"Napkin Hs"</formula>
    </cfRule>
  </conditionalFormatting>
  <conditionalFormatting sqref="B40:C40">
    <cfRule type="cellIs" dxfId="28881" priority="20367" stopIfTrue="1" operator="equal">
      <formula>"Towel"</formula>
    </cfRule>
    <cfRule type="cellIs" dxfId="28880" priority="20368" stopIfTrue="1" operator="equal">
      <formula>"Napkin Hs"</formula>
    </cfRule>
    <cfRule type="cellIs" dxfId="28879" priority="20373" stopIfTrue="1" operator="equal">
      <formula>"Towel"</formula>
    </cfRule>
    <cfRule type="cellIs" dxfId="28878" priority="20374" stopIfTrue="1" operator="equal">
      <formula>"Napkin Hs"</formula>
    </cfRule>
    <cfRule type="cellIs" dxfId="28877" priority="20379" stopIfTrue="1" operator="equal">
      <formula>"Towel"</formula>
    </cfRule>
    <cfRule type="cellIs" dxfId="28876" priority="20380" stopIfTrue="1" operator="equal">
      <formula>"Napkin Hs"</formula>
    </cfRule>
    <cfRule type="cellIs" dxfId="28875" priority="20385" stopIfTrue="1" operator="equal">
      <formula>"Towel"</formula>
    </cfRule>
    <cfRule type="cellIs" dxfId="28874" priority="20386" stopIfTrue="1" operator="equal">
      <formula>"Napkin Hs"</formula>
    </cfRule>
    <cfRule type="cellIs" dxfId="28873" priority="20391" stopIfTrue="1" operator="equal">
      <formula>"Towel"</formula>
    </cfRule>
    <cfRule type="cellIs" dxfId="28872" priority="20392" stopIfTrue="1" operator="equal">
      <formula>"Napkin Hs"</formula>
    </cfRule>
    <cfRule type="cellIs" dxfId="28871" priority="20397" stopIfTrue="1" operator="equal">
      <formula>"Towel"</formula>
    </cfRule>
    <cfRule type="cellIs" dxfId="28870" priority="20398" stopIfTrue="1" operator="equal">
      <formula>"Napkin Hs"</formula>
    </cfRule>
    <cfRule type="cellIs" dxfId="28869" priority="20403" stopIfTrue="1" operator="equal">
      <formula>"Towel"</formula>
    </cfRule>
    <cfRule type="cellIs" dxfId="28868" priority="20404" stopIfTrue="1" operator="equal">
      <formula>"Napkin Hs"</formula>
    </cfRule>
  </conditionalFormatting>
  <conditionalFormatting sqref="B42:C42">
    <cfRule type="cellIs" dxfId="28867" priority="20559" stopIfTrue="1" operator="equal">
      <formula>"Towel"</formula>
    </cfRule>
    <cfRule type="cellIs" dxfId="28866" priority="20560" stopIfTrue="1" operator="equal">
      <formula>"Napkin Hs"</formula>
    </cfRule>
    <cfRule type="cellIs" dxfId="28865" priority="20571" stopIfTrue="1" operator="equal">
      <formula>"Towel"</formula>
    </cfRule>
    <cfRule type="cellIs" dxfId="28864" priority="20572" stopIfTrue="1" operator="equal">
      <formula>"Napkin Hs"</formula>
    </cfRule>
    <cfRule type="cellIs" dxfId="28863" priority="21153" stopIfTrue="1" operator="equal">
      <formula>"Towel"</formula>
    </cfRule>
    <cfRule type="cellIs" dxfId="28862" priority="21154" stopIfTrue="1" operator="equal">
      <formula>"Napkin Hs"</formula>
    </cfRule>
  </conditionalFormatting>
  <conditionalFormatting sqref="B43:C44">
    <cfRule type="cellIs" dxfId="28861" priority="20325" stopIfTrue="1" operator="equal">
      <formula>"Towel"</formula>
    </cfRule>
    <cfRule type="cellIs" dxfId="28860" priority="20326" stopIfTrue="1" operator="equal">
      <formula>"Napkin Hs"</formula>
    </cfRule>
    <cfRule type="cellIs" dxfId="28859" priority="20331" stopIfTrue="1" operator="equal">
      <formula>"Towel"</formula>
    </cfRule>
    <cfRule type="cellIs" dxfId="28858" priority="20332" stopIfTrue="1" operator="equal">
      <formula>"Napkin Hs"</formula>
    </cfRule>
    <cfRule type="cellIs" dxfId="28857" priority="20337" stopIfTrue="1" operator="equal">
      <formula>"Towel"</formula>
    </cfRule>
    <cfRule type="cellIs" dxfId="28856" priority="20338" stopIfTrue="1" operator="equal">
      <formula>"Napkin Hs"</formula>
    </cfRule>
    <cfRule type="cellIs" dxfId="28855" priority="20343" stopIfTrue="1" operator="equal">
      <formula>"Towel"</formula>
    </cfRule>
    <cfRule type="cellIs" dxfId="28854" priority="20344" stopIfTrue="1" operator="equal">
      <formula>"Napkin Hs"</formula>
    </cfRule>
    <cfRule type="cellIs" dxfId="28853" priority="20349" stopIfTrue="1" operator="equal">
      <formula>"Towel"</formula>
    </cfRule>
    <cfRule type="cellIs" dxfId="28852" priority="20350" stopIfTrue="1" operator="equal">
      <formula>"Napkin Hs"</formula>
    </cfRule>
    <cfRule type="cellIs" dxfId="28851" priority="20355" stopIfTrue="1" operator="equal">
      <formula>"Towel"</formula>
    </cfRule>
    <cfRule type="cellIs" dxfId="28850" priority="20356" stopIfTrue="1" operator="equal">
      <formula>"Napkin Hs"</formula>
    </cfRule>
    <cfRule type="cellIs" dxfId="28849" priority="20361" stopIfTrue="1" operator="equal">
      <formula>"Towel"</formula>
    </cfRule>
    <cfRule type="cellIs" dxfId="28848" priority="20362" stopIfTrue="1" operator="equal">
      <formula>"Napkin Hs"</formula>
    </cfRule>
  </conditionalFormatting>
  <conditionalFormatting sqref="B49:C49">
    <cfRule type="cellIs" dxfId="28847" priority="20223" stopIfTrue="1" operator="equal">
      <formula>"Towel"</formula>
    </cfRule>
    <cfRule type="cellIs" dxfId="28846" priority="20224" stopIfTrue="1" operator="equal">
      <formula>"Napkin Hs"</formula>
    </cfRule>
    <cfRule type="cellIs" dxfId="28845" priority="20229" stopIfTrue="1" operator="equal">
      <formula>"Towel"</formula>
    </cfRule>
    <cfRule type="cellIs" dxfId="28844" priority="20230" stopIfTrue="1" operator="equal">
      <formula>"Napkin Hs"</formula>
    </cfRule>
    <cfRule type="cellIs" dxfId="28843" priority="20235" stopIfTrue="1" operator="equal">
      <formula>"Towel"</formula>
    </cfRule>
    <cfRule type="cellIs" dxfId="28842" priority="20236" stopIfTrue="1" operator="equal">
      <formula>"Napkin Hs"</formula>
    </cfRule>
    <cfRule type="cellIs" dxfId="28841" priority="20241" stopIfTrue="1" operator="equal">
      <formula>"Towel"</formula>
    </cfRule>
    <cfRule type="cellIs" dxfId="28840" priority="20242" stopIfTrue="1" operator="equal">
      <formula>"Napkin Hs"</formula>
    </cfRule>
    <cfRule type="cellIs" dxfId="28839" priority="20247" stopIfTrue="1" operator="equal">
      <formula>"Towel"</formula>
    </cfRule>
    <cfRule type="cellIs" dxfId="28838" priority="20248" stopIfTrue="1" operator="equal">
      <formula>"Napkin Hs"</formula>
    </cfRule>
    <cfRule type="cellIs" dxfId="28837" priority="20253" stopIfTrue="1" operator="equal">
      <formula>"Towel"</formula>
    </cfRule>
    <cfRule type="cellIs" dxfId="28836" priority="20254" stopIfTrue="1" operator="equal">
      <formula>"Napkin Hs"</formula>
    </cfRule>
    <cfRule type="cellIs" dxfId="28835" priority="20259" stopIfTrue="1" operator="equal">
      <formula>"Towel"</formula>
    </cfRule>
    <cfRule type="cellIs" dxfId="28834" priority="20260" stopIfTrue="1" operator="equal">
      <formula>"Napkin Hs"</formula>
    </cfRule>
    <cfRule type="cellIs" dxfId="28833" priority="21117" stopIfTrue="1" operator="equal">
      <formula>"Towel"</formula>
    </cfRule>
    <cfRule type="cellIs" dxfId="28832" priority="21118" stopIfTrue="1" operator="equal">
      <formula>"Napkin Hs"</formula>
    </cfRule>
  </conditionalFormatting>
  <conditionalFormatting sqref="B51:C51">
    <cfRule type="cellIs" dxfId="28831" priority="21123" stopIfTrue="1" operator="equal">
      <formula>"Towel"</formula>
    </cfRule>
    <cfRule type="cellIs" dxfId="28830" priority="21124" stopIfTrue="1" operator="equal">
      <formula>"Napkin Hs"</formula>
    </cfRule>
  </conditionalFormatting>
  <conditionalFormatting sqref="B51:C51">
    <cfRule type="cellIs" dxfId="28829" priority="20289" stopIfTrue="1" operator="equal">
      <formula>"Towel"</formula>
    </cfRule>
    <cfRule type="cellIs" dxfId="28828" priority="20290" stopIfTrue="1" operator="equal">
      <formula>"Napkin Hs"</formula>
    </cfRule>
    <cfRule type="cellIs" dxfId="28827" priority="20295" stopIfTrue="1" operator="equal">
      <formula>"Towel"</formula>
    </cfRule>
    <cfRule type="cellIs" dxfId="28826" priority="20296" stopIfTrue="1" operator="equal">
      <formula>"Napkin Hs"</formula>
    </cfRule>
    <cfRule type="cellIs" dxfId="28825" priority="20309" stopIfTrue="1" operator="equal">
      <formula>"Towel"</formula>
    </cfRule>
    <cfRule type="cellIs" dxfId="28824" priority="20310" stopIfTrue="1" operator="equal">
      <formula>"Napkin Hs"</formula>
    </cfRule>
    <cfRule type="cellIs" dxfId="28823" priority="20319" stopIfTrue="1" operator="equal">
      <formula>"Towel"</formula>
    </cfRule>
    <cfRule type="cellIs" dxfId="28822" priority="20320" stopIfTrue="1" operator="equal">
      <formula>"Napkin Hs"</formula>
    </cfRule>
  </conditionalFormatting>
  <conditionalFormatting sqref="B52:C52">
    <cfRule type="cellIs" dxfId="28821" priority="19979" stopIfTrue="1" operator="equal">
      <formula>"Towel"</formula>
    </cfRule>
    <cfRule type="cellIs" dxfId="28820" priority="19980" stopIfTrue="1" operator="equal">
      <formula>"Napkin Hs"</formula>
    </cfRule>
    <cfRule type="cellIs" dxfId="28819" priority="19985" stopIfTrue="1" operator="equal">
      <formula>"Towel"</formula>
    </cfRule>
    <cfRule type="cellIs" dxfId="28818" priority="19986" stopIfTrue="1" operator="equal">
      <formula>"Napkin Hs"</formula>
    </cfRule>
    <cfRule type="cellIs" dxfId="28817" priority="19991" stopIfTrue="1" operator="equal">
      <formula>"Towel"</formula>
    </cfRule>
    <cfRule type="cellIs" dxfId="28816" priority="19992" stopIfTrue="1" operator="equal">
      <formula>"Napkin Hs"</formula>
    </cfRule>
    <cfRule type="cellIs" dxfId="28815" priority="19997" stopIfTrue="1" operator="equal">
      <formula>"Towel"</formula>
    </cfRule>
    <cfRule type="cellIs" dxfId="28814" priority="19998" stopIfTrue="1" operator="equal">
      <formula>"Napkin Hs"</formula>
    </cfRule>
    <cfRule type="cellIs" dxfId="28813" priority="20003" stopIfTrue="1" operator="equal">
      <formula>"Towel"</formula>
    </cfRule>
    <cfRule type="cellIs" dxfId="28812" priority="20004" stopIfTrue="1" operator="equal">
      <formula>"Napkin Hs"</formula>
    </cfRule>
    <cfRule type="cellIs" dxfId="28811" priority="20009" stopIfTrue="1" operator="equal">
      <formula>"Towel"</formula>
    </cfRule>
    <cfRule type="cellIs" dxfId="28810" priority="20010" stopIfTrue="1" operator="equal">
      <formula>"Napkin Hs"</formula>
    </cfRule>
    <cfRule type="cellIs" dxfId="28809" priority="20015" stopIfTrue="1" operator="equal">
      <formula>"Towel"</formula>
    </cfRule>
    <cfRule type="cellIs" dxfId="28808" priority="20016" stopIfTrue="1" operator="equal">
      <formula>"Napkin Hs"</formula>
    </cfRule>
    <cfRule type="cellIs" dxfId="28807" priority="20021" stopIfTrue="1" operator="equal">
      <formula>"Towel"</formula>
    </cfRule>
    <cfRule type="cellIs" dxfId="28806" priority="20022" stopIfTrue="1" operator="equal">
      <formula>"Napkin Hs"</formula>
    </cfRule>
  </conditionalFormatting>
  <conditionalFormatting sqref="B53:C53">
    <cfRule type="cellIs" dxfId="28805" priority="20075" stopIfTrue="1" operator="equal">
      <formula>"Towel"</formula>
    </cfRule>
    <cfRule type="cellIs" dxfId="28804" priority="20076" stopIfTrue="1" operator="equal">
      <formula>"Napkin Hs"</formula>
    </cfRule>
    <cfRule type="cellIs" dxfId="28803" priority="20081" stopIfTrue="1" operator="equal">
      <formula>"Towel"</formula>
    </cfRule>
    <cfRule type="cellIs" dxfId="28802" priority="20082" stopIfTrue="1" operator="equal">
      <formula>"Napkin Hs"</formula>
    </cfRule>
    <cfRule type="cellIs" dxfId="28801" priority="20087" stopIfTrue="1" operator="equal">
      <formula>"Towel"</formula>
    </cfRule>
    <cfRule type="cellIs" dxfId="28800" priority="20088" stopIfTrue="1" operator="equal">
      <formula>"Napkin Hs"</formula>
    </cfRule>
    <cfRule type="cellIs" dxfId="28799" priority="20093" stopIfTrue="1" operator="equal">
      <formula>"Towel"</formula>
    </cfRule>
    <cfRule type="cellIs" dxfId="28798" priority="20094" stopIfTrue="1" operator="equal">
      <formula>"Napkin Hs"</formula>
    </cfRule>
    <cfRule type="cellIs" dxfId="28797" priority="20099" stopIfTrue="1" operator="equal">
      <formula>"Towel"</formula>
    </cfRule>
    <cfRule type="cellIs" dxfId="28796" priority="20100" stopIfTrue="1" operator="equal">
      <formula>"Napkin Hs"</formula>
    </cfRule>
    <cfRule type="cellIs" dxfId="28795" priority="20105" stopIfTrue="1" operator="equal">
      <formula>"Towel"</formula>
    </cfRule>
    <cfRule type="cellIs" dxfId="28794" priority="20106" stopIfTrue="1" operator="equal">
      <formula>"Napkin Hs"</formula>
    </cfRule>
    <cfRule type="cellIs" dxfId="28793" priority="20111" stopIfTrue="1" operator="equal">
      <formula>"Towel"</formula>
    </cfRule>
    <cfRule type="cellIs" dxfId="28792" priority="20112" stopIfTrue="1" operator="equal">
      <formula>"Napkin Hs"</formula>
    </cfRule>
    <cfRule type="cellIs" dxfId="28791" priority="20165" stopIfTrue="1" operator="equal">
      <formula>"Towel"</formula>
    </cfRule>
    <cfRule type="cellIs" dxfId="28790" priority="20166" stopIfTrue="1" operator="equal">
      <formula>"Napkin Hs"</formula>
    </cfRule>
  </conditionalFormatting>
  <conditionalFormatting sqref="B59:C59">
    <cfRule type="cellIs" dxfId="28789" priority="19973" stopIfTrue="1" operator="equal">
      <formula>"Towel"</formula>
    </cfRule>
    <cfRule type="cellIs" dxfId="28788" priority="19974" stopIfTrue="1" operator="equal">
      <formula>"Napkin Hs"</formula>
    </cfRule>
  </conditionalFormatting>
  <conditionalFormatting sqref="B59:C59">
    <cfRule type="cellIs" dxfId="28787" priority="19933" stopIfTrue="1" operator="equal">
      <formula>"Towel"</formula>
    </cfRule>
    <cfRule type="cellIs" dxfId="28786" priority="19934" stopIfTrue="1" operator="equal">
      <formula>"Napkin Hs"</formula>
    </cfRule>
    <cfRule type="cellIs" dxfId="28785" priority="19939" stopIfTrue="1" operator="equal">
      <formula>"Towel"</formula>
    </cfRule>
    <cfRule type="cellIs" dxfId="28784" priority="19940" stopIfTrue="1" operator="equal">
      <formula>"Napkin Hs"</formula>
    </cfRule>
    <cfRule type="cellIs" dxfId="28783" priority="19953" stopIfTrue="1" operator="equal">
      <formula>"Towel"</formula>
    </cfRule>
    <cfRule type="cellIs" dxfId="28782" priority="19954" stopIfTrue="1" operator="equal">
      <formula>"Napkin Hs"</formula>
    </cfRule>
    <cfRule type="cellIs" dxfId="28781" priority="19963" stopIfTrue="1" operator="equal">
      <formula>"Towel"</formula>
    </cfRule>
    <cfRule type="cellIs" dxfId="28780" priority="19964" stopIfTrue="1" operator="equal">
      <formula>"Napkin Hs"</formula>
    </cfRule>
  </conditionalFormatting>
  <conditionalFormatting sqref="B60:C61">
    <cfRule type="cellIs" dxfId="28779" priority="21087" stopIfTrue="1" operator="equal">
      <formula>"Towel"</formula>
    </cfRule>
    <cfRule type="cellIs" dxfId="28778" priority="21088" stopIfTrue="1" operator="equal">
      <formula>"Napkin Hs"</formula>
    </cfRule>
  </conditionalFormatting>
  <conditionalFormatting sqref="B67:C67">
    <cfRule type="cellIs" dxfId="28777" priority="19571" stopIfTrue="1" operator="equal">
      <formula>"Towel"</formula>
    </cfRule>
    <cfRule type="cellIs" dxfId="28776" priority="19572" stopIfTrue="1" operator="equal">
      <formula>"Napkin Hs"</formula>
    </cfRule>
    <cfRule type="cellIs" dxfId="28775" priority="19577" stopIfTrue="1" operator="equal">
      <formula>"Towel"</formula>
    </cfRule>
    <cfRule type="cellIs" dxfId="28774" priority="19578" stopIfTrue="1" operator="equal">
      <formula>"Napkin Hs"</formula>
    </cfRule>
    <cfRule type="cellIs" dxfId="28773" priority="19583" stopIfTrue="1" operator="equal">
      <formula>"Towel"</formula>
    </cfRule>
    <cfRule type="cellIs" dxfId="28772" priority="19584" stopIfTrue="1" operator="equal">
      <formula>"Napkin Hs"</formula>
    </cfRule>
    <cfRule type="cellIs" dxfId="28771" priority="19589" stopIfTrue="1" operator="equal">
      <formula>"Towel"</formula>
    </cfRule>
    <cfRule type="cellIs" dxfId="28770" priority="19590" stopIfTrue="1" operator="equal">
      <formula>"Napkin Hs"</formula>
    </cfRule>
    <cfRule type="cellIs" dxfId="28769" priority="19595" stopIfTrue="1" operator="equal">
      <formula>"Towel"</formula>
    </cfRule>
    <cfRule type="cellIs" dxfId="28768" priority="19596" stopIfTrue="1" operator="equal">
      <formula>"Napkin Hs"</formula>
    </cfRule>
    <cfRule type="cellIs" dxfId="28767" priority="19601" stopIfTrue="1" operator="equal">
      <formula>"Towel"</formula>
    </cfRule>
    <cfRule type="cellIs" dxfId="28766" priority="19602" stopIfTrue="1" operator="equal">
      <formula>"Napkin Hs"</formula>
    </cfRule>
    <cfRule type="cellIs" dxfId="28765" priority="19607" stopIfTrue="1" operator="equal">
      <formula>"Towel"</formula>
    </cfRule>
    <cfRule type="cellIs" dxfId="28764" priority="19608" stopIfTrue="1" operator="equal">
      <formula>"Napkin Hs"</formula>
    </cfRule>
    <cfRule type="cellIs" dxfId="28763" priority="19613" stopIfTrue="1" operator="equal">
      <formula>"Towel"</formula>
    </cfRule>
    <cfRule type="cellIs" dxfId="28762" priority="19614" stopIfTrue="1" operator="equal">
      <formula>"Napkin Hs"</formula>
    </cfRule>
  </conditionalFormatting>
  <conditionalFormatting sqref="B68:C68">
    <cfRule type="cellIs" dxfId="28761" priority="19619" stopIfTrue="1" operator="equal">
      <formula>"Towel"</formula>
    </cfRule>
    <cfRule type="cellIs" dxfId="28760" priority="19620" stopIfTrue="1" operator="equal">
      <formula>"Napkin Hs"</formula>
    </cfRule>
    <cfRule type="cellIs" dxfId="28759" priority="19625" stopIfTrue="1" operator="equal">
      <formula>"Towel"</formula>
    </cfRule>
    <cfRule type="cellIs" dxfId="28758" priority="19626" stopIfTrue="1" operator="equal">
      <formula>"Napkin Hs"</formula>
    </cfRule>
    <cfRule type="cellIs" dxfId="28757" priority="19631" stopIfTrue="1" operator="equal">
      <formula>"Towel"</formula>
    </cfRule>
    <cfRule type="cellIs" dxfId="28756" priority="19632" stopIfTrue="1" operator="equal">
      <formula>"Napkin Hs"</formula>
    </cfRule>
    <cfRule type="cellIs" dxfId="28755" priority="19637" stopIfTrue="1" operator="equal">
      <formula>"Towel"</formula>
    </cfRule>
    <cfRule type="cellIs" dxfId="28754" priority="19638" stopIfTrue="1" operator="equal">
      <formula>"Napkin Hs"</formula>
    </cfRule>
    <cfRule type="cellIs" dxfId="28753" priority="19643" stopIfTrue="1" operator="equal">
      <formula>"Towel"</formula>
    </cfRule>
    <cfRule type="cellIs" dxfId="28752" priority="19644" stopIfTrue="1" operator="equal">
      <formula>"Napkin Hs"</formula>
    </cfRule>
    <cfRule type="cellIs" dxfId="28751" priority="19649" stopIfTrue="1" operator="equal">
      <formula>"Towel"</formula>
    </cfRule>
    <cfRule type="cellIs" dxfId="28750" priority="19650" stopIfTrue="1" operator="equal">
      <formula>"Napkin Hs"</formula>
    </cfRule>
    <cfRule type="cellIs" dxfId="28749" priority="19655" stopIfTrue="1" operator="equal">
      <formula>"Towel"</formula>
    </cfRule>
    <cfRule type="cellIs" dxfId="28748" priority="19656" stopIfTrue="1" operator="equal">
      <formula>"Napkin Hs"</formula>
    </cfRule>
    <cfRule type="cellIs" dxfId="28747" priority="19691" stopIfTrue="1" operator="equal">
      <formula>"Towel"</formula>
    </cfRule>
    <cfRule type="cellIs" dxfId="28746" priority="19692" stopIfTrue="1" operator="equal">
      <formula>"Napkin Hs"</formula>
    </cfRule>
  </conditionalFormatting>
  <conditionalFormatting sqref="B69:C69">
    <cfRule type="cellIs" dxfId="28745" priority="19661" stopIfTrue="1" operator="equal">
      <formula>"Towel"</formula>
    </cfRule>
    <cfRule type="cellIs" dxfId="28744" priority="19662" stopIfTrue="1" operator="equal">
      <formula>"Napkin Hs"</formula>
    </cfRule>
    <cfRule type="cellIs" dxfId="28743" priority="19667" stopIfTrue="1" operator="equal">
      <formula>"Towel"</formula>
    </cfRule>
    <cfRule type="cellIs" dxfId="28742" priority="19668" stopIfTrue="1" operator="equal">
      <formula>"Napkin Hs"</formula>
    </cfRule>
    <cfRule type="cellIs" dxfId="28741" priority="19673" stopIfTrue="1" operator="equal">
      <formula>"Towel"</formula>
    </cfRule>
    <cfRule type="cellIs" dxfId="28740" priority="19674" stopIfTrue="1" operator="equal">
      <formula>"Napkin Hs"</formula>
    </cfRule>
    <cfRule type="cellIs" dxfId="28739" priority="19679" stopIfTrue="1" operator="equal">
      <formula>"Towel"</formula>
    </cfRule>
    <cfRule type="cellIs" dxfId="28738" priority="19680" stopIfTrue="1" operator="equal">
      <formula>"Napkin Hs"</formula>
    </cfRule>
    <cfRule type="cellIs" dxfId="28737" priority="19685" stopIfTrue="1" operator="equal">
      <formula>"Towel"</formula>
    </cfRule>
    <cfRule type="cellIs" dxfId="28736" priority="19686" stopIfTrue="1" operator="equal">
      <formula>"Napkin Hs"</formula>
    </cfRule>
    <cfRule type="cellIs" dxfId="28735" priority="19695" stopIfTrue="1" operator="equal">
      <formula>"Towel"</formula>
    </cfRule>
    <cfRule type="cellIs" dxfId="28734" priority="19696" stopIfTrue="1" operator="equal">
      <formula>"Napkin Hs"</formula>
    </cfRule>
  </conditionalFormatting>
  <conditionalFormatting sqref="B70:C71">
    <cfRule type="cellIs" dxfId="28733" priority="21049" stopIfTrue="1" operator="equal">
      <formula>"Towel"</formula>
    </cfRule>
    <cfRule type="cellIs" dxfId="28732" priority="21050" stopIfTrue="1" operator="equal">
      <formula>"Napkin Hs"</formula>
    </cfRule>
  </conditionalFormatting>
  <conditionalFormatting sqref="B72:C72">
    <cfRule type="cellIs" dxfId="28731" priority="19441" stopIfTrue="1" operator="equal">
      <formula>"Towel"</formula>
    </cfRule>
    <cfRule type="cellIs" dxfId="28730" priority="19442" stopIfTrue="1" operator="equal">
      <formula>"Napkin Hs"</formula>
    </cfRule>
    <cfRule type="cellIs" dxfId="28729" priority="19447" stopIfTrue="1" operator="equal">
      <formula>"Towel"</formula>
    </cfRule>
    <cfRule type="cellIs" dxfId="28728" priority="19448" stopIfTrue="1" operator="equal">
      <formula>"Napkin Hs"</formula>
    </cfRule>
    <cfRule type="cellIs" dxfId="28727" priority="19453" stopIfTrue="1" operator="equal">
      <formula>"Towel"</formula>
    </cfRule>
    <cfRule type="cellIs" dxfId="28726" priority="19454" stopIfTrue="1" operator="equal">
      <formula>"Napkin Hs"</formula>
    </cfRule>
    <cfRule type="cellIs" dxfId="28725" priority="19459" stopIfTrue="1" operator="equal">
      <formula>"Towel"</formula>
    </cfRule>
    <cfRule type="cellIs" dxfId="28724" priority="19460" stopIfTrue="1" operator="equal">
      <formula>"Napkin Hs"</formula>
    </cfRule>
    <cfRule type="cellIs" dxfId="28723" priority="19465" stopIfTrue="1" operator="equal">
      <formula>"Towel"</formula>
    </cfRule>
    <cfRule type="cellIs" dxfId="28722" priority="19466" stopIfTrue="1" operator="equal">
      <formula>"Napkin Hs"</formula>
    </cfRule>
    <cfRule type="cellIs" dxfId="28721" priority="19471" stopIfTrue="1" operator="equal">
      <formula>"Towel"</formula>
    </cfRule>
    <cfRule type="cellIs" dxfId="28720" priority="19472" stopIfTrue="1" operator="equal">
      <formula>"Napkin Hs"</formula>
    </cfRule>
    <cfRule type="cellIs" dxfId="28719" priority="19477" stopIfTrue="1" operator="equal">
      <formula>"Towel"</formula>
    </cfRule>
    <cfRule type="cellIs" dxfId="28718" priority="19478" stopIfTrue="1" operator="equal">
      <formula>"Napkin Hs"</formula>
    </cfRule>
    <cfRule type="cellIs" dxfId="28717" priority="19483" stopIfTrue="1" operator="equal">
      <formula>"Towel"</formula>
    </cfRule>
    <cfRule type="cellIs" dxfId="28716" priority="19484" stopIfTrue="1" operator="equal">
      <formula>"Napkin Hs"</formula>
    </cfRule>
  </conditionalFormatting>
  <conditionalFormatting sqref="B73:C73">
    <cfRule type="cellIs" dxfId="28715" priority="19489" stopIfTrue="1" operator="equal">
      <formula>"Towel"</formula>
    </cfRule>
    <cfRule type="cellIs" dxfId="28714" priority="19490" stopIfTrue="1" operator="equal">
      <formula>"Napkin Hs"</formula>
    </cfRule>
    <cfRule type="cellIs" dxfId="28713" priority="19495" stopIfTrue="1" operator="equal">
      <formula>"Towel"</formula>
    </cfRule>
    <cfRule type="cellIs" dxfId="28712" priority="19496" stopIfTrue="1" operator="equal">
      <formula>"Napkin Hs"</formula>
    </cfRule>
    <cfRule type="cellIs" dxfId="28711" priority="19501" stopIfTrue="1" operator="equal">
      <formula>"Towel"</formula>
    </cfRule>
    <cfRule type="cellIs" dxfId="28710" priority="19502" stopIfTrue="1" operator="equal">
      <formula>"Napkin Hs"</formula>
    </cfRule>
    <cfRule type="cellIs" dxfId="28709" priority="19507" stopIfTrue="1" operator="equal">
      <formula>"Towel"</formula>
    </cfRule>
    <cfRule type="cellIs" dxfId="28708" priority="19508" stopIfTrue="1" operator="equal">
      <formula>"Napkin Hs"</formula>
    </cfRule>
    <cfRule type="cellIs" dxfId="28707" priority="19513" stopIfTrue="1" operator="equal">
      <formula>"Towel"</formula>
    </cfRule>
    <cfRule type="cellIs" dxfId="28706" priority="19514" stopIfTrue="1" operator="equal">
      <formula>"Napkin Hs"</formula>
    </cfRule>
    <cfRule type="cellIs" dxfId="28705" priority="19519" stopIfTrue="1" operator="equal">
      <formula>"Towel"</formula>
    </cfRule>
    <cfRule type="cellIs" dxfId="28704" priority="19520" stopIfTrue="1" operator="equal">
      <formula>"Napkin Hs"</formula>
    </cfRule>
    <cfRule type="cellIs" dxfId="28703" priority="19525" stopIfTrue="1" operator="equal">
      <formula>"Towel"</formula>
    </cfRule>
    <cfRule type="cellIs" dxfId="28702" priority="19526" stopIfTrue="1" operator="equal">
      <formula>"Napkin Hs"</formula>
    </cfRule>
    <cfRule type="cellIs" dxfId="28701" priority="19561" stopIfTrue="1" operator="equal">
      <formula>"Towel"</formula>
    </cfRule>
    <cfRule type="cellIs" dxfId="28700" priority="19562" stopIfTrue="1" operator="equal">
      <formula>"Napkin Hs"</formula>
    </cfRule>
  </conditionalFormatting>
  <conditionalFormatting sqref="B74:C74">
    <cfRule type="cellIs" dxfId="28699" priority="19531" stopIfTrue="1" operator="equal">
      <formula>"Towel"</formula>
    </cfRule>
    <cfRule type="cellIs" dxfId="28698" priority="19532" stopIfTrue="1" operator="equal">
      <formula>"Napkin Hs"</formula>
    </cfRule>
    <cfRule type="cellIs" dxfId="28697" priority="19537" stopIfTrue="1" operator="equal">
      <formula>"Towel"</formula>
    </cfRule>
    <cfRule type="cellIs" dxfId="28696" priority="19538" stopIfTrue="1" operator="equal">
      <formula>"Napkin Hs"</formula>
    </cfRule>
    <cfRule type="cellIs" dxfId="28695" priority="19543" stopIfTrue="1" operator="equal">
      <formula>"Towel"</formula>
    </cfRule>
    <cfRule type="cellIs" dxfId="28694" priority="19544" stopIfTrue="1" operator="equal">
      <formula>"Napkin Hs"</formula>
    </cfRule>
    <cfRule type="cellIs" dxfId="28693" priority="19549" stopIfTrue="1" operator="equal">
      <formula>"Towel"</formula>
    </cfRule>
    <cfRule type="cellIs" dxfId="28692" priority="19550" stopIfTrue="1" operator="equal">
      <formula>"Napkin Hs"</formula>
    </cfRule>
    <cfRule type="cellIs" dxfId="28691" priority="19555" stopIfTrue="1" operator="equal">
      <formula>"Towel"</formula>
    </cfRule>
    <cfRule type="cellIs" dxfId="28690" priority="19556" stopIfTrue="1" operator="equal">
      <formula>"Napkin Hs"</formula>
    </cfRule>
    <cfRule type="cellIs" dxfId="28689" priority="19565" stopIfTrue="1" operator="equal">
      <formula>"Towel"</formula>
    </cfRule>
    <cfRule type="cellIs" dxfId="28688" priority="19566" stopIfTrue="1" operator="equal">
      <formula>"Napkin Hs"</formula>
    </cfRule>
  </conditionalFormatting>
  <conditionalFormatting sqref="B78:C78">
    <cfRule type="cellIs" dxfId="28687" priority="19401" stopIfTrue="1" operator="equal">
      <formula>"Towel"</formula>
    </cfRule>
    <cfRule type="cellIs" dxfId="28686" priority="19402" stopIfTrue="1" operator="equal">
      <formula>"Napkin Hs"</formula>
    </cfRule>
    <cfRule type="cellIs" dxfId="28685" priority="19407" stopIfTrue="1" operator="equal">
      <formula>"Towel"</formula>
    </cfRule>
    <cfRule type="cellIs" dxfId="28684" priority="19408" stopIfTrue="1" operator="equal">
      <formula>"Napkin Hs"</formula>
    </cfRule>
    <cfRule type="cellIs" dxfId="28683" priority="19413" stopIfTrue="1" operator="equal">
      <formula>"Towel"</formula>
    </cfRule>
    <cfRule type="cellIs" dxfId="28682" priority="19414" stopIfTrue="1" operator="equal">
      <formula>"Napkin Hs"</formula>
    </cfRule>
    <cfRule type="cellIs" dxfId="28681" priority="19419" stopIfTrue="1" operator="equal">
      <formula>"Towel"</formula>
    </cfRule>
    <cfRule type="cellIs" dxfId="28680" priority="19420" stopIfTrue="1" operator="equal">
      <formula>"Napkin Hs"</formula>
    </cfRule>
    <cfRule type="cellIs" dxfId="28679" priority="19425" stopIfTrue="1" operator="equal">
      <formula>"Towel"</formula>
    </cfRule>
    <cfRule type="cellIs" dxfId="28678" priority="19426" stopIfTrue="1" operator="equal">
      <formula>"Napkin Hs"</formula>
    </cfRule>
    <cfRule type="cellIs" dxfId="28677" priority="19435" stopIfTrue="1" operator="equal">
      <formula>"Towel"</formula>
    </cfRule>
    <cfRule type="cellIs" dxfId="28676" priority="19436" stopIfTrue="1" operator="equal">
      <formula>"Napkin Hs"</formula>
    </cfRule>
  </conditionalFormatting>
  <conditionalFormatting sqref="B86:C86">
    <cfRule type="cellIs" dxfId="28675" priority="18993" stopIfTrue="1" operator="equal">
      <formula>"Towel"</formula>
    </cfRule>
    <cfRule type="cellIs" dxfId="28674" priority="18994" stopIfTrue="1" operator="equal">
      <formula>"Napkin Hs"</formula>
    </cfRule>
    <cfRule type="cellIs" dxfId="28673" priority="18999" stopIfTrue="1" operator="equal">
      <formula>"Towel"</formula>
    </cfRule>
    <cfRule type="cellIs" dxfId="28672" priority="19000" stopIfTrue="1" operator="equal">
      <formula>"Napkin Hs"</formula>
    </cfRule>
    <cfRule type="cellIs" dxfId="28671" priority="19005" stopIfTrue="1" operator="equal">
      <formula>"Towel"</formula>
    </cfRule>
    <cfRule type="cellIs" dxfId="28670" priority="19006" stopIfTrue="1" operator="equal">
      <formula>"Napkin Hs"</formula>
    </cfRule>
    <cfRule type="cellIs" dxfId="28669" priority="19011" stopIfTrue="1" operator="equal">
      <formula>"Towel"</formula>
    </cfRule>
    <cfRule type="cellIs" dxfId="28668" priority="19012" stopIfTrue="1" operator="equal">
      <formula>"Napkin Hs"</formula>
    </cfRule>
    <cfRule type="cellIs" dxfId="28667" priority="19017" stopIfTrue="1" operator="equal">
      <formula>"Towel"</formula>
    </cfRule>
    <cfRule type="cellIs" dxfId="28666" priority="19018" stopIfTrue="1" operator="equal">
      <formula>"Napkin Hs"</formula>
    </cfRule>
    <cfRule type="cellIs" dxfId="28665" priority="19023" stopIfTrue="1" operator="equal">
      <formula>"Towel"</formula>
    </cfRule>
    <cfRule type="cellIs" dxfId="28664" priority="19024" stopIfTrue="1" operator="equal">
      <formula>"Napkin Hs"</formula>
    </cfRule>
    <cfRule type="cellIs" dxfId="28663" priority="19029" stopIfTrue="1" operator="equal">
      <formula>"Towel"</formula>
    </cfRule>
    <cfRule type="cellIs" dxfId="28662" priority="19030" stopIfTrue="1" operator="equal">
      <formula>"Napkin Hs"</formula>
    </cfRule>
    <cfRule type="cellIs" dxfId="28661" priority="19035" stopIfTrue="1" operator="equal">
      <formula>"Towel"</formula>
    </cfRule>
    <cfRule type="cellIs" dxfId="28660" priority="19036" stopIfTrue="1" operator="equal">
      <formula>"Napkin Hs"</formula>
    </cfRule>
  </conditionalFormatting>
  <conditionalFormatting sqref="B87:C87">
    <cfRule type="cellIs" dxfId="28659" priority="19041" stopIfTrue="1" operator="equal">
      <formula>"Towel"</formula>
    </cfRule>
    <cfRule type="cellIs" dxfId="28658" priority="19042" stopIfTrue="1" operator="equal">
      <formula>"Napkin Hs"</formula>
    </cfRule>
    <cfRule type="cellIs" dxfId="28657" priority="19047" stopIfTrue="1" operator="equal">
      <formula>"Towel"</formula>
    </cfRule>
    <cfRule type="cellIs" dxfId="28656" priority="19048" stopIfTrue="1" operator="equal">
      <formula>"Napkin Hs"</formula>
    </cfRule>
    <cfRule type="cellIs" dxfId="28655" priority="19053" stopIfTrue="1" operator="equal">
      <formula>"Towel"</formula>
    </cfRule>
    <cfRule type="cellIs" dxfId="28654" priority="19054" stopIfTrue="1" operator="equal">
      <formula>"Napkin Hs"</formula>
    </cfRule>
    <cfRule type="cellIs" dxfId="28653" priority="19059" stopIfTrue="1" operator="equal">
      <formula>"Towel"</formula>
    </cfRule>
    <cfRule type="cellIs" dxfId="28652" priority="19060" stopIfTrue="1" operator="equal">
      <formula>"Napkin Hs"</formula>
    </cfRule>
    <cfRule type="cellIs" dxfId="28651" priority="19065" stopIfTrue="1" operator="equal">
      <formula>"Towel"</formula>
    </cfRule>
    <cfRule type="cellIs" dxfId="28650" priority="19066" stopIfTrue="1" operator="equal">
      <formula>"Napkin Hs"</formula>
    </cfRule>
    <cfRule type="cellIs" dxfId="28649" priority="19071" stopIfTrue="1" operator="equal">
      <formula>"Towel"</formula>
    </cfRule>
    <cfRule type="cellIs" dxfId="28648" priority="19072" stopIfTrue="1" operator="equal">
      <formula>"Napkin Hs"</formula>
    </cfRule>
  </conditionalFormatting>
  <conditionalFormatting sqref="B88:C88">
    <cfRule type="cellIs" dxfId="28647" priority="19077" stopIfTrue="1" operator="equal">
      <formula>"Towel"</formula>
    </cfRule>
    <cfRule type="cellIs" dxfId="28646" priority="19078" stopIfTrue="1" operator="equal">
      <formula>"Napkin Hs"</formula>
    </cfRule>
  </conditionalFormatting>
  <conditionalFormatting sqref="B90:C90 B91">
    <cfRule type="cellIs" dxfId="28645" priority="18759" stopIfTrue="1" operator="equal">
      <formula>"Towel"</formula>
    </cfRule>
    <cfRule type="cellIs" dxfId="28644" priority="18760" stopIfTrue="1" operator="equal">
      <formula>"Napkin Hs"</formula>
    </cfRule>
    <cfRule type="cellIs" dxfId="28643" priority="18765" stopIfTrue="1" operator="equal">
      <formula>"Towel"</formula>
    </cfRule>
    <cfRule type="cellIs" dxfId="28642" priority="18766" stopIfTrue="1" operator="equal">
      <formula>"Napkin Hs"</formula>
    </cfRule>
    <cfRule type="cellIs" dxfId="28641" priority="18771" stopIfTrue="1" operator="equal">
      <formula>"Towel"</formula>
    </cfRule>
    <cfRule type="cellIs" dxfId="28640" priority="18772" stopIfTrue="1" operator="equal">
      <formula>"Napkin Hs"</formula>
    </cfRule>
    <cfRule type="cellIs" dxfId="28639" priority="18777" stopIfTrue="1" operator="equal">
      <formula>"Towel"</formula>
    </cfRule>
    <cfRule type="cellIs" dxfId="28638" priority="18778" stopIfTrue="1" operator="equal">
      <formula>"Napkin Hs"</formula>
    </cfRule>
    <cfRule type="cellIs" dxfId="28637" priority="18783" stopIfTrue="1" operator="equal">
      <formula>"Towel"</formula>
    </cfRule>
    <cfRule type="cellIs" dxfId="28636" priority="18784" stopIfTrue="1" operator="equal">
      <formula>"Napkin Hs"</formula>
    </cfRule>
    <cfRule type="cellIs" dxfId="28635" priority="18789" stopIfTrue="1" operator="equal">
      <formula>"Towel"</formula>
    </cfRule>
    <cfRule type="cellIs" dxfId="28634" priority="18790" stopIfTrue="1" operator="equal">
      <formula>"Napkin Hs"</formula>
    </cfRule>
    <cfRule type="cellIs" dxfId="28633" priority="18795" stopIfTrue="1" operator="equal">
      <formula>"Towel"</formula>
    </cfRule>
    <cfRule type="cellIs" dxfId="28632" priority="18796" stopIfTrue="1" operator="equal">
      <formula>"Napkin Hs"</formula>
    </cfRule>
    <cfRule type="cellIs" dxfId="28631" priority="18801" stopIfTrue="1" operator="equal">
      <formula>"Towel"</formula>
    </cfRule>
    <cfRule type="cellIs" dxfId="28630" priority="18802" stopIfTrue="1" operator="equal">
      <formula>"Napkin Hs"</formula>
    </cfRule>
  </conditionalFormatting>
  <conditionalFormatting sqref="C91">
    <cfRule type="cellIs" dxfId="28629" priority="18903" stopIfTrue="1" operator="equal">
      <formula>"Towel"</formula>
    </cfRule>
    <cfRule type="cellIs" dxfId="28628" priority="18904" stopIfTrue="1" operator="equal">
      <formula>"Napkin Hs"</formula>
    </cfRule>
    <cfRule type="cellIs" dxfId="28627" priority="18909" stopIfTrue="1" operator="equal">
      <formula>"Towel"</formula>
    </cfRule>
    <cfRule type="cellIs" dxfId="28626" priority="18910" stopIfTrue="1" operator="equal">
      <formula>"Napkin Hs"</formula>
    </cfRule>
    <cfRule type="cellIs" dxfId="28625" priority="18915" stopIfTrue="1" operator="equal">
      <formula>"Towel"</formula>
    </cfRule>
    <cfRule type="cellIs" dxfId="28624" priority="18916" stopIfTrue="1" operator="equal">
      <formula>"Napkin Hs"</formula>
    </cfRule>
    <cfRule type="cellIs" dxfId="28623" priority="18921" stopIfTrue="1" operator="equal">
      <formula>"Towel"</formula>
    </cfRule>
    <cfRule type="cellIs" dxfId="28622" priority="18922" stopIfTrue="1" operator="equal">
      <formula>"Napkin Hs"</formula>
    </cfRule>
    <cfRule type="cellIs" dxfId="28621" priority="18927" stopIfTrue="1" operator="equal">
      <formula>"Towel"</formula>
    </cfRule>
    <cfRule type="cellIs" dxfId="28620" priority="18928" stopIfTrue="1" operator="equal">
      <formula>"Napkin Hs"</formula>
    </cfRule>
    <cfRule type="cellIs" dxfId="28619" priority="18933" stopIfTrue="1" operator="equal">
      <formula>"Towel"</formula>
    </cfRule>
    <cfRule type="cellIs" dxfId="28618" priority="18934" stopIfTrue="1" operator="equal">
      <formula>"Napkin Hs"</formula>
    </cfRule>
  </conditionalFormatting>
  <conditionalFormatting sqref="B92:C92">
    <cfRule type="cellIs" dxfId="28617" priority="18939" stopIfTrue="1" operator="equal">
      <formula>"Towel"</formula>
    </cfRule>
    <cfRule type="cellIs" dxfId="28616" priority="18940" stopIfTrue="1" operator="equal">
      <formula>"Napkin Hs"</formula>
    </cfRule>
  </conditionalFormatting>
  <conditionalFormatting sqref="B96:C96">
    <cfRule type="cellIs" dxfId="28615" priority="18723" stopIfTrue="1" operator="equal">
      <formula>"Towel"</formula>
    </cfRule>
    <cfRule type="cellIs" dxfId="28614" priority="18724" stopIfTrue="1" operator="equal">
      <formula>"Napkin Hs"</formula>
    </cfRule>
    <cfRule type="cellIs" dxfId="28613" priority="18729" stopIfTrue="1" operator="equal">
      <formula>"Towel"</formula>
    </cfRule>
    <cfRule type="cellIs" dxfId="28612" priority="18730" stopIfTrue="1" operator="equal">
      <formula>"Napkin Hs"</formula>
    </cfRule>
    <cfRule type="cellIs" dxfId="28611" priority="18735" stopIfTrue="1" operator="equal">
      <formula>"Towel"</formula>
    </cfRule>
    <cfRule type="cellIs" dxfId="28610" priority="18736" stopIfTrue="1" operator="equal">
      <formula>"Napkin Hs"</formula>
    </cfRule>
    <cfRule type="cellIs" dxfId="28609" priority="18741" stopIfTrue="1" operator="equal">
      <formula>"Towel"</formula>
    </cfRule>
    <cfRule type="cellIs" dxfId="28608" priority="18742" stopIfTrue="1" operator="equal">
      <formula>"Napkin Hs"</formula>
    </cfRule>
    <cfRule type="cellIs" dxfId="28607" priority="18747" stopIfTrue="1" operator="equal">
      <formula>"Towel"</formula>
    </cfRule>
    <cfRule type="cellIs" dxfId="28606" priority="18748" stopIfTrue="1" operator="equal">
      <formula>"Napkin Hs"</formula>
    </cfRule>
  </conditionalFormatting>
  <conditionalFormatting sqref="B96:C98">
    <cfRule type="cellIs" dxfId="28605" priority="18753" stopIfTrue="1" operator="equal">
      <formula>"Towel"</formula>
    </cfRule>
    <cfRule type="cellIs" dxfId="28604" priority="18754" stopIfTrue="1" operator="equal">
      <formula>"Napkin Hs"</formula>
    </cfRule>
  </conditionalFormatting>
  <conditionalFormatting sqref="B98:C98">
    <cfRule type="cellIs" dxfId="28603" priority="18427" stopIfTrue="1" operator="equal">
      <formula>"Towel"</formula>
    </cfRule>
    <cfRule type="cellIs" dxfId="28602" priority="18428" stopIfTrue="1" operator="equal">
      <formula>"Napkin Hs"</formula>
    </cfRule>
    <cfRule type="cellIs" dxfId="28601" priority="18433" stopIfTrue="1" operator="equal">
      <formula>"Towel"</formula>
    </cfRule>
    <cfRule type="cellIs" dxfId="28600" priority="18434" stopIfTrue="1" operator="equal">
      <formula>"Napkin Hs"</formula>
    </cfRule>
    <cfRule type="cellIs" dxfId="28599" priority="18439" stopIfTrue="1" operator="equal">
      <formula>"Towel"</formula>
    </cfRule>
    <cfRule type="cellIs" dxfId="28598" priority="18440" stopIfTrue="1" operator="equal">
      <formula>"Napkin Hs"</formula>
    </cfRule>
    <cfRule type="cellIs" dxfId="28597" priority="18445" stopIfTrue="1" operator="equal">
      <formula>"Towel"</formula>
    </cfRule>
    <cfRule type="cellIs" dxfId="28596" priority="18446" stopIfTrue="1" operator="equal">
      <formula>"Napkin Hs"</formula>
    </cfRule>
    <cfRule type="cellIs" dxfId="28595" priority="18451" stopIfTrue="1" operator="equal">
      <formula>"Towel"</formula>
    </cfRule>
    <cfRule type="cellIs" dxfId="28594" priority="18452" stopIfTrue="1" operator="equal">
      <formula>"Napkin Hs"</formula>
    </cfRule>
    <cfRule type="cellIs" dxfId="28593" priority="18457" stopIfTrue="1" operator="equal">
      <formula>"Towel"</formula>
    </cfRule>
    <cfRule type="cellIs" dxfId="28592" priority="18458" stopIfTrue="1" operator="equal">
      <formula>"Napkin Hs"</formula>
    </cfRule>
    <cfRule type="cellIs" dxfId="28591" priority="18463" stopIfTrue="1" operator="equal">
      <formula>"Towel"</formula>
    </cfRule>
    <cfRule type="cellIs" dxfId="28590" priority="18464" stopIfTrue="1" operator="equal">
      <formula>"Napkin Hs"</formula>
    </cfRule>
    <cfRule type="cellIs" dxfId="28589" priority="18469" stopIfTrue="1" operator="equal">
      <formula>"Towel"</formula>
    </cfRule>
    <cfRule type="cellIs" dxfId="28588" priority="18470" stopIfTrue="1" operator="equal">
      <formula>"Napkin Hs"</formula>
    </cfRule>
  </conditionalFormatting>
  <conditionalFormatting sqref="B99:C100">
    <cfRule type="cellIs" dxfId="28587" priority="18373" stopIfTrue="1" operator="equal">
      <formula>"Towel"</formula>
    </cfRule>
    <cfRule type="cellIs" dxfId="28586" priority="18374" stopIfTrue="1" operator="equal">
      <formula>"Napkin Hs"</formula>
    </cfRule>
    <cfRule type="cellIs" dxfId="28585" priority="18379" stopIfTrue="1" operator="equal">
      <formula>"Towel"</formula>
    </cfRule>
    <cfRule type="cellIs" dxfId="28584" priority="18380" stopIfTrue="1" operator="equal">
      <formula>"Napkin Hs"</formula>
    </cfRule>
    <cfRule type="cellIs" dxfId="28583" priority="18385" stopIfTrue="1" operator="equal">
      <formula>"Towel"</formula>
    </cfRule>
    <cfRule type="cellIs" dxfId="28582" priority="18386" stopIfTrue="1" operator="equal">
      <formula>"Napkin Hs"</formula>
    </cfRule>
    <cfRule type="cellIs" dxfId="28581" priority="18391" stopIfTrue="1" operator="equal">
      <formula>"Towel"</formula>
    </cfRule>
    <cfRule type="cellIs" dxfId="28580" priority="18392" stopIfTrue="1" operator="equal">
      <formula>"Napkin Hs"</formula>
    </cfRule>
    <cfRule type="cellIs" dxfId="28579" priority="18397" stopIfTrue="1" operator="equal">
      <formula>"Towel"</formula>
    </cfRule>
    <cfRule type="cellIs" dxfId="28578" priority="18398" stopIfTrue="1" operator="equal">
      <formula>"Napkin Hs"</formula>
    </cfRule>
    <cfRule type="cellIs" dxfId="28577" priority="18403" stopIfTrue="1" operator="equal">
      <formula>"Towel"</formula>
    </cfRule>
    <cfRule type="cellIs" dxfId="28576" priority="18404" stopIfTrue="1" operator="equal">
      <formula>"Napkin Hs"</formula>
    </cfRule>
    <cfRule type="cellIs" dxfId="28575" priority="18409" stopIfTrue="1" operator="equal">
      <formula>"Towel"</formula>
    </cfRule>
    <cfRule type="cellIs" dxfId="28574" priority="18410" stopIfTrue="1" operator="equal">
      <formula>"Napkin Hs"</formula>
    </cfRule>
    <cfRule type="cellIs" dxfId="28573" priority="18415" stopIfTrue="1" operator="equal">
      <formula>"Towel"</formula>
    </cfRule>
    <cfRule type="cellIs" dxfId="28572" priority="18416" stopIfTrue="1" operator="equal">
      <formula>"Napkin Hs"</formula>
    </cfRule>
  </conditionalFormatting>
  <conditionalFormatting sqref="B99:C101">
    <cfRule type="cellIs" dxfId="28571" priority="18421" stopIfTrue="1" operator="equal">
      <formula>"Towel"</formula>
    </cfRule>
    <cfRule type="cellIs" dxfId="28570" priority="18422" stopIfTrue="1" operator="equal">
      <formula>"Napkin Hs"</formula>
    </cfRule>
  </conditionalFormatting>
  <conditionalFormatting sqref="B101:C101">
    <cfRule type="cellIs" dxfId="28569" priority="20913" stopIfTrue="1" operator="equal">
      <formula>"Towel"</formula>
    </cfRule>
    <cfRule type="cellIs" dxfId="28568" priority="20914" stopIfTrue="1" operator="equal">
      <formula>"Napkin Hs"</formula>
    </cfRule>
  </conditionalFormatting>
  <conditionalFormatting sqref="B102:C102">
    <cfRule type="cellIs" dxfId="28567" priority="20905" stopIfTrue="1" operator="equal">
      <formula>"Towel"</formula>
    </cfRule>
    <cfRule type="cellIs" dxfId="28566" priority="20906" stopIfTrue="1" operator="equal">
      <formula>"Napkin Hs"</formula>
    </cfRule>
  </conditionalFormatting>
  <conditionalFormatting sqref="B102:C102">
    <cfRule type="cellIs" dxfId="28565" priority="18573" stopIfTrue="1" operator="equal">
      <formula>"Towel"</formula>
    </cfRule>
    <cfRule type="cellIs" dxfId="28564" priority="18574" stopIfTrue="1" operator="equal">
      <formula>"Napkin Hs"</formula>
    </cfRule>
  </conditionalFormatting>
  <conditionalFormatting sqref="B108:C108">
    <cfRule type="cellIs" dxfId="28563" priority="18211" stopIfTrue="1" operator="equal">
      <formula>"Towel"</formula>
    </cfRule>
    <cfRule type="cellIs" dxfId="28562" priority="18212" stopIfTrue="1" operator="equal">
      <formula>"Napkin Hs"</formula>
    </cfRule>
    <cfRule type="cellIs" dxfId="28561" priority="18217" stopIfTrue="1" operator="equal">
      <formula>"Towel"</formula>
    </cfRule>
    <cfRule type="cellIs" dxfId="28560" priority="18218" stopIfTrue="1" operator="equal">
      <formula>"Napkin Hs"</formula>
    </cfRule>
    <cfRule type="cellIs" dxfId="28559" priority="18223" stopIfTrue="1" operator="equal">
      <formula>"Towel"</formula>
    </cfRule>
    <cfRule type="cellIs" dxfId="28558" priority="18224" stopIfTrue="1" operator="equal">
      <formula>"Napkin Hs"</formula>
    </cfRule>
    <cfRule type="cellIs" dxfId="28557" priority="18229" stopIfTrue="1" operator="equal">
      <formula>"Towel"</formula>
    </cfRule>
    <cfRule type="cellIs" dxfId="28556" priority="18230" stopIfTrue="1" operator="equal">
      <formula>"Napkin Hs"</formula>
    </cfRule>
    <cfRule type="cellIs" dxfId="28555" priority="18235" stopIfTrue="1" operator="equal">
      <formula>"Towel"</formula>
    </cfRule>
    <cfRule type="cellIs" dxfId="28554" priority="18236" stopIfTrue="1" operator="equal">
      <formula>"Napkin Hs"</formula>
    </cfRule>
    <cfRule type="cellIs" dxfId="28553" priority="18241" stopIfTrue="1" operator="equal">
      <formula>"Towel"</formula>
    </cfRule>
    <cfRule type="cellIs" dxfId="28552" priority="18242" stopIfTrue="1" operator="equal">
      <formula>"Napkin Hs"</formula>
    </cfRule>
    <cfRule type="cellIs" dxfId="28551" priority="18247" stopIfTrue="1" operator="equal">
      <formula>"Towel"</formula>
    </cfRule>
    <cfRule type="cellIs" dxfId="28550" priority="18248" stopIfTrue="1" operator="equal">
      <formula>"Napkin Hs"</formula>
    </cfRule>
    <cfRule type="cellIs" dxfId="28549" priority="18253" stopIfTrue="1" operator="equal">
      <formula>"Towel"</formula>
    </cfRule>
    <cfRule type="cellIs" dxfId="28548" priority="18254" stopIfTrue="1" operator="equal">
      <formula>"Napkin Hs"</formula>
    </cfRule>
    <cfRule type="cellIs" dxfId="28547" priority="18259" stopIfTrue="1" operator="equal">
      <formula>"Towel"</formula>
    </cfRule>
    <cfRule type="cellIs" dxfId="28546" priority="18260" stopIfTrue="1" operator="equal">
      <formula>"Napkin Hs"</formula>
    </cfRule>
  </conditionalFormatting>
  <conditionalFormatting sqref="B109:C110">
    <cfRule type="cellIs" dxfId="28545" priority="18157" stopIfTrue="1" operator="equal">
      <formula>"Towel"</formula>
    </cfRule>
    <cfRule type="cellIs" dxfId="28544" priority="18158" stopIfTrue="1" operator="equal">
      <formula>"Napkin Hs"</formula>
    </cfRule>
    <cfRule type="cellIs" dxfId="28543" priority="18163" stopIfTrue="1" operator="equal">
      <formula>"Towel"</formula>
    </cfRule>
    <cfRule type="cellIs" dxfId="28542" priority="18164" stopIfTrue="1" operator="equal">
      <formula>"Napkin Hs"</formula>
    </cfRule>
    <cfRule type="cellIs" dxfId="28541" priority="18169" stopIfTrue="1" operator="equal">
      <formula>"Towel"</formula>
    </cfRule>
    <cfRule type="cellIs" dxfId="28540" priority="18170" stopIfTrue="1" operator="equal">
      <formula>"Napkin Hs"</formula>
    </cfRule>
    <cfRule type="cellIs" dxfId="28539" priority="18175" stopIfTrue="1" operator="equal">
      <formula>"Towel"</formula>
    </cfRule>
    <cfRule type="cellIs" dxfId="28538" priority="18176" stopIfTrue="1" operator="equal">
      <formula>"Napkin Hs"</formula>
    </cfRule>
    <cfRule type="cellIs" dxfId="28537" priority="18181" stopIfTrue="1" operator="equal">
      <formula>"Towel"</formula>
    </cfRule>
    <cfRule type="cellIs" dxfId="28536" priority="18182" stopIfTrue="1" operator="equal">
      <formula>"Napkin Hs"</formula>
    </cfRule>
    <cfRule type="cellIs" dxfId="28535" priority="18187" stopIfTrue="1" operator="equal">
      <formula>"Towel"</formula>
    </cfRule>
    <cfRule type="cellIs" dxfId="28534" priority="18188" stopIfTrue="1" operator="equal">
      <formula>"Napkin Hs"</formula>
    </cfRule>
    <cfRule type="cellIs" dxfId="28533" priority="18193" stopIfTrue="1" operator="equal">
      <formula>"Towel"</formula>
    </cfRule>
    <cfRule type="cellIs" dxfId="28532" priority="18194" stopIfTrue="1" operator="equal">
      <formula>"Napkin Hs"</formula>
    </cfRule>
    <cfRule type="cellIs" dxfId="28531" priority="18199" stopIfTrue="1" operator="equal">
      <formula>"Towel"</formula>
    </cfRule>
    <cfRule type="cellIs" dxfId="28530" priority="18200" stopIfTrue="1" operator="equal">
      <formula>"Napkin Hs"</formula>
    </cfRule>
    <cfRule type="cellIs" dxfId="28529" priority="18205" stopIfTrue="1" operator="equal">
      <formula>"Towel"</formula>
    </cfRule>
    <cfRule type="cellIs" dxfId="28528" priority="18206" stopIfTrue="1" operator="equal">
      <formula>"Napkin Hs"</formula>
    </cfRule>
  </conditionalFormatting>
  <conditionalFormatting sqref="B111:C111">
    <cfRule type="cellIs" dxfId="28527" priority="20855" stopIfTrue="1" operator="equal">
      <formula>"Towel"</formula>
    </cfRule>
    <cfRule type="cellIs" dxfId="28526" priority="20856" stopIfTrue="1" operator="equal">
      <formula>"Napkin Hs"</formula>
    </cfRule>
  </conditionalFormatting>
  <conditionalFormatting sqref="B113:C113">
    <cfRule type="cellIs" dxfId="28525" priority="18039" stopIfTrue="1" operator="equal">
      <formula>"Towel"</formula>
    </cfRule>
    <cfRule type="cellIs" dxfId="28524" priority="18040" stopIfTrue="1" operator="equal">
      <formula>"Napkin Hs"</formula>
    </cfRule>
    <cfRule type="cellIs" dxfId="28523" priority="18045" stopIfTrue="1" operator="equal">
      <formula>"Towel"</formula>
    </cfRule>
    <cfRule type="cellIs" dxfId="28522" priority="18046" stopIfTrue="1" operator="equal">
      <formula>"Napkin Hs"</formula>
    </cfRule>
    <cfRule type="cellIs" dxfId="28521" priority="18051" stopIfTrue="1" operator="equal">
      <formula>"Towel"</formula>
    </cfRule>
    <cfRule type="cellIs" dxfId="28520" priority="18052" stopIfTrue="1" operator="equal">
      <formula>"Napkin Hs"</formula>
    </cfRule>
    <cfRule type="cellIs" dxfId="28519" priority="18057" stopIfTrue="1" operator="equal">
      <formula>"Towel"</formula>
    </cfRule>
    <cfRule type="cellIs" dxfId="28518" priority="18058" stopIfTrue="1" operator="equal">
      <formula>"Napkin Hs"</formula>
    </cfRule>
    <cfRule type="cellIs" dxfId="28517" priority="18063" stopIfTrue="1" operator="equal">
      <formula>"Towel"</formula>
    </cfRule>
    <cfRule type="cellIs" dxfId="28516" priority="18064" stopIfTrue="1" operator="equal">
      <formula>"Napkin Hs"</formula>
    </cfRule>
    <cfRule type="cellIs" dxfId="28515" priority="18069" stopIfTrue="1" operator="equal">
      <formula>"Towel"</formula>
    </cfRule>
    <cfRule type="cellIs" dxfId="28514" priority="18070" stopIfTrue="1" operator="equal">
      <formula>"Napkin Hs"</formula>
    </cfRule>
    <cfRule type="cellIs" dxfId="28513" priority="18075" stopIfTrue="1" operator="equal">
      <formula>"Towel"</formula>
    </cfRule>
    <cfRule type="cellIs" dxfId="28512" priority="18076" stopIfTrue="1" operator="equal">
      <formula>"Napkin Hs"</formula>
    </cfRule>
    <cfRule type="cellIs" dxfId="28511" priority="18081" stopIfTrue="1" operator="equal">
      <formula>"Towel"</formula>
    </cfRule>
    <cfRule type="cellIs" dxfId="28510" priority="18082" stopIfTrue="1" operator="equal">
      <formula>"Napkin Hs"</formula>
    </cfRule>
    <cfRule type="cellIs" dxfId="28509" priority="18087" stopIfTrue="1" operator="equal">
      <formula>"Towel"</formula>
    </cfRule>
    <cfRule type="cellIs" dxfId="28508" priority="18088" stopIfTrue="1" operator="equal">
      <formula>"Napkin Hs"</formula>
    </cfRule>
  </conditionalFormatting>
  <conditionalFormatting sqref="B122:C122">
    <cfRule type="cellIs" dxfId="28507" priority="17667" stopIfTrue="1" operator="equal">
      <formula>"Towel"</formula>
    </cfRule>
    <cfRule type="cellIs" dxfId="28506" priority="17668" stopIfTrue="1" operator="equal">
      <formula>"Napkin Hs"</formula>
    </cfRule>
    <cfRule type="cellIs" dxfId="28505" priority="17673" stopIfTrue="1" operator="equal">
      <formula>"Towel"</formula>
    </cfRule>
    <cfRule type="cellIs" dxfId="28504" priority="17674" stopIfTrue="1" operator="equal">
      <formula>"Napkin Hs"</formula>
    </cfRule>
    <cfRule type="cellIs" dxfId="28503" priority="17679" stopIfTrue="1" operator="equal">
      <formula>"Towel"</formula>
    </cfRule>
    <cfRule type="cellIs" dxfId="28502" priority="17680" stopIfTrue="1" operator="equal">
      <formula>"Napkin Hs"</formula>
    </cfRule>
    <cfRule type="cellIs" dxfId="28501" priority="17685" stopIfTrue="1" operator="equal">
      <formula>"Towel"</formula>
    </cfRule>
    <cfRule type="cellIs" dxfId="28500" priority="17686" stopIfTrue="1" operator="equal">
      <formula>"Napkin Hs"</formula>
    </cfRule>
    <cfRule type="cellIs" dxfId="28499" priority="17691" stopIfTrue="1" operator="equal">
      <formula>"Towel"</formula>
    </cfRule>
    <cfRule type="cellIs" dxfId="28498" priority="17692" stopIfTrue="1" operator="equal">
      <formula>"Napkin Hs"</formula>
    </cfRule>
    <cfRule type="cellIs" dxfId="28497" priority="17697" stopIfTrue="1" operator="equal">
      <formula>"Towel"</formula>
    </cfRule>
    <cfRule type="cellIs" dxfId="28496" priority="17698" stopIfTrue="1" operator="equal">
      <formula>"Napkin Hs"</formula>
    </cfRule>
    <cfRule type="cellIs" dxfId="28495" priority="17703" stopIfTrue="1" operator="equal">
      <formula>"Towel"</formula>
    </cfRule>
    <cfRule type="cellIs" dxfId="28494" priority="17704" stopIfTrue="1" operator="equal">
      <formula>"Napkin Hs"</formula>
    </cfRule>
    <cfRule type="cellIs" dxfId="28493" priority="17709" stopIfTrue="1" operator="equal">
      <formula>"Towel"</formula>
    </cfRule>
    <cfRule type="cellIs" dxfId="28492" priority="17710" stopIfTrue="1" operator="equal">
      <formula>"Napkin Hs"</formula>
    </cfRule>
    <cfRule type="cellIs" dxfId="28491" priority="17715" stopIfTrue="1" operator="equal">
      <formula>"Towel"</formula>
    </cfRule>
    <cfRule type="cellIs" dxfId="28490" priority="17716" stopIfTrue="1" operator="equal">
      <formula>"Napkin Hs"</formula>
    </cfRule>
    <cfRule type="cellIs" dxfId="28489" priority="17721" stopIfTrue="1" operator="equal">
      <formula>"Towel"</formula>
    </cfRule>
    <cfRule type="cellIs" dxfId="28488" priority="17722" stopIfTrue="1" operator="equal">
      <formula>"Napkin Hs"</formula>
    </cfRule>
  </conditionalFormatting>
  <conditionalFormatting sqref="B123:C123">
    <cfRule type="cellIs" dxfId="28487" priority="17787" stopIfTrue="1" operator="equal">
      <formula>"Towel"</formula>
    </cfRule>
    <cfRule type="cellIs" dxfId="28486" priority="17788" stopIfTrue="1" operator="equal">
      <formula>"Napkin Hs"</formula>
    </cfRule>
    <cfRule type="cellIs" dxfId="28485" priority="17793" stopIfTrue="1" operator="equal">
      <formula>"Towel"</formula>
    </cfRule>
    <cfRule type="cellIs" dxfId="28484" priority="17794" stopIfTrue="1" operator="equal">
      <formula>"Napkin Hs"</formula>
    </cfRule>
    <cfRule type="cellIs" dxfId="28483" priority="17799" stopIfTrue="1" operator="equal">
      <formula>"Towel"</formula>
    </cfRule>
    <cfRule type="cellIs" dxfId="28482" priority="17800" stopIfTrue="1" operator="equal">
      <formula>"Napkin Hs"</formula>
    </cfRule>
    <cfRule type="cellIs" dxfId="28481" priority="17805" stopIfTrue="1" operator="equal">
      <formula>"Towel"</formula>
    </cfRule>
    <cfRule type="cellIs" dxfId="28480" priority="17806" stopIfTrue="1" operator="equal">
      <formula>"Napkin Hs"</formula>
    </cfRule>
    <cfRule type="cellIs" dxfId="28479" priority="17811" stopIfTrue="1" operator="equal">
      <formula>"Towel"</formula>
    </cfRule>
    <cfRule type="cellIs" dxfId="28478" priority="17812" stopIfTrue="1" operator="equal">
      <formula>"Napkin Hs"</formula>
    </cfRule>
    <cfRule type="cellIs" dxfId="28477" priority="17817" stopIfTrue="1" operator="equal">
      <formula>"Towel"</formula>
    </cfRule>
    <cfRule type="cellIs" dxfId="28476" priority="17818" stopIfTrue="1" operator="equal">
      <formula>"Napkin Hs"</formula>
    </cfRule>
    <cfRule type="cellIs" dxfId="28475" priority="17823" stopIfTrue="1" operator="equal">
      <formula>"Towel"</formula>
    </cfRule>
    <cfRule type="cellIs" dxfId="28474" priority="17824" stopIfTrue="1" operator="equal">
      <formula>"Napkin Hs"</formula>
    </cfRule>
    <cfRule type="cellIs" dxfId="28473" priority="17829" stopIfTrue="1" operator="equal">
      <formula>"Towel"</formula>
    </cfRule>
    <cfRule type="cellIs" dxfId="28472" priority="17830" stopIfTrue="1" operator="equal">
      <formula>"Napkin Hs"</formula>
    </cfRule>
    <cfRule type="cellIs" dxfId="28471" priority="17835" stopIfTrue="1" operator="equal">
      <formula>"Towel"</formula>
    </cfRule>
    <cfRule type="cellIs" dxfId="28470" priority="17836" stopIfTrue="1" operator="equal">
      <formula>"Napkin Hs"</formula>
    </cfRule>
    <cfRule type="cellIs" dxfId="28469" priority="17841" stopIfTrue="1" operator="equal">
      <formula>"Towel"</formula>
    </cfRule>
    <cfRule type="cellIs" dxfId="28468" priority="17842" stopIfTrue="1" operator="equal">
      <formula>"Napkin Hs"</formula>
    </cfRule>
  </conditionalFormatting>
  <conditionalFormatting sqref="B133:C133">
    <cfRule type="cellIs" dxfId="28467" priority="17289" stopIfTrue="1" operator="equal">
      <formula>"Towel"</formula>
    </cfRule>
    <cfRule type="cellIs" dxfId="28466" priority="17290" stopIfTrue="1" operator="equal">
      <formula>"Napkin Hs"</formula>
    </cfRule>
  </conditionalFormatting>
  <conditionalFormatting sqref="B134:C134">
    <cfRule type="cellIs" dxfId="28465" priority="17295" stopIfTrue="1" operator="equal">
      <formula>"Towel"</formula>
    </cfRule>
    <cfRule type="cellIs" dxfId="28464" priority="17296" stopIfTrue="1" operator="equal">
      <formula>"Napkin Hs"</formula>
    </cfRule>
  </conditionalFormatting>
  <conditionalFormatting sqref="C6 C8:C9 C26 C34 C39 C62 C98 C113 C130:C132 C144">
    <cfRule type="cellIs" dxfId="28463" priority="21292" stopIfTrue="1" operator="equal">
      <formula>"Napkin Hs"</formula>
    </cfRule>
  </conditionalFormatting>
  <conditionalFormatting sqref="C6 C8:C9 C12:C14">
    <cfRule type="cellIs" dxfId="28462" priority="17131" stopIfTrue="1" operator="equal">
      <formula>"Towel"</formula>
    </cfRule>
    <cfRule type="cellIs" dxfId="28461" priority="17132" stopIfTrue="1" operator="equal">
      <formula>"Napkin Hs"</formula>
    </cfRule>
  </conditionalFormatting>
  <conditionalFormatting sqref="C11:C12">
    <cfRule type="cellIs" dxfId="28460" priority="17113" stopIfTrue="1" operator="equal">
      <formula>"Towel"</formula>
    </cfRule>
    <cfRule type="cellIs" dxfId="28459" priority="17114" stopIfTrue="1" operator="equal">
      <formula>"Napkin Hs"</formula>
    </cfRule>
  </conditionalFormatting>
  <conditionalFormatting sqref="C11">
    <cfRule type="cellIs" dxfId="28458" priority="17111" stopIfTrue="1" operator="equal">
      <formula>"Towel"</formula>
    </cfRule>
    <cfRule type="cellIs" dxfId="28457" priority="17112" stopIfTrue="1" operator="equal">
      <formula>"Napkin Hs"</formula>
    </cfRule>
  </conditionalFormatting>
  <conditionalFormatting sqref="C12:C14">
    <cfRule type="cellIs" dxfId="28456" priority="17119" stopIfTrue="1" operator="equal">
      <formula>"Towel"</formula>
    </cfRule>
    <cfRule type="cellIs" dxfId="28455" priority="17120" stopIfTrue="1" operator="equal">
      <formula>"Napkin Hs"</formula>
    </cfRule>
  </conditionalFormatting>
  <conditionalFormatting sqref="C13:C14">
    <cfRule type="cellIs" dxfId="28454" priority="17125" stopIfTrue="1" operator="equal">
      <formula>"Towel"</formula>
    </cfRule>
    <cfRule type="cellIs" dxfId="28453" priority="17126" stopIfTrue="1" operator="equal">
      <formula>"Napkin Hs"</formula>
    </cfRule>
  </conditionalFormatting>
  <conditionalFormatting sqref="C19">
    <cfRule type="cellIs" dxfId="28452" priority="17095" stopIfTrue="1" operator="equal">
      <formula>"Towel"</formula>
    </cfRule>
    <cfRule type="cellIs" dxfId="28451" priority="17096" stopIfTrue="1" operator="equal">
      <formula>"Napkin Hs"</formula>
    </cfRule>
  </conditionalFormatting>
  <conditionalFormatting sqref="C19">
    <cfRule type="cellIs" dxfId="28450" priority="17101" stopIfTrue="1" operator="equal">
      <formula>"Towel"</formula>
    </cfRule>
    <cfRule type="cellIs" dxfId="28449" priority="17102" stopIfTrue="1" operator="equal">
      <formula>"Napkin Hs"</formula>
    </cfRule>
  </conditionalFormatting>
  <conditionalFormatting sqref="C21">
    <cfRule type="cellIs" dxfId="28448" priority="17063" stopIfTrue="1" operator="equal">
      <formula>"Towel"</formula>
    </cfRule>
    <cfRule type="cellIs" dxfId="28447" priority="17064" stopIfTrue="1" operator="equal">
      <formula>"Napkin Hs"</formula>
    </cfRule>
  </conditionalFormatting>
  <conditionalFormatting sqref="C21:C22">
    <cfRule type="cellIs" dxfId="28446" priority="17065" stopIfTrue="1" operator="equal">
      <formula>"Towel"</formula>
    </cfRule>
    <cfRule type="cellIs" dxfId="28445" priority="17066" stopIfTrue="1" operator="equal">
      <formula>"Napkin Hs"</formula>
    </cfRule>
  </conditionalFormatting>
  <conditionalFormatting sqref="C22">
    <cfRule type="cellIs" dxfId="28444" priority="17071" stopIfTrue="1" operator="equal">
      <formula>"Towel"</formula>
    </cfRule>
    <cfRule type="cellIs" dxfId="28443" priority="17072" stopIfTrue="1" operator="equal">
      <formula>"Napkin Hs"</formula>
    </cfRule>
  </conditionalFormatting>
  <conditionalFormatting sqref="C24">
    <cfRule type="cellIs" dxfId="28442" priority="17077" stopIfTrue="1" operator="equal">
      <formula>"Towel"</formula>
    </cfRule>
    <cfRule type="cellIs" dxfId="28441" priority="17078" stopIfTrue="1" operator="equal">
      <formula>"Napkin Hs"</formula>
    </cfRule>
  </conditionalFormatting>
  <conditionalFormatting sqref="C24 C26:C27">
    <cfRule type="cellIs" dxfId="28440" priority="20667" stopIfTrue="1" operator="equal">
      <formula>"Towel"</formula>
    </cfRule>
    <cfRule type="cellIs" dxfId="28439" priority="20668" stopIfTrue="1" operator="equal">
      <formula>"Napkin Hs"</formula>
    </cfRule>
  </conditionalFormatting>
  <conditionalFormatting sqref="C26">
    <cfRule type="cellIs" dxfId="28438" priority="17035" stopIfTrue="1" operator="equal">
      <formula>"Towel"</formula>
    </cfRule>
    <cfRule type="cellIs" dxfId="28437" priority="17036" stopIfTrue="1" operator="equal">
      <formula>"Napkin Hs"</formula>
    </cfRule>
  </conditionalFormatting>
  <conditionalFormatting sqref="C26:C27">
    <cfRule type="cellIs" dxfId="28436" priority="17041" stopIfTrue="1" operator="equal">
      <formula>"Towel"</formula>
    </cfRule>
    <cfRule type="cellIs" dxfId="28435" priority="17042" stopIfTrue="1" operator="equal">
      <formula>"Napkin Hs"</formula>
    </cfRule>
  </conditionalFormatting>
  <conditionalFormatting sqref="C27">
    <cfRule type="cellIs" dxfId="28434" priority="17047" stopIfTrue="1" operator="equal">
      <formula>"Towel"</formula>
    </cfRule>
    <cfRule type="cellIs" dxfId="28433" priority="17048" stopIfTrue="1" operator="equal">
      <formula>"Napkin Hs"</formula>
    </cfRule>
    <cfRule type="cellIs" dxfId="28432" priority="20665" stopIfTrue="1" operator="equal">
      <formula>"Towel"</formula>
    </cfRule>
    <cfRule type="cellIs" dxfId="28431" priority="20666" stopIfTrue="1" operator="equal">
      <formula>"Napkin Hs"</formula>
    </cfRule>
  </conditionalFormatting>
  <conditionalFormatting sqref="C28">
    <cfRule type="cellIs" dxfId="28430" priority="17021" stopIfTrue="1" operator="equal">
      <formula>"Towel"</formula>
    </cfRule>
    <cfRule type="cellIs" dxfId="28429" priority="17022" stopIfTrue="1" operator="equal">
      <formula>"Napkin Hs"</formula>
    </cfRule>
    <cfRule type="cellIs" dxfId="28428" priority="17023" stopIfTrue="1" operator="equal">
      <formula>"Towel"</formula>
    </cfRule>
    <cfRule type="cellIs" dxfId="28427" priority="17024" stopIfTrue="1" operator="equal">
      <formula>"Napkin Hs"</formula>
    </cfRule>
    <cfRule type="cellIs" dxfId="28426" priority="17027" stopIfTrue="1" operator="equal">
      <formula>"Towel"</formula>
    </cfRule>
    <cfRule type="cellIs" dxfId="28425" priority="17028" stopIfTrue="1" operator="equal">
      <formula>"Napkin Hs"</formula>
    </cfRule>
  </conditionalFormatting>
  <conditionalFormatting sqref="C28">
    <cfRule type="cellIs" dxfId="28424" priority="17029" stopIfTrue="1" operator="equal">
      <formula>"Towel"</formula>
    </cfRule>
    <cfRule type="cellIs" dxfId="28423" priority="17030" stopIfTrue="1" operator="equal">
      <formula>"Napkin Hs"</formula>
    </cfRule>
  </conditionalFormatting>
  <conditionalFormatting sqref="C34 C39 C62 C98 C113 C26 C130:C132 C144 C6 C8:C9">
    <cfRule type="cellIs" dxfId="28422" priority="21291" stopIfTrue="1" operator="equal">
      <formula>"Towel"</formula>
    </cfRule>
  </conditionalFormatting>
  <conditionalFormatting sqref="C34:C35">
    <cfRule type="cellIs" dxfId="28421" priority="20659" stopIfTrue="1" operator="equal">
      <formula>"Towel"</formula>
    </cfRule>
    <cfRule type="cellIs" dxfId="28420" priority="20660" stopIfTrue="1" operator="equal">
      <formula>"Napkin Hs"</formula>
    </cfRule>
    <cfRule type="cellIs" dxfId="28419" priority="21175" stopIfTrue="1" operator="equal">
      <formula>"Towel"</formula>
    </cfRule>
    <cfRule type="cellIs" dxfId="28418" priority="21176" stopIfTrue="1" operator="equal">
      <formula>"Napkin Hs"</formula>
    </cfRule>
  </conditionalFormatting>
  <conditionalFormatting sqref="C35">
    <cfRule type="cellIs" dxfId="28417" priority="20585" stopIfTrue="1" operator="equal">
      <formula>"Towel"</formula>
    </cfRule>
    <cfRule type="cellIs" dxfId="28416" priority="20586" stopIfTrue="1" operator="equal">
      <formula>"Napkin Hs"</formula>
    </cfRule>
    <cfRule type="cellIs" dxfId="28415" priority="20631" stopIfTrue="1" operator="equal">
      <formula>"Towel"</formula>
    </cfRule>
    <cfRule type="cellIs" dxfId="28414" priority="20632" stopIfTrue="1" operator="equal">
      <formula>"Napkin Hs"</formula>
    </cfRule>
    <cfRule type="cellIs" dxfId="28413" priority="20657" stopIfTrue="1" operator="equal">
      <formula>"Towel"</formula>
    </cfRule>
    <cfRule type="cellIs" dxfId="28412" priority="20658" stopIfTrue="1" operator="equal">
      <formula>"Napkin Hs"</formula>
    </cfRule>
  </conditionalFormatting>
  <conditionalFormatting sqref="C35:C36">
    <cfRule type="cellIs" dxfId="28411" priority="20587" stopIfTrue="1" operator="equal">
      <formula>"Towel"</formula>
    </cfRule>
    <cfRule type="cellIs" dxfId="28410" priority="20588" stopIfTrue="1" operator="equal">
      <formula>"Napkin Hs"</formula>
    </cfRule>
    <cfRule type="cellIs" dxfId="28409" priority="20627" stopIfTrue="1" operator="equal">
      <formula>"Towel"</formula>
    </cfRule>
    <cfRule type="cellIs" dxfId="28408" priority="20628" stopIfTrue="1" operator="equal">
      <formula>"Napkin Hs"</formula>
    </cfRule>
    <cfRule type="cellIs" dxfId="28407" priority="21169" stopIfTrue="1" operator="equal">
      <formula>"Towel"</formula>
    </cfRule>
    <cfRule type="cellIs" dxfId="28406" priority="21170" stopIfTrue="1" operator="equal">
      <formula>"Napkin Hs"</formula>
    </cfRule>
  </conditionalFormatting>
  <conditionalFormatting sqref="C36">
    <cfRule type="cellIs" dxfId="28405" priority="20593" stopIfTrue="1" operator="equal">
      <formula>"Towel"</formula>
    </cfRule>
    <cfRule type="cellIs" dxfId="28404" priority="20594" stopIfTrue="1" operator="equal">
      <formula>"Napkin Hs"</formula>
    </cfRule>
    <cfRule type="cellIs" dxfId="28403" priority="21163" stopIfTrue="1" operator="equal">
      <formula>"Towel"</formula>
    </cfRule>
    <cfRule type="cellIs" dxfId="28402" priority="21164" stopIfTrue="1" operator="equal">
      <formula>"Napkin Hs"</formula>
    </cfRule>
  </conditionalFormatting>
  <conditionalFormatting sqref="C36 C39">
    <cfRule type="cellIs" dxfId="28401" priority="20617" stopIfTrue="1" operator="equal">
      <formula>"Towel"</formula>
    </cfRule>
    <cfRule type="cellIs" dxfId="28400" priority="20618" stopIfTrue="1" operator="equal">
      <formula>"Napkin Hs"</formula>
    </cfRule>
  </conditionalFormatting>
  <conditionalFormatting sqref="C39">
    <cfRule type="cellIs" dxfId="28399" priority="20609" stopIfTrue="1" operator="equal">
      <formula>"Towel"</formula>
    </cfRule>
    <cfRule type="cellIs" dxfId="28398" priority="20610" stopIfTrue="1" operator="equal">
      <formula>"Napkin Hs"</formula>
    </cfRule>
    <cfRule type="cellIs" dxfId="28397" priority="21157" stopIfTrue="1" operator="equal">
      <formula>"Towel"</formula>
    </cfRule>
    <cfRule type="cellIs" dxfId="28396" priority="21158" stopIfTrue="1" operator="equal">
      <formula>"Napkin Hs"</formula>
    </cfRule>
  </conditionalFormatting>
  <conditionalFormatting sqref="C39">
    <cfRule type="cellIs" dxfId="28395" priority="20513" stopIfTrue="1" operator="equal">
      <formula>"Towel"</formula>
    </cfRule>
    <cfRule type="cellIs" dxfId="28394" priority="20514" stopIfTrue="1" operator="equal">
      <formula>"Napkin Hs"</formula>
    </cfRule>
    <cfRule type="cellIs" dxfId="28393" priority="20549" stopIfTrue="1" operator="equal">
      <formula>"Towel"</formula>
    </cfRule>
    <cfRule type="cellIs" dxfId="28392" priority="20550" stopIfTrue="1" operator="equal">
      <formula>"Napkin Hs"</formula>
    </cfRule>
    <cfRule type="cellIs" dxfId="28391" priority="20553" stopIfTrue="1" operator="equal">
      <formula>"Towel"</formula>
    </cfRule>
    <cfRule type="cellIs" dxfId="28390" priority="20554" stopIfTrue="1" operator="equal">
      <formula>"Napkin Hs"</formula>
    </cfRule>
    <cfRule type="cellIs" dxfId="28389" priority="20561" stopIfTrue="1" operator="equal">
      <formula>"Towel"</formula>
    </cfRule>
    <cfRule type="cellIs" dxfId="28388" priority="20562" stopIfTrue="1" operator="equal">
      <formula>"Napkin Hs"</formula>
    </cfRule>
    <cfRule type="cellIs" dxfId="28387" priority="20563" stopIfTrue="1" operator="equal">
      <formula>"Towel"</formula>
    </cfRule>
    <cfRule type="cellIs" dxfId="28386" priority="20564" stopIfTrue="1" operator="equal">
      <formula>"Napkin Hs"</formula>
    </cfRule>
    <cfRule type="cellIs" dxfId="28385" priority="20577" stopIfTrue="1" operator="equal">
      <formula>"Towel"</formula>
    </cfRule>
    <cfRule type="cellIs" dxfId="28384" priority="20578" stopIfTrue="1" operator="equal">
      <formula>"Napkin Hs"</formula>
    </cfRule>
    <cfRule type="cellIs" dxfId="28383" priority="20581" stopIfTrue="1" operator="equal">
      <formula>"Towel"</formula>
    </cfRule>
    <cfRule type="cellIs" dxfId="28382" priority="20582" stopIfTrue="1" operator="equal">
      <formula>"Napkin Hs"</formula>
    </cfRule>
    <cfRule type="cellIs" dxfId="28381" priority="20603" stopIfTrue="1" operator="equal">
      <formula>"Towel"</formula>
    </cfRule>
    <cfRule type="cellIs" dxfId="28380" priority="20604" stopIfTrue="1" operator="equal">
      <formula>"Napkin Hs"</formula>
    </cfRule>
    <cfRule type="cellIs" dxfId="28379" priority="20605" stopIfTrue="1" operator="equal">
      <formula>"Towel"</formula>
    </cfRule>
    <cfRule type="cellIs" dxfId="28378" priority="20606" stopIfTrue="1" operator="equal">
      <formula>"Napkin Hs"</formula>
    </cfRule>
  </conditionalFormatting>
  <conditionalFormatting sqref="C39:C40">
    <cfRule type="cellIs" dxfId="28377" priority="20401" stopIfTrue="1" operator="equal">
      <formula>"Towel"</formula>
    </cfRule>
    <cfRule type="cellIs" dxfId="28376" priority="20402" stopIfTrue="1" operator="equal">
      <formula>"Napkin Hs"</formula>
    </cfRule>
  </conditionalFormatting>
  <conditionalFormatting sqref="C40">
    <cfRule type="cellIs" dxfId="28375" priority="20363" stopIfTrue="1" operator="equal">
      <formula>"Towel"</formula>
    </cfRule>
    <cfRule type="cellIs" dxfId="28374" priority="20364" stopIfTrue="1" operator="equal">
      <formula>"Napkin Hs"</formula>
    </cfRule>
    <cfRule type="cellIs" dxfId="28373" priority="20365" stopIfTrue="1" operator="equal">
      <formula>"Towel"</formula>
    </cfRule>
    <cfRule type="cellIs" dxfId="28372" priority="20366" stopIfTrue="1" operator="equal">
      <formula>"Napkin Hs"</formula>
    </cfRule>
    <cfRule type="cellIs" dxfId="28371" priority="20369" stopIfTrue="1" operator="equal">
      <formula>"Towel"</formula>
    </cfRule>
    <cfRule type="cellIs" dxfId="28370" priority="20370" stopIfTrue="1" operator="equal">
      <formula>"Napkin Hs"</formula>
    </cfRule>
    <cfRule type="cellIs" dxfId="28369" priority="20371" stopIfTrue="1" operator="equal">
      <formula>"Towel"</formula>
    </cfRule>
    <cfRule type="cellIs" dxfId="28368" priority="20372" stopIfTrue="1" operator="equal">
      <formula>"Napkin Hs"</formula>
    </cfRule>
    <cfRule type="cellIs" dxfId="28367" priority="20375" stopIfTrue="1" operator="equal">
      <formula>"Towel"</formula>
    </cfRule>
    <cfRule type="cellIs" dxfId="28366" priority="20376" stopIfTrue="1" operator="equal">
      <formula>"Napkin Hs"</formula>
    </cfRule>
    <cfRule type="cellIs" dxfId="28365" priority="20377" stopIfTrue="1" operator="equal">
      <formula>"Towel"</formula>
    </cfRule>
    <cfRule type="cellIs" dxfId="28364" priority="20378" stopIfTrue="1" operator="equal">
      <formula>"Napkin Hs"</formula>
    </cfRule>
    <cfRule type="cellIs" dxfId="28363" priority="20381" stopIfTrue="1" operator="equal">
      <formula>"Towel"</formula>
    </cfRule>
    <cfRule type="cellIs" dxfId="28362" priority="20382" stopIfTrue="1" operator="equal">
      <formula>"Napkin Hs"</formula>
    </cfRule>
    <cfRule type="cellIs" dxfId="28361" priority="20383" stopIfTrue="1" operator="equal">
      <formula>"Towel"</formula>
    </cfRule>
    <cfRule type="cellIs" dxfId="28360" priority="20384" stopIfTrue="1" operator="equal">
      <formula>"Napkin Hs"</formula>
    </cfRule>
    <cfRule type="cellIs" dxfId="28359" priority="20387" stopIfTrue="1" operator="equal">
      <formula>"Towel"</formula>
    </cfRule>
    <cfRule type="cellIs" dxfId="28358" priority="20388" stopIfTrue="1" operator="equal">
      <formula>"Napkin Hs"</formula>
    </cfRule>
    <cfRule type="cellIs" dxfId="28357" priority="20389" stopIfTrue="1" operator="equal">
      <formula>"Towel"</formula>
    </cfRule>
    <cfRule type="cellIs" dxfId="28356" priority="20390" stopIfTrue="1" operator="equal">
      <formula>"Napkin Hs"</formula>
    </cfRule>
    <cfRule type="cellIs" dxfId="28355" priority="20393" stopIfTrue="1" operator="equal">
      <formula>"Towel"</formula>
    </cfRule>
    <cfRule type="cellIs" dxfId="28354" priority="20394" stopIfTrue="1" operator="equal">
      <formula>"Napkin Hs"</formula>
    </cfRule>
    <cfRule type="cellIs" dxfId="28353" priority="20395" stopIfTrue="1" operator="equal">
      <formula>"Towel"</formula>
    </cfRule>
    <cfRule type="cellIs" dxfId="28352" priority="20396" stopIfTrue="1" operator="equal">
      <formula>"Napkin Hs"</formula>
    </cfRule>
    <cfRule type="cellIs" dxfId="28351" priority="20399" stopIfTrue="1" operator="equal">
      <formula>"Towel"</formula>
    </cfRule>
    <cfRule type="cellIs" dxfId="28350" priority="20400" stopIfTrue="1" operator="equal">
      <formula>"Napkin Hs"</formula>
    </cfRule>
  </conditionalFormatting>
  <conditionalFormatting sqref="C42">
    <cfRule type="cellIs" dxfId="28349" priority="20535" stopIfTrue="1" operator="equal">
      <formula>"Towel"</formula>
    </cfRule>
    <cfRule type="cellIs" dxfId="28348" priority="20536" stopIfTrue="1" operator="equal">
      <formula>"Napkin Hs"</formula>
    </cfRule>
    <cfRule type="cellIs" dxfId="28347" priority="20545" stopIfTrue="1" operator="equal">
      <formula>"Towel"</formula>
    </cfRule>
    <cfRule type="cellIs" dxfId="28346" priority="20546" stopIfTrue="1" operator="equal">
      <formula>"Napkin Hs"</formula>
    </cfRule>
    <cfRule type="cellIs" dxfId="28345" priority="20569" stopIfTrue="1" operator="equal">
      <formula>"Towel"</formula>
    </cfRule>
    <cfRule type="cellIs" dxfId="28344" priority="20570" stopIfTrue="1" operator="equal">
      <formula>"Napkin Hs"</formula>
    </cfRule>
    <cfRule type="cellIs" dxfId="28343" priority="21139" stopIfTrue="1" operator="equal">
      <formula>"Towel"</formula>
    </cfRule>
    <cfRule type="cellIs" dxfId="28342" priority="21140" stopIfTrue="1" operator="equal">
      <formula>"Napkin Hs"</formula>
    </cfRule>
  </conditionalFormatting>
  <conditionalFormatting sqref="C42">
    <cfRule type="cellIs" dxfId="28341" priority="20557" stopIfTrue="1" operator="equal">
      <formula>"Towel"</formula>
    </cfRule>
    <cfRule type="cellIs" dxfId="28340" priority="20558" stopIfTrue="1" operator="equal">
      <formula>"Napkin Hs"</formula>
    </cfRule>
    <cfRule type="cellIs" dxfId="28339" priority="20567" stopIfTrue="1" operator="equal">
      <formula>"Towel"</formula>
    </cfRule>
    <cfRule type="cellIs" dxfId="28338" priority="20568" stopIfTrue="1" operator="equal">
      <formula>"Napkin Hs"</formula>
    </cfRule>
    <cfRule type="cellIs" dxfId="28337" priority="21151" stopIfTrue="1" operator="equal">
      <formula>"Towel"</formula>
    </cfRule>
    <cfRule type="cellIs" dxfId="28336" priority="21152" stopIfTrue="1" operator="equal">
      <formula>"Napkin Hs"</formula>
    </cfRule>
  </conditionalFormatting>
  <conditionalFormatting sqref="C43:C44">
    <cfRule type="cellIs" dxfId="28335" priority="20321" stopIfTrue="1" operator="equal">
      <formula>"Towel"</formula>
    </cfRule>
    <cfRule type="cellIs" dxfId="28334" priority="20322" stopIfTrue="1" operator="equal">
      <formula>"Napkin Hs"</formula>
    </cfRule>
    <cfRule type="cellIs" dxfId="28333" priority="20323" stopIfTrue="1" operator="equal">
      <formula>"Towel"</formula>
    </cfRule>
    <cfRule type="cellIs" dxfId="28332" priority="20324" stopIfTrue="1" operator="equal">
      <formula>"Napkin Hs"</formula>
    </cfRule>
    <cfRule type="cellIs" dxfId="28331" priority="20327" stopIfTrue="1" operator="equal">
      <formula>"Towel"</formula>
    </cfRule>
    <cfRule type="cellIs" dxfId="28330" priority="20328" stopIfTrue="1" operator="equal">
      <formula>"Napkin Hs"</formula>
    </cfRule>
    <cfRule type="cellIs" dxfId="28329" priority="20329" stopIfTrue="1" operator="equal">
      <formula>"Towel"</formula>
    </cfRule>
    <cfRule type="cellIs" dxfId="28328" priority="20330" stopIfTrue="1" operator="equal">
      <formula>"Napkin Hs"</formula>
    </cfRule>
    <cfRule type="cellIs" dxfId="28327" priority="20333" stopIfTrue="1" operator="equal">
      <formula>"Towel"</formula>
    </cfRule>
    <cfRule type="cellIs" dxfId="28326" priority="20334" stopIfTrue="1" operator="equal">
      <formula>"Napkin Hs"</formula>
    </cfRule>
    <cfRule type="cellIs" dxfId="28325" priority="20335" stopIfTrue="1" operator="equal">
      <formula>"Towel"</formula>
    </cfRule>
    <cfRule type="cellIs" dxfId="28324" priority="20336" stopIfTrue="1" operator="equal">
      <formula>"Napkin Hs"</formula>
    </cfRule>
    <cfRule type="cellIs" dxfId="28323" priority="20339" stopIfTrue="1" operator="equal">
      <formula>"Towel"</formula>
    </cfRule>
    <cfRule type="cellIs" dxfId="28322" priority="20340" stopIfTrue="1" operator="equal">
      <formula>"Napkin Hs"</formula>
    </cfRule>
    <cfRule type="cellIs" dxfId="28321" priority="20341" stopIfTrue="1" operator="equal">
      <formula>"Towel"</formula>
    </cfRule>
    <cfRule type="cellIs" dxfId="28320" priority="20342" stopIfTrue="1" operator="equal">
      <formula>"Napkin Hs"</formula>
    </cfRule>
    <cfRule type="cellIs" dxfId="28319" priority="20345" stopIfTrue="1" operator="equal">
      <formula>"Towel"</formula>
    </cfRule>
    <cfRule type="cellIs" dxfId="28318" priority="20346" stopIfTrue="1" operator="equal">
      <formula>"Napkin Hs"</formula>
    </cfRule>
    <cfRule type="cellIs" dxfId="28317" priority="20347" stopIfTrue="1" operator="equal">
      <formula>"Towel"</formula>
    </cfRule>
    <cfRule type="cellIs" dxfId="28316" priority="20348" stopIfTrue="1" operator="equal">
      <formula>"Napkin Hs"</formula>
    </cfRule>
    <cfRule type="cellIs" dxfId="28315" priority="20351" stopIfTrue="1" operator="equal">
      <formula>"Towel"</formula>
    </cfRule>
    <cfRule type="cellIs" dxfId="28314" priority="20352" stopIfTrue="1" operator="equal">
      <formula>"Napkin Hs"</formula>
    </cfRule>
    <cfRule type="cellIs" dxfId="28313" priority="20353" stopIfTrue="1" operator="equal">
      <formula>"Towel"</formula>
    </cfRule>
    <cfRule type="cellIs" dxfId="28312" priority="20354" stopIfTrue="1" operator="equal">
      <formula>"Napkin Hs"</formula>
    </cfRule>
    <cfRule type="cellIs" dxfId="28311" priority="20357" stopIfTrue="1" operator="equal">
      <formula>"Towel"</formula>
    </cfRule>
    <cfRule type="cellIs" dxfId="28310" priority="20358" stopIfTrue="1" operator="equal">
      <formula>"Napkin Hs"</formula>
    </cfRule>
  </conditionalFormatting>
  <conditionalFormatting sqref="C43:C44">
    <cfRule type="cellIs" dxfId="28309" priority="20359" stopIfTrue="1" operator="equal">
      <formula>"Towel"</formula>
    </cfRule>
    <cfRule type="cellIs" dxfId="28308" priority="20360" stopIfTrue="1" operator="equal">
      <formula>"Napkin Hs"</formula>
    </cfRule>
  </conditionalFormatting>
  <conditionalFormatting sqref="C49">
    <cfRule type="cellIs" dxfId="28307" priority="20215" stopIfTrue="1" operator="equal">
      <formula>"Towel"</formula>
    </cfRule>
    <cfRule type="cellIs" dxfId="28306" priority="20216" stopIfTrue="1" operator="equal">
      <formula>"Napkin Hs"</formula>
    </cfRule>
  </conditionalFormatting>
  <conditionalFormatting sqref="C49">
    <cfRule type="cellIs" dxfId="28305" priority="20221" stopIfTrue="1" operator="equal">
      <formula>"Towel"</formula>
    </cfRule>
    <cfRule type="cellIs" dxfId="28304" priority="20222" stopIfTrue="1" operator="equal">
      <formula>"Napkin Hs"</formula>
    </cfRule>
    <cfRule type="cellIs" dxfId="28303" priority="20225" stopIfTrue="1" operator="equal">
      <formula>"Towel"</formula>
    </cfRule>
    <cfRule type="cellIs" dxfId="28302" priority="20226" stopIfTrue="1" operator="equal">
      <formula>"Napkin Hs"</formula>
    </cfRule>
    <cfRule type="cellIs" dxfId="28301" priority="20227" stopIfTrue="1" operator="equal">
      <formula>"Towel"</formula>
    </cfRule>
    <cfRule type="cellIs" dxfId="28300" priority="20228" stopIfTrue="1" operator="equal">
      <formula>"Napkin Hs"</formula>
    </cfRule>
    <cfRule type="cellIs" dxfId="28299" priority="20231" stopIfTrue="1" operator="equal">
      <formula>"Towel"</formula>
    </cfRule>
    <cfRule type="cellIs" dxfId="28298" priority="20232" stopIfTrue="1" operator="equal">
      <formula>"Napkin Hs"</formula>
    </cfRule>
    <cfRule type="cellIs" dxfId="28297" priority="20233" stopIfTrue="1" operator="equal">
      <formula>"Towel"</formula>
    </cfRule>
    <cfRule type="cellIs" dxfId="28296" priority="20234" stopIfTrue="1" operator="equal">
      <formula>"Napkin Hs"</formula>
    </cfRule>
    <cfRule type="cellIs" dxfId="28295" priority="20237" stopIfTrue="1" operator="equal">
      <formula>"Towel"</formula>
    </cfRule>
    <cfRule type="cellIs" dxfId="28294" priority="20238" stopIfTrue="1" operator="equal">
      <formula>"Napkin Hs"</formula>
    </cfRule>
    <cfRule type="cellIs" dxfId="28293" priority="20239" stopIfTrue="1" operator="equal">
      <formula>"Towel"</formula>
    </cfRule>
    <cfRule type="cellIs" dxfId="28292" priority="20240" stopIfTrue="1" operator="equal">
      <formula>"Napkin Hs"</formula>
    </cfRule>
    <cfRule type="cellIs" dxfId="28291" priority="20243" stopIfTrue="1" operator="equal">
      <formula>"Towel"</formula>
    </cfRule>
    <cfRule type="cellIs" dxfId="28290" priority="20244" stopIfTrue="1" operator="equal">
      <formula>"Napkin Hs"</formula>
    </cfRule>
    <cfRule type="cellIs" dxfId="28289" priority="20245" stopIfTrue="1" operator="equal">
      <formula>"Towel"</formula>
    </cfRule>
    <cfRule type="cellIs" dxfId="28288" priority="20246" stopIfTrue="1" operator="equal">
      <formula>"Napkin Hs"</formula>
    </cfRule>
    <cfRule type="cellIs" dxfId="28287" priority="20249" stopIfTrue="1" operator="equal">
      <formula>"Towel"</formula>
    </cfRule>
    <cfRule type="cellIs" dxfId="28286" priority="20250" stopIfTrue="1" operator="equal">
      <formula>"Napkin Hs"</formula>
    </cfRule>
    <cfRule type="cellIs" dxfId="28285" priority="20251" stopIfTrue="1" operator="equal">
      <formula>"Towel"</formula>
    </cfRule>
    <cfRule type="cellIs" dxfId="28284" priority="20252" stopIfTrue="1" operator="equal">
      <formula>"Napkin Hs"</formula>
    </cfRule>
    <cfRule type="cellIs" dxfId="28283" priority="20255" stopIfTrue="1" operator="equal">
      <formula>"Towel"</formula>
    </cfRule>
    <cfRule type="cellIs" dxfId="28282" priority="20256" stopIfTrue="1" operator="equal">
      <formula>"Napkin Hs"</formula>
    </cfRule>
  </conditionalFormatting>
  <conditionalFormatting sqref="C49">
    <cfRule type="cellIs" dxfId="28281" priority="20257" stopIfTrue="1" operator="equal">
      <formula>"Towel"</formula>
    </cfRule>
    <cfRule type="cellIs" dxfId="28280" priority="20258" stopIfTrue="1" operator="equal">
      <formula>"Napkin Hs"</formula>
    </cfRule>
  </conditionalFormatting>
  <conditionalFormatting sqref="C49 C51">
    <cfRule type="cellIs" dxfId="28279" priority="20313" stopIfTrue="1" operator="equal">
      <formula>"Towel"</formula>
    </cfRule>
    <cfRule type="cellIs" dxfId="28278" priority="20314" stopIfTrue="1" operator="equal">
      <formula>"Napkin Hs"</formula>
    </cfRule>
    <cfRule type="cellIs" dxfId="28277" priority="21115" stopIfTrue="1" operator="equal">
      <formula>"Towel"</formula>
    </cfRule>
    <cfRule type="cellIs" dxfId="28276" priority="21116" stopIfTrue="1" operator="equal">
      <formula>"Napkin Hs"</formula>
    </cfRule>
  </conditionalFormatting>
  <conditionalFormatting sqref="C51">
    <cfRule type="cellIs" dxfId="28275" priority="20273" stopIfTrue="1" operator="equal">
      <formula>"Towel"</formula>
    </cfRule>
    <cfRule type="cellIs" dxfId="28274" priority="20274" stopIfTrue="1" operator="equal">
      <formula>"Napkin Hs"</formula>
    </cfRule>
    <cfRule type="cellIs" dxfId="28273" priority="20283" stopIfTrue="1" operator="equal">
      <formula>"Towel"</formula>
    </cfRule>
    <cfRule type="cellIs" dxfId="28272" priority="20284" stopIfTrue="1" operator="equal">
      <formula>"Napkin Hs"</formula>
    </cfRule>
    <cfRule type="cellIs" dxfId="28271" priority="20293" stopIfTrue="1" operator="equal">
      <formula>"Towel"</formula>
    </cfRule>
    <cfRule type="cellIs" dxfId="28270" priority="20294" stopIfTrue="1" operator="equal">
      <formula>"Napkin Hs"</formula>
    </cfRule>
    <cfRule type="cellIs" dxfId="28269" priority="20303" stopIfTrue="1" operator="equal">
      <formula>"Towel"</formula>
    </cfRule>
    <cfRule type="cellIs" dxfId="28268" priority="20304" stopIfTrue="1" operator="equal">
      <formula>"Napkin Hs"</formula>
    </cfRule>
    <cfRule type="cellIs" dxfId="28267" priority="20307" stopIfTrue="1" operator="equal">
      <formula>"Towel"</formula>
    </cfRule>
    <cfRule type="cellIs" dxfId="28266" priority="20308" stopIfTrue="1" operator="equal">
      <formula>"Napkin Hs"</formula>
    </cfRule>
    <cfRule type="cellIs" dxfId="28265" priority="21121" stopIfTrue="1" operator="equal">
      <formula>"Towel"</formula>
    </cfRule>
    <cfRule type="cellIs" dxfId="28264" priority="21122" stopIfTrue="1" operator="equal">
      <formula>"Napkin Hs"</formula>
    </cfRule>
  </conditionalFormatting>
  <conditionalFormatting sqref="C51">
    <cfRule type="cellIs" dxfId="28263" priority="20287" stopIfTrue="1" operator="equal">
      <formula>"Towel"</formula>
    </cfRule>
    <cfRule type="cellIs" dxfId="28262" priority="20288" stopIfTrue="1" operator="equal">
      <formula>"Napkin Hs"</formula>
    </cfRule>
    <cfRule type="cellIs" dxfId="28261" priority="20291" stopIfTrue="1" operator="equal">
      <formula>"Towel"</formula>
    </cfRule>
    <cfRule type="cellIs" dxfId="28260" priority="20292" stopIfTrue="1" operator="equal">
      <formula>"Napkin Hs"</formula>
    </cfRule>
    <cfRule type="cellIs" dxfId="28259" priority="20317" stopIfTrue="1" operator="equal">
      <formula>"Towel"</formula>
    </cfRule>
    <cfRule type="cellIs" dxfId="28258" priority="20318" stopIfTrue="1" operator="equal">
      <formula>"Napkin Hs"</formula>
    </cfRule>
  </conditionalFormatting>
  <conditionalFormatting sqref="C52">
    <cfRule type="cellIs" dxfId="28257" priority="19975" stopIfTrue="1" operator="equal">
      <formula>"Towel"</formula>
    </cfRule>
    <cfRule type="cellIs" dxfId="28256" priority="19976" stopIfTrue="1" operator="equal">
      <formula>"Napkin Hs"</formula>
    </cfRule>
    <cfRule type="cellIs" dxfId="28255" priority="19977" stopIfTrue="1" operator="equal">
      <formula>"Towel"</formula>
    </cfRule>
    <cfRule type="cellIs" dxfId="28254" priority="19978" stopIfTrue="1" operator="equal">
      <formula>"Napkin Hs"</formula>
    </cfRule>
    <cfRule type="cellIs" dxfId="28253" priority="19981" stopIfTrue="1" operator="equal">
      <formula>"Towel"</formula>
    </cfRule>
    <cfRule type="cellIs" dxfId="28252" priority="19982" stopIfTrue="1" operator="equal">
      <formula>"Napkin Hs"</formula>
    </cfRule>
    <cfRule type="cellIs" dxfId="28251" priority="19983" stopIfTrue="1" operator="equal">
      <formula>"Towel"</formula>
    </cfRule>
    <cfRule type="cellIs" dxfId="28250" priority="19984" stopIfTrue="1" operator="equal">
      <formula>"Napkin Hs"</formula>
    </cfRule>
    <cfRule type="cellIs" dxfId="28249" priority="19987" stopIfTrue="1" operator="equal">
      <formula>"Towel"</formula>
    </cfRule>
    <cfRule type="cellIs" dxfId="28248" priority="19988" stopIfTrue="1" operator="equal">
      <formula>"Napkin Hs"</formula>
    </cfRule>
    <cfRule type="cellIs" dxfId="28247" priority="19989" stopIfTrue="1" operator="equal">
      <formula>"Towel"</formula>
    </cfRule>
    <cfRule type="cellIs" dxfId="28246" priority="19990" stopIfTrue="1" operator="equal">
      <formula>"Napkin Hs"</formula>
    </cfRule>
    <cfRule type="cellIs" dxfId="28245" priority="19993" stopIfTrue="1" operator="equal">
      <formula>"Towel"</formula>
    </cfRule>
    <cfRule type="cellIs" dxfId="28244" priority="19994" stopIfTrue="1" operator="equal">
      <formula>"Napkin Hs"</formula>
    </cfRule>
    <cfRule type="cellIs" dxfId="28243" priority="19995" stopIfTrue="1" operator="equal">
      <formula>"Towel"</formula>
    </cfRule>
    <cfRule type="cellIs" dxfId="28242" priority="19996" stopIfTrue="1" operator="equal">
      <formula>"Napkin Hs"</formula>
    </cfRule>
    <cfRule type="cellIs" dxfId="28241" priority="19999" stopIfTrue="1" operator="equal">
      <formula>"Towel"</formula>
    </cfRule>
    <cfRule type="cellIs" dxfId="28240" priority="20000" stopIfTrue="1" operator="equal">
      <formula>"Napkin Hs"</formula>
    </cfRule>
    <cfRule type="cellIs" dxfId="28239" priority="20001" stopIfTrue="1" operator="equal">
      <formula>"Towel"</formula>
    </cfRule>
    <cfRule type="cellIs" dxfId="28238" priority="20002" stopIfTrue="1" operator="equal">
      <formula>"Napkin Hs"</formula>
    </cfRule>
    <cfRule type="cellIs" dxfId="28237" priority="20005" stopIfTrue="1" operator="equal">
      <formula>"Towel"</formula>
    </cfRule>
    <cfRule type="cellIs" dxfId="28236" priority="20006" stopIfTrue="1" operator="equal">
      <formula>"Napkin Hs"</formula>
    </cfRule>
    <cfRule type="cellIs" dxfId="28235" priority="20007" stopIfTrue="1" operator="equal">
      <formula>"Towel"</formula>
    </cfRule>
    <cfRule type="cellIs" dxfId="28234" priority="20008" stopIfTrue="1" operator="equal">
      <formula>"Napkin Hs"</formula>
    </cfRule>
    <cfRule type="cellIs" dxfId="28233" priority="20011" stopIfTrue="1" operator="equal">
      <formula>"Towel"</formula>
    </cfRule>
    <cfRule type="cellIs" dxfId="28232" priority="20012" stopIfTrue="1" operator="equal">
      <formula>"Napkin Hs"</formula>
    </cfRule>
    <cfRule type="cellIs" dxfId="28231" priority="20013" stopIfTrue="1" operator="equal">
      <formula>"Towel"</formula>
    </cfRule>
    <cfRule type="cellIs" dxfId="28230" priority="20014" stopIfTrue="1" operator="equal">
      <formula>"Napkin Hs"</formula>
    </cfRule>
    <cfRule type="cellIs" dxfId="28229" priority="20017" stopIfTrue="1" operator="equal">
      <formula>"Towel"</formula>
    </cfRule>
    <cfRule type="cellIs" dxfId="28228" priority="20018" stopIfTrue="1" operator="equal">
      <formula>"Napkin Hs"</formula>
    </cfRule>
  </conditionalFormatting>
  <conditionalFormatting sqref="C52:C53">
    <cfRule type="cellIs" dxfId="28227" priority="20019" stopIfTrue="1" operator="equal">
      <formula>"Towel"</formula>
    </cfRule>
    <cfRule type="cellIs" dxfId="28226" priority="20020" stopIfTrue="1" operator="equal">
      <formula>"Napkin Hs"</formula>
    </cfRule>
  </conditionalFormatting>
  <conditionalFormatting sqref="C53">
    <cfRule type="cellIs" dxfId="28225" priority="20073" stopIfTrue="1" operator="equal">
      <formula>"Towel"</formula>
    </cfRule>
    <cfRule type="cellIs" dxfId="28224" priority="20074" stopIfTrue="1" operator="equal">
      <formula>"Napkin Hs"</formula>
    </cfRule>
    <cfRule type="cellIs" dxfId="28223" priority="20077" stopIfTrue="1" operator="equal">
      <formula>"Towel"</formula>
    </cfRule>
    <cfRule type="cellIs" dxfId="28222" priority="20078" stopIfTrue="1" operator="equal">
      <formula>"Napkin Hs"</formula>
    </cfRule>
    <cfRule type="cellIs" dxfId="28221" priority="20079" stopIfTrue="1" operator="equal">
      <formula>"Towel"</formula>
    </cfRule>
    <cfRule type="cellIs" dxfId="28220" priority="20080" stopIfTrue="1" operator="equal">
      <formula>"Napkin Hs"</formula>
    </cfRule>
    <cfRule type="cellIs" dxfId="28219" priority="20083" stopIfTrue="1" operator="equal">
      <formula>"Towel"</formula>
    </cfRule>
    <cfRule type="cellIs" dxfId="28218" priority="20084" stopIfTrue="1" operator="equal">
      <formula>"Napkin Hs"</formula>
    </cfRule>
    <cfRule type="cellIs" dxfId="28217" priority="20085" stopIfTrue="1" operator="equal">
      <formula>"Towel"</formula>
    </cfRule>
    <cfRule type="cellIs" dxfId="28216" priority="20086" stopIfTrue="1" operator="equal">
      <formula>"Napkin Hs"</formula>
    </cfRule>
    <cfRule type="cellIs" dxfId="28215" priority="20089" stopIfTrue="1" operator="equal">
      <formula>"Towel"</formula>
    </cfRule>
    <cfRule type="cellIs" dxfId="28214" priority="20090" stopIfTrue="1" operator="equal">
      <formula>"Napkin Hs"</formula>
    </cfRule>
    <cfRule type="cellIs" dxfId="28213" priority="20091" stopIfTrue="1" operator="equal">
      <formula>"Towel"</formula>
    </cfRule>
    <cfRule type="cellIs" dxfId="28212" priority="20092" stopIfTrue="1" operator="equal">
      <formula>"Napkin Hs"</formula>
    </cfRule>
    <cfRule type="cellIs" dxfId="28211" priority="20095" stopIfTrue="1" operator="equal">
      <formula>"Towel"</formula>
    </cfRule>
    <cfRule type="cellIs" dxfId="28210" priority="20096" stopIfTrue="1" operator="equal">
      <formula>"Napkin Hs"</formula>
    </cfRule>
    <cfRule type="cellIs" dxfId="28209" priority="20097" stopIfTrue="1" operator="equal">
      <formula>"Towel"</formula>
    </cfRule>
    <cfRule type="cellIs" dxfId="28208" priority="20098" stopIfTrue="1" operator="equal">
      <formula>"Napkin Hs"</formula>
    </cfRule>
    <cfRule type="cellIs" dxfId="28207" priority="20101" stopIfTrue="1" operator="equal">
      <formula>"Towel"</formula>
    </cfRule>
    <cfRule type="cellIs" dxfId="28206" priority="20102" stopIfTrue="1" operator="equal">
      <formula>"Napkin Hs"</formula>
    </cfRule>
    <cfRule type="cellIs" dxfId="28205" priority="20103" stopIfTrue="1" operator="equal">
      <formula>"Towel"</formula>
    </cfRule>
    <cfRule type="cellIs" dxfId="28204" priority="20104" stopIfTrue="1" operator="equal">
      <formula>"Napkin Hs"</formula>
    </cfRule>
    <cfRule type="cellIs" dxfId="28203" priority="20107" stopIfTrue="1" operator="equal">
      <formula>"Towel"</formula>
    </cfRule>
    <cfRule type="cellIs" dxfId="28202" priority="20108" stopIfTrue="1" operator="equal">
      <formula>"Napkin Hs"</formula>
    </cfRule>
  </conditionalFormatting>
  <conditionalFormatting sqref="C53">
    <cfRule type="cellIs" dxfId="28201" priority="20109" stopIfTrue="1" operator="equal">
      <formula>"Towel"</formula>
    </cfRule>
    <cfRule type="cellIs" dxfId="28200" priority="20110" stopIfTrue="1" operator="equal">
      <formula>"Napkin Hs"</formula>
    </cfRule>
  </conditionalFormatting>
  <conditionalFormatting sqref="C53">
    <cfRule type="cellIs" dxfId="28199" priority="20153" stopIfTrue="1" operator="equal">
      <formula>"Towel"</formula>
    </cfRule>
    <cfRule type="cellIs" dxfId="28198" priority="20154" stopIfTrue="1" operator="equal">
      <formula>"Napkin Hs"</formula>
    </cfRule>
    <cfRule type="cellIs" dxfId="28197" priority="20163" stopIfTrue="1" operator="equal">
      <formula>"Towel"</formula>
    </cfRule>
    <cfRule type="cellIs" dxfId="28196" priority="20164" stopIfTrue="1" operator="equal">
      <formula>"Napkin Hs"</formula>
    </cfRule>
  </conditionalFormatting>
  <conditionalFormatting sqref="C59">
    <cfRule type="cellIs" dxfId="28195" priority="19957" stopIfTrue="1" operator="equal">
      <formula>"Towel"</formula>
    </cfRule>
    <cfRule type="cellIs" dxfId="28194" priority="19958" stopIfTrue="1" operator="equal">
      <formula>"Napkin Hs"</formula>
    </cfRule>
    <cfRule type="cellIs" dxfId="28193" priority="19967" stopIfTrue="1" operator="equal">
      <formula>"Towel"</formula>
    </cfRule>
    <cfRule type="cellIs" dxfId="28192" priority="19968" stopIfTrue="1" operator="equal">
      <formula>"Napkin Hs"</formula>
    </cfRule>
  </conditionalFormatting>
  <conditionalFormatting sqref="C59">
    <cfRule type="cellIs" dxfId="28191" priority="19923" stopIfTrue="1" operator="equal">
      <formula>"Towel"</formula>
    </cfRule>
    <cfRule type="cellIs" dxfId="28190" priority="19924" stopIfTrue="1" operator="equal">
      <formula>"Napkin Hs"</formula>
    </cfRule>
    <cfRule type="cellIs" dxfId="28189" priority="19927" stopIfTrue="1" operator="equal">
      <formula>"Towel"</formula>
    </cfRule>
    <cfRule type="cellIs" dxfId="28188" priority="19928" stopIfTrue="1" operator="equal">
      <formula>"Napkin Hs"</formula>
    </cfRule>
    <cfRule type="cellIs" dxfId="28187" priority="19937" stopIfTrue="1" operator="equal">
      <formula>"Towel"</formula>
    </cfRule>
    <cfRule type="cellIs" dxfId="28186" priority="19938" stopIfTrue="1" operator="equal">
      <formula>"Napkin Hs"</formula>
    </cfRule>
    <cfRule type="cellIs" dxfId="28185" priority="19947" stopIfTrue="1" operator="equal">
      <formula>"Towel"</formula>
    </cfRule>
    <cfRule type="cellIs" dxfId="28184" priority="19948" stopIfTrue="1" operator="equal">
      <formula>"Napkin Hs"</formula>
    </cfRule>
    <cfRule type="cellIs" dxfId="28183" priority="19951" stopIfTrue="1" operator="equal">
      <formula>"Towel"</formula>
    </cfRule>
    <cfRule type="cellIs" dxfId="28182" priority="19952" stopIfTrue="1" operator="equal">
      <formula>"Napkin Hs"</formula>
    </cfRule>
  </conditionalFormatting>
  <conditionalFormatting sqref="C59:C61">
    <cfRule type="cellIs" dxfId="28181" priority="19971" stopIfTrue="1" operator="equal">
      <formula>"Towel"</formula>
    </cfRule>
    <cfRule type="cellIs" dxfId="28180" priority="19972" stopIfTrue="1" operator="equal">
      <formula>"Napkin Hs"</formula>
    </cfRule>
  </conditionalFormatting>
  <conditionalFormatting sqref="C59">
    <cfRule type="cellIs" dxfId="28179" priority="19931" stopIfTrue="1" operator="equal">
      <formula>"Towel"</formula>
    </cfRule>
    <cfRule type="cellIs" dxfId="28178" priority="19932" stopIfTrue="1" operator="equal">
      <formula>"Napkin Hs"</formula>
    </cfRule>
    <cfRule type="cellIs" dxfId="28177" priority="19935" stopIfTrue="1" operator="equal">
      <formula>"Towel"</formula>
    </cfRule>
    <cfRule type="cellIs" dxfId="28176" priority="19936" stopIfTrue="1" operator="equal">
      <formula>"Napkin Hs"</formula>
    </cfRule>
    <cfRule type="cellIs" dxfId="28175" priority="19961" stopIfTrue="1" operator="equal">
      <formula>"Towel"</formula>
    </cfRule>
    <cfRule type="cellIs" dxfId="28174" priority="19962" stopIfTrue="1" operator="equal">
      <formula>"Napkin Hs"</formula>
    </cfRule>
  </conditionalFormatting>
  <conditionalFormatting sqref="C60:C62">
    <cfRule type="cellIs" dxfId="28173" priority="21085" stopIfTrue="1" operator="equal">
      <formula>"Towel"</formula>
    </cfRule>
    <cfRule type="cellIs" dxfId="28172" priority="21086" stopIfTrue="1" operator="equal">
      <formula>"Napkin Hs"</formula>
    </cfRule>
  </conditionalFormatting>
  <conditionalFormatting sqref="C67">
    <cfRule type="cellIs" dxfId="28171" priority="19567" stopIfTrue="1" operator="equal">
      <formula>"Towel"</formula>
    </cfRule>
    <cfRule type="cellIs" dxfId="28170" priority="19568" stopIfTrue="1" operator="equal">
      <formula>"Napkin Hs"</formula>
    </cfRule>
    <cfRule type="cellIs" dxfId="28169" priority="19569" stopIfTrue="1" operator="equal">
      <formula>"Towel"</formula>
    </cfRule>
    <cfRule type="cellIs" dxfId="28168" priority="19570" stopIfTrue="1" operator="equal">
      <formula>"Napkin Hs"</formula>
    </cfRule>
    <cfRule type="cellIs" dxfId="28167" priority="19573" stopIfTrue="1" operator="equal">
      <formula>"Towel"</formula>
    </cfRule>
    <cfRule type="cellIs" dxfId="28166" priority="19574" stopIfTrue="1" operator="equal">
      <formula>"Napkin Hs"</formula>
    </cfRule>
    <cfRule type="cellIs" dxfId="28165" priority="19575" stopIfTrue="1" operator="equal">
      <formula>"Towel"</formula>
    </cfRule>
    <cfRule type="cellIs" dxfId="28164" priority="19576" stopIfTrue="1" operator="equal">
      <formula>"Napkin Hs"</formula>
    </cfRule>
    <cfRule type="cellIs" dxfId="28163" priority="19579" stopIfTrue="1" operator="equal">
      <formula>"Towel"</formula>
    </cfRule>
    <cfRule type="cellIs" dxfId="28162" priority="19580" stopIfTrue="1" operator="equal">
      <formula>"Napkin Hs"</formula>
    </cfRule>
    <cfRule type="cellIs" dxfId="28161" priority="19581" stopIfTrue="1" operator="equal">
      <formula>"Towel"</formula>
    </cfRule>
    <cfRule type="cellIs" dxfId="28160" priority="19582" stopIfTrue="1" operator="equal">
      <formula>"Napkin Hs"</formula>
    </cfRule>
    <cfRule type="cellIs" dxfId="28159" priority="19585" stopIfTrue="1" operator="equal">
      <formula>"Towel"</formula>
    </cfRule>
    <cfRule type="cellIs" dxfId="28158" priority="19586" stopIfTrue="1" operator="equal">
      <formula>"Napkin Hs"</formula>
    </cfRule>
    <cfRule type="cellIs" dxfId="28157" priority="19587" stopIfTrue="1" operator="equal">
      <formula>"Towel"</formula>
    </cfRule>
    <cfRule type="cellIs" dxfId="28156" priority="19588" stopIfTrue="1" operator="equal">
      <formula>"Napkin Hs"</formula>
    </cfRule>
    <cfRule type="cellIs" dxfId="28155" priority="19591" stopIfTrue="1" operator="equal">
      <formula>"Towel"</formula>
    </cfRule>
    <cfRule type="cellIs" dxfId="28154" priority="19592" stopIfTrue="1" operator="equal">
      <formula>"Napkin Hs"</formula>
    </cfRule>
    <cfRule type="cellIs" dxfId="28153" priority="19593" stopIfTrue="1" operator="equal">
      <formula>"Towel"</formula>
    </cfRule>
    <cfRule type="cellIs" dxfId="28152" priority="19594" stopIfTrue="1" operator="equal">
      <formula>"Napkin Hs"</formula>
    </cfRule>
    <cfRule type="cellIs" dxfId="28151" priority="19597" stopIfTrue="1" operator="equal">
      <formula>"Towel"</formula>
    </cfRule>
    <cfRule type="cellIs" dxfId="28150" priority="19598" stopIfTrue="1" operator="equal">
      <formula>"Napkin Hs"</formula>
    </cfRule>
    <cfRule type="cellIs" dxfId="28149" priority="19599" stopIfTrue="1" operator="equal">
      <formula>"Towel"</formula>
    </cfRule>
    <cfRule type="cellIs" dxfId="28148" priority="19600" stopIfTrue="1" operator="equal">
      <formula>"Napkin Hs"</formula>
    </cfRule>
    <cfRule type="cellIs" dxfId="28147" priority="19603" stopIfTrue="1" operator="equal">
      <formula>"Towel"</formula>
    </cfRule>
    <cfRule type="cellIs" dxfId="28146" priority="19604" stopIfTrue="1" operator="equal">
      <formula>"Napkin Hs"</formula>
    </cfRule>
    <cfRule type="cellIs" dxfId="28145" priority="19605" stopIfTrue="1" operator="equal">
      <formula>"Towel"</formula>
    </cfRule>
    <cfRule type="cellIs" dxfId="28144" priority="19606" stopIfTrue="1" operator="equal">
      <formula>"Napkin Hs"</formula>
    </cfRule>
    <cfRule type="cellIs" dxfId="28143" priority="19609" stopIfTrue="1" operator="equal">
      <formula>"Towel"</formula>
    </cfRule>
    <cfRule type="cellIs" dxfId="28142" priority="19610" stopIfTrue="1" operator="equal">
      <formula>"Napkin Hs"</formula>
    </cfRule>
  </conditionalFormatting>
  <conditionalFormatting sqref="C67:C68">
    <cfRule type="cellIs" dxfId="28141" priority="19611" stopIfTrue="1" operator="equal">
      <formula>"Towel"</formula>
    </cfRule>
    <cfRule type="cellIs" dxfId="28140" priority="19612" stopIfTrue="1" operator="equal">
      <formula>"Napkin Hs"</formula>
    </cfRule>
  </conditionalFormatting>
  <conditionalFormatting sqref="C68">
    <cfRule type="cellIs" dxfId="28139" priority="19617" stopIfTrue="1" operator="equal">
      <formula>"Towel"</formula>
    </cfRule>
    <cfRule type="cellIs" dxfId="28138" priority="19618" stopIfTrue="1" operator="equal">
      <formula>"Napkin Hs"</formula>
    </cfRule>
    <cfRule type="cellIs" dxfId="28137" priority="19621" stopIfTrue="1" operator="equal">
      <formula>"Towel"</formula>
    </cfRule>
    <cfRule type="cellIs" dxfId="28136" priority="19622" stopIfTrue="1" operator="equal">
      <formula>"Napkin Hs"</formula>
    </cfRule>
    <cfRule type="cellIs" dxfId="28135" priority="19623" stopIfTrue="1" operator="equal">
      <formula>"Towel"</formula>
    </cfRule>
    <cfRule type="cellIs" dxfId="28134" priority="19624" stopIfTrue="1" operator="equal">
      <formula>"Napkin Hs"</formula>
    </cfRule>
    <cfRule type="cellIs" dxfId="28133" priority="19627" stopIfTrue="1" operator="equal">
      <formula>"Towel"</formula>
    </cfRule>
    <cfRule type="cellIs" dxfId="28132" priority="19628" stopIfTrue="1" operator="equal">
      <formula>"Napkin Hs"</formula>
    </cfRule>
    <cfRule type="cellIs" dxfId="28131" priority="19629" stopIfTrue="1" operator="equal">
      <formula>"Towel"</formula>
    </cfRule>
    <cfRule type="cellIs" dxfId="28130" priority="19630" stopIfTrue="1" operator="equal">
      <formula>"Napkin Hs"</formula>
    </cfRule>
    <cfRule type="cellIs" dxfId="28129" priority="19633" stopIfTrue="1" operator="equal">
      <formula>"Towel"</formula>
    </cfRule>
    <cfRule type="cellIs" dxfId="28128" priority="19634" stopIfTrue="1" operator="equal">
      <formula>"Napkin Hs"</formula>
    </cfRule>
    <cfRule type="cellIs" dxfId="28127" priority="19635" stopIfTrue="1" operator="equal">
      <formula>"Towel"</formula>
    </cfRule>
    <cfRule type="cellIs" dxfId="28126" priority="19636" stopIfTrue="1" operator="equal">
      <formula>"Napkin Hs"</formula>
    </cfRule>
    <cfRule type="cellIs" dxfId="28125" priority="19639" stopIfTrue="1" operator="equal">
      <formula>"Towel"</formula>
    </cfRule>
    <cfRule type="cellIs" dxfId="28124" priority="19640" stopIfTrue="1" operator="equal">
      <formula>"Napkin Hs"</formula>
    </cfRule>
    <cfRule type="cellIs" dxfId="28123" priority="19641" stopIfTrue="1" operator="equal">
      <formula>"Towel"</formula>
    </cfRule>
    <cfRule type="cellIs" dxfId="28122" priority="19642" stopIfTrue="1" operator="equal">
      <formula>"Napkin Hs"</formula>
    </cfRule>
    <cfRule type="cellIs" dxfId="28121" priority="19645" stopIfTrue="1" operator="equal">
      <formula>"Towel"</formula>
    </cfRule>
    <cfRule type="cellIs" dxfId="28120" priority="19646" stopIfTrue="1" operator="equal">
      <formula>"Napkin Hs"</formula>
    </cfRule>
    <cfRule type="cellIs" dxfId="28119" priority="19647" stopIfTrue="1" operator="equal">
      <formula>"Towel"</formula>
    </cfRule>
    <cfRule type="cellIs" dxfId="28118" priority="19648" stopIfTrue="1" operator="equal">
      <formula>"Napkin Hs"</formula>
    </cfRule>
    <cfRule type="cellIs" dxfId="28117" priority="19651" stopIfTrue="1" operator="equal">
      <formula>"Towel"</formula>
    </cfRule>
    <cfRule type="cellIs" dxfId="28116" priority="19652" stopIfTrue="1" operator="equal">
      <formula>"Napkin Hs"</formula>
    </cfRule>
  </conditionalFormatting>
  <conditionalFormatting sqref="C68:C69">
    <cfRule type="cellIs" dxfId="28115" priority="19653" stopIfTrue="1" operator="equal">
      <formula>"Towel"</formula>
    </cfRule>
    <cfRule type="cellIs" dxfId="28114" priority="19654" stopIfTrue="1" operator="equal">
      <formula>"Napkin Hs"</formula>
    </cfRule>
    <cfRule type="cellIs" dxfId="28113" priority="19683" stopIfTrue="1" operator="equal">
      <formula>"Towel"</formula>
    </cfRule>
    <cfRule type="cellIs" dxfId="28112" priority="19684" stopIfTrue="1" operator="equal">
      <formula>"Napkin Hs"</formula>
    </cfRule>
    <cfRule type="cellIs" dxfId="28111" priority="19689" stopIfTrue="1" operator="equal">
      <formula>"Towel"</formula>
    </cfRule>
    <cfRule type="cellIs" dxfId="28110" priority="19690" stopIfTrue="1" operator="equal">
      <formula>"Napkin Hs"</formula>
    </cfRule>
  </conditionalFormatting>
  <conditionalFormatting sqref="C69">
    <cfRule type="cellIs" dxfId="28109" priority="19659" stopIfTrue="1" operator="equal">
      <formula>"Towel"</formula>
    </cfRule>
    <cfRule type="cellIs" dxfId="28108" priority="19660" stopIfTrue="1" operator="equal">
      <formula>"Napkin Hs"</formula>
    </cfRule>
    <cfRule type="cellIs" dxfId="28107" priority="19663" stopIfTrue="1" operator="equal">
      <formula>"Towel"</formula>
    </cfRule>
    <cfRule type="cellIs" dxfId="28106" priority="19664" stopIfTrue="1" operator="equal">
      <formula>"Napkin Hs"</formula>
    </cfRule>
    <cfRule type="cellIs" dxfId="28105" priority="19665" stopIfTrue="1" operator="equal">
      <formula>"Towel"</formula>
    </cfRule>
    <cfRule type="cellIs" dxfId="28104" priority="19666" stopIfTrue="1" operator="equal">
      <formula>"Napkin Hs"</formula>
    </cfRule>
    <cfRule type="cellIs" dxfId="28103" priority="19669" stopIfTrue="1" operator="equal">
      <formula>"Towel"</formula>
    </cfRule>
    <cfRule type="cellIs" dxfId="28102" priority="19670" stopIfTrue="1" operator="equal">
      <formula>"Napkin Hs"</formula>
    </cfRule>
    <cfRule type="cellIs" dxfId="28101" priority="19671" stopIfTrue="1" operator="equal">
      <formula>"Towel"</formula>
    </cfRule>
    <cfRule type="cellIs" dxfId="28100" priority="19672" stopIfTrue="1" operator="equal">
      <formula>"Napkin Hs"</formula>
    </cfRule>
    <cfRule type="cellIs" dxfId="28099" priority="19675" stopIfTrue="1" operator="equal">
      <formula>"Towel"</formula>
    </cfRule>
    <cfRule type="cellIs" dxfId="28098" priority="19676" stopIfTrue="1" operator="equal">
      <formula>"Napkin Hs"</formula>
    </cfRule>
    <cfRule type="cellIs" dxfId="28097" priority="19677" stopIfTrue="1" operator="equal">
      <formula>"Towel"</formula>
    </cfRule>
    <cfRule type="cellIs" dxfId="28096" priority="19678" stopIfTrue="1" operator="equal">
      <formula>"Napkin Hs"</formula>
    </cfRule>
    <cfRule type="cellIs" dxfId="28095" priority="19681" stopIfTrue="1" operator="equal">
      <formula>"Towel"</formula>
    </cfRule>
    <cfRule type="cellIs" dxfId="28094" priority="19682" stopIfTrue="1" operator="equal">
      <formula>"Napkin Hs"</formula>
    </cfRule>
  </conditionalFormatting>
  <conditionalFormatting sqref="C69:C71">
    <cfRule type="cellIs" dxfId="28093" priority="19693" stopIfTrue="1" operator="equal">
      <formula>"Towel"</formula>
    </cfRule>
    <cfRule type="cellIs" dxfId="28092" priority="19694" stopIfTrue="1" operator="equal">
      <formula>"Napkin Hs"</formula>
    </cfRule>
  </conditionalFormatting>
  <conditionalFormatting sqref="C70:C71">
    <cfRule type="cellIs" dxfId="28091" priority="21047" stopIfTrue="1" operator="equal">
      <formula>"Towel"</formula>
    </cfRule>
    <cfRule type="cellIs" dxfId="28090" priority="21048" stopIfTrue="1" operator="equal">
      <formula>"Napkin Hs"</formula>
    </cfRule>
  </conditionalFormatting>
  <conditionalFormatting sqref="C72">
    <cfRule type="cellIs" dxfId="28089" priority="19437" stopIfTrue="1" operator="equal">
      <formula>"Towel"</formula>
    </cfRule>
    <cfRule type="cellIs" dxfId="28088" priority="19438" stopIfTrue="1" operator="equal">
      <formula>"Napkin Hs"</formula>
    </cfRule>
    <cfRule type="cellIs" dxfId="28087" priority="19439" stopIfTrue="1" operator="equal">
      <formula>"Towel"</formula>
    </cfRule>
    <cfRule type="cellIs" dxfId="28086" priority="19440" stopIfTrue="1" operator="equal">
      <formula>"Napkin Hs"</formula>
    </cfRule>
    <cfRule type="cellIs" dxfId="28085" priority="19443" stopIfTrue="1" operator="equal">
      <formula>"Towel"</formula>
    </cfRule>
    <cfRule type="cellIs" dxfId="28084" priority="19444" stopIfTrue="1" operator="equal">
      <formula>"Napkin Hs"</formula>
    </cfRule>
    <cfRule type="cellIs" dxfId="28083" priority="19445" stopIfTrue="1" operator="equal">
      <formula>"Towel"</formula>
    </cfRule>
    <cfRule type="cellIs" dxfId="28082" priority="19446" stopIfTrue="1" operator="equal">
      <formula>"Napkin Hs"</formula>
    </cfRule>
    <cfRule type="cellIs" dxfId="28081" priority="19449" stopIfTrue="1" operator="equal">
      <formula>"Towel"</formula>
    </cfRule>
    <cfRule type="cellIs" dxfId="28080" priority="19450" stopIfTrue="1" operator="equal">
      <formula>"Napkin Hs"</formula>
    </cfRule>
    <cfRule type="cellIs" dxfId="28079" priority="19451" stopIfTrue="1" operator="equal">
      <formula>"Towel"</formula>
    </cfRule>
    <cfRule type="cellIs" dxfId="28078" priority="19452" stopIfTrue="1" operator="equal">
      <formula>"Napkin Hs"</formula>
    </cfRule>
    <cfRule type="cellIs" dxfId="28077" priority="19455" stopIfTrue="1" operator="equal">
      <formula>"Towel"</formula>
    </cfRule>
    <cfRule type="cellIs" dxfId="28076" priority="19456" stopIfTrue="1" operator="equal">
      <formula>"Napkin Hs"</formula>
    </cfRule>
    <cfRule type="cellIs" dxfId="28075" priority="19457" stopIfTrue="1" operator="equal">
      <formula>"Towel"</formula>
    </cfRule>
    <cfRule type="cellIs" dxfId="28074" priority="19458" stopIfTrue="1" operator="equal">
      <formula>"Napkin Hs"</formula>
    </cfRule>
    <cfRule type="cellIs" dxfId="28073" priority="19461" stopIfTrue="1" operator="equal">
      <formula>"Towel"</formula>
    </cfRule>
    <cfRule type="cellIs" dxfId="28072" priority="19462" stopIfTrue="1" operator="equal">
      <formula>"Napkin Hs"</formula>
    </cfRule>
    <cfRule type="cellIs" dxfId="28071" priority="19463" stopIfTrue="1" operator="equal">
      <formula>"Towel"</formula>
    </cfRule>
    <cfRule type="cellIs" dxfId="28070" priority="19464" stopIfTrue="1" operator="equal">
      <formula>"Napkin Hs"</formula>
    </cfRule>
    <cfRule type="cellIs" dxfId="28069" priority="19467" stopIfTrue="1" operator="equal">
      <formula>"Towel"</formula>
    </cfRule>
    <cfRule type="cellIs" dxfId="28068" priority="19468" stopIfTrue="1" operator="equal">
      <formula>"Napkin Hs"</formula>
    </cfRule>
    <cfRule type="cellIs" dxfId="28067" priority="19469" stopIfTrue="1" operator="equal">
      <formula>"Towel"</formula>
    </cfRule>
    <cfRule type="cellIs" dxfId="28066" priority="19470" stopIfTrue="1" operator="equal">
      <formula>"Napkin Hs"</formula>
    </cfRule>
    <cfRule type="cellIs" dxfId="28065" priority="19473" stopIfTrue="1" operator="equal">
      <formula>"Towel"</formula>
    </cfRule>
    <cfRule type="cellIs" dxfId="28064" priority="19474" stopIfTrue="1" operator="equal">
      <formula>"Napkin Hs"</formula>
    </cfRule>
    <cfRule type="cellIs" dxfId="28063" priority="19475" stopIfTrue="1" operator="equal">
      <formula>"Towel"</formula>
    </cfRule>
    <cfRule type="cellIs" dxfId="28062" priority="19476" stopIfTrue="1" operator="equal">
      <formula>"Napkin Hs"</formula>
    </cfRule>
    <cfRule type="cellIs" dxfId="28061" priority="19479" stopIfTrue="1" operator="equal">
      <formula>"Towel"</formula>
    </cfRule>
    <cfRule type="cellIs" dxfId="28060" priority="19480" stopIfTrue="1" operator="equal">
      <formula>"Napkin Hs"</formula>
    </cfRule>
  </conditionalFormatting>
  <conditionalFormatting sqref="C72:C73">
    <cfRule type="cellIs" dxfId="28059" priority="19481" stopIfTrue="1" operator="equal">
      <formula>"Towel"</formula>
    </cfRule>
    <cfRule type="cellIs" dxfId="28058" priority="19482" stopIfTrue="1" operator="equal">
      <formula>"Napkin Hs"</formula>
    </cfRule>
  </conditionalFormatting>
  <conditionalFormatting sqref="C73">
    <cfRule type="cellIs" dxfId="28057" priority="19487" stopIfTrue="1" operator="equal">
      <formula>"Towel"</formula>
    </cfRule>
    <cfRule type="cellIs" dxfId="28056" priority="19488" stopIfTrue="1" operator="equal">
      <formula>"Napkin Hs"</formula>
    </cfRule>
    <cfRule type="cellIs" dxfId="28055" priority="19491" stopIfTrue="1" operator="equal">
      <formula>"Towel"</formula>
    </cfRule>
    <cfRule type="cellIs" dxfId="28054" priority="19492" stopIfTrue="1" operator="equal">
      <formula>"Napkin Hs"</formula>
    </cfRule>
    <cfRule type="cellIs" dxfId="28053" priority="19493" stopIfTrue="1" operator="equal">
      <formula>"Towel"</formula>
    </cfRule>
    <cfRule type="cellIs" dxfId="28052" priority="19494" stopIfTrue="1" operator="equal">
      <formula>"Napkin Hs"</formula>
    </cfRule>
    <cfRule type="cellIs" dxfId="28051" priority="19497" stopIfTrue="1" operator="equal">
      <formula>"Towel"</formula>
    </cfRule>
    <cfRule type="cellIs" dxfId="28050" priority="19498" stopIfTrue="1" operator="equal">
      <formula>"Napkin Hs"</formula>
    </cfRule>
    <cfRule type="cellIs" dxfId="28049" priority="19499" stopIfTrue="1" operator="equal">
      <formula>"Towel"</formula>
    </cfRule>
    <cfRule type="cellIs" dxfId="28048" priority="19500" stopIfTrue="1" operator="equal">
      <formula>"Napkin Hs"</formula>
    </cfRule>
    <cfRule type="cellIs" dxfId="28047" priority="19503" stopIfTrue="1" operator="equal">
      <formula>"Towel"</formula>
    </cfRule>
    <cfRule type="cellIs" dxfId="28046" priority="19504" stopIfTrue="1" operator="equal">
      <formula>"Napkin Hs"</formula>
    </cfRule>
    <cfRule type="cellIs" dxfId="28045" priority="19505" stopIfTrue="1" operator="equal">
      <formula>"Towel"</formula>
    </cfRule>
    <cfRule type="cellIs" dxfId="28044" priority="19506" stopIfTrue="1" operator="equal">
      <formula>"Napkin Hs"</formula>
    </cfRule>
    <cfRule type="cellIs" dxfId="28043" priority="19509" stopIfTrue="1" operator="equal">
      <formula>"Towel"</formula>
    </cfRule>
    <cfRule type="cellIs" dxfId="28042" priority="19510" stopIfTrue="1" operator="equal">
      <formula>"Napkin Hs"</formula>
    </cfRule>
    <cfRule type="cellIs" dxfId="28041" priority="19511" stopIfTrue="1" operator="equal">
      <formula>"Towel"</formula>
    </cfRule>
    <cfRule type="cellIs" dxfId="28040" priority="19512" stopIfTrue="1" operator="equal">
      <formula>"Napkin Hs"</formula>
    </cfRule>
    <cfRule type="cellIs" dxfId="28039" priority="19515" stopIfTrue="1" operator="equal">
      <formula>"Towel"</formula>
    </cfRule>
    <cfRule type="cellIs" dxfId="28038" priority="19516" stopIfTrue="1" operator="equal">
      <formula>"Napkin Hs"</formula>
    </cfRule>
    <cfRule type="cellIs" dxfId="28037" priority="19517" stopIfTrue="1" operator="equal">
      <formula>"Towel"</formula>
    </cfRule>
    <cfRule type="cellIs" dxfId="28036" priority="19518" stopIfTrue="1" operator="equal">
      <formula>"Napkin Hs"</formula>
    </cfRule>
    <cfRule type="cellIs" dxfId="28035" priority="19521" stopIfTrue="1" operator="equal">
      <formula>"Towel"</formula>
    </cfRule>
    <cfRule type="cellIs" dxfId="28034" priority="19522" stopIfTrue="1" operator="equal">
      <formula>"Napkin Hs"</formula>
    </cfRule>
  </conditionalFormatting>
  <conditionalFormatting sqref="C73:C74">
    <cfRule type="cellIs" dxfId="28033" priority="19523" stopIfTrue="1" operator="equal">
      <formula>"Towel"</formula>
    </cfRule>
    <cfRule type="cellIs" dxfId="28032" priority="19524" stopIfTrue="1" operator="equal">
      <formula>"Napkin Hs"</formula>
    </cfRule>
    <cfRule type="cellIs" dxfId="28031" priority="19553" stopIfTrue="1" operator="equal">
      <formula>"Towel"</formula>
    </cfRule>
    <cfRule type="cellIs" dxfId="28030" priority="19554" stopIfTrue="1" operator="equal">
      <formula>"Napkin Hs"</formula>
    </cfRule>
    <cfRule type="cellIs" dxfId="28029" priority="19559" stopIfTrue="1" operator="equal">
      <formula>"Towel"</formula>
    </cfRule>
    <cfRule type="cellIs" dxfId="28028" priority="19560" stopIfTrue="1" operator="equal">
      <formula>"Napkin Hs"</formula>
    </cfRule>
  </conditionalFormatting>
  <conditionalFormatting sqref="C74">
    <cfRule type="cellIs" dxfId="28027" priority="19529" stopIfTrue="1" operator="equal">
      <formula>"Towel"</formula>
    </cfRule>
    <cfRule type="cellIs" dxfId="28026" priority="19530" stopIfTrue="1" operator="equal">
      <formula>"Napkin Hs"</formula>
    </cfRule>
    <cfRule type="cellIs" dxfId="28025" priority="19533" stopIfTrue="1" operator="equal">
      <formula>"Towel"</formula>
    </cfRule>
    <cfRule type="cellIs" dxfId="28024" priority="19534" stopIfTrue="1" operator="equal">
      <formula>"Napkin Hs"</formula>
    </cfRule>
    <cfRule type="cellIs" dxfId="28023" priority="19535" stopIfTrue="1" operator="equal">
      <formula>"Towel"</formula>
    </cfRule>
    <cfRule type="cellIs" dxfId="28022" priority="19536" stopIfTrue="1" operator="equal">
      <formula>"Napkin Hs"</formula>
    </cfRule>
    <cfRule type="cellIs" dxfId="28021" priority="19539" stopIfTrue="1" operator="equal">
      <formula>"Towel"</formula>
    </cfRule>
    <cfRule type="cellIs" dxfId="28020" priority="19540" stopIfTrue="1" operator="equal">
      <formula>"Napkin Hs"</formula>
    </cfRule>
    <cfRule type="cellIs" dxfId="28019" priority="19541" stopIfTrue="1" operator="equal">
      <formula>"Towel"</formula>
    </cfRule>
    <cfRule type="cellIs" dxfId="28018" priority="19542" stopIfTrue="1" operator="equal">
      <formula>"Napkin Hs"</formula>
    </cfRule>
    <cfRule type="cellIs" dxfId="28017" priority="19545" stopIfTrue="1" operator="equal">
      <formula>"Towel"</formula>
    </cfRule>
    <cfRule type="cellIs" dxfId="28016" priority="19546" stopIfTrue="1" operator="equal">
      <formula>"Napkin Hs"</formula>
    </cfRule>
    <cfRule type="cellIs" dxfId="28015" priority="19547" stopIfTrue="1" operator="equal">
      <formula>"Towel"</formula>
    </cfRule>
    <cfRule type="cellIs" dxfId="28014" priority="19548" stopIfTrue="1" operator="equal">
      <formula>"Napkin Hs"</formula>
    </cfRule>
    <cfRule type="cellIs" dxfId="28013" priority="19551" stopIfTrue="1" operator="equal">
      <formula>"Towel"</formula>
    </cfRule>
    <cfRule type="cellIs" dxfId="28012" priority="19552" stopIfTrue="1" operator="equal">
      <formula>"Napkin Hs"</formula>
    </cfRule>
  </conditionalFormatting>
  <conditionalFormatting sqref="C74">
    <cfRule type="cellIs" dxfId="28011" priority="19563" stopIfTrue="1" operator="equal">
      <formula>"Towel"</formula>
    </cfRule>
    <cfRule type="cellIs" dxfId="28010" priority="19564" stopIfTrue="1" operator="equal">
      <formula>"Napkin Hs"</formula>
    </cfRule>
  </conditionalFormatting>
  <conditionalFormatting sqref="C78">
    <cfRule type="cellIs" dxfId="28009" priority="19303" stopIfTrue="1" operator="equal">
      <formula>"Towel"</formula>
    </cfRule>
    <cfRule type="cellIs" dxfId="28008" priority="19304" stopIfTrue="1" operator="equal">
      <formula>"Napkin Hs"</formula>
    </cfRule>
  </conditionalFormatting>
  <conditionalFormatting sqref="C78">
    <cfRule type="cellIs" dxfId="28007" priority="19399" stopIfTrue="1" operator="equal">
      <formula>"Towel"</formula>
    </cfRule>
    <cfRule type="cellIs" dxfId="28006" priority="19400" stopIfTrue="1" operator="equal">
      <formula>"Napkin Hs"</formula>
    </cfRule>
    <cfRule type="cellIs" dxfId="28005" priority="19403" stopIfTrue="1" operator="equal">
      <formula>"Towel"</formula>
    </cfRule>
    <cfRule type="cellIs" dxfId="28004" priority="19404" stopIfTrue="1" operator="equal">
      <formula>"Napkin Hs"</formula>
    </cfRule>
    <cfRule type="cellIs" dxfId="28003" priority="19405" stopIfTrue="1" operator="equal">
      <formula>"Towel"</formula>
    </cfRule>
    <cfRule type="cellIs" dxfId="28002" priority="19406" stopIfTrue="1" operator="equal">
      <formula>"Napkin Hs"</formula>
    </cfRule>
    <cfRule type="cellIs" dxfId="28001" priority="19409" stopIfTrue="1" operator="equal">
      <formula>"Towel"</formula>
    </cfRule>
    <cfRule type="cellIs" dxfId="28000" priority="19410" stopIfTrue="1" operator="equal">
      <formula>"Napkin Hs"</formula>
    </cfRule>
    <cfRule type="cellIs" dxfId="27999" priority="19411" stopIfTrue="1" operator="equal">
      <formula>"Towel"</formula>
    </cfRule>
    <cfRule type="cellIs" dxfId="27998" priority="19412" stopIfTrue="1" operator="equal">
      <formula>"Napkin Hs"</formula>
    </cfRule>
    <cfRule type="cellIs" dxfId="27997" priority="19415" stopIfTrue="1" operator="equal">
      <formula>"Towel"</formula>
    </cfRule>
    <cfRule type="cellIs" dxfId="27996" priority="19416" stopIfTrue="1" operator="equal">
      <formula>"Napkin Hs"</formula>
    </cfRule>
    <cfRule type="cellIs" dxfId="27995" priority="19417" stopIfTrue="1" operator="equal">
      <formula>"Towel"</formula>
    </cfRule>
    <cfRule type="cellIs" dxfId="27994" priority="19418" stopIfTrue="1" operator="equal">
      <formula>"Napkin Hs"</formula>
    </cfRule>
    <cfRule type="cellIs" dxfId="27993" priority="19421" stopIfTrue="1" operator="equal">
      <formula>"Towel"</formula>
    </cfRule>
    <cfRule type="cellIs" dxfId="27992" priority="19422" stopIfTrue="1" operator="equal">
      <formula>"Napkin Hs"</formula>
    </cfRule>
    <cfRule type="cellIs" dxfId="27991" priority="19423" stopIfTrue="1" operator="equal">
      <formula>"Towel"</formula>
    </cfRule>
    <cfRule type="cellIs" dxfId="27990" priority="19424" stopIfTrue="1" operator="equal">
      <formula>"Napkin Hs"</formula>
    </cfRule>
    <cfRule type="cellIs" dxfId="27989" priority="19429" stopIfTrue="1" operator="equal">
      <formula>"Towel"</formula>
    </cfRule>
    <cfRule type="cellIs" dxfId="27988" priority="19430" stopIfTrue="1" operator="equal">
      <formula>"Napkin Hs"</formula>
    </cfRule>
  </conditionalFormatting>
  <conditionalFormatting sqref="C78">
    <cfRule type="cellIs" dxfId="27987" priority="19433" stopIfTrue="1" operator="equal">
      <formula>"Towel"</formula>
    </cfRule>
    <cfRule type="cellIs" dxfId="27986" priority="19434" stopIfTrue="1" operator="equal">
      <formula>"Napkin Hs"</formula>
    </cfRule>
  </conditionalFormatting>
  <conditionalFormatting sqref="C86">
    <cfRule type="cellIs" dxfId="27985" priority="18985" stopIfTrue="1" operator="equal">
      <formula>"Towel"</formula>
    </cfRule>
    <cfRule type="cellIs" dxfId="27984" priority="18986" stopIfTrue="1" operator="equal">
      <formula>"Napkin Hs"</formula>
    </cfRule>
  </conditionalFormatting>
  <conditionalFormatting sqref="C86">
    <cfRule type="cellIs" dxfId="27983" priority="18991" stopIfTrue="1" operator="equal">
      <formula>"Towel"</formula>
    </cfRule>
    <cfRule type="cellIs" dxfId="27982" priority="18992" stopIfTrue="1" operator="equal">
      <formula>"Napkin Hs"</formula>
    </cfRule>
    <cfRule type="cellIs" dxfId="27981" priority="18995" stopIfTrue="1" operator="equal">
      <formula>"Towel"</formula>
    </cfRule>
    <cfRule type="cellIs" dxfId="27980" priority="18996" stopIfTrue="1" operator="equal">
      <formula>"Napkin Hs"</formula>
    </cfRule>
    <cfRule type="cellIs" dxfId="27979" priority="18997" stopIfTrue="1" operator="equal">
      <formula>"Towel"</formula>
    </cfRule>
    <cfRule type="cellIs" dxfId="27978" priority="18998" stopIfTrue="1" operator="equal">
      <formula>"Napkin Hs"</formula>
    </cfRule>
    <cfRule type="cellIs" dxfId="27977" priority="19001" stopIfTrue="1" operator="equal">
      <formula>"Towel"</formula>
    </cfRule>
    <cfRule type="cellIs" dxfId="27976" priority="19002" stopIfTrue="1" operator="equal">
      <formula>"Napkin Hs"</formula>
    </cfRule>
    <cfRule type="cellIs" dxfId="27975" priority="19003" stopIfTrue="1" operator="equal">
      <formula>"Towel"</formula>
    </cfRule>
    <cfRule type="cellIs" dxfId="27974" priority="19004" stopIfTrue="1" operator="equal">
      <formula>"Napkin Hs"</formula>
    </cfRule>
    <cfRule type="cellIs" dxfId="27973" priority="19007" stopIfTrue="1" operator="equal">
      <formula>"Towel"</formula>
    </cfRule>
    <cfRule type="cellIs" dxfId="27972" priority="19008" stopIfTrue="1" operator="equal">
      <formula>"Napkin Hs"</formula>
    </cfRule>
    <cfRule type="cellIs" dxfId="27971" priority="19009" stopIfTrue="1" operator="equal">
      <formula>"Towel"</formula>
    </cfRule>
    <cfRule type="cellIs" dxfId="27970" priority="19010" stopIfTrue="1" operator="equal">
      <formula>"Napkin Hs"</formula>
    </cfRule>
    <cfRule type="cellIs" dxfId="27969" priority="19013" stopIfTrue="1" operator="equal">
      <formula>"Towel"</formula>
    </cfRule>
    <cfRule type="cellIs" dxfId="27968" priority="19014" stopIfTrue="1" operator="equal">
      <formula>"Napkin Hs"</formula>
    </cfRule>
    <cfRule type="cellIs" dxfId="27967" priority="19015" stopIfTrue="1" operator="equal">
      <formula>"Towel"</formula>
    </cfRule>
    <cfRule type="cellIs" dxfId="27966" priority="19016" stopIfTrue="1" operator="equal">
      <formula>"Napkin Hs"</formula>
    </cfRule>
    <cfRule type="cellIs" dxfId="27965" priority="19019" stopIfTrue="1" operator="equal">
      <formula>"Towel"</formula>
    </cfRule>
    <cfRule type="cellIs" dxfId="27964" priority="19020" stopIfTrue="1" operator="equal">
      <formula>"Napkin Hs"</formula>
    </cfRule>
    <cfRule type="cellIs" dxfId="27963" priority="19021" stopIfTrue="1" operator="equal">
      <formula>"Towel"</formula>
    </cfRule>
    <cfRule type="cellIs" dxfId="27962" priority="19022" stopIfTrue="1" operator="equal">
      <formula>"Napkin Hs"</formula>
    </cfRule>
    <cfRule type="cellIs" dxfId="27961" priority="19025" stopIfTrue="1" operator="equal">
      <formula>"Towel"</formula>
    </cfRule>
    <cfRule type="cellIs" dxfId="27960" priority="19026" stopIfTrue="1" operator="equal">
      <formula>"Napkin Hs"</formula>
    </cfRule>
    <cfRule type="cellIs" dxfId="27959" priority="19027" stopIfTrue="1" operator="equal">
      <formula>"Towel"</formula>
    </cfRule>
    <cfRule type="cellIs" dxfId="27958" priority="19028" stopIfTrue="1" operator="equal">
      <formula>"Napkin Hs"</formula>
    </cfRule>
    <cfRule type="cellIs" dxfId="27957" priority="19031" stopIfTrue="1" operator="equal">
      <formula>"Towel"</formula>
    </cfRule>
    <cfRule type="cellIs" dxfId="27956" priority="19032" stopIfTrue="1" operator="equal">
      <formula>"Napkin Hs"</formula>
    </cfRule>
  </conditionalFormatting>
  <conditionalFormatting sqref="C86:C87">
    <cfRule type="cellIs" dxfId="27955" priority="19033" stopIfTrue="1" operator="equal">
      <formula>"Towel"</formula>
    </cfRule>
    <cfRule type="cellIs" dxfId="27954" priority="19034" stopIfTrue="1" operator="equal">
      <formula>"Napkin Hs"</formula>
    </cfRule>
  </conditionalFormatting>
  <conditionalFormatting sqref="C87">
    <cfRule type="cellIs" dxfId="27953" priority="19039" stopIfTrue="1" operator="equal">
      <formula>"Towel"</formula>
    </cfRule>
    <cfRule type="cellIs" dxfId="27952" priority="19040" stopIfTrue="1" operator="equal">
      <formula>"Napkin Hs"</formula>
    </cfRule>
    <cfRule type="cellIs" dxfId="27951" priority="19043" stopIfTrue="1" operator="equal">
      <formula>"Towel"</formula>
    </cfRule>
    <cfRule type="cellIs" dxfId="27950" priority="19044" stopIfTrue="1" operator="equal">
      <formula>"Napkin Hs"</formula>
    </cfRule>
    <cfRule type="cellIs" dxfId="27949" priority="19045" stopIfTrue="1" operator="equal">
      <formula>"Towel"</formula>
    </cfRule>
    <cfRule type="cellIs" dxfId="27948" priority="19046" stopIfTrue="1" operator="equal">
      <formula>"Napkin Hs"</formula>
    </cfRule>
    <cfRule type="cellIs" dxfId="27947" priority="19049" stopIfTrue="1" operator="equal">
      <formula>"Towel"</formula>
    </cfRule>
    <cfRule type="cellIs" dxfId="27946" priority="19050" stopIfTrue="1" operator="equal">
      <formula>"Napkin Hs"</formula>
    </cfRule>
    <cfRule type="cellIs" dxfId="27945" priority="19051" stopIfTrue="1" operator="equal">
      <formula>"Towel"</formula>
    </cfRule>
    <cfRule type="cellIs" dxfId="27944" priority="19052" stopIfTrue="1" operator="equal">
      <formula>"Napkin Hs"</formula>
    </cfRule>
    <cfRule type="cellIs" dxfId="27943" priority="19055" stopIfTrue="1" operator="equal">
      <formula>"Towel"</formula>
    </cfRule>
    <cfRule type="cellIs" dxfId="27942" priority="19056" stopIfTrue="1" operator="equal">
      <formula>"Napkin Hs"</formula>
    </cfRule>
    <cfRule type="cellIs" dxfId="27941" priority="19057" stopIfTrue="1" operator="equal">
      <formula>"Towel"</formula>
    </cfRule>
    <cfRule type="cellIs" dxfId="27940" priority="19058" stopIfTrue="1" operator="equal">
      <formula>"Napkin Hs"</formula>
    </cfRule>
    <cfRule type="cellIs" dxfId="27939" priority="19061" stopIfTrue="1" operator="equal">
      <formula>"Towel"</formula>
    </cfRule>
    <cfRule type="cellIs" dxfId="27938" priority="19062" stopIfTrue="1" operator="equal">
      <formula>"Napkin Hs"</formula>
    </cfRule>
    <cfRule type="cellIs" dxfId="27937" priority="19063" stopIfTrue="1" operator="equal">
      <formula>"Towel"</formula>
    </cfRule>
    <cfRule type="cellIs" dxfId="27936" priority="19064" stopIfTrue="1" operator="equal">
      <formula>"Napkin Hs"</formula>
    </cfRule>
    <cfRule type="cellIs" dxfId="27935" priority="19067" stopIfTrue="1" operator="equal">
      <formula>"Towel"</formula>
    </cfRule>
    <cfRule type="cellIs" dxfId="27934" priority="19068" stopIfTrue="1" operator="equal">
      <formula>"Napkin Hs"</formula>
    </cfRule>
  </conditionalFormatting>
  <conditionalFormatting sqref="C87:C88">
    <cfRule type="cellIs" dxfId="27933" priority="19069" stopIfTrue="1" operator="equal">
      <formula>"Towel"</formula>
    </cfRule>
    <cfRule type="cellIs" dxfId="27932" priority="19070" stopIfTrue="1" operator="equal">
      <formula>"Napkin Hs"</formula>
    </cfRule>
  </conditionalFormatting>
  <conditionalFormatting sqref="C88">
    <cfRule type="cellIs" dxfId="27931" priority="19075" stopIfTrue="1" operator="equal">
      <formula>"Towel"</formula>
    </cfRule>
    <cfRule type="cellIs" dxfId="27930" priority="19076" stopIfTrue="1" operator="equal">
      <formula>"Napkin Hs"</formula>
    </cfRule>
  </conditionalFormatting>
  <conditionalFormatting sqref="C90:C91">
    <cfRule type="cellIs" dxfId="27929" priority="18799" stopIfTrue="1" operator="equal">
      <formula>"Towel"</formula>
    </cfRule>
    <cfRule type="cellIs" dxfId="27928" priority="18800" stopIfTrue="1" operator="equal">
      <formula>"Napkin Hs"</formula>
    </cfRule>
  </conditionalFormatting>
  <conditionalFormatting sqref="C90">
    <cfRule type="cellIs" dxfId="27927" priority="18755" stopIfTrue="1" operator="equal">
      <formula>"Towel"</formula>
    </cfRule>
    <cfRule type="cellIs" dxfId="27926" priority="18756" stopIfTrue="1" operator="equal">
      <formula>"Napkin Hs"</formula>
    </cfRule>
    <cfRule type="cellIs" dxfId="27925" priority="18757" stopIfTrue="1" operator="equal">
      <formula>"Towel"</formula>
    </cfRule>
    <cfRule type="cellIs" dxfId="27924" priority="18758" stopIfTrue="1" operator="equal">
      <formula>"Napkin Hs"</formula>
    </cfRule>
    <cfRule type="cellIs" dxfId="27923" priority="18761" stopIfTrue="1" operator="equal">
      <formula>"Towel"</formula>
    </cfRule>
    <cfRule type="cellIs" dxfId="27922" priority="18762" stopIfTrue="1" operator="equal">
      <formula>"Napkin Hs"</formula>
    </cfRule>
    <cfRule type="cellIs" dxfId="27921" priority="18763" stopIfTrue="1" operator="equal">
      <formula>"Towel"</formula>
    </cfRule>
    <cfRule type="cellIs" dxfId="27920" priority="18764" stopIfTrue="1" operator="equal">
      <formula>"Napkin Hs"</formula>
    </cfRule>
    <cfRule type="cellIs" dxfId="27919" priority="18767" stopIfTrue="1" operator="equal">
      <formula>"Towel"</formula>
    </cfRule>
    <cfRule type="cellIs" dxfId="27918" priority="18768" stopIfTrue="1" operator="equal">
      <formula>"Napkin Hs"</formula>
    </cfRule>
    <cfRule type="cellIs" dxfId="27917" priority="18769" stopIfTrue="1" operator="equal">
      <formula>"Towel"</formula>
    </cfRule>
    <cfRule type="cellIs" dxfId="27916" priority="18770" stopIfTrue="1" operator="equal">
      <formula>"Napkin Hs"</formula>
    </cfRule>
    <cfRule type="cellIs" dxfId="27915" priority="18773" stopIfTrue="1" operator="equal">
      <formula>"Towel"</formula>
    </cfRule>
    <cfRule type="cellIs" dxfId="27914" priority="18774" stopIfTrue="1" operator="equal">
      <formula>"Napkin Hs"</formula>
    </cfRule>
    <cfRule type="cellIs" dxfId="27913" priority="18775" stopIfTrue="1" operator="equal">
      <formula>"Towel"</formula>
    </cfRule>
    <cfRule type="cellIs" dxfId="27912" priority="18776" stopIfTrue="1" operator="equal">
      <formula>"Napkin Hs"</formula>
    </cfRule>
    <cfRule type="cellIs" dxfId="27911" priority="18779" stopIfTrue="1" operator="equal">
      <formula>"Towel"</formula>
    </cfRule>
    <cfRule type="cellIs" dxfId="27910" priority="18780" stopIfTrue="1" operator="equal">
      <formula>"Napkin Hs"</formula>
    </cfRule>
    <cfRule type="cellIs" dxfId="27909" priority="18781" stopIfTrue="1" operator="equal">
      <formula>"Towel"</formula>
    </cfRule>
    <cfRule type="cellIs" dxfId="27908" priority="18782" stopIfTrue="1" operator="equal">
      <formula>"Napkin Hs"</formula>
    </cfRule>
    <cfRule type="cellIs" dxfId="27907" priority="18785" stopIfTrue="1" operator="equal">
      <formula>"Towel"</formula>
    </cfRule>
    <cfRule type="cellIs" dxfId="27906" priority="18786" stopIfTrue="1" operator="equal">
      <formula>"Napkin Hs"</formula>
    </cfRule>
    <cfRule type="cellIs" dxfId="27905" priority="18787" stopIfTrue="1" operator="equal">
      <formula>"Towel"</formula>
    </cfRule>
    <cfRule type="cellIs" dxfId="27904" priority="18788" stopIfTrue="1" operator="equal">
      <formula>"Napkin Hs"</formula>
    </cfRule>
    <cfRule type="cellIs" dxfId="27903" priority="18791" stopIfTrue="1" operator="equal">
      <formula>"Towel"</formula>
    </cfRule>
    <cfRule type="cellIs" dxfId="27902" priority="18792" stopIfTrue="1" operator="equal">
      <formula>"Napkin Hs"</formula>
    </cfRule>
    <cfRule type="cellIs" dxfId="27901" priority="18793" stopIfTrue="1" operator="equal">
      <formula>"Towel"</formula>
    </cfRule>
    <cfRule type="cellIs" dxfId="27900" priority="18794" stopIfTrue="1" operator="equal">
      <formula>"Napkin Hs"</formula>
    </cfRule>
    <cfRule type="cellIs" dxfId="27899" priority="18797" stopIfTrue="1" operator="equal">
      <formula>"Towel"</formula>
    </cfRule>
    <cfRule type="cellIs" dxfId="27898" priority="18798" stopIfTrue="1" operator="equal">
      <formula>"Napkin Hs"</formula>
    </cfRule>
  </conditionalFormatting>
  <conditionalFormatting sqref="C91">
    <cfRule type="cellIs" dxfId="27897" priority="18901" stopIfTrue="1" operator="equal">
      <formula>"Towel"</formula>
    </cfRule>
    <cfRule type="cellIs" dxfId="27896" priority="18902" stopIfTrue="1" operator="equal">
      <formula>"Napkin Hs"</formula>
    </cfRule>
    <cfRule type="cellIs" dxfId="27895" priority="18905" stopIfTrue="1" operator="equal">
      <formula>"Towel"</formula>
    </cfRule>
    <cfRule type="cellIs" dxfId="27894" priority="18906" stopIfTrue="1" operator="equal">
      <formula>"Napkin Hs"</formula>
    </cfRule>
    <cfRule type="cellIs" dxfId="27893" priority="18907" stopIfTrue="1" operator="equal">
      <formula>"Towel"</formula>
    </cfRule>
    <cfRule type="cellIs" dxfId="27892" priority="18908" stopIfTrue="1" operator="equal">
      <formula>"Napkin Hs"</formula>
    </cfRule>
    <cfRule type="cellIs" dxfId="27891" priority="18911" stopIfTrue="1" operator="equal">
      <formula>"Towel"</formula>
    </cfRule>
    <cfRule type="cellIs" dxfId="27890" priority="18912" stopIfTrue="1" operator="equal">
      <formula>"Napkin Hs"</formula>
    </cfRule>
    <cfRule type="cellIs" dxfId="27889" priority="18913" stopIfTrue="1" operator="equal">
      <formula>"Towel"</formula>
    </cfRule>
    <cfRule type="cellIs" dxfId="27888" priority="18914" stopIfTrue="1" operator="equal">
      <formula>"Napkin Hs"</formula>
    </cfRule>
    <cfRule type="cellIs" dxfId="27887" priority="18917" stopIfTrue="1" operator="equal">
      <formula>"Towel"</formula>
    </cfRule>
    <cfRule type="cellIs" dxfId="27886" priority="18918" stopIfTrue="1" operator="equal">
      <formula>"Napkin Hs"</formula>
    </cfRule>
    <cfRule type="cellIs" dxfId="27885" priority="18919" stopIfTrue="1" operator="equal">
      <formula>"Towel"</formula>
    </cfRule>
    <cfRule type="cellIs" dxfId="27884" priority="18920" stopIfTrue="1" operator="equal">
      <formula>"Napkin Hs"</formula>
    </cfRule>
    <cfRule type="cellIs" dxfId="27883" priority="18923" stopIfTrue="1" operator="equal">
      <formula>"Towel"</formula>
    </cfRule>
    <cfRule type="cellIs" dxfId="27882" priority="18924" stopIfTrue="1" operator="equal">
      <formula>"Napkin Hs"</formula>
    </cfRule>
    <cfRule type="cellIs" dxfId="27881" priority="18925" stopIfTrue="1" operator="equal">
      <formula>"Towel"</formula>
    </cfRule>
    <cfRule type="cellIs" dxfId="27880" priority="18926" stopIfTrue="1" operator="equal">
      <formula>"Napkin Hs"</formula>
    </cfRule>
    <cfRule type="cellIs" dxfId="27879" priority="18929" stopIfTrue="1" operator="equal">
      <formula>"Towel"</formula>
    </cfRule>
    <cfRule type="cellIs" dxfId="27878" priority="18930" stopIfTrue="1" operator="equal">
      <formula>"Napkin Hs"</formula>
    </cfRule>
  </conditionalFormatting>
  <conditionalFormatting sqref="C91:C92">
    <cfRule type="cellIs" dxfId="27877" priority="18931" stopIfTrue="1" operator="equal">
      <formula>"Towel"</formula>
    </cfRule>
    <cfRule type="cellIs" dxfId="27876" priority="18932" stopIfTrue="1" operator="equal">
      <formula>"Napkin Hs"</formula>
    </cfRule>
  </conditionalFormatting>
  <conditionalFormatting sqref="C92">
    <cfRule type="cellIs" dxfId="27875" priority="18937" stopIfTrue="1" operator="equal">
      <formula>"Towel"</formula>
    </cfRule>
    <cfRule type="cellIs" dxfId="27874" priority="18938" stopIfTrue="1" operator="equal">
      <formula>"Napkin Hs"</formula>
    </cfRule>
  </conditionalFormatting>
  <conditionalFormatting sqref="C96">
    <cfRule type="cellIs" dxfId="27873" priority="18667" stopIfTrue="1" operator="equal">
      <formula>"Towel"</formula>
    </cfRule>
    <cfRule type="cellIs" dxfId="27872" priority="18668" stopIfTrue="1" operator="equal">
      <formula>"Napkin Hs"</formula>
    </cfRule>
  </conditionalFormatting>
  <conditionalFormatting sqref="C96">
    <cfRule type="cellIs" dxfId="27871" priority="18721" stopIfTrue="1" operator="equal">
      <formula>"Towel"</formula>
    </cfRule>
    <cfRule type="cellIs" dxfId="27870" priority="18722" stopIfTrue="1" operator="equal">
      <formula>"Napkin Hs"</formula>
    </cfRule>
    <cfRule type="cellIs" dxfId="27869" priority="18725" stopIfTrue="1" operator="equal">
      <formula>"Towel"</formula>
    </cfRule>
    <cfRule type="cellIs" dxfId="27868" priority="18726" stopIfTrue="1" operator="equal">
      <formula>"Napkin Hs"</formula>
    </cfRule>
    <cfRule type="cellIs" dxfId="27867" priority="18727" stopIfTrue="1" operator="equal">
      <formula>"Towel"</formula>
    </cfRule>
    <cfRule type="cellIs" dxfId="27866" priority="18728" stopIfTrue="1" operator="equal">
      <formula>"Napkin Hs"</formula>
    </cfRule>
    <cfRule type="cellIs" dxfId="27865" priority="18731" stopIfTrue="1" operator="equal">
      <formula>"Towel"</formula>
    </cfRule>
    <cfRule type="cellIs" dxfId="27864" priority="18732" stopIfTrue="1" operator="equal">
      <formula>"Napkin Hs"</formula>
    </cfRule>
    <cfRule type="cellIs" dxfId="27863" priority="18733" stopIfTrue="1" operator="equal">
      <formula>"Towel"</formula>
    </cfRule>
    <cfRule type="cellIs" dxfId="27862" priority="18734" stopIfTrue="1" operator="equal">
      <formula>"Napkin Hs"</formula>
    </cfRule>
    <cfRule type="cellIs" dxfId="27861" priority="18737" stopIfTrue="1" operator="equal">
      <formula>"Towel"</formula>
    </cfRule>
    <cfRule type="cellIs" dxfId="27860" priority="18738" stopIfTrue="1" operator="equal">
      <formula>"Napkin Hs"</formula>
    </cfRule>
    <cfRule type="cellIs" dxfId="27859" priority="18739" stopIfTrue="1" operator="equal">
      <formula>"Towel"</formula>
    </cfRule>
    <cfRule type="cellIs" dxfId="27858" priority="18740" stopIfTrue="1" operator="equal">
      <formula>"Napkin Hs"</formula>
    </cfRule>
    <cfRule type="cellIs" dxfId="27857" priority="18743" stopIfTrue="1" operator="equal">
      <formula>"Towel"</formula>
    </cfRule>
    <cfRule type="cellIs" dxfId="27856" priority="18744" stopIfTrue="1" operator="equal">
      <formula>"Napkin Hs"</formula>
    </cfRule>
    <cfRule type="cellIs" dxfId="27855" priority="18745" stopIfTrue="1" operator="equal">
      <formula>"Towel"</formula>
    </cfRule>
    <cfRule type="cellIs" dxfId="27854" priority="18746" stopIfTrue="1" operator="equal">
      <formula>"Napkin Hs"</formula>
    </cfRule>
    <cfRule type="cellIs" dxfId="27853" priority="18749" stopIfTrue="1" operator="equal">
      <formula>"Towel"</formula>
    </cfRule>
    <cfRule type="cellIs" dxfId="27852" priority="18750" stopIfTrue="1" operator="equal">
      <formula>"Napkin Hs"</formula>
    </cfRule>
  </conditionalFormatting>
  <conditionalFormatting sqref="C96:C98">
    <cfRule type="cellIs" dxfId="27851" priority="18751" stopIfTrue="1" operator="equal">
      <formula>"Towel"</formula>
    </cfRule>
    <cfRule type="cellIs" dxfId="27850" priority="18752" stopIfTrue="1" operator="equal">
      <formula>"Napkin Hs"</formula>
    </cfRule>
  </conditionalFormatting>
  <conditionalFormatting sqref="C97:C98">
    <cfRule type="cellIs" dxfId="27849" priority="20925" stopIfTrue="1" operator="equal">
      <formula>"Towel"</formula>
    </cfRule>
    <cfRule type="cellIs" dxfId="27848" priority="20926" stopIfTrue="1" operator="equal">
      <formula>"Napkin Hs"</formula>
    </cfRule>
  </conditionalFormatting>
  <conditionalFormatting sqref="C98">
    <cfRule type="cellIs" dxfId="27847" priority="18425" stopIfTrue="1" operator="equal">
      <formula>"Towel"</formula>
    </cfRule>
    <cfRule type="cellIs" dxfId="27846" priority="18426" stopIfTrue="1" operator="equal">
      <formula>"Napkin Hs"</formula>
    </cfRule>
    <cfRule type="cellIs" dxfId="27845" priority="18429" stopIfTrue="1" operator="equal">
      <formula>"Towel"</formula>
    </cfRule>
    <cfRule type="cellIs" dxfId="27844" priority="18430" stopIfTrue="1" operator="equal">
      <formula>"Napkin Hs"</formula>
    </cfRule>
    <cfRule type="cellIs" dxfId="27843" priority="18431" stopIfTrue="1" operator="equal">
      <formula>"Towel"</formula>
    </cfRule>
    <cfRule type="cellIs" dxfId="27842" priority="18432" stopIfTrue="1" operator="equal">
      <formula>"Napkin Hs"</formula>
    </cfRule>
    <cfRule type="cellIs" dxfId="27841" priority="18435" stopIfTrue="1" operator="equal">
      <formula>"Towel"</formula>
    </cfRule>
    <cfRule type="cellIs" dxfId="27840" priority="18436" stopIfTrue="1" operator="equal">
      <formula>"Napkin Hs"</formula>
    </cfRule>
    <cfRule type="cellIs" dxfId="27839" priority="18437" stopIfTrue="1" operator="equal">
      <formula>"Towel"</formula>
    </cfRule>
    <cfRule type="cellIs" dxfId="27838" priority="18438" stopIfTrue="1" operator="equal">
      <formula>"Napkin Hs"</formula>
    </cfRule>
    <cfRule type="cellIs" dxfId="27837" priority="18441" stopIfTrue="1" operator="equal">
      <formula>"Towel"</formula>
    </cfRule>
    <cfRule type="cellIs" dxfId="27836" priority="18442" stopIfTrue="1" operator="equal">
      <formula>"Napkin Hs"</formula>
    </cfRule>
    <cfRule type="cellIs" dxfId="27835" priority="18443" stopIfTrue="1" operator="equal">
      <formula>"Towel"</formula>
    </cfRule>
    <cfRule type="cellIs" dxfId="27834" priority="18444" stopIfTrue="1" operator="equal">
      <formula>"Napkin Hs"</formula>
    </cfRule>
    <cfRule type="cellIs" dxfId="27833" priority="18447" stopIfTrue="1" operator="equal">
      <formula>"Towel"</formula>
    </cfRule>
    <cfRule type="cellIs" dxfId="27832" priority="18448" stopIfTrue="1" operator="equal">
      <formula>"Napkin Hs"</formula>
    </cfRule>
    <cfRule type="cellIs" dxfId="27831" priority="18449" stopIfTrue="1" operator="equal">
      <formula>"Towel"</formula>
    </cfRule>
    <cfRule type="cellIs" dxfId="27830" priority="18450" stopIfTrue="1" operator="equal">
      <formula>"Napkin Hs"</formula>
    </cfRule>
    <cfRule type="cellIs" dxfId="27829" priority="18453" stopIfTrue="1" operator="equal">
      <formula>"Towel"</formula>
    </cfRule>
    <cfRule type="cellIs" dxfId="27828" priority="18454" stopIfTrue="1" operator="equal">
      <formula>"Napkin Hs"</formula>
    </cfRule>
    <cfRule type="cellIs" dxfId="27827" priority="18455" stopIfTrue="1" operator="equal">
      <formula>"Towel"</formula>
    </cfRule>
    <cfRule type="cellIs" dxfId="27826" priority="18456" stopIfTrue="1" operator="equal">
      <formula>"Napkin Hs"</formula>
    </cfRule>
    <cfRule type="cellIs" dxfId="27825" priority="18459" stopIfTrue="1" operator="equal">
      <formula>"Towel"</formula>
    </cfRule>
    <cfRule type="cellIs" dxfId="27824" priority="18460" stopIfTrue="1" operator="equal">
      <formula>"Napkin Hs"</formula>
    </cfRule>
    <cfRule type="cellIs" dxfId="27823" priority="18461" stopIfTrue="1" operator="equal">
      <formula>"Towel"</formula>
    </cfRule>
    <cfRule type="cellIs" dxfId="27822" priority="18462" stopIfTrue="1" operator="equal">
      <formula>"Napkin Hs"</formula>
    </cfRule>
    <cfRule type="cellIs" dxfId="27821" priority="18465" stopIfTrue="1" operator="equal">
      <formula>"Towel"</formula>
    </cfRule>
    <cfRule type="cellIs" dxfId="27820" priority="18466" stopIfTrue="1" operator="equal">
      <formula>"Napkin Hs"</formula>
    </cfRule>
    <cfRule type="cellIs" dxfId="27819" priority="18467" stopIfTrue="1" operator="equal">
      <formula>"Towel"</formula>
    </cfRule>
    <cfRule type="cellIs" dxfId="27818" priority="18468" stopIfTrue="1" operator="equal">
      <formula>"Napkin Hs"</formula>
    </cfRule>
  </conditionalFormatting>
  <conditionalFormatting sqref="C98:C101">
    <cfRule type="cellIs" dxfId="27817" priority="18419" stopIfTrue="1" operator="equal">
      <formula>"Towel"</formula>
    </cfRule>
    <cfRule type="cellIs" dxfId="27816" priority="18420" stopIfTrue="1" operator="equal">
      <formula>"Napkin Hs"</formula>
    </cfRule>
  </conditionalFormatting>
  <conditionalFormatting sqref="C99:C100">
    <cfRule type="cellIs" dxfId="27815" priority="18369" stopIfTrue="1" operator="equal">
      <formula>"Towel"</formula>
    </cfRule>
    <cfRule type="cellIs" dxfId="27814" priority="18370" stopIfTrue="1" operator="equal">
      <formula>"Napkin Hs"</formula>
    </cfRule>
    <cfRule type="cellIs" dxfId="27813" priority="18371" stopIfTrue="1" operator="equal">
      <formula>"Towel"</formula>
    </cfRule>
    <cfRule type="cellIs" dxfId="27812" priority="18372" stopIfTrue="1" operator="equal">
      <formula>"Napkin Hs"</formula>
    </cfRule>
    <cfRule type="cellIs" dxfId="27811" priority="18375" stopIfTrue="1" operator="equal">
      <formula>"Towel"</formula>
    </cfRule>
    <cfRule type="cellIs" dxfId="27810" priority="18376" stopIfTrue="1" operator="equal">
      <formula>"Napkin Hs"</formula>
    </cfRule>
    <cfRule type="cellIs" dxfId="27809" priority="18377" stopIfTrue="1" operator="equal">
      <formula>"Towel"</formula>
    </cfRule>
    <cfRule type="cellIs" dxfId="27808" priority="18378" stopIfTrue="1" operator="equal">
      <formula>"Napkin Hs"</formula>
    </cfRule>
    <cfRule type="cellIs" dxfId="27807" priority="18381" stopIfTrue="1" operator="equal">
      <formula>"Towel"</formula>
    </cfRule>
    <cfRule type="cellIs" dxfId="27806" priority="18382" stopIfTrue="1" operator="equal">
      <formula>"Napkin Hs"</formula>
    </cfRule>
    <cfRule type="cellIs" dxfId="27805" priority="18383" stopIfTrue="1" operator="equal">
      <formula>"Towel"</formula>
    </cfRule>
    <cfRule type="cellIs" dxfId="27804" priority="18384" stopIfTrue="1" operator="equal">
      <formula>"Napkin Hs"</formula>
    </cfRule>
    <cfRule type="cellIs" dxfId="27803" priority="18387" stopIfTrue="1" operator="equal">
      <formula>"Towel"</formula>
    </cfRule>
    <cfRule type="cellIs" dxfId="27802" priority="18388" stopIfTrue="1" operator="equal">
      <formula>"Napkin Hs"</formula>
    </cfRule>
    <cfRule type="cellIs" dxfId="27801" priority="18389" stopIfTrue="1" operator="equal">
      <formula>"Towel"</formula>
    </cfRule>
    <cfRule type="cellIs" dxfId="27800" priority="18390" stopIfTrue="1" operator="equal">
      <formula>"Napkin Hs"</formula>
    </cfRule>
    <cfRule type="cellIs" dxfId="27799" priority="18393" stopIfTrue="1" operator="equal">
      <formula>"Towel"</formula>
    </cfRule>
    <cfRule type="cellIs" dxfId="27798" priority="18394" stopIfTrue="1" operator="equal">
      <formula>"Napkin Hs"</formula>
    </cfRule>
    <cfRule type="cellIs" dxfId="27797" priority="18395" stopIfTrue="1" operator="equal">
      <formula>"Towel"</formula>
    </cfRule>
    <cfRule type="cellIs" dxfId="27796" priority="18396" stopIfTrue="1" operator="equal">
      <formula>"Napkin Hs"</formula>
    </cfRule>
    <cfRule type="cellIs" dxfId="27795" priority="18399" stopIfTrue="1" operator="equal">
      <formula>"Towel"</formula>
    </cfRule>
    <cfRule type="cellIs" dxfId="27794" priority="18400" stopIfTrue="1" operator="equal">
      <formula>"Napkin Hs"</formula>
    </cfRule>
    <cfRule type="cellIs" dxfId="27793" priority="18401" stopIfTrue="1" operator="equal">
      <formula>"Towel"</formula>
    </cfRule>
    <cfRule type="cellIs" dxfId="27792" priority="18402" stopIfTrue="1" operator="equal">
      <formula>"Napkin Hs"</formula>
    </cfRule>
    <cfRule type="cellIs" dxfId="27791" priority="18405" stopIfTrue="1" operator="equal">
      <formula>"Towel"</formula>
    </cfRule>
    <cfRule type="cellIs" dxfId="27790" priority="18406" stopIfTrue="1" operator="equal">
      <formula>"Napkin Hs"</formula>
    </cfRule>
    <cfRule type="cellIs" dxfId="27789" priority="18407" stopIfTrue="1" operator="equal">
      <formula>"Towel"</formula>
    </cfRule>
    <cfRule type="cellIs" dxfId="27788" priority="18408" stopIfTrue="1" operator="equal">
      <formula>"Napkin Hs"</formula>
    </cfRule>
    <cfRule type="cellIs" dxfId="27787" priority="18411" stopIfTrue="1" operator="equal">
      <formula>"Towel"</formula>
    </cfRule>
    <cfRule type="cellIs" dxfId="27786" priority="18412" stopIfTrue="1" operator="equal">
      <formula>"Napkin Hs"</formula>
    </cfRule>
    <cfRule type="cellIs" dxfId="27785" priority="18413" stopIfTrue="1" operator="equal">
      <formula>"Towel"</formula>
    </cfRule>
    <cfRule type="cellIs" dxfId="27784" priority="18414" stopIfTrue="1" operator="equal">
      <formula>"Napkin Hs"</formula>
    </cfRule>
    <cfRule type="cellIs" dxfId="27783" priority="18417" stopIfTrue="1" operator="equal">
      <formula>"Towel"</formula>
    </cfRule>
    <cfRule type="cellIs" dxfId="27782" priority="18418" stopIfTrue="1" operator="equal">
      <formula>"Napkin Hs"</formula>
    </cfRule>
  </conditionalFormatting>
  <conditionalFormatting sqref="C101">
    <cfRule type="cellIs" dxfId="27781" priority="20911" stopIfTrue="1" operator="equal">
      <formula>"Towel"</formula>
    </cfRule>
    <cfRule type="cellIs" dxfId="27780" priority="20912" stopIfTrue="1" operator="equal">
      <formula>"Napkin Hs"</formula>
    </cfRule>
  </conditionalFormatting>
  <conditionalFormatting sqref="C101:C102">
    <cfRule type="cellIs" dxfId="27779" priority="20907" stopIfTrue="1" operator="equal">
      <formula>"Towel"</formula>
    </cfRule>
    <cfRule type="cellIs" dxfId="27778" priority="20908" stopIfTrue="1" operator="equal">
      <formula>"Napkin Hs"</formula>
    </cfRule>
  </conditionalFormatting>
  <conditionalFormatting sqref="C101:C102">
    <cfRule type="cellIs" dxfId="27777" priority="18569" stopIfTrue="1" operator="equal">
      <formula>"Towel"</formula>
    </cfRule>
    <cfRule type="cellIs" dxfId="27776" priority="18570" stopIfTrue="1" operator="equal">
      <formula>"Napkin Hs"</formula>
    </cfRule>
  </conditionalFormatting>
  <conditionalFormatting sqref="C102">
    <cfRule type="cellIs" dxfId="27775" priority="18571" stopIfTrue="1" operator="equal">
      <formula>"Towel"</formula>
    </cfRule>
    <cfRule type="cellIs" dxfId="27774" priority="18572" stopIfTrue="1" operator="equal">
      <formula>"Napkin Hs"</formula>
    </cfRule>
    <cfRule type="cellIs" dxfId="27773" priority="20899" stopIfTrue="1" operator="equal">
      <formula>"Towel"</formula>
    </cfRule>
    <cfRule type="cellIs" dxfId="27772" priority="20900" stopIfTrue="1" operator="equal">
      <formula>"Napkin Hs"</formula>
    </cfRule>
  </conditionalFormatting>
  <conditionalFormatting sqref="B107:C107">
    <cfRule type="cellIs" dxfId="27771" priority="18313" stopIfTrue="1" operator="equal">
      <formula>"Towel"</formula>
    </cfRule>
    <cfRule type="cellIs" dxfId="27770" priority="18314" stopIfTrue="1" operator="equal">
      <formula>"Napkin Hs"</formula>
    </cfRule>
  </conditionalFormatting>
  <conditionalFormatting sqref="C107">
    <cfRule type="cellIs" dxfId="27769" priority="18311" stopIfTrue="1" operator="equal">
      <formula>"Towel"</formula>
    </cfRule>
    <cfRule type="cellIs" dxfId="27768" priority="18312" stopIfTrue="1" operator="equal">
      <formula>"Napkin Hs"</formula>
    </cfRule>
  </conditionalFormatting>
  <conditionalFormatting sqref="C107">
    <cfRule type="cellIs" dxfId="27767" priority="20881" stopIfTrue="1" operator="equal">
      <formula>"Towel"</formula>
    </cfRule>
    <cfRule type="cellIs" dxfId="27766" priority="20882" stopIfTrue="1" operator="equal">
      <formula>"Napkin Hs"</formula>
    </cfRule>
  </conditionalFormatting>
  <conditionalFormatting sqref="C108">
    <cfRule type="cellIs" dxfId="27765" priority="18209" stopIfTrue="1" operator="equal">
      <formula>"Towel"</formula>
    </cfRule>
    <cfRule type="cellIs" dxfId="27764" priority="18210" stopIfTrue="1" operator="equal">
      <formula>"Napkin Hs"</formula>
    </cfRule>
    <cfRule type="cellIs" dxfId="27763" priority="18213" stopIfTrue="1" operator="equal">
      <formula>"Towel"</formula>
    </cfRule>
    <cfRule type="cellIs" dxfId="27762" priority="18214" stopIfTrue="1" operator="equal">
      <formula>"Napkin Hs"</formula>
    </cfRule>
    <cfRule type="cellIs" dxfId="27761" priority="18215" stopIfTrue="1" operator="equal">
      <formula>"Towel"</formula>
    </cfRule>
    <cfRule type="cellIs" dxfId="27760" priority="18216" stopIfTrue="1" operator="equal">
      <formula>"Napkin Hs"</formula>
    </cfRule>
    <cfRule type="cellIs" dxfId="27759" priority="18219" stopIfTrue="1" operator="equal">
      <formula>"Towel"</formula>
    </cfRule>
    <cfRule type="cellIs" dxfId="27758" priority="18220" stopIfTrue="1" operator="equal">
      <formula>"Napkin Hs"</formula>
    </cfRule>
    <cfRule type="cellIs" dxfId="27757" priority="18221" stopIfTrue="1" operator="equal">
      <formula>"Towel"</formula>
    </cfRule>
    <cfRule type="cellIs" dxfId="27756" priority="18222" stopIfTrue="1" operator="equal">
      <formula>"Napkin Hs"</formula>
    </cfRule>
    <cfRule type="cellIs" dxfId="27755" priority="18225" stopIfTrue="1" operator="equal">
      <formula>"Towel"</formula>
    </cfRule>
    <cfRule type="cellIs" dxfId="27754" priority="18226" stopIfTrue="1" operator="equal">
      <formula>"Napkin Hs"</formula>
    </cfRule>
    <cfRule type="cellIs" dxfId="27753" priority="18227" stopIfTrue="1" operator="equal">
      <formula>"Towel"</formula>
    </cfRule>
    <cfRule type="cellIs" dxfId="27752" priority="18228" stopIfTrue="1" operator="equal">
      <formula>"Napkin Hs"</formula>
    </cfRule>
    <cfRule type="cellIs" dxfId="27751" priority="18231" stopIfTrue="1" operator="equal">
      <formula>"Towel"</formula>
    </cfRule>
    <cfRule type="cellIs" dxfId="27750" priority="18232" stopIfTrue="1" operator="equal">
      <formula>"Napkin Hs"</formula>
    </cfRule>
    <cfRule type="cellIs" dxfId="27749" priority="18233" stopIfTrue="1" operator="equal">
      <formula>"Towel"</formula>
    </cfRule>
    <cfRule type="cellIs" dxfId="27748" priority="18234" stopIfTrue="1" operator="equal">
      <formula>"Napkin Hs"</formula>
    </cfRule>
    <cfRule type="cellIs" dxfId="27747" priority="18237" stopIfTrue="1" operator="equal">
      <formula>"Towel"</formula>
    </cfRule>
    <cfRule type="cellIs" dxfId="27746" priority="18238" stopIfTrue="1" operator="equal">
      <formula>"Napkin Hs"</formula>
    </cfRule>
    <cfRule type="cellIs" dxfId="27745" priority="18239" stopIfTrue="1" operator="equal">
      <formula>"Towel"</formula>
    </cfRule>
    <cfRule type="cellIs" dxfId="27744" priority="18240" stopIfTrue="1" operator="equal">
      <formula>"Napkin Hs"</formula>
    </cfRule>
    <cfRule type="cellIs" dxfId="27743" priority="18243" stopIfTrue="1" operator="equal">
      <formula>"Towel"</formula>
    </cfRule>
    <cfRule type="cellIs" dxfId="27742" priority="18244" stopIfTrue="1" operator="equal">
      <formula>"Napkin Hs"</formula>
    </cfRule>
    <cfRule type="cellIs" dxfId="27741" priority="18245" stopIfTrue="1" operator="equal">
      <formula>"Towel"</formula>
    </cfRule>
    <cfRule type="cellIs" dxfId="27740" priority="18246" stopIfTrue="1" operator="equal">
      <formula>"Napkin Hs"</formula>
    </cfRule>
    <cfRule type="cellIs" dxfId="27739" priority="18249" stopIfTrue="1" operator="equal">
      <formula>"Towel"</formula>
    </cfRule>
    <cfRule type="cellIs" dxfId="27738" priority="18250" stopIfTrue="1" operator="equal">
      <formula>"Napkin Hs"</formula>
    </cfRule>
    <cfRule type="cellIs" dxfId="27737" priority="18251" stopIfTrue="1" operator="equal">
      <formula>"Towel"</formula>
    </cfRule>
    <cfRule type="cellIs" dxfId="27736" priority="18252" stopIfTrue="1" operator="equal">
      <formula>"Napkin Hs"</formula>
    </cfRule>
    <cfRule type="cellIs" dxfId="27735" priority="18255" stopIfTrue="1" operator="equal">
      <formula>"Towel"</formula>
    </cfRule>
    <cfRule type="cellIs" dxfId="27734" priority="18256" stopIfTrue="1" operator="equal">
      <formula>"Napkin Hs"</formula>
    </cfRule>
    <cfRule type="cellIs" dxfId="27733" priority="18257" stopIfTrue="1" operator="equal">
      <formula>"Towel"</formula>
    </cfRule>
    <cfRule type="cellIs" dxfId="27732" priority="18258" stopIfTrue="1" operator="equal">
      <formula>"Napkin Hs"</formula>
    </cfRule>
  </conditionalFormatting>
  <conditionalFormatting sqref="C108:C111">
    <cfRule type="cellIs" dxfId="27731" priority="18203" stopIfTrue="1" operator="equal">
      <formula>"Towel"</formula>
    </cfRule>
    <cfRule type="cellIs" dxfId="27730" priority="18204" stopIfTrue="1" operator="equal">
      <formula>"Napkin Hs"</formula>
    </cfRule>
  </conditionalFormatting>
  <conditionalFormatting sqref="C109:C110">
    <cfRule type="cellIs" dxfId="27729" priority="18153" stopIfTrue="1" operator="equal">
      <formula>"Towel"</formula>
    </cfRule>
    <cfRule type="cellIs" dxfId="27728" priority="18154" stopIfTrue="1" operator="equal">
      <formula>"Napkin Hs"</formula>
    </cfRule>
    <cfRule type="cellIs" dxfId="27727" priority="18155" stopIfTrue="1" operator="equal">
      <formula>"Towel"</formula>
    </cfRule>
    <cfRule type="cellIs" dxfId="27726" priority="18156" stopIfTrue="1" operator="equal">
      <formula>"Napkin Hs"</formula>
    </cfRule>
    <cfRule type="cellIs" dxfId="27725" priority="18159" stopIfTrue="1" operator="equal">
      <formula>"Towel"</formula>
    </cfRule>
    <cfRule type="cellIs" dxfId="27724" priority="18160" stopIfTrue="1" operator="equal">
      <formula>"Napkin Hs"</formula>
    </cfRule>
    <cfRule type="cellIs" dxfId="27723" priority="18161" stopIfTrue="1" operator="equal">
      <formula>"Towel"</formula>
    </cfRule>
    <cfRule type="cellIs" dxfId="27722" priority="18162" stopIfTrue="1" operator="equal">
      <formula>"Napkin Hs"</formula>
    </cfRule>
    <cfRule type="cellIs" dxfId="27721" priority="18165" stopIfTrue="1" operator="equal">
      <formula>"Towel"</formula>
    </cfRule>
    <cfRule type="cellIs" dxfId="27720" priority="18166" stopIfTrue="1" operator="equal">
      <formula>"Napkin Hs"</formula>
    </cfRule>
    <cfRule type="cellIs" dxfId="27719" priority="18167" stopIfTrue="1" operator="equal">
      <formula>"Towel"</formula>
    </cfRule>
    <cfRule type="cellIs" dxfId="27718" priority="18168" stopIfTrue="1" operator="equal">
      <formula>"Napkin Hs"</formula>
    </cfRule>
    <cfRule type="cellIs" dxfId="27717" priority="18171" stopIfTrue="1" operator="equal">
      <formula>"Towel"</formula>
    </cfRule>
    <cfRule type="cellIs" dxfId="27716" priority="18172" stopIfTrue="1" operator="equal">
      <formula>"Napkin Hs"</formula>
    </cfRule>
    <cfRule type="cellIs" dxfId="27715" priority="18173" stopIfTrue="1" operator="equal">
      <formula>"Towel"</formula>
    </cfRule>
    <cfRule type="cellIs" dxfId="27714" priority="18174" stopIfTrue="1" operator="equal">
      <formula>"Napkin Hs"</formula>
    </cfRule>
    <cfRule type="cellIs" dxfId="27713" priority="18177" stopIfTrue="1" operator="equal">
      <formula>"Towel"</formula>
    </cfRule>
    <cfRule type="cellIs" dxfId="27712" priority="18178" stopIfTrue="1" operator="equal">
      <formula>"Napkin Hs"</formula>
    </cfRule>
    <cfRule type="cellIs" dxfId="27711" priority="18179" stopIfTrue="1" operator="equal">
      <formula>"Towel"</formula>
    </cfRule>
    <cfRule type="cellIs" dxfId="27710" priority="18180" stopIfTrue="1" operator="equal">
      <formula>"Napkin Hs"</formula>
    </cfRule>
    <cfRule type="cellIs" dxfId="27709" priority="18183" stopIfTrue="1" operator="equal">
      <formula>"Towel"</formula>
    </cfRule>
    <cfRule type="cellIs" dxfId="27708" priority="18184" stopIfTrue="1" operator="equal">
      <formula>"Napkin Hs"</formula>
    </cfRule>
    <cfRule type="cellIs" dxfId="27707" priority="18185" stopIfTrue="1" operator="equal">
      <formula>"Towel"</formula>
    </cfRule>
    <cfRule type="cellIs" dxfId="27706" priority="18186" stopIfTrue="1" operator="equal">
      <formula>"Napkin Hs"</formula>
    </cfRule>
    <cfRule type="cellIs" dxfId="27705" priority="18189" stopIfTrue="1" operator="equal">
      <formula>"Towel"</formula>
    </cfRule>
    <cfRule type="cellIs" dxfId="27704" priority="18190" stopIfTrue="1" operator="equal">
      <formula>"Napkin Hs"</formula>
    </cfRule>
    <cfRule type="cellIs" dxfId="27703" priority="18191" stopIfTrue="1" operator="equal">
      <formula>"Towel"</formula>
    </cfRule>
    <cfRule type="cellIs" dxfId="27702" priority="18192" stopIfTrue="1" operator="equal">
      <formula>"Napkin Hs"</formula>
    </cfRule>
    <cfRule type="cellIs" dxfId="27701" priority="18195" stopIfTrue="1" operator="equal">
      <formula>"Towel"</formula>
    </cfRule>
    <cfRule type="cellIs" dxfId="27700" priority="18196" stopIfTrue="1" operator="equal">
      <formula>"Napkin Hs"</formula>
    </cfRule>
    <cfRule type="cellIs" dxfId="27699" priority="18197" stopIfTrue="1" operator="equal">
      <formula>"Towel"</formula>
    </cfRule>
    <cfRule type="cellIs" dxfId="27698" priority="18198" stopIfTrue="1" operator="equal">
      <formula>"Napkin Hs"</formula>
    </cfRule>
    <cfRule type="cellIs" dxfId="27697" priority="18201" stopIfTrue="1" operator="equal">
      <formula>"Towel"</formula>
    </cfRule>
    <cfRule type="cellIs" dxfId="27696" priority="18202" stopIfTrue="1" operator="equal">
      <formula>"Napkin Hs"</formula>
    </cfRule>
  </conditionalFormatting>
  <conditionalFormatting sqref="C111">
    <cfRule type="cellIs" dxfId="27695" priority="20853" stopIfTrue="1" operator="equal">
      <formula>"Towel"</formula>
    </cfRule>
    <cfRule type="cellIs" dxfId="27694" priority="20854" stopIfTrue="1" operator="equal">
      <formula>"Napkin Hs"</formula>
    </cfRule>
  </conditionalFormatting>
  <conditionalFormatting sqref="C113">
    <cfRule type="cellIs" dxfId="27693" priority="18031" stopIfTrue="1" operator="equal">
      <formula>"Towel"</formula>
    </cfRule>
    <cfRule type="cellIs" dxfId="27692" priority="18032" stopIfTrue="1" operator="equal">
      <formula>"Napkin Hs"</formula>
    </cfRule>
  </conditionalFormatting>
  <conditionalFormatting sqref="C113">
    <cfRule type="cellIs" dxfId="27691" priority="18037" stopIfTrue="1" operator="equal">
      <formula>"Towel"</formula>
    </cfRule>
    <cfRule type="cellIs" dxfId="27690" priority="18038" stopIfTrue="1" operator="equal">
      <formula>"Napkin Hs"</formula>
    </cfRule>
    <cfRule type="cellIs" dxfId="27689" priority="18041" stopIfTrue="1" operator="equal">
      <formula>"Towel"</formula>
    </cfRule>
    <cfRule type="cellIs" dxfId="27688" priority="18042" stopIfTrue="1" operator="equal">
      <formula>"Napkin Hs"</formula>
    </cfRule>
    <cfRule type="cellIs" dxfId="27687" priority="18043" stopIfTrue="1" operator="equal">
      <formula>"Towel"</formula>
    </cfRule>
    <cfRule type="cellIs" dxfId="27686" priority="18044" stopIfTrue="1" operator="equal">
      <formula>"Napkin Hs"</formula>
    </cfRule>
    <cfRule type="cellIs" dxfId="27685" priority="18047" stopIfTrue="1" operator="equal">
      <formula>"Towel"</formula>
    </cfRule>
    <cfRule type="cellIs" dxfId="27684" priority="18048" stopIfTrue="1" operator="equal">
      <formula>"Napkin Hs"</formula>
    </cfRule>
    <cfRule type="cellIs" dxfId="27683" priority="18049" stopIfTrue="1" operator="equal">
      <formula>"Towel"</formula>
    </cfRule>
    <cfRule type="cellIs" dxfId="27682" priority="18050" stopIfTrue="1" operator="equal">
      <formula>"Napkin Hs"</formula>
    </cfRule>
    <cfRule type="cellIs" dxfId="27681" priority="18053" stopIfTrue="1" operator="equal">
      <formula>"Towel"</formula>
    </cfRule>
    <cfRule type="cellIs" dxfId="27680" priority="18054" stopIfTrue="1" operator="equal">
      <formula>"Napkin Hs"</formula>
    </cfRule>
    <cfRule type="cellIs" dxfId="27679" priority="18055" stopIfTrue="1" operator="equal">
      <formula>"Towel"</formula>
    </cfRule>
    <cfRule type="cellIs" dxfId="27678" priority="18056" stopIfTrue="1" operator="equal">
      <formula>"Napkin Hs"</formula>
    </cfRule>
    <cfRule type="cellIs" dxfId="27677" priority="18059" stopIfTrue="1" operator="equal">
      <formula>"Towel"</formula>
    </cfRule>
    <cfRule type="cellIs" dxfId="27676" priority="18060" stopIfTrue="1" operator="equal">
      <formula>"Napkin Hs"</formula>
    </cfRule>
    <cfRule type="cellIs" dxfId="27675" priority="18061" stopIfTrue="1" operator="equal">
      <formula>"Towel"</formula>
    </cfRule>
    <cfRule type="cellIs" dxfId="27674" priority="18062" stopIfTrue="1" operator="equal">
      <formula>"Napkin Hs"</formula>
    </cfRule>
    <cfRule type="cellIs" dxfId="27673" priority="18065" stopIfTrue="1" operator="equal">
      <formula>"Towel"</formula>
    </cfRule>
    <cfRule type="cellIs" dxfId="27672" priority="18066" stopIfTrue="1" operator="equal">
      <formula>"Napkin Hs"</formula>
    </cfRule>
    <cfRule type="cellIs" dxfId="27671" priority="18067" stopIfTrue="1" operator="equal">
      <formula>"Towel"</formula>
    </cfRule>
    <cfRule type="cellIs" dxfId="27670" priority="18068" stopIfTrue="1" operator="equal">
      <formula>"Napkin Hs"</formula>
    </cfRule>
    <cfRule type="cellIs" dxfId="27669" priority="18071" stopIfTrue="1" operator="equal">
      <formula>"Towel"</formula>
    </cfRule>
    <cfRule type="cellIs" dxfId="27668" priority="18072" stopIfTrue="1" operator="equal">
      <formula>"Napkin Hs"</formula>
    </cfRule>
    <cfRule type="cellIs" dxfId="27667" priority="18073" stopIfTrue="1" operator="equal">
      <formula>"Towel"</formula>
    </cfRule>
    <cfRule type="cellIs" dxfId="27666" priority="18074" stopIfTrue="1" operator="equal">
      <formula>"Napkin Hs"</formula>
    </cfRule>
    <cfRule type="cellIs" dxfId="27665" priority="18077" stopIfTrue="1" operator="equal">
      <formula>"Towel"</formula>
    </cfRule>
    <cfRule type="cellIs" dxfId="27664" priority="18078" stopIfTrue="1" operator="equal">
      <formula>"Napkin Hs"</formula>
    </cfRule>
    <cfRule type="cellIs" dxfId="27663" priority="18079" stopIfTrue="1" operator="equal">
      <formula>"Towel"</formula>
    </cfRule>
    <cfRule type="cellIs" dxfId="27662" priority="18080" stopIfTrue="1" operator="equal">
      <formula>"Napkin Hs"</formula>
    </cfRule>
    <cfRule type="cellIs" dxfId="27661" priority="18083" stopIfTrue="1" operator="equal">
      <formula>"Towel"</formula>
    </cfRule>
    <cfRule type="cellIs" dxfId="27660" priority="18084" stopIfTrue="1" operator="equal">
      <formula>"Napkin Hs"</formula>
    </cfRule>
    <cfRule type="cellIs" dxfId="27659" priority="20847" stopIfTrue="1" operator="equal">
      <formula>"Towel"</formula>
    </cfRule>
    <cfRule type="cellIs" dxfId="27658" priority="20848" stopIfTrue="1" operator="equal">
      <formula>"Napkin Hs"</formula>
    </cfRule>
  </conditionalFormatting>
  <conditionalFormatting sqref="C113">
    <cfRule type="cellIs" dxfId="27657" priority="18085" stopIfTrue="1" operator="equal">
      <formula>"Towel"</formula>
    </cfRule>
    <cfRule type="cellIs" dxfId="27656" priority="18086" stopIfTrue="1" operator="equal">
      <formula>"Napkin Hs"</formula>
    </cfRule>
  </conditionalFormatting>
  <conditionalFormatting sqref="C122:C123">
    <cfRule type="cellIs" dxfId="27655" priority="17719" stopIfTrue="1" operator="equal">
      <formula>"Towel"</formula>
    </cfRule>
    <cfRule type="cellIs" dxfId="27654" priority="17720" stopIfTrue="1" operator="equal">
      <formula>"Napkin Hs"</formula>
    </cfRule>
  </conditionalFormatting>
  <conditionalFormatting sqref="C122">
    <cfRule type="cellIs" dxfId="27653" priority="17663" stopIfTrue="1" operator="equal">
      <formula>"Towel"</formula>
    </cfRule>
    <cfRule type="cellIs" dxfId="27652" priority="17664" stopIfTrue="1" operator="equal">
      <formula>"Napkin Hs"</formula>
    </cfRule>
    <cfRule type="cellIs" dxfId="27651" priority="17665" stopIfTrue="1" operator="equal">
      <formula>"Towel"</formula>
    </cfRule>
    <cfRule type="cellIs" dxfId="27650" priority="17666" stopIfTrue="1" operator="equal">
      <formula>"Napkin Hs"</formula>
    </cfRule>
    <cfRule type="cellIs" dxfId="27649" priority="17669" stopIfTrue="1" operator="equal">
      <formula>"Towel"</formula>
    </cfRule>
    <cfRule type="cellIs" dxfId="27648" priority="17670" stopIfTrue="1" operator="equal">
      <formula>"Napkin Hs"</formula>
    </cfRule>
    <cfRule type="cellIs" dxfId="27647" priority="17671" stopIfTrue="1" operator="equal">
      <formula>"Towel"</formula>
    </cfRule>
    <cfRule type="cellIs" dxfId="27646" priority="17672" stopIfTrue="1" operator="equal">
      <formula>"Napkin Hs"</formula>
    </cfRule>
    <cfRule type="cellIs" dxfId="27645" priority="17675" stopIfTrue="1" operator="equal">
      <formula>"Towel"</formula>
    </cfRule>
    <cfRule type="cellIs" dxfId="27644" priority="17676" stopIfTrue="1" operator="equal">
      <formula>"Napkin Hs"</formula>
    </cfRule>
    <cfRule type="cellIs" dxfId="27643" priority="17677" stopIfTrue="1" operator="equal">
      <formula>"Towel"</formula>
    </cfRule>
    <cfRule type="cellIs" dxfId="27642" priority="17678" stopIfTrue="1" operator="equal">
      <formula>"Napkin Hs"</formula>
    </cfRule>
    <cfRule type="cellIs" dxfId="27641" priority="17681" stopIfTrue="1" operator="equal">
      <formula>"Towel"</formula>
    </cfRule>
    <cfRule type="cellIs" dxfId="27640" priority="17682" stopIfTrue="1" operator="equal">
      <formula>"Napkin Hs"</formula>
    </cfRule>
    <cfRule type="cellIs" dxfId="27639" priority="17683" stopIfTrue="1" operator="equal">
      <formula>"Towel"</formula>
    </cfRule>
    <cfRule type="cellIs" dxfId="27638" priority="17684" stopIfTrue="1" operator="equal">
      <formula>"Napkin Hs"</formula>
    </cfRule>
    <cfRule type="cellIs" dxfId="27637" priority="17687" stopIfTrue="1" operator="equal">
      <formula>"Towel"</formula>
    </cfRule>
    <cfRule type="cellIs" dxfId="27636" priority="17688" stopIfTrue="1" operator="equal">
      <formula>"Napkin Hs"</formula>
    </cfRule>
    <cfRule type="cellIs" dxfId="27635" priority="17689" stopIfTrue="1" operator="equal">
      <formula>"Towel"</formula>
    </cfRule>
    <cfRule type="cellIs" dxfId="27634" priority="17690" stopIfTrue="1" operator="equal">
      <formula>"Napkin Hs"</formula>
    </cfRule>
    <cfRule type="cellIs" dxfId="27633" priority="17693" stopIfTrue="1" operator="equal">
      <formula>"Towel"</formula>
    </cfRule>
    <cfRule type="cellIs" dxfId="27632" priority="17694" stopIfTrue="1" operator="equal">
      <formula>"Napkin Hs"</formula>
    </cfRule>
    <cfRule type="cellIs" dxfId="27631" priority="17695" stopIfTrue="1" operator="equal">
      <formula>"Towel"</formula>
    </cfRule>
    <cfRule type="cellIs" dxfId="27630" priority="17696" stopIfTrue="1" operator="equal">
      <formula>"Napkin Hs"</formula>
    </cfRule>
    <cfRule type="cellIs" dxfId="27629" priority="17699" stopIfTrue="1" operator="equal">
      <formula>"Towel"</formula>
    </cfRule>
    <cfRule type="cellIs" dxfId="27628" priority="17700" stopIfTrue="1" operator="equal">
      <formula>"Napkin Hs"</formula>
    </cfRule>
    <cfRule type="cellIs" dxfId="27627" priority="17701" stopIfTrue="1" operator="equal">
      <formula>"Towel"</formula>
    </cfRule>
    <cfRule type="cellIs" dxfId="27626" priority="17702" stopIfTrue="1" operator="equal">
      <formula>"Napkin Hs"</formula>
    </cfRule>
    <cfRule type="cellIs" dxfId="27625" priority="17705" stopIfTrue="1" operator="equal">
      <formula>"Towel"</formula>
    </cfRule>
    <cfRule type="cellIs" dxfId="27624" priority="17706" stopIfTrue="1" operator="equal">
      <formula>"Napkin Hs"</formula>
    </cfRule>
    <cfRule type="cellIs" dxfId="27623" priority="17707" stopIfTrue="1" operator="equal">
      <formula>"Towel"</formula>
    </cfRule>
    <cfRule type="cellIs" dxfId="27622" priority="17708" stopIfTrue="1" operator="equal">
      <formula>"Napkin Hs"</formula>
    </cfRule>
    <cfRule type="cellIs" dxfId="27621" priority="17711" stopIfTrue="1" operator="equal">
      <formula>"Towel"</formula>
    </cfRule>
    <cfRule type="cellIs" dxfId="27620" priority="17712" stopIfTrue="1" operator="equal">
      <formula>"Napkin Hs"</formula>
    </cfRule>
    <cfRule type="cellIs" dxfId="27619" priority="17713" stopIfTrue="1" operator="equal">
      <formula>"Towel"</formula>
    </cfRule>
    <cfRule type="cellIs" dxfId="27618" priority="17714" stopIfTrue="1" operator="equal">
      <formula>"Napkin Hs"</formula>
    </cfRule>
    <cfRule type="cellIs" dxfId="27617" priority="17717" stopIfTrue="1" operator="equal">
      <formula>"Towel"</formula>
    </cfRule>
    <cfRule type="cellIs" dxfId="27616" priority="17718" stopIfTrue="1" operator="equal">
      <formula>"Napkin Hs"</formula>
    </cfRule>
  </conditionalFormatting>
  <conditionalFormatting sqref="C123">
    <cfRule type="cellIs" dxfId="27615" priority="17785" stopIfTrue="1" operator="equal">
      <formula>"Towel"</formula>
    </cfRule>
    <cfRule type="cellIs" dxfId="27614" priority="17786" stopIfTrue="1" operator="equal">
      <formula>"Napkin Hs"</formula>
    </cfRule>
    <cfRule type="cellIs" dxfId="27613" priority="17789" stopIfTrue="1" operator="equal">
      <formula>"Towel"</formula>
    </cfRule>
    <cfRule type="cellIs" dxfId="27612" priority="17790" stopIfTrue="1" operator="equal">
      <formula>"Napkin Hs"</formula>
    </cfRule>
    <cfRule type="cellIs" dxfId="27611" priority="17791" stopIfTrue="1" operator="equal">
      <formula>"Towel"</formula>
    </cfRule>
    <cfRule type="cellIs" dxfId="27610" priority="17792" stopIfTrue="1" operator="equal">
      <formula>"Napkin Hs"</formula>
    </cfRule>
    <cfRule type="cellIs" dxfId="27609" priority="17795" stopIfTrue="1" operator="equal">
      <formula>"Towel"</formula>
    </cfRule>
    <cfRule type="cellIs" dxfId="27608" priority="17796" stopIfTrue="1" operator="equal">
      <formula>"Napkin Hs"</formula>
    </cfRule>
    <cfRule type="cellIs" dxfId="27607" priority="17797" stopIfTrue="1" operator="equal">
      <formula>"Towel"</formula>
    </cfRule>
    <cfRule type="cellIs" dxfId="27606" priority="17798" stopIfTrue="1" operator="equal">
      <formula>"Napkin Hs"</formula>
    </cfRule>
    <cfRule type="cellIs" dxfId="27605" priority="17801" stopIfTrue="1" operator="equal">
      <formula>"Towel"</formula>
    </cfRule>
    <cfRule type="cellIs" dxfId="27604" priority="17802" stopIfTrue="1" operator="equal">
      <formula>"Napkin Hs"</formula>
    </cfRule>
    <cfRule type="cellIs" dxfId="27603" priority="17803" stopIfTrue="1" operator="equal">
      <formula>"Towel"</formula>
    </cfRule>
    <cfRule type="cellIs" dxfId="27602" priority="17804" stopIfTrue="1" operator="equal">
      <formula>"Napkin Hs"</formula>
    </cfRule>
    <cfRule type="cellIs" dxfId="27601" priority="17807" stopIfTrue="1" operator="equal">
      <formula>"Towel"</formula>
    </cfRule>
    <cfRule type="cellIs" dxfId="27600" priority="17808" stopIfTrue="1" operator="equal">
      <formula>"Napkin Hs"</formula>
    </cfRule>
    <cfRule type="cellIs" dxfId="27599" priority="17809" stopIfTrue="1" operator="equal">
      <formula>"Towel"</formula>
    </cfRule>
    <cfRule type="cellIs" dxfId="27598" priority="17810" stopIfTrue="1" operator="equal">
      <formula>"Napkin Hs"</formula>
    </cfRule>
    <cfRule type="cellIs" dxfId="27597" priority="17813" stopIfTrue="1" operator="equal">
      <formula>"Towel"</formula>
    </cfRule>
    <cfRule type="cellIs" dxfId="27596" priority="17814" stopIfTrue="1" operator="equal">
      <formula>"Napkin Hs"</formula>
    </cfRule>
    <cfRule type="cellIs" dxfId="27595" priority="17815" stopIfTrue="1" operator="equal">
      <formula>"Towel"</formula>
    </cfRule>
    <cfRule type="cellIs" dxfId="27594" priority="17816" stopIfTrue="1" operator="equal">
      <formula>"Napkin Hs"</formula>
    </cfRule>
    <cfRule type="cellIs" dxfId="27593" priority="17819" stopIfTrue="1" operator="equal">
      <formula>"Towel"</formula>
    </cfRule>
    <cfRule type="cellIs" dxfId="27592" priority="17820" stopIfTrue="1" operator="equal">
      <formula>"Napkin Hs"</formula>
    </cfRule>
    <cfRule type="cellIs" dxfId="27591" priority="17821" stopIfTrue="1" operator="equal">
      <formula>"Towel"</formula>
    </cfRule>
    <cfRule type="cellIs" dxfId="27590" priority="17822" stopIfTrue="1" operator="equal">
      <formula>"Napkin Hs"</formula>
    </cfRule>
    <cfRule type="cellIs" dxfId="27589" priority="17825" stopIfTrue="1" operator="equal">
      <formula>"Towel"</formula>
    </cfRule>
    <cfRule type="cellIs" dxfId="27588" priority="17826" stopIfTrue="1" operator="equal">
      <formula>"Napkin Hs"</formula>
    </cfRule>
    <cfRule type="cellIs" dxfId="27587" priority="17827" stopIfTrue="1" operator="equal">
      <formula>"Towel"</formula>
    </cfRule>
    <cfRule type="cellIs" dxfId="27586" priority="17828" stopIfTrue="1" operator="equal">
      <formula>"Napkin Hs"</formula>
    </cfRule>
    <cfRule type="cellIs" dxfId="27585" priority="17831" stopIfTrue="1" operator="equal">
      <formula>"Towel"</formula>
    </cfRule>
    <cfRule type="cellIs" dxfId="27584" priority="17832" stopIfTrue="1" operator="equal">
      <formula>"Napkin Hs"</formula>
    </cfRule>
    <cfRule type="cellIs" dxfId="27583" priority="17833" stopIfTrue="1" operator="equal">
      <formula>"Towel"</formula>
    </cfRule>
    <cfRule type="cellIs" dxfId="27582" priority="17834" stopIfTrue="1" operator="equal">
      <formula>"Napkin Hs"</formula>
    </cfRule>
    <cfRule type="cellIs" dxfId="27581" priority="17837" stopIfTrue="1" operator="equal">
      <formula>"Towel"</formula>
    </cfRule>
    <cfRule type="cellIs" dxfId="27580" priority="17838" stopIfTrue="1" operator="equal">
      <formula>"Napkin Hs"</formula>
    </cfRule>
    <cfRule type="cellIs" dxfId="27579" priority="17839" stopIfTrue="1" operator="equal">
      <formula>"Towel"</formula>
    </cfRule>
    <cfRule type="cellIs" dxfId="27578" priority="17840" stopIfTrue="1" operator="equal">
      <formula>"Napkin Hs"</formula>
    </cfRule>
  </conditionalFormatting>
  <conditionalFormatting sqref="C130:C132">
    <cfRule type="cellIs" dxfId="27577" priority="17659" stopIfTrue="1" operator="equal">
      <formula>"Towel"</formula>
    </cfRule>
    <cfRule type="cellIs" dxfId="27576" priority="17660" stopIfTrue="1" operator="equal">
      <formula>"Napkin Hs"</formula>
    </cfRule>
  </conditionalFormatting>
  <conditionalFormatting sqref="C133">
    <cfRule type="cellIs" dxfId="27575" priority="17285" stopIfTrue="1" operator="equal">
      <formula>"Towel"</formula>
    </cfRule>
    <cfRule type="cellIs" dxfId="27574" priority="17286" stopIfTrue="1" operator="equal">
      <formula>"Napkin Hs"</formula>
    </cfRule>
  </conditionalFormatting>
  <conditionalFormatting sqref="C133:C134">
    <cfRule type="cellIs" dxfId="27573" priority="17287" stopIfTrue="1" operator="equal">
      <formula>"Towel"</formula>
    </cfRule>
    <cfRule type="cellIs" dxfId="27572" priority="17288" stopIfTrue="1" operator="equal">
      <formula>"Napkin Hs"</formula>
    </cfRule>
  </conditionalFormatting>
  <conditionalFormatting sqref="C134">
    <cfRule type="cellIs" dxfId="27571" priority="17293" stopIfTrue="1" operator="equal">
      <formula>"Towel"</formula>
    </cfRule>
    <cfRule type="cellIs" dxfId="27570" priority="17294" stopIfTrue="1" operator="equal">
      <formula>"Napkin Hs"</formula>
    </cfRule>
  </conditionalFormatting>
  <conditionalFormatting sqref="C144">
    <cfRule type="cellIs" dxfId="27569" priority="17209" stopIfTrue="1" operator="equal">
      <formula>"Towel"</formula>
    </cfRule>
    <cfRule type="cellIs" dxfId="27568" priority="17210" stopIfTrue="1" operator="equal">
      <formula>"Napkin Hs"</formula>
    </cfRule>
  </conditionalFormatting>
  <conditionalFormatting sqref="B7:C7">
    <cfRule type="cellIs" dxfId="27567" priority="16971" stopIfTrue="1" operator="equal">
      <formula>"Towel"</formula>
    </cfRule>
    <cfRule type="cellIs" dxfId="27566" priority="16972" stopIfTrue="1" operator="equal">
      <formula>"Napkin Hs"</formula>
    </cfRule>
  </conditionalFormatting>
  <conditionalFormatting sqref="C7">
    <cfRule type="cellIs" dxfId="27565" priority="16970" stopIfTrue="1" operator="equal">
      <formula>"Napkin Hs"</formula>
    </cfRule>
  </conditionalFormatting>
  <conditionalFormatting sqref="C7">
    <cfRule type="cellIs" dxfId="27564" priority="16967" stopIfTrue="1" operator="equal">
      <formula>"Towel"</formula>
    </cfRule>
    <cfRule type="cellIs" dxfId="27563" priority="16968" stopIfTrue="1" operator="equal">
      <formula>"Napkin Hs"</formula>
    </cfRule>
  </conditionalFormatting>
  <conditionalFormatting sqref="C7">
    <cfRule type="cellIs" dxfId="27562" priority="16969" stopIfTrue="1" operator="equal">
      <formula>"Towel"</formula>
    </cfRule>
  </conditionalFormatting>
  <conditionalFormatting sqref="B12:C13">
    <cfRule type="cellIs" dxfId="27561" priority="16965" stopIfTrue="1" operator="equal">
      <formula>"Towel"</formula>
    </cfRule>
    <cfRule type="cellIs" dxfId="27560" priority="16966" stopIfTrue="1" operator="equal">
      <formula>"Napkin Hs"</formula>
    </cfRule>
  </conditionalFormatting>
  <conditionalFormatting sqref="B14:C14">
    <cfRule type="cellIs" dxfId="27559" priority="16961" stopIfTrue="1" operator="equal">
      <formula>"Towel"</formula>
    </cfRule>
    <cfRule type="cellIs" dxfId="27558" priority="16962" stopIfTrue="1" operator="equal">
      <formula>"Napkin Hs"</formula>
    </cfRule>
  </conditionalFormatting>
  <conditionalFormatting sqref="C12:C13">
    <cfRule type="cellIs" dxfId="27557" priority="16964" stopIfTrue="1" operator="equal">
      <formula>"Napkin Hs"</formula>
    </cfRule>
  </conditionalFormatting>
  <conditionalFormatting sqref="C14">
    <cfRule type="cellIs" dxfId="27556" priority="16957" stopIfTrue="1" operator="equal">
      <formula>"Towel"</formula>
    </cfRule>
    <cfRule type="cellIs" dxfId="27555" priority="16958" stopIfTrue="1" operator="equal">
      <formula>"Napkin Hs"</formula>
    </cfRule>
  </conditionalFormatting>
  <conditionalFormatting sqref="C12:C13">
    <cfRule type="cellIs" dxfId="27554" priority="16963" stopIfTrue="1" operator="equal">
      <formula>"Towel"</formula>
    </cfRule>
  </conditionalFormatting>
  <conditionalFormatting sqref="B11:C11">
    <cfRule type="cellIs" dxfId="27553" priority="16953" stopIfTrue="1" operator="equal">
      <formula>"Towel"</formula>
    </cfRule>
    <cfRule type="cellIs" dxfId="27552" priority="16954" stopIfTrue="1" operator="equal">
      <formula>"Napkin Hs"</formula>
    </cfRule>
  </conditionalFormatting>
  <conditionalFormatting sqref="C11">
    <cfRule type="cellIs" dxfId="27551" priority="16952" stopIfTrue="1" operator="equal">
      <formula>"Napkin Hs"</formula>
    </cfRule>
  </conditionalFormatting>
  <conditionalFormatting sqref="C11">
    <cfRule type="cellIs" dxfId="27550" priority="16949" stopIfTrue="1" operator="equal">
      <formula>"Towel"</formula>
    </cfRule>
    <cfRule type="cellIs" dxfId="27549" priority="16950" stopIfTrue="1" operator="equal">
      <formula>"Napkin Hs"</formula>
    </cfRule>
  </conditionalFormatting>
  <conditionalFormatting sqref="C11">
    <cfRule type="cellIs" dxfId="27548" priority="16951" stopIfTrue="1" operator="equal">
      <formula>"Towel"</formula>
    </cfRule>
  </conditionalFormatting>
  <conditionalFormatting sqref="B10:C10">
    <cfRule type="cellIs" dxfId="27547" priority="16947" stopIfTrue="1" operator="equal">
      <formula>"Towel"</formula>
    </cfRule>
    <cfRule type="cellIs" dxfId="27546" priority="16948" stopIfTrue="1" operator="equal">
      <formula>"Napkin Hs"</formula>
    </cfRule>
  </conditionalFormatting>
  <conditionalFormatting sqref="C10">
    <cfRule type="cellIs" dxfId="27545" priority="16945" stopIfTrue="1" operator="equal">
      <formula>"Towel"</formula>
    </cfRule>
    <cfRule type="cellIs" dxfId="27544" priority="16946" stopIfTrue="1" operator="equal">
      <formula>"Napkin Hs"</formula>
    </cfRule>
  </conditionalFormatting>
  <conditionalFormatting sqref="C10">
    <cfRule type="cellIs" dxfId="27543" priority="16943" stopIfTrue="1" operator="equal">
      <formula>"Towel"</formula>
    </cfRule>
    <cfRule type="cellIs" dxfId="27542" priority="16944" stopIfTrue="1" operator="equal">
      <formula>"Napkin Hs"</formula>
    </cfRule>
  </conditionalFormatting>
  <conditionalFormatting sqref="B10:C10">
    <cfRule type="cellIs" dxfId="27541" priority="16941" stopIfTrue="1" operator="equal">
      <formula>"Towel"</formula>
    </cfRule>
    <cfRule type="cellIs" dxfId="27540" priority="16942" stopIfTrue="1" operator="equal">
      <formula>"Napkin Hs"</formula>
    </cfRule>
  </conditionalFormatting>
  <conditionalFormatting sqref="C10">
    <cfRule type="cellIs" dxfId="27539" priority="16940" stopIfTrue="1" operator="equal">
      <formula>"Napkin Hs"</formula>
    </cfRule>
  </conditionalFormatting>
  <conditionalFormatting sqref="C10">
    <cfRule type="cellIs" dxfId="27538" priority="16937" stopIfTrue="1" operator="equal">
      <formula>"Towel"</formula>
    </cfRule>
    <cfRule type="cellIs" dxfId="27537" priority="16938" stopIfTrue="1" operator="equal">
      <formula>"Napkin Hs"</formula>
    </cfRule>
  </conditionalFormatting>
  <conditionalFormatting sqref="C10">
    <cfRule type="cellIs" dxfId="27536" priority="16939" stopIfTrue="1" operator="equal">
      <formula>"Towel"</formula>
    </cfRule>
  </conditionalFormatting>
  <conditionalFormatting sqref="B16:C16">
    <cfRule type="cellIs" dxfId="27535" priority="16925" stopIfTrue="1" operator="equal">
      <formula>"Towel"</formula>
    </cfRule>
    <cfRule type="cellIs" dxfId="27534" priority="16926" stopIfTrue="1" operator="equal">
      <formula>"Napkin Hs"</formula>
    </cfRule>
  </conditionalFormatting>
  <conditionalFormatting sqref="B17:C17">
    <cfRule type="cellIs" dxfId="27533" priority="16929" stopIfTrue="1" operator="equal">
      <formula>"Towel"</formula>
    </cfRule>
    <cfRule type="cellIs" dxfId="27532" priority="16930" stopIfTrue="1" operator="equal">
      <formula>"Napkin Hs"</formula>
    </cfRule>
  </conditionalFormatting>
  <conditionalFormatting sqref="B18:C18">
    <cfRule type="cellIs" dxfId="27531" priority="16933" stopIfTrue="1" operator="equal">
      <formula>"Towel"</formula>
    </cfRule>
    <cfRule type="cellIs" dxfId="27530" priority="16934" stopIfTrue="1" operator="equal">
      <formula>"Napkin Hs"</formula>
    </cfRule>
  </conditionalFormatting>
  <conditionalFormatting sqref="C17:C18">
    <cfRule type="cellIs" dxfId="27529" priority="16935" stopIfTrue="1" operator="equal">
      <formula>"Towel"</formula>
    </cfRule>
    <cfRule type="cellIs" dxfId="27528" priority="16936" stopIfTrue="1" operator="equal">
      <formula>"Napkin Hs"</formula>
    </cfRule>
  </conditionalFormatting>
  <conditionalFormatting sqref="C16:C17">
    <cfRule type="cellIs" dxfId="27527" priority="16923" stopIfTrue="1" operator="equal">
      <formula>"Towel"</formula>
    </cfRule>
    <cfRule type="cellIs" dxfId="27526" priority="16924" stopIfTrue="1" operator="equal">
      <formula>"Napkin Hs"</formula>
    </cfRule>
  </conditionalFormatting>
  <conditionalFormatting sqref="C16">
    <cfRule type="cellIs" dxfId="27525" priority="16921" stopIfTrue="1" operator="equal">
      <formula>"Towel"</formula>
    </cfRule>
    <cfRule type="cellIs" dxfId="27524" priority="16922" stopIfTrue="1" operator="equal">
      <formula>"Napkin Hs"</formula>
    </cfRule>
  </conditionalFormatting>
  <conditionalFormatting sqref="C17:C18">
    <cfRule type="cellIs" dxfId="27523" priority="16927" stopIfTrue="1" operator="equal">
      <formula>"Towel"</formula>
    </cfRule>
    <cfRule type="cellIs" dxfId="27522" priority="16928" stopIfTrue="1" operator="equal">
      <formula>"Napkin Hs"</formula>
    </cfRule>
  </conditionalFormatting>
  <conditionalFormatting sqref="C18">
    <cfRule type="cellIs" dxfId="27521" priority="16931" stopIfTrue="1" operator="equal">
      <formula>"Towel"</formula>
    </cfRule>
    <cfRule type="cellIs" dxfId="27520" priority="16932" stopIfTrue="1" operator="equal">
      <formula>"Napkin Hs"</formula>
    </cfRule>
  </conditionalFormatting>
  <conditionalFormatting sqref="B17:C18">
    <cfRule type="cellIs" dxfId="27519" priority="16919" stopIfTrue="1" operator="equal">
      <formula>"Towel"</formula>
    </cfRule>
    <cfRule type="cellIs" dxfId="27518" priority="16920" stopIfTrue="1" operator="equal">
      <formula>"Napkin Hs"</formula>
    </cfRule>
  </conditionalFormatting>
  <conditionalFormatting sqref="C17:C18">
    <cfRule type="cellIs" dxfId="27517" priority="16918" stopIfTrue="1" operator="equal">
      <formula>"Napkin Hs"</formula>
    </cfRule>
  </conditionalFormatting>
  <conditionalFormatting sqref="C17:C18">
    <cfRule type="cellIs" dxfId="27516" priority="16917" stopIfTrue="1" operator="equal">
      <formula>"Towel"</formula>
    </cfRule>
  </conditionalFormatting>
  <conditionalFormatting sqref="B16:C16">
    <cfRule type="cellIs" dxfId="27515" priority="16915" stopIfTrue="1" operator="equal">
      <formula>"Towel"</formula>
    </cfRule>
    <cfRule type="cellIs" dxfId="27514" priority="16916" stopIfTrue="1" operator="equal">
      <formula>"Napkin Hs"</formula>
    </cfRule>
  </conditionalFormatting>
  <conditionalFormatting sqref="C16">
    <cfRule type="cellIs" dxfId="27513" priority="16914" stopIfTrue="1" operator="equal">
      <formula>"Napkin Hs"</formula>
    </cfRule>
  </conditionalFormatting>
  <conditionalFormatting sqref="C16">
    <cfRule type="cellIs" dxfId="27512" priority="16911" stopIfTrue="1" operator="equal">
      <formula>"Towel"</formula>
    </cfRule>
    <cfRule type="cellIs" dxfId="27511" priority="16912" stopIfTrue="1" operator="equal">
      <formula>"Napkin Hs"</formula>
    </cfRule>
  </conditionalFormatting>
  <conditionalFormatting sqref="C16">
    <cfRule type="cellIs" dxfId="27510" priority="16913" stopIfTrue="1" operator="equal">
      <formula>"Towel"</formula>
    </cfRule>
  </conditionalFormatting>
  <conditionalFormatting sqref="B15:C15">
    <cfRule type="cellIs" dxfId="27509" priority="16897" stopIfTrue="1" operator="equal">
      <formula>"Towel"</formula>
    </cfRule>
    <cfRule type="cellIs" dxfId="27508" priority="16898" stopIfTrue="1" operator="equal">
      <formula>"Napkin Hs"</formula>
    </cfRule>
  </conditionalFormatting>
  <conditionalFormatting sqref="C15">
    <cfRule type="cellIs" dxfId="27507" priority="16895" stopIfTrue="1" operator="equal">
      <formula>"Towel"</formula>
    </cfRule>
    <cfRule type="cellIs" dxfId="27506" priority="16896" stopIfTrue="1" operator="equal">
      <formula>"Napkin Hs"</formula>
    </cfRule>
  </conditionalFormatting>
  <conditionalFormatting sqref="C15">
    <cfRule type="cellIs" dxfId="27505" priority="16893" stopIfTrue="1" operator="equal">
      <formula>"Towel"</formula>
    </cfRule>
    <cfRule type="cellIs" dxfId="27504" priority="16894" stopIfTrue="1" operator="equal">
      <formula>"Napkin Hs"</formula>
    </cfRule>
  </conditionalFormatting>
  <conditionalFormatting sqref="B15:C15">
    <cfRule type="cellIs" dxfId="27503" priority="16891" stopIfTrue="1" operator="equal">
      <formula>"Towel"</formula>
    </cfRule>
    <cfRule type="cellIs" dxfId="27502" priority="16892" stopIfTrue="1" operator="equal">
      <formula>"Napkin Hs"</formula>
    </cfRule>
  </conditionalFormatting>
  <conditionalFormatting sqref="C15">
    <cfRule type="cellIs" dxfId="27501" priority="16890" stopIfTrue="1" operator="equal">
      <formula>"Napkin Hs"</formula>
    </cfRule>
  </conditionalFormatting>
  <conditionalFormatting sqref="C15">
    <cfRule type="cellIs" dxfId="27500" priority="16887" stopIfTrue="1" operator="equal">
      <formula>"Towel"</formula>
    </cfRule>
    <cfRule type="cellIs" dxfId="27499" priority="16888" stopIfTrue="1" operator="equal">
      <formula>"Napkin Hs"</formula>
    </cfRule>
  </conditionalFormatting>
  <conditionalFormatting sqref="C15">
    <cfRule type="cellIs" dxfId="27498" priority="16889" stopIfTrue="1" operator="equal">
      <formula>"Towel"</formula>
    </cfRule>
  </conditionalFormatting>
  <conditionalFormatting sqref="B24:C24">
    <cfRule type="cellIs" dxfId="27497" priority="16885" stopIfTrue="1" operator="equal">
      <formula>"Towel"</formula>
    </cfRule>
    <cfRule type="cellIs" dxfId="27496" priority="16886" stopIfTrue="1" operator="equal">
      <formula>"Napkin Hs"</formula>
    </cfRule>
  </conditionalFormatting>
  <conditionalFormatting sqref="C24">
    <cfRule type="cellIs" dxfId="27495" priority="16881" stopIfTrue="1" operator="equal">
      <formula>"Towel"</formula>
    </cfRule>
    <cfRule type="cellIs" dxfId="27494" priority="16882" stopIfTrue="1" operator="equal">
      <formula>"Napkin Hs"</formula>
    </cfRule>
  </conditionalFormatting>
  <conditionalFormatting sqref="C24">
    <cfRule type="cellIs" dxfId="27493" priority="16883" stopIfTrue="1" operator="equal">
      <formula>"Towel"</formula>
    </cfRule>
    <cfRule type="cellIs" dxfId="27492" priority="16884" stopIfTrue="1" operator="equal">
      <formula>"Napkin Hs"</formula>
    </cfRule>
  </conditionalFormatting>
  <conditionalFormatting sqref="C19">
    <cfRule type="cellIs" dxfId="27491" priority="16851" stopIfTrue="1" operator="equal">
      <formula>"Towel"</formula>
    </cfRule>
    <cfRule type="cellIs" dxfId="27490" priority="16852" stopIfTrue="1" operator="equal">
      <formula>"Napkin Hs"</formula>
    </cfRule>
  </conditionalFormatting>
  <conditionalFormatting sqref="B21:C21">
    <cfRule type="cellIs" dxfId="27489" priority="16873" stopIfTrue="1" operator="equal">
      <formula>"Towel"</formula>
    </cfRule>
    <cfRule type="cellIs" dxfId="27488" priority="16874" stopIfTrue="1" operator="equal">
      <formula>"Napkin Hs"</formula>
    </cfRule>
  </conditionalFormatting>
  <conditionalFormatting sqref="B22:C22">
    <cfRule type="cellIs" dxfId="27487" priority="16877" stopIfTrue="1" operator="equal">
      <formula>"Towel"</formula>
    </cfRule>
    <cfRule type="cellIs" dxfId="27486" priority="16878" stopIfTrue="1" operator="equal">
      <formula>"Napkin Hs"</formula>
    </cfRule>
  </conditionalFormatting>
  <conditionalFormatting sqref="C21:C22">
    <cfRule type="cellIs" dxfId="27485" priority="16879" stopIfTrue="1" operator="equal">
      <formula>"Towel"</formula>
    </cfRule>
    <cfRule type="cellIs" dxfId="27484" priority="16880" stopIfTrue="1" operator="equal">
      <formula>"Napkin Hs"</formula>
    </cfRule>
  </conditionalFormatting>
  <conditionalFormatting sqref="C21">
    <cfRule type="cellIs" dxfId="27483" priority="16867" stopIfTrue="1" operator="equal">
      <formula>"Towel"</formula>
    </cfRule>
    <cfRule type="cellIs" dxfId="27482" priority="16868" stopIfTrue="1" operator="equal">
      <formula>"Napkin Hs"</formula>
    </cfRule>
  </conditionalFormatting>
  <conditionalFormatting sqref="B19:C19">
    <cfRule type="cellIs" dxfId="27481" priority="16847" stopIfTrue="1" operator="equal">
      <formula>"Towel"</formula>
    </cfRule>
    <cfRule type="cellIs" dxfId="27480" priority="16848" stopIfTrue="1" operator="equal">
      <formula>"Napkin Hs"</formula>
    </cfRule>
  </conditionalFormatting>
  <conditionalFormatting sqref="C21:C22">
    <cfRule type="cellIs" dxfId="27479" priority="16871" stopIfTrue="1" operator="equal">
      <formula>"Towel"</formula>
    </cfRule>
    <cfRule type="cellIs" dxfId="27478" priority="16872" stopIfTrue="1" operator="equal">
      <formula>"Napkin Hs"</formula>
    </cfRule>
  </conditionalFormatting>
  <conditionalFormatting sqref="C22">
    <cfRule type="cellIs" dxfId="27477" priority="16875" stopIfTrue="1" operator="equal">
      <formula>"Towel"</formula>
    </cfRule>
    <cfRule type="cellIs" dxfId="27476" priority="16876" stopIfTrue="1" operator="equal">
      <formula>"Napkin Hs"</formula>
    </cfRule>
  </conditionalFormatting>
  <conditionalFormatting sqref="B21:C22">
    <cfRule type="cellIs" dxfId="27475" priority="16863" stopIfTrue="1" operator="equal">
      <formula>"Towel"</formula>
    </cfRule>
    <cfRule type="cellIs" dxfId="27474" priority="16864" stopIfTrue="1" operator="equal">
      <formula>"Napkin Hs"</formula>
    </cfRule>
  </conditionalFormatting>
  <conditionalFormatting sqref="C21:C22">
    <cfRule type="cellIs" dxfId="27473" priority="16862" stopIfTrue="1" operator="equal">
      <formula>"Napkin Hs"</formula>
    </cfRule>
  </conditionalFormatting>
  <conditionalFormatting sqref="C21:C22">
    <cfRule type="cellIs" dxfId="27472" priority="16861" stopIfTrue="1" operator="equal">
      <formula>"Towel"</formula>
    </cfRule>
  </conditionalFormatting>
  <conditionalFormatting sqref="B20:C20">
    <cfRule type="cellIs" dxfId="27471" priority="16841" stopIfTrue="1" operator="equal">
      <formula>"Towel"</formula>
    </cfRule>
    <cfRule type="cellIs" dxfId="27470" priority="16842" stopIfTrue="1" operator="equal">
      <formula>"Napkin Hs"</formula>
    </cfRule>
  </conditionalFormatting>
  <conditionalFormatting sqref="C20">
    <cfRule type="cellIs" dxfId="27469" priority="16837" stopIfTrue="1" operator="equal">
      <formula>"Towel"</formula>
    </cfRule>
    <cfRule type="cellIs" dxfId="27468" priority="16838" stopIfTrue="1" operator="equal">
      <formula>"Napkin Hs"</formula>
    </cfRule>
  </conditionalFormatting>
  <conditionalFormatting sqref="B19:C19">
    <cfRule type="cellIs" dxfId="27467" priority="16853" stopIfTrue="1" operator="equal">
      <formula>"Towel"</formula>
    </cfRule>
    <cfRule type="cellIs" dxfId="27466" priority="16854" stopIfTrue="1" operator="equal">
      <formula>"Napkin Hs"</formula>
    </cfRule>
  </conditionalFormatting>
  <conditionalFormatting sqref="C19">
    <cfRule type="cellIs" dxfId="27465" priority="16849" stopIfTrue="1" operator="equal">
      <formula>"Towel"</formula>
    </cfRule>
    <cfRule type="cellIs" dxfId="27464" priority="16850" stopIfTrue="1" operator="equal">
      <formula>"Napkin Hs"</formula>
    </cfRule>
  </conditionalFormatting>
  <conditionalFormatting sqref="C19">
    <cfRule type="cellIs" dxfId="27463" priority="16846" stopIfTrue="1" operator="equal">
      <formula>"Napkin Hs"</formula>
    </cfRule>
  </conditionalFormatting>
  <conditionalFormatting sqref="C19">
    <cfRule type="cellIs" dxfId="27462" priority="16843" stopIfTrue="1" operator="equal">
      <formula>"Towel"</formula>
    </cfRule>
    <cfRule type="cellIs" dxfId="27461" priority="16844" stopIfTrue="1" operator="equal">
      <formula>"Napkin Hs"</formula>
    </cfRule>
  </conditionalFormatting>
  <conditionalFormatting sqref="C19">
    <cfRule type="cellIs" dxfId="27460" priority="16845" stopIfTrue="1" operator="equal">
      <formula>"Towel"</formula>
    </cfRule>
  </conditionalFormatting>
  <conditionalFormatting sqref="C20">
    <cfRule type="cellIs" dxfId="27459" priority="16839" stopIfTrue="1" operator="equal">
      <formula>"Towel"</formula>
    </cfRule>
    <cfRule type="cellIs" dxfId="27458" priority="16840" stopIfTrue="1" operator="equal">
      <formula>"Napkin Hs"</formula>
    </cfRule>
  </conditionalFormatting>
  <conditionalFormatting sqref="B20:C20">
    <cfRule type="cellIs" dxfId="27457" priority="16835" stopIfTrue="1" operator="equal">
      <formula>"Towel"</formula>
    </cfRule>
    <cfRule type="cellIs" dxfId="27456" priority="16836" stopIfTrue="1" operator="equal">
      <formula>"Napkin Hs"</formula>
    </cfRule>
  </conditionalFormatting>
  <conditionalFormatting sqref="C20">
    <cfRule type="cellIs" dxfId="27455" priority="16833" stopIfTrue="1" operator="equal">
      <formula>"Towel"</formula>
    </cfRule>
    <cfRule type="cellIs" dxfId="27454" priority="16834" stopIfTrue="1" operator="equal">
      <formula>"Napkin Hs"</formula>
    </cfRule>
  </conditionalFormatting>
  <conditionalFormatting sqref="C20">
    <cfRule type="cellIs" dxfId="27453" priority="16831" stopIfTrue="1" operator="equal">
      <formula>"Towel"</formula>
    </cfRule>
    <cfRule type="cellIs" dxfId="27452" priority="16832" stopIfTrue="1" operator="equal">
      <formula>"Napkin Hs"</formula>
    </cfRule>
  </conditionalFormatting>
  <conditionalFormatting sqref="B20:C20">
    <cfRule type="cellIs" dxfId="27451" priority="16829" stopIfTrue="1" operator="equal">
      <formula>"Towel"</formula>
    </cfRule>
    <cfRule type="cellIs" dxfId="27450" priority="16830" stopIfTrue="1" operator="equal">
      <formula>"Napkin Hs"</formula>
    </cfRule>
  </conditionalFormatting>
  <conditionalFormatting sqref="C20">
    <cfRule type="cellIs" dxfId="27449" priority="16828" stopIfTrue="1" operator="equal">
      <formula>"Napkin Hs"</formula>
    </cfRule>
  </conditionalFormatting>
  <conditionalFormatting sqref="C20">
    <cfRule type="cellIs" dxfId="27448" priority="16825" stopIfTrue="1" operator="equal">
      <formula>"Towel"</formula>
    </cfRule>
    <cfRule type="cellIs" dxfId="27447" priority="16826" stopIfTrue="1" operator="equal">
      <formula>"Napkin Hs"</formula>
    </cfRule>
  </conditionalFormatting>
  <conditionalFormatting sqref="C20">
    <cfRule type="cellIs" dxfId="27446" priority="16827" stopIfTrue="1" operator="equal">
      <formula>"Towel"</formula>
    </cfRule>
  </conditionalFormatting>
  <conditionalFormatting sqref="B26:C26">
    <cfRule type="cellIs" dxfId="27445" priority="16813" stopIfTrue="1" operator="equal">
      <formula>"Towel"</formula>
    </cfRule>
    <cfRule type="cellIs" dxfId="27444" priority="16814" stopIfTrue="1" operator="equal">
      <formula>"Napkin Hs"</formula>
    </cfRule>
  </conditionalFormatting>
  <conditionalFormatting sqref="B27:C27">
    <cfRule type="cellIs" dxfId="27443" priority="16817" stopIfTrue="1" operator="equal">
      <formula>"Towel"</formula>
    </cfRule>
    <cfRule type="cellIs" dxfId="27442" priority="16818" stopIfTrue="1" operator="equal">
      <formula>"Napkin Hs"</formula>
    </cfRule>
  </conditionalFormatting>
  <conditionalFormatting sqref="C26">
    <cfRule type="cellIs" dxfId="27441" priority="16807" stopIfTrue="1" operator="equal">
      <formula>"Towel"</formula>
    </cfRule>
    <cfRule type="cellIs" dxfId="27440" priority="16808" stopIfTrue="1" operator="equal">
      <formula>"Napkin Hs"</formula>
    </cfRule>
  </conditionalFormatting>
  <conditionalFormatting sqref="C26:C27">
    <cfRule type="cellIs" dxfId="27439" priority="16811" stopIfTrue="1" operator="equal">
      <formula>"Towel"</formula>
    </cfRule>
    <cfRule type="cellIs" dxfId="27438" priority="16812" stopIfTrue="1" operator="equal">
      <formula>"Napkin Hs"</formula>
    </cfRule>
  </conditionalFormatting>
  <conditionalFormatting sqref="C27">
    <cfRule type="cellIs" dxfId="27437" priority="16815" stopIfTrue="1" operator="equal">
      <formula>"Towel"</formula>
    </cfRule>
    <cfRule type="cellIs" dxfId="27436" priority="16816" stopIfTrue="1" operator="equal">
      <formula>"Napkin Hs"</formula>
    </cfRule>
  </conditionalFormatting>
  <conditionalFormatting sqref="B27:C27">
    <cfRule type="cellIs" dxfId="27435" priority="16803" stopIfTrue="1" operator="equal">
      <formula>"Towel"</formula>
    </cfRule>
    <cfRule type="cellIs" dxfId="27434" priority="16804" stopIfTrue="1" operator="equal">
      <formula>"Napkin Hs"</formula>
    </cfRule>
  </conditionalFormatting>
  <conditionalFormatting sqref="C27">
    <cfRule type="cellIs" dxfId="27433" priority="16799" stopIfTrue="1" operator="equal">
      <formula>"Towel"</formula>
    </cfRule>
    <cfRule type="cellIs" dxfId="27432" priority="16800" stopIfTrue="1" operator="equal">
      <formula>"Napkin Hs"</formula>
    </cfRule>
  </conditionalFormatting>
  <conditionalFormatting sqref="C27">
    <cfRule type="cellIs" dxfId="27431" priority="16801" stopIfTrue="1" operator="equal">
      <formula>"Towel"</formula>
    </cfRule>
    <cfRule type="cellIs" dxfId="27430" priority="16802" stopIfTrue="1" operator="equal">
      <formula>"Napkin Hs"</formula>
    </cfRule>
  </conditionalFormatting>
  <conditionalFormatting sqref="B26:C26">
    <cfRule type="cellIs" dxfId="27429" priority="16795" stopIfTrue="1" operator="equal">
      <formula>"Towel"</formula>
    </cfRule>
    <cfRule type="cellIs" dxfId="27428" priority="16796" stopIfTrue="1" operator="equal">
      <formula>"Napkin Hs"</formula>
    </cfRule>
  </conditionalFormatting>
  <conditionalFormatting sqref="C26">
    <cfRule type="cellIs" dxfId="27427" priority="16797" stopIfTrue="1" operator="equal">
      <formula>"Towel"</formula>
    </cfRule>
    <cfRule type="cellIs" dxfId="27426" priority="16798" stopIfTrue="1" operator="equal">
      <formula>"Napkin Hs"</formula>
    </cfRule>
  </conditionalFormatting>
  <conditionalFormatting sqref="C26">
    <cfRule type="cellIs" dxfId="27425" priority="16789" stopIfTrue="1" operator="equal">
      <formula>"Towel"</formula>
    </cfRule>
    <cfRule type="cellIs" dxfId="27424" priority="16790" stopIfTrue="1" operator="equal">
      <formula>"Napkin Hs"</formula>
    </cfRule>
  </conditionalFormatting>
  <conditionalFormatting sqref="C26">
    <cfRule type="cellIs" dxfId="27423" priority="16793" stopIfTrue="1" operator="equal">
      <formula>"Towel"</formula>
    </cfRule>
    <cfRule type="cellIs" dxfId="27422" priority="16794" stopIfTrue="1" operator="equal">
      <formula>"Napkin Hs"</formula>
    </cfRule>
  </conditionalFormatting>
  <conditionalFormatting sqref="B26:C26">
    <cfRule type="cellIs" dxfId="27421" priority="16785" stopIfTrue="1" operator="equal">
      <formula>"Towel"</formula>
    </cfRule>
    <cfRule type="cellIs" dxfId="27420" priority="16786" stopIfTrue="1" operator="equal">
      <formula>"Napkin Hs"</formula>
    </cfRule>
  </conditionalFormatting>
  <conditionalFormatting sqref="C26">
    <cfRule type="cellIs" dxfId="27419" priority="16784" stopIfTrue="1" operator="equal">
      <formula>"Napkin Hs"</formula>
    </cfRule>
  </conditionalFormatting>
  <conditionalFormatting sqref="C26">
    <cfRule type="cellIs" dxfId="27418" priority="16783" stopIfTrue="1" operator="equal">
      <formula>"Towel"</formula>
    </cfRule>
  </conditionalFormatting>
  <conditionalFormatting sqref="B24:C24">
    <cfRule type="cellIs" dxfId="27417" priority="16769" stopIfTrue="1" operator="equal">
      <formula>"Towel"</formula>
    </cfRule>
    <cfRule type="cellIs" dxfId="27416" priority="16770" stopIfTrue="1" operator="equal">
      <formula>"Napkin Hs"</formula>
    </cfRule>
  </conditionalFormatting>
  <conditionalFormatting sqref="C24">
    <cfRule type="cellIs" dxfId="27415" priority="16765" stopIfTrue="1" operator="equal">
      <formula>"Towel"</formula>
    </cfRule>
    <cfRule type="cellIs" dxfId="27414" priority="16766" stopIfTrue="1" operator="equal">
      <formula>"Napkin Hs"</formula>
    </cfRule>
  </conditionalFormatting>
  <conditionalFormatting sqref="C24">
    <cfRule type="cellIs" dxfId="27413" priority="16767" stopIfTrue="1" operator="equal">
      <formula>"Towel"</formula>
    </cfRule>
    <cfRule type="cellIs" dxfId="27412" priority="16768" stopIfTrue="1" operator="equal">
      <formula>"Napkin Hs"</formula>
    </cfRule>
  </conditionalFormatting>
  <conditionalFormatting sqref="B24:C24">
    <cfRule type="cellIs" dxfId="27411" priority="16763" stopIfTrue="1" operator="equal">
      <formula>"Towel"</formula>
    </cfRule>
    <cfRule type="cellIs" dxfId="27410" priority="16764" stopIfTrue="1" operator="equal">
      <formula>"Napkin Hs"</formula>
    </cfRule>
  </conditionalFormatting>
  <conditionalFormatting sqref="C24">
    <cfRule type="cellIs" dxfId="27409" priority="16761" stopIfTrue="1" operator="equal">
      <formula>"Towel"</formula>
    </cfRule>
    <cfRule type="cellIs" dxfId="27408" priority="16762" stopIfTrue="1" operator="equal">
      <formula>"Napkin Hs"</formula>
    </cfRule>
  </conditionalFormatting>
  <conditionalFormatting sqref="C24">
    <cfRule type="cellIs" dxfId="27407" priority="16759" stopIfTrue="1" operator="equal">
      <formula>"Towel"</formula>
    </cfRule>
    <cfRule type="cellIs" dxfId="27406" priority="16760" stopIfTrue="1" operator="equal">
      <formula>"Napkin Hs"</formula>
    </cfRule>
  </conditionalFormatting>
  <conditionalFormatting sqref="B24:C24">
    <cfRule type="cellIs" dxfId="27405" priority="16757" stopIfTrue="1" operator="equal">
      <formula>"Towel"</formula>
    </cfRule>
    <cfRule type="cellIs" dxfId="27404" priority="16758" stopIfTrue="1" operator="equal">
      <formula>"Napkin Hs"</formula>
    </cfRule>
  </conditionalFormatting>
  <conditionalFormatting sqref="C24">
    <cfRule type="cellIs" dxfId="27403" priority="16756" stopIfTrue="1" operator="equal">
      <formula>"Napkin Hs"</formula>
    </cfRule>
  </conditionalFormatting>
  <conditionalFormatting sqref="C24">
    <cfRule type="cellIs" dxfId="27402" priority="16753" stopIfTrue="1" operator="equal">
      <formula>"Towel"</formula>
    </cfRule>
    <cfRule type="cellIs" dxfId="27401" priority="16754" stopIfTrue="1" operator="equal">
      <formula>"Napkin Hs"</formula>
    </cfRule>
  </conditionalFormatting>
  <conditionalFormatting sqref="C24">
    <cfRule type="cellIs" dxfId="27400" priority="16755" stopIfTrue="1" operator="equal">
      <formula>"Towel"</formula>
    </cfRule>
  </conditionalFormatting>
  <conditionalFormatting sqref="B23:C23">
    <cfRule type="cellIs" dxfId="27399" priority="16751" stopIfTrue="1" operator="equal">
      <formula>"Towel"</formula>
    </cfRule>
    <cfRule type="cellIs" dxfId="27398" priority="16752" stopIfTrue="1" operator="equal">
      <formula>"Napkin Hs"</formula>
    </cfRule>
  </conditionalFormatting>
  <conditionalFormatting sqref="C23">
    <cfRule type="cellIs" dxfId="27397" priority="16747" stopIfTrue="1" operator="equal">
      <formula>"Towel"</formula>
    </cfRule>
    <cfRule type="cellIs" dxfId="27396" priority="16748" stopIfTrue="1" operator="equal">
      <formula>"Napkin Hs"</formula>
    </cfRule>
  </conditionalFormatting>
  <conditionalFormatting sqref="C23">
    <cfRule type="cellIs" dxfId="27395" priority="16749" stopIfTrue="1" operator="equal">
      <formula>"Towel"</formula>
    </cfRule>
    <cfRule type="cellIs" dxfId="27394" priority="16750" stopIfTrue="1" operator="equal">
      <formula>"Napkin Hs"</formula>
    </cfRule>
  </conditionalFormatting>
  <conditionalFormatting sqref="B23:C23">
    <cfRule type="cellIs" dxfId="27393" priority="16745" stopIfTrue="1" operator="equal">
      <formula>"Towel"</formula>
    </cfRule>
    <cfRule type="cellIs" dxfId="27392" priority="16746" stopIfTrue="1" operator="equal">
      <formula>"Napkin Hs"</formula>
    </cfRule>
  </conditionalFormatting>
  <conditionalFormatting sqref="C23">
    <cfRule type="cellIs" dxfId="27391" priority="16741" stopIfTrue="1" operator="equal">
      <formula>"Towel"</formula>
    </cfRule>
    <cfRule type="cellIs" dxfId="27390" priority="16742" stopIfTrue="1" operator="equal">
      <formula>"Napkin Hs"</formula>
    </cfRule>
  </conditionalFormatting>
  <conditionalFormatting sqref="C23">
    <cfRule type="cellIs" dxfId="27389" priority="16743" stopIfTrue="1" operator="equal">
      <formula>"Towel"</formula>
    </cfRule>
    <cfRule type="cellIs" dxfId="27388" priority="16744" stopIfTrue="1" operator="equal">
      <formula>"Napkin Hs"</formula>
    </cfRule>
  </conditionalFormatting>
  <conditionalFormatting sqref="B23:C23">
    <cfRule type="cellIs" dxfId="27387" priority="16739" stopIfTrue="1" operator="equal">
      <formula>"Towel"</formula>
    </cfRule>
    <cfRule type="cellIs" dxfId="27386" priority="16740" stopIfTrue="1" operator="equal">
      <formula>"Napkin Hs"</formula>
    </cfRule>
  </conditionalFormatting>
  <conditionalFormatting sqref="C23">
    <cfRule type="cellIs" dxfId="27385" priority="16735" stopIfTrue="1" operator="equal">
      <formula>"Towel"</formula>
    </cfRule>
    <cfRule type="cellIs" dxfId="27384" priority="16736" stopIfTrue="1" operator="equal">
      <formula>"Napkin Hs"</formula>
    </cfRule>
  </conditionalFormatting>
  <conditionalFormatting sqref="C23">
    <cfRule type="cellIs" dxfId="27383" priority="16737" stopIfTrue="1" operator="equal">
      <formula>"Towel"</formula>
    </cfRule>
    <cfRule type="cellIs" dxfId="27382" priority="16738" stopIfTrue="1" operator="equal">
      <formula>"Napkin Hs"</formula>
    </cfRule>
  </conditionalFormatting>
  <conditionalFormatting sqref="B23:C23">
    <cfRule type="cellIs" dxfId="27381" priority="16733" stopIfTrue="1" operator="equal">
      <formula>"Towel"</formula>
    </cfRule>
    <cfRule type="cellIs" dxfId="27380" priority="16734" stopIfTrue="1" operator="equal">
      <formula>"Napkin Hs"</formula>
    </cfRule>
  </conditionalFormatting>
  <conditionalFormatting sqref="C23">
    <cfRule type="cellIs" dxfId="27379" priority="16731" stopIfTrue="1" operator="equal">
      <formula>"Towel"</formula>
    </cfRule>
    <cfRule type="cellIs" dxfId="27378" priority="16732" stopIfTrue="1" operator="equal">
      <formula>"Napkin Hs"</formula>
    </cfRule>
  </conditionalFormatting>
  <conditionalFormatting sqref="C23">
    <cfRule type="cellIs" dxfId="27377" priority="16729" stopIfTrue="1" operator="equal">
      <formula>"Towel"</formula>
    </cfRule>
    <cfRule type="cellIs" dxfId="27376" priority="16730" stopIfTrue="1" operator="equal">
      <formula>"Napkin Hs"</formula>
    </cfRule>
  </conditionalFormatting>
  <conditionalFormatting sqref="B23:C23">
    <cfRule type="cellIs" dxfId="27375" priority="16727" stopIfTrue="1" operator="equal">
      <formula>"Towel"</formula>
    </cfRule>
    <cfRule type="cellIs" dxfId="27374" priority="16728" stopIfTrue="1" operator="equal">
      <formula>"Napkin Hs"</formula>
    </cfRule>
  </conditionalFormatting>
  <conditionalFormatting sqref="C23">
    <cfRule type="cellIs" dxfId="27373" priority="16726" stopIfTrue="1" operator="equal">
      <formula>"Napkin Hs"</formula>
    </cfRule>
  </conditionalFormatting>
  <conditionalFormatting sqref="C23">
    <cfRule type="cellIs" dxfId="27372" priority="16723" stopIfTrue="1" operator="equal">
      <formula>"Towel"</formula>
    </cfRule>
    <cfRule type="cellIs" dxfId="27371" priority="16724" stopIfTrue="1" operator="equal">
      <formula>"Napkin Hs"</formula>
    </cfRule>
  </conditionalFormatting>
  <conditionalFormatting sqref="C23">
    <cfRule type="cellIs" dxfId="27370" priority="16725" stopIfTrue="1" operator="equal">
      <formula>"Towel"</formula>
    </cfRule>
  </conditionalFormatting>
  <conditionalFormatting sqref="B25:C25">
    <cfRule type="cellIs" dxfId="27369" priority="16721" stopIfTrue="1" operator="equal">
      <formula>"Towel"</formula>
    </cfRule>
    <cfRule type="cellIs" dxfId="27368" priority="16722" stopIfTrue="1" operator="equal">
      <formula>"Napkin Hs"</formula>
    </cfRule>
  </conditionalFormatting>
  <conditionalFormatting sqref="C25">
    <cfRule type="cellIs" dxfId="27367" priority="16717" stopIfTrue="1" operator="equal">
      <formula>"Towel"</formula>
    </cfRule>
    <cfRule type="cellIs" dxfId="27366" priority="16718" stopIfTrue="1" operator="equal">
      <formula>"Napkin Hs"</formula>
    </cfRule>
  </conditionalFormatting>
  <conditionalFormatting sqref="C25">
    <cfRule type="cellIs" dxfId="27365" priority="16719" stopIfTrue="1" operator="equal">
      <formula>"Towel"</formula>
    </cfRule>
    <cfRule type="cellIs" dxfId="27364" priority="16720" stopIfTrue="1" operator="equal">
      <formula>"Napkin Hs"</formula>
    </cfRule>
  </conditionalFormatting>
  <conditionalFormatting sqref="B25:C25">
    <cfRule type="cellIs" dxfId="27363" priority="16715" stopIfTrue="1" operator="equal">
      <formula>"Towel"</formula>
    </cfRule>
    <cfRule type="cellIs" dxfId="27362" priority="16716" stopIfTrue="1" operator="equal">
      <formula>"Napkin Hs"</formula>
    </cfRule>
  </conditionalFormatting>
  <conditionalFormatting sqref="C25">
    <cfRule type="cellIs" dxfId="27361" priority="16711" stopIfTrue="1" operator="equal">
      <formula>"Towel"</formula>
    </cfRule>
    <cfRule type="cellIs" dxfId="27360" priority="16712" stopIfTrue="1" operator="equal">
      <formula>"Napkin Hs"</formula>
    </cfRule>
  </conditionalFormatting>
  <conditionalFormatting sqref="C25">
    <cfRule type="cellIs" dxfId="27359" priority="16713" stopIfTrue="1" operator="equal">
      <formula>"Towel"</formula>
    </cfRule>
    <cfRule type="cellIs" dxfId="27358" priority="16714" stopIfTrue="1" operator="equal">
      <formula>"Napkin Hs"</formula>
    </cfRule>
  </conditionalFormatting>
  <conditionalFormatting sqref="B25:C25">
    <cfRule type="cellIs" dxfId="27357" priority="16709" stopIfTrue="1" operator="equal">
      <formula>"Towel"</formula>
    </cfRule>
    <cfRule type="cellIs" dxfId="27356" priority="16710" stopIfTrue="1" operator="equal">
      <formula>"Napkin Hs"</formula>
    </cfRule>
  </conditionalFormatting>
  <conditionalFormatting sqref="C25">
    <cfRule type="cellIs" dxfId="27355" priority="16705" stopIfTrue="1" operator="equal">
      <formula>"Towel"</formula>
    </cfRule>
    <cfRule type="cellIs" dxfId="27354" priority="16706" stopIfTrue="1" operator="equal">
      <formula>"Napkin Hs"</formula>
    </cfRule>
  </conditionalFormatting>
  <conditionalFormatting sqref="C25">
    <cfRule type="cellIs" dxfId="27353" priority="16707" stopIfTrue="1" operator="equal">
      <formula>"Towel"</formula>
    </cfRule>
    <cfRule type="cellIs" dxfId="27352" priority="16708" stopIfTrue="1" operator="equal">
      <formula>"Napkin Hs"</formula>
    </cfRule>
  </conditionalFormatting>
  <conditionalFormatting sqref="B25:C25">
    <cfRule type="cellIs" dxfId="27351" priority="16703" stopIfTrue="1" operator="equal">
      <formula>"Towel"</formula>
    </cfRule>
    <cfRule type="cellIs" dxfId="27350" priority="16704" stopIfTrue="1" operator="equal">
      <formula>"Napkin Hs"</formula>
    </cfRule>
  </conditionalFormatting>
  <conditionalFormatting sqref="C25">
    <cfRule type="cellIs" dxfId="27349" priority="16701" stopIfTrue="1" operator="equal">
      <formula>"Towel"</formula>
    </cfRule>
    <cfRule type="cellIs" dxfId="27348" priority="16702" stopIfTrue="1" operator="equal">
      <formula>"Napkin Hs"</formula>
    </cfRule>
  </conditionalFormatting>
  <conditionalFormatting sqref="C25">
    <cfRule type="cellIs" dxfId="27347" priority="16699" stopIfTrue="1" operator="equal">
      <formula>"Towel"</formula>
    </cfRule>
    <cfRule type="cellIs" dxfId="27346" priority="16700" stopIfTrue="1" operator="equal">
      <formula>"Napkin Hs"</formula>
    </cfRule>
  </conditionalFormatting>
  <conditionalFormatting sqref="B25:C25">
    <cfRule type="cellIs" dxfId="27345" priority="16697" stopIfTrue="1" operator="equal">
      <formula>"Towel"</formula>
    </cfRule>
    <cfRule type="cellIs" dxfId="27344" priority="16698" stopIfTrue="1" operator="equal">
      <formula>"Napkin Hs"</formula>
    </cfRule>
  </conditionalFormatting>
  <conditionalFormatting sqref="C25">
    <cfRule type="cellIs" dxfId="27343" priority="16696" stopIfTrue="1" operator="equal">
      <formula>"Napkin Hs"</formula>
    </cfRule>
  </conditionalFormatting>
  <conditionalFormatting sqref="C25">
    <cfRule type="cellIs" dxfId="27342" priority="16693" stopIfTrue="1" operator="equal">
      <formula>"Towel"</formula>
    </cfRule>
    <cfRule type="cellIs" dxfId="27341" priority="16694" stopIfTrue="1" operator="equal">
      <formula>"Napkin Hs"</formula>
    </cfRule>
  </conditionalFormatting>
  <conditionalFormatting sqref="C25">
    <cfRule type="cellIs" dxfId="27340" priority="16695" stopIfTrue="1" operator="equal">
      <formula>"Towel"</formula>
    </cfRule>
  </conditionalFormatting>
  <conditionalFormatting sqref="B32:C32">
    <cfRule type="cellIs" dxfId="27339" priority="16691" stopIfTrue="1" operator="equal">
      <formula>"Towel"</formula>
    </cfRule>
    <cfRule type="cellIs" dxfId="27338" priority="16692" stopIfTrue="1" operator="equal">
      <formula>"Napkin Hs"</formula>
    </cfRule>
  </conditionalFormatting>
  <conditionalFormatting sqref="B32:C32">
    <cfRule type="cellIs" dxfId="27337" priority="16673" stopIfTrue="1" operator="equal">
      <formula>"Towel"</formula>
    </cfRule>
    <cfRule type="cellIs" dxfId="27336" priority="16674" stopIfTrue="1" operator="equal">
      <formula>"Napkin Hs"</formula>
    </cfRule>
  </conditionalFormatting>
  <conditionalFormatting sqref="B33:C33">
    <cfRule type="cellIs" dxfId="27335" priority="16677" stopIfTrue="1" operator="equal">
      <formula>"Towel"</formula>
    </cfRule>
    <cfRule type="cellIs" dxfId="27334" priority="16678" stopIfTrue="1" operator="equal">
      <formula>"Napkin Hs"</formula>
    </cfRule>
    <cfRule type="cellIs" dxfId="27333" priority="16685" stopIfTrue="1" operator="equal">
      <formula>"Towel"</formula>
    </cfRule>
    <cfRule type="cellIs" dxfId="27332" priority="16686" stopIfTrue="1" operator="equal">
      <formula>"Napkin Hs"</formula>
    </cfRule>
  </conditionalFormatting>
  <conditionalFormatting sqref="C32">
    <cfRule type="cellIs" dxfId="27331" priority="16690" stopIfTrue="1" operator="equal">
      <formula>"Napkin Hs"</formula>
    </cfRule>
  </conditionalFormatting>
  <conditionalFormatting sqref="C32:C33">
    <cfRule type="cellIs" dxfId="27330" priority="16683" stopIfTrue="1" operator="equal">
      <formula>"Towel"</formula>
    </cfRule>
    <cfRule type="cellIs" dxfId="27329" priority="16684" stopIfTrue="1" operator="equal">
      <formula>"Napkin Hs"</formula>
    </cfRule>
  </conditionalFormatting>
  <conditionalFormatting sqref="C32">
    <cfRule type="cellIs" dxfId="27328" priority="16669" stopIfTrue="1" operator="equal">
      <formula>"Towel"</formula>
    </cfRule>
    <cfRule type="cellIs" dxfId="27327" priority="16670" stopIfTrue="1" operator="equal">
      <formula>"Napkin Hs"</formula>
    </cfRule>
  </conditionalFormatting>
  <conditionalFormatting sqref="C32:C33">
    <cfRule type="cellIs" dxfId="27326" priority="16671" stopIfTrue="1" operator="equal">
      <formula>"Towel"</formula>
    </cfRule>
    <cfRule type="cellIs" dxfId="27325" priority="16672" stopIfTrue="1" operator="equal">
      <formula>"Napkin Hs"</formula>
    </cfRule>
  </conditionalFormatting>
  <conditionalFormatting sqref="C33">
    <cfRule type="cellIs" dxfId="27324" priority="16675" stopIfTrue="1" operator="equal">
      <formula>"Towel"</formula>
    </cfRule>
    <cfRule type="cellIs" dxfId="27323" priority="16676" stopIfTrue="1" operator="equal">
      <formula>"Napkin Hs"</formula>
    </cfRule>
    <cfRule type="cellIs" dxfId="27322" priority="16681" stopIfTrue="1" operator="equal">
      <formula>"Towel"</formula>
    </cfRule>
    <cfRule type="cellIs" dxfId="27321" priority="16682" stopIfTrue="1" operator="equal">
      <formula>"Napkin Hs"</formula>
    </cfRule>
  </conditionalFormatting>
  <conditionalFormatting sqref="C32">
    <cfRule type="cellIs" dxfId="27320" priority="16689" stopIfTrue="1" operator="equal">
      <formula>"Towel"</formula>
    </cfRule>
  </conditionalFormatting>
  <conditionalFormatting sqref="B32:C32">
    <cfRule type="cellIs" dxfId="27319" priority="16657" stopIfTrue="1" operator="equal">
      <formula>"Towel"</formula>
    </cfRule>
    <cfRule type="cellIs" dxfId="27318" priority="16658" stopIfTrue="1" operator="equal">
      <formula>"Napkin Hs"</formula>
    </cfRule>
  </conditionalFormatting>
  <conditionalFormatting sqref="B33:C33">
    <cfRule type="cellIs" dxfId="27317" priority="16661" stopIfTrue="1" operator="equal">
      <formula>"Towel"</formula>
    </cfRule>
    <cfRule type="cellIs" dxfId="27316" priority="16662" stopIfTrue="1" operator="equal">
      <formula>"Napkin Hs"</formula>
    </cfRule>
  </conditionalFormatting>
  <conditionalFormatting sqref="C32">
    <cfRule type="cellIs" dxfId="27315" priority="16653" stopIfTrue="1" operator="equal">
      <formula>"Towel"</formula>
    </cfRule>
    <cfRule type="cellIs" dxfId="27314" priority="16654" stopIfTrue="1" operator="equal">
      <formula>"Napkin Hs"</formula>
    </cfRule>
  </conditionalFormatting>
  <conditionalFormatting sqref="C32:C33">
    <cfRule type="cellIs" dxfId="27313" priority="16655" stopIfTrue="1" operator="equal">
      <formula>"Towel"</formula>
    </cfRule>
    <cfRule type="cellIs" dxfId="27312" priority="16656" stopIfTrue="1" operator="equal">
      <formula>"Napkin Hs"</formula>
    </cfRule>
  </conditionalFormatting>
  <conditionalFormatting sqref="C33">
    <cfRule type="cellIs" dxfId="27311" priority="16659" stopIfTrue="1" operator="equal">
      <formula>"Towel"</formula>
    </cfRule>
    <cfRule type="cellIs" dxfId="27310" priority="16660" stopIfTrue="1" operator="equal">
      <formula>"Napkin Hs"</formula>
    </cfRule>
  </conditionalFormatting>
  <conditionalFormatting sqref="B33:C33">
    <cfRule type="cellIs" dxfId="27309" priority="16651" stopIfTrue="1" operator="equal">
      <formula>"Towel"</formula>
    </cfRule>
    <cfRule type="cellIs" dxfId="27308" priority="16652" stopIfTrue="1" operator="equal">
      <formula>"Napkin Hs"</formula>
    </cfRule>
  </conditionalFormatting>
  <conditionalFormatting sqref="C33">
    <cfRule type="cellIs" dxfId="27307" priority="16647" stopIfTrue="1" operator="equal">
      <formula>"Towel"</formula>
    </cfRule>
    <cfRule type="cellIs" dxfId="27306" priority="16648" stopIfTrue="1" operator="equal">
      <formula>"Napkin Hs"</formula>
    </cfRule>
  </conditionalFormatting>
  <conditionalFormatting sqref="C33">
    <cfRule type="cellIs" dxfId="27305" priority="16649" stopIfTrue="1" operator="equal">
      <formula>"Towel"</formula>
    </cfRule>
    <cfRule type="cellIs" dxfId="27304" priority="16650" stopIfTrue="1" operator="equal">
      <formula>"Napkin Hs"</formula>
    </cfRule>
  </conditionalFormatting>
  <conditionalFormatting sqref="B32:C32">
    <cfRule type="cellIs" dxfId="27303" priority="16643" stopIfTrue="1" operator="equal">
      <formula>"Towel"</formula>
    </cfRule>
    <cfRule type="cellIs" dxfId="27302" priority="16644" stopIfTrue="1" operator="equal">
      <formula>"Napkin Hs"</formula>
    </cfRule>
  </conditionalFormatting>
  <conditionalFormatting sqref="C32">
    <cfRule type="cellIs" dxfId="27301" priority="16645" stopIfTrue="1" operator="equal">
      <formula>"Towel"</formula>
    </cfRule>
    <cfRule type="cellIs" dxfId="27300" priority="16646" stopIfTrue="1" operator="equal">
      <formula>"Napkin Hs"</formula>
    </cfRule>
  </conditionalFormatting>
  <conditionalFormatting sqref="C32">
    <cfRule type="cellIs" dxfId="27299" priority="16639" stopIfTrue="1" operator="equal">
      <formula>"Towel"</formula>
    </cfRule>
    <cfRule type="cellIs" dxfId="27298" priority="16640" stopIfTrue="1" operator="equal">
      <formula>"Napkin Hs"</formula>
    </cfRule>
  </conditionalFormatting>
  <conditionalFormatting sqref="C32">
    <cfRule type="cellIs" dxfId="27297" priority="16641" stopIfTrue="1" operator="equal">
      <formula>"Towel"</formula>
    </cfRule>
    <cfRule type="cellIs" dxfId="27296" priority="16642" stopIfTrue="1" operator="equal">
      <formula>"Napkin Hs"</formula>
    </cfRule>
  </conditionalFormatting>
  <conditionalFormatting sqref="B32:C32">
    <cfRule type="cellIs" dxfId="27295" priority="16637" stopIfTrue="1" operator="equal">
      <formula>"Towel"</formula>
    </cfRule>
    <cfRule type="cellIs" dxfId="27294" priority="16638" stopIfTrue="1" operator="equal">
      <formula>"Napkin Hs"</formula>
    </cfRule>
  </conditionalFormatting>
  <conditionalFormatting sqref="C32">
    <cfRule type="cellIs" dxfId="27293" priority="16636" stopIfTrue="1" operator="equal">
      <formula>"Napkin Hs"</formula>
    </cfRule>
  </conditionalFormatting>
  <conditionalFormatting sqref="C32">
    <cfRule type="cellIs" dxfId="27292" priority="16635" stopIfTrue="1" operator="equal">
      <formula>"Towel"</formula>
    </cfRule>
  </conditionalFormatting>
  <conditionalFormatting sqref="B31:C31">
    <cfRule type="cellIs" dxfId="27291" priority="16585" stopIfTrue="1" operator="equal">
      <formula>"Towel"</formula>
    </cfRule>
    <cfRule type="cellIs" dxfId="27290" priority="16586" stopIfTrue="1" operator="equal">
      <formula>"Napkin Hs"</formula>
    </cfRule>
  </conditionalFormatting>
  <conditionalFormatting sqref="C31">
    <cfRule type="cellIs" dxfId="27289" priority="16581" stopIfTrue="1" operator="equal">
      <formula>"Towel"</formula>
    </cfRule>
    <cfRule type="cellIs" dxfId="27288" priority="16582" stopIfTrue="1" operator="equal">
      <formula>"Napkin Hs"</formula>
    </cfRule>
  </conditionalFormatting>
  <conditionalFormatting sqref="C31">
    <cfRule type="cellIs" dxfId="27287" priority="16583" stopIfTrue="1" operator="equal">
      <formula>"Towel"</formula>
    </cfRule>
    <cfRule type="cellIs" dxfId="27286" priority="16584" stopIfTrue="1" operator="equal">
      <formula>"Napkin Hs"</formula>
    </cfRule>
  </conditionalFormatting>
  <conditionalFormatting sqref="B31:C31">
    <cfRule type="cellIs" dxfId="27285" priority="16579" stopIfTrue="1" operator="equal">
      <formula>"Towel"</formula>
    </cfRule>
    <cfRule type="cellIs" dxfId="27284" priority="16580" stopIfTrue="1" operator="equal">
      <formula>"Napkin Hs"</formula>
    </cfRule>
  </conditionalFormatting>
  <conditionalFormatting sqref="C31">
    <cfRule type="cellIs" dxfId="27283" priority="16575" stopIfTrue="1" operator="equal">
      <formula>"Towel"</formula>
    </cfRule>
    <cfRule type="cellIs" dxfId="27282" priority="16576" stopIfTrue="1" operator="equal">
      <formula>"Napkin Hs"</formula>
    </cfRule>
  </conditionalFormatting>
  <conditionalFormatting sqref="C31">
    <cfRule type="cellIs" dxfId="27281" priority="16577" stopIfTrue="1" operator="equal">
      <formula>"Towel"</formula>
    </cfRule>
    <cfRule type="cellIs" dxfId="27280" priority="16578" stopIfTrue="1" operator="equal">
      <formula>"Napkin Hs"</formula>
    </cfRule>
  </conditionalFormatting>
  <conditionalFormatting sqref="B31:C31">
    <cfRule type="cellIs" dxfId="27279" priority="16573" stopIfTrue="1" operator="equal">
      <formula>"Towel"</formula>
    </cfRule>
    <cfRule type="cellIs" dxfId="27278" priority="16574" stopIfTrue="1" operator="equal">
      <formula>"Napkin Hs"</formula>
    </cfRule>
  </conditionalFormatting>
  <conditionalFormatting sqref="C31">
    <cfRule type="cellIs" dxfId="27277" priority="16569" stopIfTrue="1" operator="equal">
      <formula>"Towel"</formula>
    </cfRule>
    <cfRule type="cellIs" dxfId="27276" priority="16570" stopIfTrue="1" operator="equal">
      <formula>"Napkin Hs"</formula>
    </cfRule>
  </conditionalFormatting>
  <conditionalFormatting sqref="C31">
    <cfRule type="cellIs" dxfId="27275" priority="16571" stopIfTrue="1" operator="equal">
      <formula>"Towel"</formula>
    </cfRule>
    <cfRule type="cellIs" dxfId="27274" priority="16572" stopIfTrue="1" operator="equal">
      <formula>"Napkin Hs"</formula>
    </cfRule>
  </conditionalFormatting>
  <conditionalFormatting sqref="B31:C31">
    <cfRule type="cellIs" dxfId="27273" priority="16567" stopIfTrue="1" operator="equal">
      <formula>"Towel"</formula>
    </cfRule>
    <cfRule type="cellIs" dxfId="27272" priority="16568" stopIfTrue="1" operator="equal">
      <formula>"Napkin Hs"</formula>
    </cfRule>
  </conditionalFormatting>
  <conditionalFormatting sqref="C31">
    <cfRule type="cellIs" dxfId="27271" priority="16565" stopIfTrue="1" operator="equal">
      <formula>"Towel"</formula>
    </cfRule>
    <cfRule type="cellIs" dxfId="27270" priority="16566" stopIfTrue="1" operator="equal">
      <formula>"Napkin Hs"</formula>
    </cfRule>
  </conditionalFormatting>
  <conditionalFormatting sqref="C31">
    <cfRule type="cellIs" dxfId="27269" priority="16563" stopIfTrue="1" operator="equal">
      <formula>"Towel"</formula>
    </cfRule>
    <cfRule type="cellIs" dxfId="27268" priority="16564" stopIfTrue="1" operator="equal">
      <formula>"Napkin Hs"</formula>
    </cfRule>
  </conditionalFormatting>
  <conditionalFormatting sqref="B31:C31">
    <cfRule type="cellIs" dxfId="27267" priority="16561" stopIfTrue="1" operator="equal">
      <formula>"Towel"</formula>
    </cfRule>
    <cfRule type="cellIs" dxfId="27266" priority="16562" stopIfTrue="1" operator="equal">
      <formula>"Napkin Hs"</formula>
    </cfRule>
  </conditionalFormatting>
  <conditionalFormatting sqref="C31">
    <cfRule type="cellIs" dxfId="27265" priority="16560" stopIfTrue="1" operator="equal">
      <formula>"Napkin Hs"</formula>
    </cfRule>
  </conditionalFormatting>
  <conditionalFormatting sqref="C31">
    <cfRule type="cellIs" dxfId="27264" priority="16557" stopIfTrue="1" operator="equal">
      <formula>"Towel"</formula>
    </cfRule>
    <cfRule type="cellIs" dxfId="27263" priority="16558" stopIfTrue="1" operator="equal">
      <formula>"Napkin Hs"</formula>
    </cfRule>
  </conditionalFormatting>
  <conditionalFormatting sqref="C31">
    <cfRule type="cellIs" dxfId="27262" priority="16559" stopIfTrue="1" operator="equal">
      <formula>"Towel"</formula>
    </cfRule>
  </conditionalFormatting>
  <conditionalFormatting sqref="B29:C29">
    <cfRule type="cellIs" dxfId="27261" priority="16555" stopIfTrue="1" operator="equal">
      <formula>"Towel"</formula>
    </cfRule>
    <cfRule type="cellIs" dxfId="27260" priority="16556" stopIfTrue="1" operator="equal">
      <formula>"Napkin Hs"</formula>
    </cfRule>
  </conditionalFormatting>
  <conditionalFormatting sqref="C29">
    <cfRule type="cellIs" dxfId="27259" priority="16551" stopIfTrue="1" operator="equal">
      <formula>"Towel"</formula>
    </cfRule>
    <cfRule type="cellIs" dxfId="27258" priority="16552" stopIfTrue="1" operator="equal">
      <formula>"Napkin Hs"</formula>
    </cfRule>
  </conditionalFormatting>
  <conditionalFormatting sqref="C29">
    <cfRule type="cellIs" dxfId="27257" priority="16553" stopIfTrue="1" operator="equal">
      <formula>"Towel"</formula>
    </cfRule>
    <cfRule type="cellIs" dxfId="27256" priority="16554" stopIfTrue="1" operator="equal">
      <formula>"Napkin Hs"</formula>
    </cfRule>
  </conditionalFormatting>
  <conditionalFormatting sqref="B29:C29">
    <cfRule type="cellIs" dxfId="27255" priority="16549" stopIfTrue="1" operator="equal">
      <formula>"Towel"</formula>
    </cfRule>
    <cfRule type="cellIs" dxfId="27254" priority="16550" stopIfTrue="1" operator="equal">
      <formula>"Napkin Hs"</formula>
    </cfRule>
  </conditionalFormatting>
  <conditionalFormatting sqref="C29">
    <cfRule type="cellIs" dxfId="27253" priority="16545" stopIfTrue="1" operator="equal">
      <formula>"Towel"</formula>
    </cfRule>
    <cfRule type="cellIs" dxfId="27252" priority="16546" stopIfTrue="1" operator="equal">
      <formula>"Napkin Hs"</formula>
    </cfRule>
  </conditionalFormatting>
  <conditionalFormatting sqref="C29">
    <cfRule type="cellIs" dxfId="27251" priority="16547" stopIfTrue="1" operator="equal">
      <formula>"Towel"</formula>
    </cfRule>
    <cfRule type="cellIs" dxfId="27250" priority="16548" stopIfTrue="1" operator="equal">
      <formula>"Napkin Hs"</formula>
    </cfRule>
  </conditionalFormatting>
  <conditionalFormatting sqref="B29:C29">
    <cfRule type="cellIs" dxfId="27249" priority="16543" stopIfTrue="1" operator="equal">
      <formula>"Towel"</formula>
    </cfRule>
    <cfRule type="cellIs" dxfId="27248" priority="16544" stopIfTrue="1" operator="equal">
      <formula>"Napkin Hs"</formula>
    </cfRule>
  </conditionalFormatting>
  <conditionalFormatting sqref="C29">
    <cfRule type="cellIs" dxfId="27247" priority="16539" stopIfTrue="1" operator="equal">
      <formula>"Towel"</formula>
    </cfRule>
    <cfRule type="cellIs" dxfId="27246" priority="16540" stopIfTrue="1" operator="equal">
      <formula>"Napkin Hs"</formula>
    </cfRule>
  </conditionalFormatting>
  <conditionalFormatting sqref="C29">
    <cfRule type="cellIs" dxfId="27245" priority="16541" stopIfTrue="1" operator="equal">
      <formula>"Towel"</formula>
    </cfRule>
    <cfRule type="cellIs" dxfId="27244" priority="16542" stopIfTrue="1" operator="equal">
      <formula>"Napkin Hs"</formula>
    </cfRule>
  </conditionalFormatting>
  <conditionalFormatting sqref="B29:C29">
    <cfRule type="cellIs" dxfId="27243" priority="16537" stopIfTrue="1" operator="equal">
      <formula>"Towel"</formula>
    </cfRule>
    <cfRule type="cellIs" dxfId="27242" priority="16538" stopIfTrue="1" operator="equal">
      <formula>"Napkin Hs"</formula>
    </cfRule>
  </conditionalFormatting>
  <conditionalFormatting sqref="C29">
    <cfRule type="cellIs" dxfId="27241" priority="16535" stopIfTrue="1" operator="equal">
      <formula>"Towel"</formula>
    </cfRule>
    <cfRule type="cellIs" dxfId="27240" priority="16536" stopIfTrue="1" operator="equal">
      <formula>"Napkin Hs"</formula>
    </cfRule>
  </conditionalFormatting>
  <conditionalFormatting sqref="C29">
    <cfRule type="cellIs" dxfId="27239" priority="16533" stopIfTrue="1" operator="equal">
      <formula>"Towel"</formula>
    </cfRule>
    <cfRule type="cellIs" dxfId="27238" priority="16534" stopIfTrue="1" operator="equal">
      <formula>"Napkin Hs"</formula>
    </cfRule>
  </conditionalFormatting>
  <conditionalFormatting sqref="B29:C29">
    <cfRule type="cellIs" dxfId="27237" priority="16531" stopIfTrue="1" operator="equal">
      <formula>"Towel"</formula>
    </cfRule>
    <cfRule type="cellIs" dxfId="27236" priority="16532" stopIfTrue="1" operator="equal">
      <formula>"Napkin Hs"</formula>
    </cfRule>
  </conditionalFormatting>
  <conditionalFormatting sqref="C29">
    <cfRule type="cellIs" dxfId="27235" priority="16530" stopIfTrue="1" operator="equal">
      <formula>"Napkin Hs"</formula>
    </cfRule>
  </conditionalFormatting>
  <conditionalFormatting sqref="C29">
    <cfRule type="cellIs" dxfId="27234" priority="16527" stopIfTrue="1" operator="equal">
      <formula>"Towel"</formula>
    </cfRule>
    <cfRule type="cellIs" dxfId="27233" priority="16528" stopIfTrue="1" operator="equal">
      <formula>"Napkin Hs"</formula>
    </cfRule>
  </conditionalFormatting>
  <conditionalFormatting sqref="C29">
    <cfRule type="cellIs" dxfId="27232" priority="16529" stopIfTrue="1" operator="equal">
      <formula>"Towel"</formula>
    </cfRule>
  </conditionalFormatting>
  <conditionalFormatting sqref="B30:C30">
    <cfRule type="cellIs" dxfId="27231" priority="16525" stopIfTrue="1" operator="equal">
      <formula>"Towel"</formula>
    </cfRule>
    <cfRule type="cellIs" dxfId="27230" priority="16526" stopIfTrue="1" operator="equal">
      <formula>"Napkin Hs"</formula>
    </cfRule>
  </conditionalFormatting>
  <conditionalFormatting sqref="C30">
    <cfRule type="cellIs" dxfId="27229" priority="16521" stopIfTrue="1" operator="equal">
      <formula>"Towel"</formula>
    </cfRule>
    <cfRule type="cellIs" dxfId="27228" priority="16522" stopIfTrue="1" operator="equal">
      <formula>"Napkin Hs"</formula>
    </cfRule>
  </conditionalFormatting>
  <conditionalFormatting sqref="C30">
    <cfRule type="cellIs" dxfId="27227" priority="16523" stopIfTrue="1" operator="equal">
      <formula>"Towel"</formula>
    </cfRule>
    <cfRule type="cellIs" dxfId="27226" priority="16524" stopIfTrue="1" operator="equal">
      <formula>"Napkin Hs"</formula>
    </cfRule>
  </conditionalFormatting>
  <conditionalFormatting sqref="B30:C30">
    <cfRule type="cellIs" dxfId="27225" priority="16519" stopIfTrue="1" operator="equal">
      <formula>"Towel"</formula>
    </cfRule>
    <cfRule type="cellIs" dxfId="27224" priority="16520" stopIfTrue="1" operator="equal">
      <formula>"Napkin Hs"</formula>
    </cfRule>
  </conditionalFormatting>
  <conditionalFormatting sqref="C30">
    <cfRule type="cellIs" dxfId="27223" priority="16515" stopIfTrue="1" operator="equal">
      <formula>"Towel"</formula>
    </cfRule>
    <cfRule type="cellIs" dxfId="27222" priority="16516" stopIfTrue="1" operator="equal">
      <formula>"Napkin Hs"</formula>
    </cfRule>
  </conditionalFormatting>
  <conditionalFormatting sqref="C30">
    <cfRule type="cellIs" dxfId="27221" priority="16517" stopIfTrue="1" operator="equal">
      <formula>"Towel"</formula>
    </cfRule>
    <cfRule type="cellIs" dxfId="27220" priority="16518" stopIfTrue="1" operator="equal">
      <formula>"Napkin Hs"</formula>
    </cfRule>
  </conditionalFormatting>
  <conditionalFormatting sqref="B30:C30">
    <cfRule type="cellIs" dxfId="27219" priority="16513" stopIfTrue="1" operator="equal">
      <formula>"Towel"</formula>
    </cfRule>
    <cfRule type="cellIs" dxfId="27218" priority="16514" stopIfTrue="1" operator="equal">
      <formula>"Napkin Hs"</formula>
    </cfRule>
  </conditionalFormatting>
  <conditionalFormatting sqref="C30">
    <cfRule type="cellIs" dxfId="27217" priority="16509" stopIfTrue="1" operator="equal">
      <formula>"Towel"</formula>
    </cfRule>
    <cfRule type="cellIs" dxfId="27216" priority="16510" stopIfTrue="1" operator="equal">
      <formula>"Napkin Hs"</formula>
    </cfRule>
  </conditionalFormatting>
  <conditionalFormatting sqref="C30">
    <cfRule type="cellIs" dxfId="27215" priority="16511" stopIfTrue="1" operator="equal">
      <formula>"Towel"</formula>
    </cfRule>
    <cfRule type="cellIs" dxfId="27214" priority="16512" stopIfTrue="1" operator="equal">
      <formula>"Napkin Hs"</formula>
    </cfRule>
  </conditionalFormatting>
  <conditionalFormatting sqref="B30:C30">
    <cfRule type="cellIs" dxfId="27213" priority="16507" stopIfTrue="1" operator="equal">
      <formula>"Towel"</formula>
    </cfRule>
    <cfRule type="cellIs" dxfId="27212" priority="16508" stopIfTrue="1" operator="equal">
      <formula>"Napkin Hs"</formula>
    </cfRule>
  </conditionalFormatting>
  <conditionalFormatting sqref="C30">
    <cfRule type="cellIs" dxfId="27211" priority="16505" stopIfTrue="1" operator="equal">
      <formula>"Towel"</formula>
    </cfRule>
    <cfRule type="cellIs" dxfId="27210" priority="16506" stopIfTrue="1" operator="equal">
      <formula>"Napkin Hs"</formula>
    </cfRule>
  </conditionalFormatting>
  <conditionalFormatting sqref="C30">
    <cfRule type="cellIs" dxfId="27209" priority="16503" stopIfTrue="1" operator="equal">
      <formula>"Towel"</formula>
    </cfRule>
    <cfRule type="cellIs" dxfId="27208" priority="16504" stopIfTrue="1" operator="equal">
      <formula>"Napkin Hs"</formula>
    </cfRule>
  </conditionalFormatting>
  <conditionalFormatting sqref="B30:C30">
    <cfRule type="cellIs" dxfId="27207" priority="16501" stopIfTrue="1" operator="equal">
      <formula>"Towel"</formula>
    </cfRule>
    <cfRule type="cellIs" dxfId="27206" priority="16502" stopIfTrue="1" operator="equal">
      <formula>"Napkin Hs"</formula>
    </cfRule>
  </conditionalFormatting>
  <conditionalFormatting sqref="C30">
    <cfRule type="cellIs" dxfId="27205" priority="16500" stopIfTrue="1" operator="equal">
      <formula>"Napkin Hs"</formula>
    </cfRule>
  </conditionalFormatting>
  <conditionalFormatting sqref="C30">
    <cfRule type="cellIs" dxfId="27204" priority="16497" stopIfTrue="1" operator="equal">
      <formula>"Towel"</formula>
    </cfRule>
    <cfRule type="cellIs" dxfId="27203" priority="16498" stopIfTrue="1" operator="equal">
      <formula>"Napkin Hs"</formula>
    </cfRule>
  </conditionalFormatting>
  <conditionalFormatting sqref="C30">
    <cfRule type="cellIs" dxfId="27202" priority="16499" stopIfTrue="1" operator="equal">
      <formula>"Towel"</formula>
    </cfRule>
  </conditionalFormatting>
  <conditionalFormatting sqref="B36:C36">
    <cfRule type="cellIs" dxfId="27201" priority="16495" stopIfTrue="1" operator="equal">
      <formula>"Towel"</formula>
    </cfRule>
    <cfRule type="cellIs" dxfId="27200" priority="16496" stopIfTrue="1" operator="equal">
      <formula>"Napkin Hs"</formula>
    </cfRule>
  </conditionalFormatting>
  <conditionalFormatting sqref="B36:C36">
    <cfRule type="cellIs" dxfId="27199" priority="16481" stopIfTrue="1" operator="equal">
      <formula>"Towel"</formula>
    </cfRule>
    <cfRule type="cellIs" dxfId="27198" priority="16482" stopIfTrue="1" operator="equal">
      <formula>"Napkin Hs"</formula>
    </cfRule>
  </conditionalFormatting>
  <conditionalFormatting sqref="C36">
    <cfRule type="cellIs" dxfId="27197" priority="16494" stopIfTrue="1" operator="equal">
      <formula>"Napkin Hs"</formula>
    </cfRule>
  </conditionalFormatting>
  <conditionalFormatting sqref="C36">
    <cfRule type="cellIs" dxfId="27196" priority="16489" stopIfTrue="1" operator="equal">
      <formula>"Towel"</formula>
    </cfRule>
    <cfRule type="cellIs" dxfId="27195" priority="16490" stopIfTrue="1" operator="equal">
      <formula>"Napkin Hs"</formula>
    </cfRule>
  </conditionalFormatting>
  <conditionalFormatting sqref="C36">
    <cfRule type="cellIs" dxfId="27194" priority="16477" stopIfTrue="1" operator="equal">
      <formula>"Towel"</formula>
    </cfRule>
    <cfRule type="cellIs" dxfId="27193" priority="16478" stopIfTrue="1" operator="equal">
      <formula>"Napkin Hs"</formula>
    </cfRule>
  </conditionalFormatting>
  <conditionalFormatting sqref="C36">
    <cfRule type="cellIs" dxfId="27192" priority="16479" stopIfTrue="1" operator="equal">
      <formula>"Towel"</formula>
    </cfRule>
    <cfRule type="cellIs" dxfId="27191" priority="16480" stopIfTrue="1" operator="equal">
      <formula>"Napkin Hs"</formula>
    </cfRule>
  </conditionalFormatting>
  <conditionalFormatting sqref="C36">
    <cfRule type="cellIs" dxfId="27190" priority="16493" stopIfTrue="1" operator="equal">
      <formula>"Towel"</formula>
    </cfRule>
  </conditionalFormatting>
  <conditionalFormatting sqref="B36:C36">
    <cfRule type="cellIs" dxfId="27189" priority="16471" stopIfTrue="1" operator="equal">
      <formula>"Towel"</formula>
    </cfRule>
    <cfRule type="cellIs" dxfId="27188" priority="16472" stopIfTrue="1" operator="equal">
      <formula>"Napkin Hs"</formula>
    </cfRule>
  </conditionalFormatting>
  <conditionalFormatting sqref="C36">
    <cfRule type="cellIs" dxfId="27187" priority="16467" stopIfTrue="1" operator="equal">
      <formula>"Towel"</formula>
    </cfRule>
    <cfRule type="cellIs" dxfId="27186" priority="16468" stopIfTrue="1" operator="equal">
      <formula>"Napkin Hs"</formula>
    </cfRule>
  </conditionalFormatting>
  <conditionalFormatting sqref="C36">
    <cfRule type="cellIs" dxfId="27185" priority="16469" stopIfTrue="1" operator="equal">
      <formula>"Towel"</formula>
    </cfRule>
    <cfRule type="cellIs" dxfId="27184" priority="16470" stopIfTrue="1" operator="equal">
      <formula>"Napkin Hs"</formula>
    </cfRule>
  </conditionalFormatting>
  <conditionalFormatting sqref="B36:C36">
    <cfRule type="cellIs" dxfId="27183" priority="16457" stopIfTrue="1" operator="equal">
      <formula>"Towel"</formula>
    </cfRule>
    <cfRule type="cellIs" dxfId="27182" priority="16458" stopIfTrue="1" operator="equal">
      <formula>"Napkin Hs"</formula>
    </cfRule>
  </conditionalFormatting>
  <conditionalFormatting sqref="C36">
    <cfRule type="cellIs" dxfId="27181" priority="16459" stopIfTrue="1" operator="equal">
      <formula>"Towel"</formula>
    </cfRule>
    <cfRule type="cellIs" dxfId="27180" priority="16460" stopIfTrue="1" operator="equal">
      <formula>"Napkin Hs"</formula>
    </cfRule>
  </conditionalFormatting>
  <conditionalFormatting sqref="C36">
    <cfRule type="cellIs" dxfId="27179" priority="16453" stopIfTrue="1" operator="equal">
      <formula>"Towel"</formula>
    </cfRule>
    <cfRule type="cellIs" dxfId="27178" priority="16454" stopIfTrue="1" operator="equal">
      <formula>"Napkin Hs"</formula>
    </cfRule>
  </conditionalFormatting>
  <conditionalFormatting sqref="C36">
    <cfRule type="cellIs" dxfId="27177" priority="16455" stopIfTrue="1" operator="equal">
      <formula>"Towel"</formula>
    </cfRule>
    <cfRule type="cellIs" dxfId="27176" priority="16456" stopIfTrue="1" operator="equal">
      <formula>"Napkin Hs"</formula>
    </cfRule>
  </conditionalFormatting>
  <conditionalFormatting sqref="B36:C36">
    <cfRule type="cellIs" dxfId="27175" priority="16451" stopIfTrue="1" operator="equal">
      <formula>"Towel"</formula>
    </cfRule>
    <cfRule type="cellIs" dxfId="27174" priority="16452" stopIfTrue="1" operator="equal">
      <formula>"Napkin Hs"</formula>
    </cfRule>
  </conditionalFormatting>
  <conditionalFormatting sqref="C36">
    <cfRule type="cellIs" dxfId="27173" priority="16450" stopIfTrue="1" operator="equal">
      <formula>"Napkin Hs"</formula>
    </cfRule>
  </conditionalFormatting>
  <conditionalFormatting sqref="C36">
    <cfRule type="cellIs" dxfId="27172" priority="16449" stopIfTrue="1" operator="equal">
      <formula>"Towel"</formula>
    </cfRule>
  </conditionalFormatting>
  <conditionalFormatting sqref="C35">
    <cfRule type="cellIs" dxfId="27171" priority="16447" stopIfTrue="1" operator="equal">
      <formula>"Towel"</formula>
    </cfRule>
    <cfRule type="cellIs" dxfId="27170" priority="16448" stopIfTrue="1" operator="equal">
      <formula>"Napkin Hs"</formula>
    </cfRule>
  </conditionalFormatting>
  <conditionalFormatting sqref="C35">
    <cfRule type="cellIs" dxfId="27169" priority="16443" stopIfTrue="1" operator="equal">
      <formula>"Towel"</formula>
    </cfRule>
    <cfRule type="cellIs" dxfId="27168" priority="16444" stopIfTrue="1" operator="equal">
      <formula>"Napkin Hs"</formula>
    </cfRule>
  </conditionalFormatting>
  <conditionalFormatting sqref="C35">
    <cfRule type="cellIs" dxfId="27167" priority="16445" stopIfTrue="1" operator="equal">
      <formula>"Towel"</formula>
    </cfRule>
    <cfRule type="cellIs" dxfId="27166" priority="16446" stopIfTrue="1" operator="equal">
      <formula>"Napkin Hs"</formula>
    </cfRule>
  </conditionalFormatting>
  <conditionalFormatting sqref="C35">
    <cfRule type="cellIs" dxfId="27165" priority="16441" stopIfTrue="1" operator="equal">
      <formula>"Towel"</formula>
    </cfRule>
    <cfRule type="cellIs" dxfId="27164" priority="16442" stopIfTrue="1" operator="equal">
      <formula>"Napkin Hs"</formula>
    </cfRule>
  </conditionalFormatting>
  <conditionalFormatting sqref="C35">
    <cfRule type="cellIs" dxfId="27163" priority="16437" stopIfTrue="1" operator="equal">
      <formula>"Towel"</formula>
    </cfRule>
    <cfRule type="cellIs" dxfId="27162" priority="16438" stopIfTrue="1" operator="equal">
      <formula>"Napkin Hs"</formula>
    </cfRule>
  </conditionalFormatting>
  <conditionalFormatting sqref="C35">
    <cfRule type="cellIs" dxfId="27161" priority="16439" stopIfTrue="1" operator="equal">
      <formula>"Towel"</formula>
    </cfRule>
    <cfRule type="cellIs" dxfId="27160" priority="16440" stopIfTrue="1" operator="equal">
      <formula>"Napkin Hs"</formula>
    </cfRule>
  </conditionalFormatting>
  <conditionalFormatting sqref="C35">
    <cfRule type="cellIs" dxfId="27159" priority="16435" stopIfTrue="1" operator="equal">
      <formula>"Towel"</formula>
    </cfRule>
    <cfRule type="cellIs" dxfId="27158" priority="16436" stopIfTrue="1" operator="equal">
      <formula>"Napkin Hs"</formula>
    </cfRule>
  </conditionalFormatting>
  <conditionalFormatting sqref="C35">
    <cfRule type="cellIs" dxfId="27157" priority="16431" stopIfTrue="1" operator="equal">
      <formula>"Towel"</formula>
    </cfRule>
    <cfRule type="cellIs" dxfId="27156" priority="16432" stopIfTrue="1" operator="equal">
      <formula>"Napkin Hs"</formula>
    </cfRule>
  </conditionalFormatting>
  <conditionalFormatting sqref="C35">
    <cfRule type="cellIs" dxfId="27155" priority="16433" stopIfTrue="1" operator="equal">
      <formula>"Towel"</formula>
    </cfRule>
    <cfRule type="cellIs" dxfId="27154" priority="16434" stopIfTrue="1" operator="equal">
      <formula>"Napkin Hs"</formula>
    </cfRule>
  </conditionalFormatting>
  <conditionalFormatting sqref="C35">
    <cfRule type="cellIs" dxfId="27153" priority="16429" stopIfTrue="1" operator="equal">
      <formula>"Towel"</formula>
    </cfRule>
    <cfRule type="cellIs" dxfId="27152" priority="16430" stopIfTrue="1" operator="equal">
      <formula>"Napkin Hs"</formula>
    </cfRule>
  </conditionalFormatting>
  <conditionalFormatting sqref="C35">
    <cfRule type="cellIs" dxfId="27151" priority="16427" stopIfTrue="1" operator="equal">
      <formula>"Towel"</formula>
    </cfRule>
    <cfRule type="cellIs" dxfId="27150" priority="16428" stopIfTrue="1" operator="equal">
      <formula>"Napkin Hs"</formula>
    </cfRule>
  </conditionalFormatting>
  <conditionalFormatting sqref="C35">
    <cfRule type="cellIs" dxfId="27149" priority="16425" stopIfTrue="1" operator="equal">
      <formula>"Towel"</formula>
    </cfRule>
    <cfRule type="cellIs" dxfId="27148" priority="16426" stopIfTrue="1" operator="equal">
      <formula>"Napkin Hs"</formula>
    </cfRule>
  </conditionalFormatting>
  <conditionalFormatting sqref="C35">
    <cfRule type="cellIs" dxfId="27147" priority="16423" stopIfTrue="1" operator="equal">
      <formula>"Towel"</formula>
    </cfRule>
    <cfRule type="cellIs" dxfId="27146" priority="16424" stopIfTrue="1" operator="equal">
      <formula>"Napkin Hs"</formula>
    </cfRule>
  </conditionalFormatting>
  <conditionalFormatting sqref="C35">
    <cfRule type="cellIs" dxfId="27145" priority="16422" stopIfTrue="1" operator="equal">
      <formula>"Napkin Hs"</formula>
    </cfRule>
  </conditionalFormatting>
  <conditionalFormatting sqref="C35">
    <cfRule type="cellIs" dxfId="27144" priority="16419" stopIfTrue="1" operator="equal">
      <formula>"Towel"</formula>
    </cfRule>
    <cfRule type="cellIs" dxfId="27143" priority="16420" stopIfTrue="1" operator="equal">
      <formula>"Napkin Hs"</formula>
    </cfRule>
  </conditionalFormatting>
  <conditionalFormatting sqref="C35">
    <cfRule type="cellIs" dxfId="27142" priority="16421" stopIfTrue="1" operator="equal">
      <formula>"Towel"</formula>
    </cfRule>
  </conditionalFormatting>
  <conditionalFormatting sqref="B33:C33">
    <cfRule type="cellIs" dxfId="27141" priority="16417" stopIfTrue="1" operator="equal">
      <formula>"Towel"</formula>
    </cfRule>
    <cfRule type="cellIs" dxfId="27140" priority="16418" stopIfTrue="1" operator="equal">
      <formula>"Napkin Hs"</formula>
    </cfRule>
  </conditionalFormatting>
  <conditionalFormatting sqref="C33">
    <cfRule type="cellIs" dxfId="27139" priority="16413" stopIfTrue="1" operator="equal">
      <formula>"Towel"</formula>
    </cfRule>
    <cfRule type="cellIs" dxfId="27138" priority="16414" stopIfTrue="1" operator="equal">
      <formula>"Napkin Hs"</formula>
    </cfRule>
  </conditionalFormatting>
  <conditionalFormatting sqref="C33">
    <cfRule type="cellIs" dxfId="27137" priority="16415" stopIfTrue="1" operator="equal">
      <formula>"Towel"</formula>
    </cfRule>
    <cfRule type="cellIs" dxfId="27136" priority="16416" stopIfTrue="1" operator="equal">
      <formula>"Napkin Hs"</formula>
    </cfRule>
  </conditionalFormatting>
  <conditionalFormatting sqref="B33:C33">
    <cfRule type="cellIs" dxfId="27135" priority="16411" stopIfTrue="1" operator="equal">
      <formula>"Towel"</formula>
    </cfRule>
    <cfRule type="cellIs" dxfId="27134" priority="16412" stopIfTrue="1" operator="equal">
      <formula>"Napkin Hs"</formula>
    </cfRule>
  </conditionalFormatting>
  <conditionalFormatting sqref="C33">
    <cfRule type="cellIs" dxfId="27133" priority="16407" stopIfTrue="1" operator="equal">
      <formula>"Towel"</formula>
    </cfRule>
    <cfRule type="cellIs" dxfId="27132" priority="16408" stopIfTrue="1" operator="equal">
      <formula>"Napkin Hs"</formula>
    </cfRule>
  </conditionalFormatting>
  <conditionalFormatting sqref="C33">
    <cfRule type="cellIs" dxfId="27131" priority="16409" stopIfTrue="1" operator="equal">
      <formula>"Towel"</formula>
    </cfRule>
    <cfRule type="cellIs" dxfId="27130" priority="16410" stopIfTrue="1" operator="equal">
      <formula>"Napkin Hs"</formula>
    </cfRule>
  </conditionalFormatting>
  <conditionalFormatting sqref="B33:C33">
    <cfRule type="cellIs" dxfId="27129" priority="16405" stopIfTrue="1" operator="equal">
      <formula>"Towel"</formula>
    </cfRule>
    <cfRule type="cellIs" dxfId="27128" priority="16406" stopIfTrue="1" operator="equal">
      <formula>"Napkin Hs"</formula>
    </cfRule>
  </conditionalFormatting>
  <conditionalFormatting sqref="C33">
    <cfRule type="cellIs" dxfId="27127" priority="16401" stopIfTrue="1" operator="equal">
      <formula>"Towel"</formula>
    </cfRule>
    <cfRule type="cellIs" dxfId="27126" priority="16402" stopIfTrue="1" operator="equal">
      <formula>"Napkin Hs"</formula>
    </cfRule>
  </conditionalFormatting>
  <conditionalFormatting sqref="C33">
    <cfRule type="cellIs" dxfId="27125" priority="16403" stopIfTrue="1" operator="equal">
      <formula>"Towel"</formula>
    </cfRule>
    <cfRule type="cellIs" dxfId="27124" priority="16404" stopIfTrue="1" operator="equal">
      <formula>"Napkin Hs"</formula>
    </cfRule>
  </conditionalFormatting>
  <conditionalFormatting sqref="B33:C33">
    <cfRule type="cellIs" dxfId="27123" priority="16399" stopIfTrue="1" operator="equal">
      <formula>"Towel"</formula>
    </cfRule>
    <cfRule type="cellIs" dxfId="27122" priority="16400" stopIfTrue="1" operator="equal">
      <formula>"Napkin Hs"</formula>
    </cfRule>
  </conditionalFormatting>
  <conditionalFormatting sqref="C33">
    <cfRule type="cellIs" dxfId="27121" priority="16397" stopIfTrue="1" operator="equal">
      <formula>"Towel"</formula>
    </cfRule>
    <cfRule type="cellIs" dxfId="27120" priority="16398" stopIfTrue="1" operator="equal">
      <formula>"Napkin Hs"</formula>
    </cfRule>
  </conditionalFormatting>
  <conditionalFormatting sqref="C33">
    <cfRule type="cellIs" dxfId="27119" priority="16395" stopIfTrue="1" operator="equal">
      <formula>"Towel"</formula>
    </cfRule>
    <cfRule type="cellIs" dxfId="27118" priority="16396" stopIfTrue="1" operator="equal">
      <formula>"Napkin Hs"</formula>
    </cfRule>
  </conditionalFormatting>
  <conditionalFormatting sqref="B33:C33">
    <cfRule type="cellIs" dxfId="27117" priority="16393" stopIfTrue="1" operator="equal">
      <formula>"Towel"</formula>
    </cfRule>
    <cfRule type="cellIs" dxfId="27116" priority="16394" stopIfTrue="1" operator="equal">
      <formula>"Napkin Hs"</formula>
    </cfRule>
  </conditionalFormatting>
  <conditionalFormatting sqref="C33">
    <cfRule type="cellIs" dxfId="27115" priority="16392" stopIfTrue="1" operator="equal">
      <formula>"Napkin Hs"</formula>
    </cfRule>
  </conditionalFormatting>
  <conditionalFormatting sqref="C33">
    <cfRule type="cellIs" dxfId="27114" priority="16389" stopIfTrue="1" operator="equal">
      <formula>"Towel"</formula>
    </cfRule>
    <cfRule type="cellIs" dxfId="27113" priority="16390" stopIfTrue="1" operator="equal">
      <formula>"Napkin Hs"</formula>
    </cfRule>
  </conditionalFormatting>
  <conditionalFormatting sqref="C33">
    <cfRule type="cellIs" dxfId="27112" priority="16391" stopIfTrue="1" operator="equal">
      <formula>"Towel"</formula>
    </cfRule>
  </conditionalFormatting>
  <conditionalFormatting sqref="B34:C34 B35">
    <cfRule type="cellIs" dxfId="27111" priority="16387" stopIfTrue="1" operator="equal">
      <formula>"Towel"</formula>
    </cfRule>
    <cfRule type="cellIs" dxfId="27110" priority="16388" stopIfTrue="1" operator="equal">
      <formula>"Napkin Hs"</formula>
    </cfRule>
  </conditionalFormatting>
  <conditionalFormatting sqref="C34">
    <cfRule type="cellIs" dxfId="27109" priority="16383" stopIfTrue="1" operator="equal">
      <formula>"Towel"</formula>
    </cfRule>
    <cfRule type="cellIs" dxfId="27108" priority="16384" stopIfTrue="1" operator="equal">
      <formula>"Napkin Hs"</formula>
    </cfRule>
  </conditionalFormatting>
  <conditionalFormatting sqref="C34">
    <cfRule type="cellIs" dxfId="27107" priority="16385" stopIfTrue="1" operator="equal">
      <formula>"Towel"</formula>
    </cfRule>
    <cfRule type="cellIs" dxfId="27106" priority="16386" stopIfTrue="1" operator="equal">
      <formula>"Napkin Hs"</formula>
    </cfRule>
  </conditionalFormatting>
  <conditionalFormatting sqref="B34:C34 B35">
    <cfRule type="cellIs" dxfId="27105" priority="16381" stopIfTrue="1" operator="equal">
      <formula>"Towel"</formula>
    </cfRule>
    <cfRule type="cellIs" dxfId="27104" priority="16382" stopIfTrue="1" operator="equal">
      <formula>"Napkin Hs"</formula>
    </cfRule>
  </conditionalFormatting>
  <conditionalFormatting sqref="C34">
    <cfRule type="cellIs" dxfId="27103" priority="16377" stopIfTrue="1" operator="equal">
      <formula>"Towel"</formula>
    </cfRule>
    <cfRule type="cellIs" dxfId="27102" priority="16378" stopIfTrue="1" operator="equal">
      <formula>"Napkin Hs"</formula>
    </cfRule>
  </conditionalFormatting>
  <conditionalFormatting sqref="C34">
    <cfRule type="cellIs" dxfId="27101" priority="16379" stopIfTrue="1" operator="equal">
      <formula>"Towel"</formula>
    </cfRule>
    <cfRule type="cellIs" dxfId="27100" priority="16380" stopIfTrue="1" operator="equal">
      <formula>"Napkin Hs"</formula>
    </cfRule>
  </conditionalFormatting>
  <conditionalFormatting sqref="B34:C34 B35">
    <cfRule type="cellIs" dxfId="27099" priority="16375" stopIfTrue="1" operator="equal">
      <formula>"Towel"</formula>
    </cfRule>
    <cfRule type="cellIs" dxfId="27098" priority="16376" stopIfTrue="1" operator="equal">
      <formula>"Napkin Hs"</formula>
    </cfRule>
  </conditionalFormatting>
  <conditionalFormatting sqref="C34">
    <cfRule type="cellIs" dxfId="27097" priority="16371" stopIfTrue="1" operator="equal">
      <formula>"Towel"</formula>
    </cfRule>
    <cfRule type="cellIs" dxfId="27096" priority="16372" stopIfTrue="1" operator="equal">
      <formula>"Napkin Hs"</formula>
    </cfRule>
  </conditionalFormatting>
  <conditionalFormatting sqref="C34">
    <cfRule type="cellIs" dxfId="27095" priority="16373" stopIfTrue="1" operator="equal">
      <formula>"Towel"</formula>
    </cfRule>
    <cfRule type="cellIs" dxfId="27094" priority="16374" stopIfTrue="1" operator="equal">
      <formula>"Napkin Hs"</formula>
    </cfRule>
  </conditionalFormatting>
  <conditionalFormatting sqref="B34:C34 B35">
    <cfRule type="cellIs" dxfId="27093" priority="16369" stopIfTrue="1" operator="equal">
      <formula>"Towel"</formula>
    </cfRule>
    <cfRule type="cellIs" dxfId="27092" priority="16370" stopIfTrue="1" operator="equal">
      <formula>"Napkin Hs"</formula>
    </cfRule>
  </conditionalFormatting>
  <conditionalFormatting sqref="C34">
    <cfRule type="cellIs" dxfId="27091" priority="16367" stopIfTrue="1" operator="equal">
      <formula>"Towel"</formula>
    </cfRule>
    <cfRule type="cellIs" dxfId="27090" priority="16368" stopIfTrue="1" operator="equal">
      <formula>"Napkin Hs"</formula>
    </cfRule>
  </conditionalFormatting>
  <conditionalFormatting sqref="C34">
    <cfRule type="cellIs" dxfId="27089" priority="16365" stopIfTrue="1" operator="equal">
      <formula>"Towel"</formula>
    </cfRule>
    <cfRule type="cellIs" dxfId="27088" priority="16366" stopIfTrue="1" operator="equal">
      <formula>"Napkin Hs"</formula>
    </cfRule>
  </conditionalFormatting>
  <conditionalFormatting sqref="B34:C34 B35">
    <cfRule type="cellIs" dxfId="27087" priority="16363" stopIfTrue="1" operator="equal">
      <formula>"Towel"</formula>
    </cfRule>
    <cfRule type="cellIs" dxfId="27086" priority="16364" stopIfTrue="1" operator="equal">
      <formula>"Napkin Hs"</formula>
    </cfRule>
  </conditionalFormatting>
  <conditionalFormatting sqref="C34">
    <cfRule type="cellIs" dxfId="27085" priority="16362" stopIfTrue="1" operator="equal">
      <formula>"Napkin Hs"</formula>
    </cfRule>
  </conditionalFormatting>
  <conditionalFormatting sqref="C34">
    <cfRule type="cellIs" dxfId="27084" priority="16359" stopIfTrue="1" operator="equal">
      <formula>"Towel"</formula>
    </cfRule>
    <cfRule type="cellIs" dxfId="27083" priority="16360" stopIfTrue="1" operator="equal">
      <formula>"Napkin Hs"</formula>
    </cfRule>
  </conditionalFormatting>
  <conditionalFormatting sqref="C34">
    <cfRule type="cellIs" dxfId="27082" priority="16361" stopIfTrue="1" operator="equal">
      <formula>"Towel"</formula>
    </cfRule>
  </conditionalFormatting>
  <conditionalFormatting sqref="C39">
    <cfRule type="cellIs" dxfId="27081" priority="16313" stopIfTrue="1" operator="equal">
      <formula>"Towel"</formula>
    </cfRule>
    <cfRule type="cellIs" dxfId="27080" priority="16314" stopIfTrue="1" operator="equal">
      <formula>"Napkin Hs"</formula>
    </cfRule>
    <cfRule type="cellIs" dxfId="27079" priority="16335" stopIfTrue="1" operator="equal">
      <formula>"Towel"</formula>
    </cfRule>
    <cfRule type="cellIs" dxfId="27078" priority="16336" stopIfTrue="1" operator="equal">
      <formula>"Napkin Hs"</formula>
    </cfRule>
    <cfRule type="cellIs" dxfId="27077" priority="16341" stopIfTrue="1" operator="equal">
      <formula>"Towel"</formula>
    </cfRule>
    <cfRule type="cellIs" dxfId="27076" priority="16342" stopIfTrue="1" operator="equal">
      <formula>"Napkin Hs"</formula>
    </cfRule>
    <cfRule type="cellIs" dxfId="27075" priority="16355" stopIfTrue="1" operator="equal">
      <formula>"Towel"</formula>
    </cfRule>
    <cfRule type="cellIs" dxfId="27074" priority="16356" stopIfTrue="1" operator="equal">
      <formula>"Napkin Hs"</formula>
    </cfRule>
  </conditionalFormatting>
  <conditionalFormatting sqref="B40:C40">
    <cfRule type="cellIs" dxfId="27073" priority="16317" stopIfTrue="1" operator="equal">
      <formula>"Towel"</formula>
    </cfRule>
    <cfRule type="cellIs" dxfId="27072" priority="16318" stopIfTrue="1" operator="equal">
      <formula>"Napkin Hs"</formula>
    </cfRule>
    <cfRule type="cellIs" dxfId="27071" priority="16331" stopIfTrue="1" operator="equal">
      <formula>"Towel"</formula>
    </cfRule>
    <cfRule type="cellIs" dxfId="27070" priority="16332" stopIfTrue="1" operator="equal">
      <formula>"Napkin Hs"</formula>
    </cfRule>
    <cfRule type="cellIs" dxfId="27069" priority="16351" stopIfTrue="1" operator="equal">
      <formula>"Towel"</formula>
    </cfRule>
    <cfRule type="cellIs" dxfId="27068" priority="16352" stopIfTrue="1" operator="equal">
      <formula>"Napkin Hs"</formula>
    </cfRule>
  </conditionalFormatting>
  <conditionalFormatting sqref="C39">
    <cfRule type="cellIs" dxfId="27067" priority="16339" stopIfTrue="1" operator="equal">
      <formula>"Towel"</formula>
    </cfRule>
    <cfRule type="cellIs" dxfId="27066" priority="16340" stopIfTrue="1" operator="equal">
      <formula>"Napkin Hs"</formula>
    </cfRule>
    <cfRule type="cellIs" dxfId="27065" priority="16353" stopIfTrue="1" operator="equal">
      <formula>"Towel"</formula>
    </cfRule>
    <cfRule type="cellIs" dxfId="27064" priority="16354" stopIfTrue="1" operator="equal">
      <formula>"Napkin Hs"</formula>
    </cfRule>
  </conditionalFormatting>
  <conditionalFormatting sqref="C39">
    <cfRule type="cellIs" dxfId="27063" priority="16309" stopIfTrue="1" operator="equal">
      <formula>"Towel"</formula>
    </cfRule>
    <cfRule type="cellIs" dxfId="27062" priority="16310" stopIfTrue="1" operator="equal">
      <formula>"Napkin Hs"</formula>
    </cfRule>
    <cfRule type="cellIs" dxfId="27061" priority="16333" stopIfTrue="1" operator="equal">
      <formula>"Towel"</formula>
    </cfRule>
    <cfRule type="cellIs" dxfId="27060" priority="16334" stopIfTrue="1" operator="equal">
      <formula>"Napkin Hs"</formula>
    </cfRule>
    <cfRule type="cellIs" dxfId="27059" priority="16337" stopIfTrue="1" operator="equal">
      <formula>"Towel"</formula>
    </cfRule>
    <cfRule type="cellIs" dxfId="27058" priority="16338" stopIfTrue="1" operator="equal">
      <formula>"Napkin Hs"</formula>
    </cfRule>
  </conditionalFormatting>
  <conditionalFormatting sqref="C39:C40">
    <cfRule type="cellIs" dxfId="27057" priority="16311" stopIfTrue="1" operator="equal">
      <formula>"Towel"</formula>
    </cfRule>
    <cfRule type="cellIs" dxfId="27056" priority="16312" stopIfTrue="1" operator="equal">
      <formula>"Napkin Hs"</formula>
    </cfRule>
    <cfRule type="cellIs" dxfId="27055" priority="16329" stopIfTrue="1" operator="equal">
      <formula>"Towel"</formula>
    </cfRule>
    <cfRule type="cellIs" dxfId="27054" priority="16330" stopIfTrue="1" operator="equal">
      <formula>"Napkin Hs"</formula>
    </cfRule>
    <cfRule type="cellIs" dxfId="27053" priority="16349" stopIfTrue="1" operator="equal">
      <formula>"Towel"</formula>
    </cfRule>
    <cfRule type="cellIs" dxfId="27052" priority="16350" stopIfTrue="1" operator="equal">
      <formula>"Napkin Hs"</formula>
    </cfRule>
  </conditionalFormatting>
  <conditionalFormatting sqref="C40">
    <cfRule type="cellIs" dxfId="27051" priority="16315" stopIfTrue="1" operator="equal">
      <formula>"Towel"</formula>
    </cfRule>
    <cfRule type="cellIs" dxfId="27050" priority="16316" stopIfTrue="1" operator="equal">
      <formula>"Napkin Hs"</formula>
    </cfRule>
    <cfRule type="cellIs" dxfId="27049" priority="16345" stopIfTrue="1" operator="equal">
      <formula>"Towel"</formula>
    </cfRule>
    <cfRule type="cellIs" dxfId="27048" priority="16346" stopIfTrue="1" operator="equal">
      <formula>"Napkin Hs"</formula>
    </cfRule>
  </conditionalFormatting>
  <conditionalFormatting sqref="C40">
    <cfRule type="cellIs" dxfId="27047" priority="16325" stopIfTrue="1" operator="equal">
      <formula>"Towel"</formula>
    </cfRule>
    <cfRule type="cellIs" dxfId="27046" priority="16326" stopIfTrue="1" operator="equal">
      <formula>"Napkin Hs"</formula>
    </cfRule>
  </conditionalFormatting>
  <conditionalFormatting sqref="B40:C40">
    <cfRule type="cellIs" dxfId="27045" priority="16283" stopIfTrue="1" operator="equal">
      <formula>"Towel"</formula>
    </cfRule>
    <cfRule type="cellIs" dxfId="27044" priority="16284" stopIfTrue="1" operator="equal">
      <formula>"Napkin Hs"</formula>
    </cfRule>
  </conditionalFormatting>
  <conditionalFormatting sqref="B40:C40">
    <cfRule type="cellIs" dxfId="27043" priority="16269" stopIfTrue="1" operator="equal">
      <formula>"Towel"</formula>
    </cfRule>
    <cfRule type="cellIs" dxfId="27042" priority="16270" stopIfTrue="1" operator="equal">
      <formula>"Napkin Hs"</formula>
    </cfRule>
  </conditionalFormatting>
  <conditionalFormatting sqref="C40">
    <cfRule type="cellIs" dxfId="27041" priority="16282" stopIfTrue="1" operator="equal">
      <formula>"Napkin Hs"</formula>
    </cfRule>
  </conditionalFormatting>
  <conditionalFormatting sqref="C40">
    <cfRule type="cellIs" dxfId="27040" priority="16277" stopIfTrue="1" operator="equal">
      <formula>"Towel"</formula>
    </cfRule>
    <cfRule type="cellIs" dxfId="27039" priority="16278" stopIfTrue="1" operator="equal">
      <formula>"Napkin Hs"</formula>
    </cfRule>
  </conditionalFormatting>
  <conditionalFormatting sqref="C40">
    <cfRule type="cellIs" dxfId="27038" priority="16265" stopIfTrue="1" operator="equal">
      <formula>"Towel"</formula>
    </cfRule>
    <cfRule type="cellIs" dxfId="27037" priority="16266" stopIfTrue="1" operator="equal">
      <formula>"Napkin Hs"</formula>
    </cfRule>
  </conditionalFormatting>
  <conditionalFormatting sqref="C40">
    <cfRule type="cellIs" dxfId="27036" priority="16267" stopIfTrue="1" operator="equal">
      <formula>"Towel"</formula>
    </cfRule>
    <cfRule type="cellIs" dxfId="27035" priority="16268" stopIfTrue="1" operator="equal">
      <formula>"Napkin Hs"</formula>
    </cfRule>
  </conditionalFormatting>
  <conditionalFormatting sqref="C40">
    <cfRule type="cellIs" dxfId="27034" priority="16281" stopIfTrue="1" operator="equal">
      <formula>"Towel"</formula>
    </cfRule>
  </conditionalFormatting>
  <conditionalFormatting sqref="B40:C40">
    <cfRule type="cellIs" dxfId="27033" priority="16259" stopIfTrue="1" operator="equal">
      <formula>"Towel"</formula>
    </cfRule>
    <cfRule type="cellIs" dxfId="27032" priority="16260" stopIfTrue="1" operator="equal">
      <formula>"Napkin Hs"</formula>
    </cfRule>
  </conditionalFormatting>
  <conditionalFormatting sqref="C40">
    <cfRule type="cellIs" dxfId="27031" priority="16255" stopIfTrue="1" operator="equal">
      <formula>"Towel"</formula>
    </cfRule>
    <cfRule type="cellIs" dxfId="27030" priority="16256" stopIfTrue="1" operator="equal">
      <formula>"Napkin Hs"</formula>
    </cfRule>
  </conditionalFormatting>
  <conditionalFormatting sqref="C40">
    <cfRule type="cellIs" dxfId="27029" priority="16257" stopIfTrue="1" operator="equal">
      <formula>"Towel"</formula>
    </cfRule>
    <cfRule type="cellIs" dxfId="27028" priority="16258" stopIfTrue="1" operator="equal">
      <formula>"Napkin Hs"</formula>
    </cfRule>
  </conditionalFormatting>
  <conditionalFormatting sqref="B40:C40">
    <cfRule type="cellIs" dxfId="27027" priority="16245" stopIfTrue="1" operator="equal">
      <formula>"Towel"</formula>
    </cfRule>
    <cfRule type="cellIs" dxfId="27026" priority="16246" stopIfTrue="1" operator="equal">
      <formula>"Napkin Hs"</formula>
    </cfRule>
  </conditionalFormatting>
  <conditionalFormatting sqref="C40">
    <cfRule type="cellIs" dxfId="27025" priority="16247" stopIfTrue="1" operator="equal">
      <formula>"Towel"</formula>
    </cfRule>
    <cfRule type="cellIs" dxfId="27024" priority="16248" stopIfTrue="1" operator="equal">
      <formula>"Napkin Hs"</formula>
    </cfRule>
  </conditionalFormatting>
  <conditionalFormatting sqref="C40">
    <cfRule type="cellIs" dxfId="27023" priority="16241" stopIfTrue="1" operator="equal">
      <formula>"Towel"</formula>
    </cfRule>
    <cfRule type="cellIs" dxfId="27022" priority="16242" stopIfTrue="1" operator="equal">
      <formula>"Napkin Hs"</formula>
    </cfRule>
  </conditionalFormatting>
  <conditionalFormatting sqref="C40">
    <cfRule type="cellIs" dxfId="27021" priority="16243" stopIfTrue="1" operator="equal">
      <formula>"Towel"</formula>
    </cfRule>
    <cfRule type="cellIs" dxfId="27020" priority="16244" stopIfTrue="1" operator="equal">
      <formula>"Napkin Hs"</formula>
    </cfRule>
  </conditionalFormatting>
  <conditionalFormatting sqref="B40:C40">
    <cfRule type="cellIs" dxfId="27019" priority="16239" stopIfTrue="1" operator="equal">
      <formula>"Towel"</formula>
    </cfRule>
    <cfRule type="cellIs" dxfId="27018" priority="16240" stopIfTrue="1" operator="equal">
      <formula>"Napkin Hs"</formula>
    </cfRule>
  </conditionalFormatting>
  <conditionalFormatting sqref="C40">
    <cfRule type="cellIs" dxfId="27017" priority="16238" stopIfTrue="1" operator="equal">
      <formula>"Napkin Hs"</formula>
    </cfRule>
  </conditionalFormatting>
  <conditionalFormatting sqref="C40">
    <cfRule type="cellIs" dxfId="27016" priority="16237" stopIfTrue="1" operator="equal">
      <formula>"Towel"</formula>
    </cfRule>
  </conditionalFormatting>
  <conditionalFormatting sqref="C39">
    <cfRule type="cellIs" dxfId="27015" priority="16235" stopIfTrue="1" operator="equal">
      <formula>"Towel"</formula>
    </cfRule>
    <cfRule type="cellIs" dxfId="27014" priority="16236" stopIfTrue="1" operator="equal">
      <formula>"Napkin Hs"</formula>
    </cfRule>
  </conditionalFormatting>
  <conditionalFormatting sqref="C39">
    <cfRule type="cellIs" dxfId="27013" priority="16231" stopIfTrue="1" operator="equal">
      <formula>"Towel"</formula>
    </cfRule>
    <cfRule type="cellIs" dxfId="27012" priority="16232" stopIfTrue="1" operator="equal">
      <formula>"Napkin Hs"</formula>
    </cfRule>
  </conditionalFormatting>
  <conditionalFormatting sqref="C39">
    <cfRule type="cellIs" dxfId="27011" priority="16233" stopIfTrue="1" operator="equal">
      <formula>"Towel"</formula>
    </cfRule>
    <cfRule type="cellIs" dxfId="27010" priority="16234" stopIfTrue="1" operator="equal">
      <formula>"Napkin Hs"</formula>
    </cfRule>
  </conditionalFormatting>
  <conditionalFormatting sqref="C39">
    <cfRule type="cellIs" dxfId="27009" priority="16229" stopIfTrue="1" operator="equal">
      <formula>"Towel"</formula>
    </cfRule>
    <cfRule type="cellIs" dxfId="27008" priority="16230" stopIfTrue="1" operator="equal">
      <formula>"Napkin Hs"</formula>
    </cfRule>
  </conditionalFormatting>
  <conditionalFormatting sqref="C39">
    <cfRule type="cellIs" dxfId="27007" priority="16225" stopIfTrue="1" operator="equal">
      <formula>"Towel"</formula>
    </cfRule>
    <cfRule type="cellIs" dxfId="27006" priority="16226" stopIfTrue="1" operator="equal">
      <formula>"Napkin Hs"</formula>
    </cfRule>
  </conditionalFormatting>
  <conditionalFormatting sqref="C39">
    <cfRule type="cellIs" dxfId="27005" priority="16227" stopIfTrue="1" operator="equal">
      <formula>"Towel"</formula>
    </cfRule>
    <cfRule type="cellIs" dxfId="27004" priority="16228" stopIfTrue="1" operator="equal">
      <formula>"Napkin Hs"</formula>
    </cfRule>
  </conditionalFormatting>
  <conditionalFormatting sqref="C39">
    <cfRule type="cellIs" dxfId="27003" priority="16223" stopIfTrue="1" operator="equal">
      <formula>"Towel"</formula>
    </cfRule>
    <cfRule type="cellIs" dxfId="27002" priority="16224" stopIfTrue="1" operator="equal">
      <formula>"Napkin Hs"</formula>
    </cfRule>
  </conditionalFormatting>
  <conditionalFormatting sqref="C39">
    <cfRule type="cellIs" dxfId="27001" priority="16219" stopIfTrue="1" operator="equal">
      <formula>"Towel"</formula>
    </cfRule>
    <cfRule type="cellIs" dxfId="27000" priority="16220" stopIfTrue="1" operator="equal">
      <formula>"Napkin Hs"</formula>
    </cfRule>
  </conditionalFormatting>
  <conditionalFormatting sqref="C39">
    <cfRule type="cellIs" dxfId="26999" priority="16221" stopIfTrue="1" operator="equal">
      <formula>"Towel"</formula>
    </cfRule>
    <cfRule type="cellIs" dxfId="26998" priority="16222" stopIfTrue="1" operator="equal">
      <formula>"Napkin Hs"</formula>
    </cfRule>
  </conditionalFormatting>
  <conditionalFormatting sqref="C39">
    <cfRule type="cellIs" dxfId="26997" priority="16217" stopIfTrue="1" operator="equal">
      <formula>"Towel"</formula>
    </cfRule>
    <cfRule type="cellIs" dxfId="26996" priority="16218" stopIfTrue="1" operator="equal">
      <formula>"Napkin Hs"</formula>
    </cfRule>
  </conditionalFormatting>
  <conditionalFormatting sqref="C39">
    <cfRule type="cellIs" dxfId="26995" priority="16215" stopIfTrue="1" operator="equal">
      <formula>"Towel"</formula>
    </cfRule>
    <cfRule type="cellIs" dxfId="26994" priority="16216" stopIfTrue="1" operator="equal">
      <formula>"Napkin Hs"</formula>
    </cfRule>
  </conditionalFormatting>
  <conditionalFormatting sqref="C39">
    <cfRule type="cellIs" dxfId="26993" priority="16213" stopIfTrue="1" operator="equal">
      <formula>"Towel"</formula>
    </cfRule>
    <cfRule type="cellIs" dxfId="26992" priority="16214" stopIfTrue="1" operator="equal">
      <formula>"Napkin Hs"</formula>
    </cfRule>
  </conditionalFormatting>
  <conditionalFormatting sqref="C39">
    <cfRule type="cellIs" dxfId="26991" priority="16211" stopIfTrue="1" operator="equal">
      <formula>"Towel"</formula>
    </cfRule>
    <cfRule type="cellIs" dxfId="26990" priority="16212" stopIfTrue="1" operator="equal">
      <formula>"Napkin Hs"</formula>
    </cfRule>
  </conditionalFormatting>
  <conditionalFormatting sqref="C39">
    <cfRule type="cellIs" dxfId="26989" priority="16210" stopIfTrue="1" operator="equal">
      <formula>"Napkin Hs"</formula>
    </cfRule>
  </conditionalFormatting>
  <conditionalFormatting sqref="C39">
    <cfRule type="cellIs" dxfId="26988" priority="16207" stopIfTrue="1" operator="equal">
      <formula>"Towel"</formula>
    </cfRule>
    <cfRule type="cellIs" dxfId="26987" priority="16208" stopIfTrue="1" operator="equal">
      <formula>"Napkin Hs"</formula>
    </cfRule>
  </conditionalFormatting>
  <conditionalFormatting sqref="C39">
    <cfRule type="cellIs" dxfId="26986" priority="16209" stopIfTrue="1" operator="equal">
      <formula>"Towel"</formula>
    </cfRule>
  </conditionalFormatting>
  <conditionalFormatting sqref="B39">
    <cfRule type="cellIs" dxfId="26985" priority="16175" stopIfTrue="1" operator="equal">
      <formula>"Towel"</formula>
    </cfRule>
    <cfRule type="cellIs" dxfId="26984" priority="16176" stopIfTrue="1" operator="equal">
      <formula>"Napkin Hs"</formula>
    </cfRule>
  </conditionalFormatting>
  <conditionalFormatting sqref="C37">
    <cfRule type="cellIs" dxfId="26983" priority="16119" stopIfTrue="1" operator="equal">
      <formula>"Towel"</formula>
    </cfRule>
    <cfRule type="cellIs" dxfId="26982" priority="16120" stopIfTrue="1" operator="equal">
      <formula>"Napkin Hs"</formula>
    </cfRule>
  </conditionalFormatting>
  <conditionalFormatting sqref="C37">
    <cfRule type="cellIs" dxfId="26981" priority="16121" stopIfTrue="1" operator="equal">
      <formula>"Towel"</formula>
    </cfRule>
    <cfRule type="cellIs" dxfId="26980" priority="16122" stopIfTrue="1" operator="equal">
      <formula>"Napkin Hs"</formula>
    </cfRule>
  </conditionalFormatting>
  <conditionalFormatting sqref="B39">
    <cfRule type="cellIs" dxfId="26979" priority="16169" stopIfTrue="1" operator="equal">
      <formula>"Towel"</formula>
    </cfRule>
    <cfRule type="cellIs" dxfId="26978" priority="16170" stopIfTrue="1" operator="equal">
      <formula>"Napkin Hs"</formula>
    </cfRule>
  </conditionalFormatting>
  <conditionalFormatting sqref="C37">
    <cfRule type="cellIs" dxfId="26977" priority="16113" stopIfTrue="1" operator="equal">
      <formula>"Towel"</formula>
    </cfRule>
    <cfRule type="cellIs" dxfId="26976" priority="16114" stopIfTrue="1" operator="equal">
      <formula>"Napkin Hs"</formula>
    </cfRule>
  </conditionalFormatting>
  <conditionalFormatting sqref="C37">
    <cfRule type="cellIs" dxfId="26975" priority="16115" stopIfTrue="1" operator="equal">
      <formula>"Towel"</formula>
    </cfRule>
    <cfRule type="cellIs" dxfId="26974" priority="16116" stopIfTrue="1" operator="equal">
      <formula>"Napkin Hs"</formula>
    </cfRule>
  </conditionalFormatting>
  <conditionalFormatting sqref="B39">
    <cfRule type="cellIs" dxfId="26973" priority="16163" stopIfTrue="1" operator="equal">
      <formula>"Towel"</formula>
    </cfRule>
    <cfRule type="cellIs" dxfId="26972" priority="16164" stopIfTrue="1" operator="equal">
      <formula>"Napkin Hs"</formula>
    </cfRule>
  </conditionalFormatting>
  <conditionalFormatting sqref="C37">
    <cfRule type="cellIs" dxfId="26971" priority="16107" stopIfTrue="1" operator="equal">
      <formula>"Towel"</formula>
    </cfRule>
    <cfRule type="cellIs" dxfId="26970" priority="16108" stopIfTrue="1" operator="equal">
      <formula>"Napkin Hs"</formula>
    </cfRule>
  </conditionalFormatting>
  <conditionalFormatting sqref="C37">
    <cfRule type="cellIs" dxfId="26969" priority="16109" stopIfTrue="1" operator="equal">
      <formula>"Towel"</formula>
    </cfRule>
    <cfRule type="cellIs" dxfId="26968" priority="16110" stopIfTrue="1" operator="equal">
      <formula>"Napkin Hs"</formula>
    </cfRule>
  </conditionalFormatting>
  <conditionalFormatting sqref="B39">
    <cfRule type="cellIs" dxfId="26967" priority="16157" stopIfTrue="1" operator="equal">
      <formula>"Towel"</formula>
    </cfRule>
    <cfRule type="cellIs" dxfId="26966" priority="16158" stopIfTrue="1" operator="equal">
      <formula>"Napkin Hs"</formula>
    </cfRule>
  </conditionalFormatting>
  <conditionalFormatting sqref="C37">
    <cfRule type="cellIs" dxfId="26965" priority="16103" stopIfTrue="1" operator="equal">
      <formula>"Towel"</formula>
    </cfRule>
    <cfRule type="cellIs" dxfId="26964" priority="16104" stopIfTrue="1" operator="equal">
      <formula>"Napkin Hs"</formula>
    </cfRule>
  </conditionalFormatting>
  <conditionalFormatting sqref="C37">
    <cfRule type="cellIs" dxfId="26963" priority="16101" stopIfTrue="1" operator="equal">
      <formula>"Towel"</formula>
    </cfRule>
    <cfRule type="cellIs" dxfId="26962" priority="16102" stopIfTrue="1" operator="equal">
      <formula>"Napkin Hs"</formula>
    </cfRule>
  </conditionalFormatting>
  <conditionalFormatting sqref="B39">
    <cfRule type="cellIs" dxfId="26961" priority="16151" stopIfTrue="1" operator="equal">
      <formula>"Towel"</formula>
    </cfRule>
    <cfRule type="cellIs" dxfId="26960" priority="16152" stopIfTrue="1" operator="equal">
      <formula>"Napkin Hs"</formula>
    </cfRule>
  </conditionalFormatting>
  <conditionalFormatting sqref="C37">
    <cfRule type="cellIs" dxfId="26959" priority="16098" stopIfTrue="1" operator="equal">
      <formula>"Napkin Hs"</formula>
    </cfRule>
  </conditionalFormatting>
  <conditionalFormatting sqref="C37">
    <cfRule type="cellIs" dxfId="26958" priority="16095" stopIfTrue="1" operator="equal">
      <formula>"Towel"</formula>
    </cfRule>
    <cfRule type="cellIs" dxfId="26957" priority="16096" stopIfTrue="1" operator="equal">
      <formula>"Napkin Hs"</formula>
    </cfRule>
  </conditionalFormatting>
  <conditionalFormatting sqref="C37">
    <cfRule type="cellIs" dxfId="26956" priority="16097" stopIfTrue="1" operator="equal">
      <formula>"Towel"</formula>
    </cfRule>
  </conditionalFormatting>
  <conditionalFormatting sqref="B37:C37">
    <cfRule type="cellIs" dxfId="26955" priority="16145" stopIfTrue="1" operator="equal">
      <formula>"Towel"</formula>
    </cfRule>
    <cfRule type="cellIs" dxfId="26954" priority="16146" stopIfTrue="1" operator="equal">
      <formula>"Napkin Hs"</formula>
    </cfRule>
  </conditionalFormatting>
  <conditionalFormatting sqref="B37:C37">
    <cfRule type="cellIs" dxfId="26953" priority="16137" stopIfTrue="1" operator="equal">
      <formula>"Towel"</formula>
    </cfRule>
    <cfRule type="cellIs" dxfId="26952" priority="16138" stopIfTrue="1" operator="equal">
      <formula>"Napkin Hs"</formula>
    </cfRule>
    <cfRule type="cellIs" dxfId="26951" priority="16143" stopIfTrue="1" operator="equal">
      <formula>"Towel"</formula>
    </cfRule>
    <cfRule type="cellIs" dxfId="26950" priority="16144" stopIfTrue="1" operator="equal">
      <formula>"Napkin Hs"</formula>
    </cfRule>
  </conditionalFormatting>
  <conditionalFormatting sqref="C37">
    <cfRule type="cellIs" dxfId="26949" priority="16133" stopIfTrue="1" operator="equal">
      <formula>"Towel"</formula>
    </cfRule>
    <cfRule type="cellIs" dxfId="26948" priority="16134" stopIfTrue="1" operator="equal">
      <formula>"Napkin Hs"</formula>
    </cfRule>
  </conditionalFormatting>
  <conditionalFormatting sqref="C37">
    <cfRule type="cellIs" dxfId="26947" priority="16131" stopIfTrue="1" operator="equal">
      <formula>"Towel"</formula>
    </cfRule>
    <cfRule type="cellIs" dxfId="26946" priority="16132" stopIfTrue="1" operator="equal">
      <formula>"Napkin Hs"</formula>
    </cfRule>
    <cfRule type="cellIs" dxfId="26945" priority="16141" stopIfTrue="1" operator="equal">
      <formula>"Towel"</formula>
    </cfRule>
    <cfRule type="cellIs" dxfId="26944" priority="16142" stopIfTrue="1" operator="equal">
      <formula>"Napkin Hs"</formula>
    </cfRule>
  </conditionalFormatting>
  <conditionalFormatting sqref="C37">
    <cfRule type="cellIs" dxfId="26943" priority="16135" stopIfTrue="1" operator="equal">
      <formula>"Towel"</formula>
    </cfRule>
    <cfRule type="cellIs" dxfId="26942" priority="16136" stopIfTrue="1" operator="equal">
      <formula>"Napkin Hs"</formula>
    </cfRule>
    <cfRule type="cellIs" dxfId="26941" priority="16139" stopIfTrue="1" operator="equal">
      <formula>"Towel"</formula>
    </cfRule>
    <cfRule type="cellIs" dxfId="26940" priority="16140" stopIfTrue="1" operator="equal">
      <formula>"Napkin Hs"</formula>
    </cfRule>
  </conditionalFormatting>
  <conditionalFormatting sqref="C37">
    <cfRule type="cellIs" dxfId="26939" priority="16130" stopIfTrue="1" operator="equal">
      <formula>"Napkin Hs"</formula>
    </cfRule>
  </conditionalFormatting>
  <conditionalFormatting sqref="C37">
    <cfRule type="cellIs" dxfId="26938" priority="16129" stopIfTrue="1" operator="equal">
      <formula>"Towel"</formula>
    </cfRule>
  </conditionalFormatting>
  <conditionalFormatting sqref="C37">
    <cfRule type="cellIs" dxfId="26937" priority="16125" stopIfTrue="1" operator="equal">
      <formula>"Towel"</formula>
    </cfRule>
    <cfRule type="cellIs" dxfId="26936" priority="16126" stopIfTrue="1" operator="equal">
      <formula>"Napkin Hs"</formula>
    </cfRule>
    <cfRule type="cellIs" dxfId="26935" priority="16127" stopIfTrue="1" operator="equal">
      <formula>"Towel"</formula>
    </cfRule>
    <cfRule type="cellIs" dxfId="26934" priority="16128" stopIfTrue="1" operator="equal">
      <formula>"Napkin Hs"</formula>
    </cfRule>
  </conditionalFormatting>
  <conditionalFormatting sqref="B37:C37">
    <cfRule type="cellIs" dxfId="26933" priority="16123" stopIfTrue="1" operator="equal">
      <formula>"Towel"</formula>
    </cfRule>
    <cfRule type="cellIs" dxfId="26932" priority="16124" stopIfTrue="1" operator="equal">
      <formula>"Napkin Hs"</formula>
    </cfRule>
  </conditionalFormatting>
  <conditionalFormatting sqref="B37:C37">
    <cfRule type="cellIs" dxfId="26931" priority="16117" stopIfTrue="1" operator="equal">
      <formula>"Towel"</formula>
    </cfRule>
    <cfRule type="cellIs" dxfId="26930" priority="16118" stopIfTrue="1" operator="equal">
      <formula>"Napkin Hs"</formula>
    </cfRule>
  </conditionalFormatting>
  <conditionalFormatting sqref="B37:C37">
    <cfRule type="cellIs" dxfId="26929" priority="16111" stopIfTrue="1" operator="equal">
      <formula>"Towel"</formula>
    </cfRule>
    <cfRule type="cellIs" dxfId="26928" priority="16112" stopIfTrue="1" operator="equal">
      <formula>"Napkin Hs"</formula>
    </cfRule>
  </conditionalFormatting>
  <conditionalFormatting sqref="B37:C37">
    <cfRule type="cellIs" dxfId="26927" priority="16105" stopIfTrue="1" operator="equal">
      <formula>"Towel"</formula>
    </cfRule>
    <cfRule type="cellIs" dxfId="26926" priority="16106" stopIfTrue="1" operator="equal">
      <formula>"Napkin Hs"</formula>
    </cfRule>
  </conditionalFormatting>
  <conditionalFormatting sqref="B37:C37">
    <cfRule type="cellIs" dxfId="26925" priority="16099" stopIfTrue="1" operator="equal">
      <formula>"Towel"</formula>
    </cfRule>
    <cfRule type="cellIs" dxfId="26924" priority="16100" stopIfTrue="1" operator="equal">
      <formula>"Napkin Hs"</formula>
    </cfRule>
  </conditionalFormatting>
  <conditionalFormatting sqref="B38:C38">
    <cfRule type="cellIs" dxfId="26923" priority="16093" stopIfTrue="1" operator="equal">
      <formula>"Towel"</formula>
    </cfRule>
    <cfRule type="cellIs" dxfId="26922" priority="16094" stopIfTrue="1" operator="equal">
      <formula>"Napkin Hs"</formula>
    </cfRule>
  </conditionalFormatting>
  <conditionalFormatting sqref="B38:C38">
    <cfRule type="cellIs" dxfId="26921" priority="16085" stopIfTrue="1" operator="equal">
      <formula>"Towel"</formula>
    </cfRule>
    <cfRule type="cellIs" dxfId="26920" priority="16086" stopIfTrue="1" operator="equal">
      <formula>"Napkin Hs"</formula>
    </cfRule>
    <cfRule type="cellIs" dxfId="26919" priority="16091" stopIfTrue="1" operator="equal">
      <formula>"Towel"</formula>
    </cfRule>
    <cfRule type="cellIs" dxfId="26918" priority="16092" stopIfTrue="1" operator="equal">
      <formula>"Napkin Hs"</formula>
    </cfRule>
  </conditionalFormatting>
  <conditionalFormatting sqref="C38">
    <cfRule type="cellIs" dxfId="26917" priority="16081" stopIfTrue="1" operator="equal">
      <formula>"Towel"</formula>
    </cfRule>
    <cfRule type="cellIs" dxfId="26916" priority="16082" stopIfTrue="1" operator="equal">
      <formula>"Napkin Hs"</formula>
    </cfRule>
  </conditionalFormatting>
  <conditionalFormatting sqref="C38">
    <cfRule type="cellIs" dxfId="26915" priority="16079" stopIfTrue="1" operator="equal">
      <formula>"Towel"</formula>
    </cfRule>
    <cfRule type="cellIs" dxfId="26914" priority="16080" stopIfTrue="1" operator="equal">
      <formula>"Napkin Hs"</formula>
    </cfRule>
    <cfRule type="cellIs" dxfId="26913" priority="16089" stopIfTrue="1" operator="equal">
      <formula>"Towel"</formula>
    </cfRule>
    <cfRule type="cellIs" dxfId="26912" priority="16090" stopIfTrue="1" operator="equal">
      <formula>"Napkin Hs"</formula>
    </cfRule>
  </conditionalFormatting>
  <conditionalFormatting sqref="C38">
    <cfRule type="cellIs" dxfId="26911" priority="16083" stopIfTrue="1" operator="equal">
      <formula>"Towel"</formula>
    </cfRule>
    <cfRule type="cellIs" dxfId="26910" priority="16084" stopIfTrue="1" operator="equal">
      <formula>"Napkin Hs"</formula>
    </cfRule>
    <cfRule type="cellIs" dxfId="26909" priority="16087" stopIfTrue="1" operator="equal">
      <formula>"Towel"</formula>
    </cfRule>
    <cfRule type="cellIs" dxfId="26908" priority="16088" stopIfTrue="1" operator="equal">
      <formula>"Napkin Hs"</formula>
    </cfRule>
  </conditionalFormatting>
  <conditionalFormatting sqref="C38">
    <cfRule type="cellIs" dxfId="26907" priority="16078" stopIfTrue="1" operator="equal">
      <formula>"Napkin Hs"</formula>
    </cfRule>
  </conditionalFormatting>
  <conditionalFormatting sqref="C38">
    <cfRule type="cellIs" dxfId="26906" priority="16077" stopIfTrue="1" operator="equal">
      <formula>"Towel"</formula>
    </cfRule>
  </conditionalFormatting>
  <conditionalFormatting sqref="C38">
    <cfRule type="cellIs" dxfId="26905" priority="16073" stopIfTrue="1" operator="equal">
      <formula>"Towel"</formula>
    </cfRule>
    <cfRule type="cellIs" dxfId="26904" priority="16074" stopIfTrue="1" operator="equal">
      <formula>"Napkin Hs"</formula>
    </cfRule>
    <cfRule type="cellIs" dxfId="26903" priority="16075" stopIfTrue="1" operator="equal">
      <formula>"Towel"</formula>
    </cfRule>
    <cfRule type="cellIs" dxfId="26902" priority="16076" stopIfTrue="1" operator="equal">
      <formula>"Napkin Hs"</formula>
    </cfRule>
  </conditionalFormatting>
  <conditionalFormatting sqref="B38:C38">
    <cfRule type="cellIs" dxfId="26901" priority="16071" stopIfTrue="1" operator="equal">
      <formula>"Towel"</formula>
    </cfRule>
    <cfRule type="cellIs" dxfId="26900" priority="16072" stopIfTrue="1" operator="equal">
      <formula>"Napkin Hs"</formula>
    </cfRule>
  </conditionalFormatting>
  <conditionalFormatting sqref="C38">
    <cfRule type="cellIs" dxfId="26899" priority="16067" stopIfTrue="1" operator="equal">
      <formula>"Towel"</formula>
    </cfRule>
    <cfRule type="cellIs" dxfId="26898" priority="16068" stopIfTrue="1" operator="equal">
      <formula>"Napkin Hs"</formula>
    </cfRule>
  </conditionalFormatting>
  <conditionalFormatting sqref="C38">
    <cfRule type="cellIs" dxfId="26897" priority="16069" stopIfTrue="1" operator="equal">
      <formula>"Towel"</formula>
    </cfRule>
    <cfRule type="cellIs" dxfId="26896" priority="16070" stopIfTrue="1" operator="equal">
      <formula>"Napkin Hs"</formula>
    </cfRule>
  </conditionalFormatting>
  <conditionalFormatting sqref="B38:C38">
    <cfRule type="cellIs" dxfId="26895" priority="16065" stopIfTrue="1" operator="equal">
      <formula>"Towel"</formula>
    </cfRule>
    <cfRule type="cellIs" dxfId="26894" priority="16066" stopIfTrue="1" operator="equal">
      <formula>"Napkin Hs"</formula>
    </cfRule>
  </conditionalFormatting>
  <conditionalFormatting sqref="C38">
    <cfRule type="cellIs" dxfId="26893" priority="16061" stopIfTrue="1" operator="equal">
      <formula>"Towel"</formula>
    </cfRule>
    <cfRule type="cellIs" dxfId="26892" priority="16062" stopIfTrue="1" operator="equal">
      <formula>"Napkin Hs"</formula>
    </cfRule>
  </conditionalFormatting>
  <conditionalFormatting sqref="C38">
    <cfRule type="cellIs" dxfId="26891" priority="16063" stopIfTrue="1" operator="equal">
      <formula>"Towel"</formula>
    </cfRule>
    <cfRule type="cellIs" dxfId="26890" priority="16064" stopIfTrue="1" operator="equal">
      <formula>"Napkin Hs"</formula>
    </cfRule>
  </conditionalFormatting>
  <conditionalFormatting sqref="B38:C38">
    <cfRule type="cellIs" dxfId="26889" priority="16059" stopIfTrue="1" operator="equal">
      <formula>"Towel"</formula>
    </cfRule>
    <cfRule type="cellIs" dxfId="26888" priority="16060" stopIfTrue="1" operator="equal">
      <formula>"Napkin Hs"</formula>
    </cfRule>
  </conditionalFormatting>
  <conditionalFormatting sqref="C38">
    <cfRule type="cellIs" dxfId="26887" priority="16055" stopIfTrue="1" operator="equal">
      <formula>"Towel"</formula>
    </cfRule>
    <cfRule type="cellIs" dxfId="26886" priority="16056" stopIfTrue="1" operator="equal">
      <formula>"Napkin Hs"</formula>
    </cfRule>
  </conditionalFormatting>
  <conditionalFormatting sqref="C38">
    <cfRule type="cellIs" dxfId="26885" priority="16057" stopIfTrue="1" operator="equal">
      <formula>"Towel"</formula>
    </cfRule>
    <cfRule type="cellIs" dxfId="26884" priority="16058" stopIfTrue="1" operator="equal">
      <formula>"Napkin Hs"</formula>
    </cfRule>
  </conditionalFormatting>
  <conditionalFormatting sqref="B38:C38">
    <cfRule type="cellIs" dxfId="26883" priority="16053" stopIfTrue="1" operator="equal">
      <formula>"Towel"</formula>
    </cfRule>
    <cfRule type="cellIs" dxfId="26882" priority="16054" stopIfTrue="1" operator="equal">
      <formula>"Napkin Hs"</formula>
    </cfRule>
  </conditionalFormatting>
  <conditionalFormatting sqref="C38">
    <cfRule type="cellIs" dxfId="26881" priority="16051" stopIfTrue="1" operator="equal">
      <formula>"Towel"</formula>
    </cfRule>
    <cfRule type="cellIs" dxfId="26880" priority="16052" stopIfTrue="1" operator="equal">
      <formula>"Napkin Hs"</formula>
    </cfRule>
  </conditionalFormatting>
  <conditionalFormatting sqref="C38">
    <cfRule type="cellIs" dxfId="26879" priority="16049" stopIfTrue="1" operator="equal">
      <formula>"Towel"</formula>
    </cfRule>
    <cfRule type="cellIs" dxfId="26878" priority="16050" stopIfTrue="1" operator="equal">
      <formula>"Napkin Hs"</formula>
    </cfRule>
  </conditionalFormatting>
  <conditionalFormatting sqref="B38:C38">
    <cfRule type="cellIs" dxfId="26877" priority="16047" stopIfTrue="1" operator="equal">
      <formula>"Towel"</formula>
    </cfRule>
    <cfRule type="cellIs" dxfId="26876" priority="16048" stopIfTrue="1" operator="equal">
      <formula>"Napkin Hs"</formula>
    </cfRule>
  </conditionalFormatting>
  <conditionalFormatting sqref="C38">
    <cfRule type="cellIs" dxfId="26875" priority="16046" stopIfTrue="1" operator="equal">
      <formula>"Napkin Hs"</formula>
    </cfRule>
  </conditionalFormatting>
  <conditionalFormatting sqref="C38">
    <cfRule type="cellIs" dxfId="26874" priority="16043" stopIfTrue="1" operator="equal">
      <formula>"Towel"</formula>
    </cfRule>
    <cfRule type="cellIs" dxfId="26873" priority="16044" stopIfTrue="1" operator="equal">
      <formula>"Napkin Hs"</formula>
    </cfRule>
  </conditionalFormatting>
  <conditionalFormatting sqref="C38">
    <cfRule type="cellIs" dxfId="26872" priority="16045" stopIfTrue="1" operator="equal">
      <formula>"Towel"</formula>
    </cfRule>
  </conditionalFormatting>
  <conditionalFormatting sqref="B43:C43">
    <cfRule type="cellIs" dxfId="26871" priority="16041" stopIfTrue="1" operator="equal">
      <formula>"Towel"</formula>
    </cfRule>
    <cfRule type="cellIs" dxfId="26870" priority="16042" stopIfTrue="1" operator="equal">
      <formula>"Napkin Hs"</formula>
    </cfRule>
  </conditionalFormatting>
  <conditionalFormatting sqref="B43:C43">
    <cfRule type="cellIs" dxfId="26869" priority="15983" stopIfTrue="1" operator="equal">
      <formula>"Towel"</formula>
    </cfRule>
    <cfRule type="cellIs" dxfId="26868" priority="15984" stopIfTrue="1" operator="equal">
      <formula>"Napkin Hs"</formula>
    </cfRule>
    <cfRule type="cellIs" dxfId="26867" priority="15999" stopIfTrue="1" operator="equal">
      <formula>"Towel"</formula>
    </cfRule>
    <cfRule type="cellIs" dxfId="26866" priority="16000" stopIfTrue="1" operator="equal">
      <formula>"Napkin Hs"</formula>
    </cfRule>
    <cfRule type="cellIs" dxfId="26865" priority="16005" stopIfTrue="1" operator="equal">
      <formula>"Towel"</formula>
    </cfRule>
    <cfRule type="cellIs" dxfId="26864" priority="16006" stopIfTrue="1" operator="equal">
      <formula>"Napkin Hs"</formula>
    </cfRule>
    <cfRule type="cellIs" dxfId="26863" priority="16017" stopIfTrue="1" operator="equal">
      <formula>"Towel"</formula>
    </cfRule>
    <cfRule type="cellIs" dxfId="26862" priority="16018" stopIfTrue="1" operator="equal">
      <formula>"Napkin Hs"</formula>
    </cfRule>
    <cfRule type="cellIs" dxfId="26861" priority="16023" stopIfTrue="1" operator="equal">
      <formula>"Towel"</formula>
    </cfRule>
    <cfRule type="cellIs" dxfId="26860" priority="16024" stopIfTrue="1" operator="equal">
      <formula>"Napkin Hs"</formula>
    </cfRule>
    <cfRule type="cellIs" dxfId="26859" priority="16029" stopIfTrue="1" operator="equal">
      <formula>"Towel"</formula>
    </cfRule>
    <cfRule type="cellIs" dxfId="26858" priority="16030" stopIfTrue="1" operator="equal">
      <formula>"Napkin Hs"</formula>
    </cfRule>
  </conditionalFormatting>
  <conditionalFormatting sqref="B44:C44">
    <cfRule type="cellIs" dxfId="26857" priority="15943" stopIfTrue="1" operator="equal">
      <formula>"Towel"</formula>
    </cfRule>
    <cfRule type="cellIs" dxfId="26856" priority="15944" stopIfTrue="1" operator="equal">
      <formula>"Napkin Hs"</formula>
    </cfRule>
    <cfRule type="cellIs" dxfId="26855" priority="15949" stopIfTrue="1" operator="equal">
      <formula>"Towel"</formula>
    </cfRule>
    <cfRule type="cellIs" dxfId="26854" priority="15950" stopIfTrue="1" operator="equal">
      <formula>"Napkin Hs"</formula>
    </cfRule>
    <cfRule type="cellIs" dxfId="26853" priority="15955" stopIfTrue="1" operator="equal">
      <formula>"Towel"</formula>
    </cfRule>
    <cfRule type="cellIs" dxfId="26852" priority="15956" stopIfTrue="1" operator="equal">
      <formula>"Napkin Hs"</formula>
    </cfRule>
    <cfRule type="cellIs" dxfId="26851" priority="15961" stopIfTrue="1" operator="equal">
      <formula>"Towel"</formula>
    </cfRule>
    <cfRule type="cellIs" dxfId="26850" priority="15962" stopIfTrue="1" operator="equal">
      <formula>"Napkin Hs"</formula>
    </cfRule>
    <cfRule type="cellIs" dxfId="26849" priority="15967" stopIfTrue="1" operator="equal">
      <formula>"Towel"</formula>
    </cfRule>
    <cfRule type="cellIs" dxfId="26848" priority="15968" stopIfTrue="1" operator="equal">
      <formula>"Napkin Hs"</formula>
    </cfRule>
    <cfRule type="cellIs" dxfId="26847" priority="15973" stopIfTrue="1" operator="equal">
      <formula>"Towel"</formula>
    </cfRule>
    <cfRule type="cellIs" dxfId="26846" priority="15974" stopIfTrue="1" operator="equal">
      <formula>"Napkin Hs"</formula>
    </cfRule>
    <cfRule type="cellIs" dxfId="26845" priority="15979" stopIfTrue="1" operator="equal">
      <formula>"Towel"</formula>
    </cfRule>
    <cfRule type="cellIs" dxfId="26844" priority="15980" stopIfTrue="1" operator="equal">
      <formula>"Napkin Hs"</formula>
    </cfRule>
  </conditionalFormatting>
  <conditionalFormatting sqref="C43">
    <cfRule type="cellIs" dxfId="26843" priority="16040" stopIfTrue="1" operator="equal">
      <formula>"Napkin Hs"</formula>
    </cfRule>
  </conditionalFormatting>
  <conditionalFormatting sqref="C43">
    <cfRule type="cellIs" dxfId="26842" priority="16039" stopIfTrue="1" operator="equal">
      <formula>"Towel"</formula>
    </cfRule>
  </conditionalFormatting>
  <conditionalFormatting sqref="C43">
    <cfRule type="cellIs" dxfId="26841" priority="16027" stopIfTrue="1" operator="equal">
      <formula>"Towel"</formula>
    </cfRule>
    <cfRule type="cellIs" dxfId="26840" priority="16028" stopIfTrue="1" operator="equal">
      <formula>"Napkin Hs"</formula>
    </cfRule>
  </conditionalFormatting>
  <conditionalFormatting sqref="C43">
    <cfRule type="cellIs" dxfId="26839" priority="16025" stopIfTrue="1" operator="equal">
      <formula>"Towel"</formula>
    </cfRule>
    <cfRule type="cellIs" dxfId="26838" priority="16026" stopIfTrue="1" operator="equal">
      <formula>"Napkin Hs"</formula>
    </cfRule>
    <cfRule type="cellIs" dxfId="26837" priority="16037" stopIfTrue="1" operator="equal">
      <formula>"Towel"</formula>
    </cfRule>
    <cfRule type="cellIs" dxfId="26836" priority="16038" stopIfTrue="1" operator="equal">
      <formula>"Napkin Hs"</formula>
    </cfRule>
  </conditionalFormatting>
  <conditionalFormatting sqref="C43">
    <cfRule type="cellIs" dxfId="26835" priority="15981" stopIfTrue="1" operator="equal">
      <formula>"Towel"</formula>
    </cfRule>
    <cfRule type="cellIs" dxfId="26834" priority="15982" stopIfTrue="1" operator="equal">
      <formula>"Napkin Hs"</formula>
    </cfRule>
    <cfRule type="cellIs" dxfId="26833" priority="15995" stopIfTrue="1" operator="equal">
      <formula>"Towel"</formula>
    </cfRule>
    <cfRule type="cellIs" dxfId="26832" priority="15996" stopIfTrue="1" operator="equal">
      <formula>"Napkin Hs"</formula>
    </cfRule>
    <cfRule type="cellIs" dxfId="26831" priority="15997" stopIfTrue="1" operator="equal">
      <formula>"Towel"</formula>
    </cfRule>
    <cfRule type="cellIs" dxfId="26830" priority="15998" stopIfTrue="1" operator="equal">
      <formula>"Napkin Hs"</formula>
    </cfRule>
    <cfRule type="cellIs" dxfId="26829" priority="16001" stopIfTrue="1" operator="equal">
      <formula>"Towel"</formula>
    </cfRule>
    <cfRule type="cellIs" dxfId="26828" priority="16002" stopIfTrue="1" operator="equal">
      <formula>"Napkin Hs"</formula>
    </cfRule>
    <cfRule type="cellIs" dxfId="26827" priority="16003" stopIfTrue="1" operator="equal">
      <formula>"Towel"</formula>
    </cfRule>
    <cfRule type="cellIs" dxfId="26826" priority="16004" stopIfTrue="1" operator="equal">
      <formula>"Napkin Hs"</formula>
    </cfRule>
    <cfRule type="cellIs" dxfId="26825" priority="16013" stopIfTrue="1" operator="equal">
      <formula>"Towel"</formula>
    </cfRule>
    <cfRule type="cellIs" dxfId="26824" priority="16014" stopIfTrue="1" operator="equal">
      <formula>"Napkin Hs"</formula>
    </cfRule>
    <cfRule type="cellIs" dxfId="26823" priority="16015" stopIfTrue="1" operator="equal">
      <formula>"Towel"</formula>
    </cfRule>
    <cfRule type="cellIs" dxfId="26822" priority="16016" stopIfTrue="1" operator="equal">
      <formula>"Napkin Hs"</formula>
    </cfRule>
    <cfRule type="cellIs" dxfId="26821" priority="16019" stopIfTrue="1" operator="equal">
      <formula>"Towel"</formula>
    </cfRule>
    <cfRule type="cellIs" dxfId="26820" priority="16020" stopIfTrue="1" operator="equal">
      <formula>"Napkin Hs"</formula>
    </cfRule>
    <cfRule type="cellIs" dxfId="26819" priority="16021" stopIfTrue="1" operator="equal">
      <formula>"Towel"</formula>
    </cfRule>
    <cfRule type="cellIs" dxfId="26818" priority="16022" stopIfTrue="1" operator="equal">
      <formula>"Napkin Hs"</formula>
    </cfRule>
  </conditionalFormatting>
  <conditionalFormatting sqref="C43:C44">
    <cfRule type="cellIs" dxfId="26817" priority="15977" stopIfTrue="1" operator="equal">
      <formula>"Towel"</formula>
    </cfRule>
    <cfRule type="cellIs" dxfId="26816" priority="15978" stopIfTrue="1" operator="equal">
      <formula>"Napkin Hs"</formula>
    </cfRule>
  </conditionalFormatting>
  <conditionalFormatting sqref="C44">
    <cfRule type="cellIs" dxfId="26815" priority="15939" stopIfTrue="1" operator="equal">
      <formula>"Towel"</formula>
    </cfRule>
    <cfRule type="cellIs" dxfId="26814" priority="15940" stopIfTrue="1" operator="equal">
      <formula>"Napkin Hs"</formula>
    </cfRule>
    <cfRule type="cellIs" dxfId="26813" priority="15941" stopIfTrue="1" operator="equal">
      <formula>"Towel"</formula>
    </cfRule>
    <cfRule type="cellIs" dxfId="26812" priority="15942" stopIfTrue="1" operator="equal">
      <formula>"Napkin Hs"</formula>
    </cfRule>
    <cfRule type="cellIs" dxfId="26811" priority="15945" stopIfTrue="1" operator="equal">
      <formula>"Towel"</formula>
    </cfRule>
    <cfRule type="cellIs" dxfId="26810" priority="15946" stopIfTrue="1" operator="equal">
      <formula>"Napkin Hs"</formula>
    </cfRule>
    <cfRule type="cellIs" dxfId="26809" priority="15947" stopIfTrue="1" operator="equal">
      <formula>"Towel"</formula>
    </cfRule>
    <cfRule type="cellIs" dxfId="26808" priority="15948" stopIfTrue="1" operator="equal">
      <formula>"Napkin Hs"</formula>
    </cfRule>
    <cfRule type="cellIs" dxfId="26807" priority="15951" stopIfTrue="1" operator="equal">
      <formula>"Towel"</formula>
    </cfRule>
    <cfRule type="cellIs" dxfId="26806" priority="15952" stopIfTrue="1" operator="equal">
      <formula>"Napkin Hs"</formula>
    </cfRule>
    <cfRule type="cellIs" dxfId="26805" priority="15953" stopIfTrue="1" operator="equal">
      <formula>"Towel"</formula>
    </cfRule>
    <cfRule type="cellIs" dxfId="26804" priority="15954" stopIfTrue="1" operator="equal">
      <formula>"Napkin Hs"</formula>
    </cfRule>
    <cfRule type="cellIs" dxfId="26803" priority="15957" stopIfTrue="1" operator="equal">
      <formula>"Towel"</formula>
    </cfRule>
    <cfRule type="cellIs" dxfId="26802" priority="15958" stopIfTrue="1" operator="equal">
      <formula>"Napkin Hs"</formula>
    </cfRule>
    <cfRule type="cellIs" dxfId="26801" priority="15959" stopIfTrue="1" operator="equal">
      <formula>"Towel"</formula>
    </cfRule>
    <cfRule type="cellIs" dxfId="26800" priority="15960" stopIfTrue="1" operator="equal">
      <formula>"Napkin Hs"</formula>
    </cfRule>
    <cfRule type="cellIs" dxfId="26799" priority="15963" stopIfTrue="1" operator="equal">
      <formula>"Towel"</formula>
    </cfRule>
    <cfRule type="cellIs" dxfId="26798" priority="15964" stopIfTrue="1" operator="equal">
      <formula>"Napkin Hs"</formula>
    </cfRule>
    <cfRule type="cellIs" dxfId="26797" priority="15965" stopIfTrue="1" operator="equal">
      <formula>"Towel"</formula>
    </cfRule>
    <cfRule type="cellIs" dxfId="26796" priority="15966" stopIfTrue="1" operator="equal">
      <formula>"Napkin Hs"</formula>
    </cfRule>
    <cfRule type="cellIs" dxfId="26795" priority="15969" stopIfTrue="1" operator="equal">
      <formula>"Towel"</formula>
    </cfRule>
    <cfRule type="cellIs" dxfId="26794" priority="15970" stopIfTrue="1" operator="equal">
      <formula>"Napkin Hs"</formula>
    </cfRule>
    <cfRule type="cellIs" dxfId="26793" priority="15971" stopIfTrue="1" operator="equal">
      <formula>"Towel"</formula>
    </cfRule>
    <cfRule type="cellIs" dxfId="26792" priority="15972" stopIfTrue="1" operator="equal">
      <formula>"Napkin Hs"</formula>
    </cfRule>
    <cfRule type="cellIs" dxfId="26791" priority="15975" stopIfTrue="1" operator="equal">
      <formula>"Towel"</formula>
    </cfRule>
    <cfRule type="cellIs" dxfId="26790" priority="15976" stopIfTrue="1" operator="equal">
      <formula>"Napkin Hs"</formula>
    </cfRule>
  </conditionalFormatting>
  <conditionalFormatting sqref="C43">
    <cfRule type="cellIs" dxfId="26789" priority="15895" stopIfTrue="1" operator="equal">
      <formula>"Towel"</formula>
    </cfRule>
    <cfRule type="cellIs" dxfId="26788" priority="15896" stopIfTrue="1" operator="equal">
      <formula>"Napkin Hs"</formula>
    </cfRule>
    <cfRule type="cellIs" dxfId="26787" priority="15917" stopIfTrue="1" operator="equal">
      <formula>"Towel"</formula>
    </cfRule>
    <cfRule type="cellIs" dxfId="26786" priority="15918" stopIfTrue="1" operator="equal">
      <formula>"Napkin Hs"</formula>
    </cfRule>
    <cfRule type="cellIs" dxfId="26785" priority="15923" stopIfTrue="1" operator="equal">
      <formula>"Towel"</formula>
    </cfRule>
    <cfRule type="cellIs" dxfId="26784" priority="15924" stopIfTrue="1" operator="equal">
      <formula>"Napkin Hs"</formula>
    </cfRule>
    <cfRule type="cellIs" dxfId="26783" priority="15937" stopIfTrue="1" operator="equal">
      <formula>"Towel"</formula>
    </cfRule>
    <cfRule type="cellIs" dxfId="26782" priority="15938" stopIfTrue="1" operator="equal">
      <formula>"Napkin Hs"</formula>
    </cfRule>
  </conditionalFormatting>
  <conditionalFormatting sqref="B44:C44">
    <cfRule type="cellIs" dxfId="26781" priority="15899" stopIfTrue="1" operator="equal">
      <formula>"Towel"</formula>
    </cfRule>
    <cfRule type="cellIs" dxfId="26780" priority="15900" stopIfTrue="1" operator="equal">
      <formula>"Napkin Hs"</formula>
    </cfRule>
    <cfRule type="cellIs" dxfId="26779" priority="15913" stopIfTrue="1" operator="equal">
      <formula>"Towel"</formula>
    </cfRule>
    <cfRule type="cellIs" dxfId="26778" priority="15914" stopIfTrue="1" operator="equal">
      <formula>"Napkin Hs"</formula>
    </cfRule>
    <cfRule type="cellIs" dxfId="26777" priority="15933" stopIfTrue="1" operator="equal">
      <formula>"Towel"</formula>
    </cfRule>
    <cfRule type="cellIs" dxfId="26776" priority="15934" stopIfTrue="1" operator="equal">
      <formula>"Napkin Hs"</formula>
    </cfRule>
  </conditionalFormatting>
  <conditionalFormatting sqref="C43">
    <cfRule type="cellIs" dxfId="26775" priority="15921" stopIfTrue="1" operator="equal">
      <formula>"Towel"</formula>
    </cfRule>
    <cfRule type="cellIs" dxfId="26774" priority="15922" stopIfTrue="1" operator="equal">
      <formula>"Napkin Hs"</formula>
    </cfRule>
    <cfRule type="cellIs" dxfId="26773" priority="15935" stopIfTrue="1" operator="equal">
      <formula>"Towel"</formula>
    </cfRule>
    <cfRule type="cellIs" dxfId="26772" priority="15936" stopIfTrue="1" operator="equal">
      <formula>"Napkin Hs"</formula>
    </cfRule>
  </conditionalFormatting>
  <conditionalFormatting sqref="C43">
    <cfRule type="cellIs" dxfId="26771" priority="15891" stopIfTrue="1" operator="equal">
      <formula>"Towel"</formula>
    </cfRule>
    <cfRule type="cellIs" dxfId="26770" priority="15892" stopIfTrue="1" operator="equal">
      <formula>"Napkin Hs"</formula>
    </cfRule>
    <cfRule type="cellIs" dxfId="26769" priority="15915" stopIfTrue="1" operator="equal">
      <formula>"Towel"</formula>
    </cfRule>
    <cfRule type="cellIs" dxfId="26768" priority="15916" stopIfTrue="1" operator="equal">
      <formula>"Napkin Hs"</formula>
    </cfRule>
    <cfRule type="cellIs" dxfId="26767" priority="15919" stopIfTrue="1" operator="equal">
      <formula>"Towel"</formula>
    </cfRule>
    <cfRule type="cellIs" dxfId="26766" priority="15920" stopIfTrue="1" operator="equal">
      <formula>"Napkin Hs"</formula>
    </cfRule>
  </conditionalFormatting>
  <conditionalFormatting sqref="C43:C44">
    <cfRule type="cellIs" dxfId="26765" priority="15893" stopIfTrue="1" operator="equal">
      <formula>"Towel"</formula>
    </cfRule>
    <cfRule type="cellIs" dxfId="26764" priority="15894" stopIfTrue="1" operator="equal">
      <formula>"Napkin Hs"</formula>
    </cfRule>
    <cfRule type="cellIs" dxfId="26763" priority="15911" stopIfTrue="1" operator="equal">
      <formula>"Towel"</formula>
    </cfRule>
    <cfRule type="cellIs" dxfId="26762" priority="15912" stopIfTrue="1" operator="equal">
      <formula>"Napkin Hs"</formula>
    </cfRule>
    <cfRule type="cellIs" dxfId="26761" priority="15931" stopIfTrue="1" operator="equal">
      <formula>"Towel"</formula>
    </cfRule>
    <cfRule type="cellIs" dxfId="26760" priority="15932" stopIfTrue="1" operator="equal">
      <formula>"Napkin Hs"</formula>
    </cfRule>
  </conditionalFormatting>
  <conditionalFormatting sqref="C44">
    <cfRule type="cellIs" dxfId="26759" priority="15897" stopIfTrue="1" operator="equal">
      <formula>"Towel"</formula>
    </cfRule>
    <cfRule type="cellIs" dxfId="26758" priority="15898" stopIfTrue="1" operator="equal">
      <formula>"Napkin Hs"</formula>
    </cfRule>
    <cfRule type="cellIs" dxfId="26757" priority="15927" stopIfTrue="1" operator="equal">
      <formula>"Towel"</formula>
    </cfRule>
    <cfRule type="cellIs" dxfId="26756" priority="15928" stopIfTrue="1" operator="equal">
      <formula>"Napkin Hs"</formula>
    </cfRule>
  </conditionalFormatting>
  <conditionalFormatting sqref="C44">
    <cfRule type="cellIs" dxfId="26755" priority="15907" stopIfTrue="1" operator="equal">
      <formula>"Towel"</formula>
    </cfRule>
    <cfRule type="cellIs" dxfId="26754" priority="15908" stopIfTrue="1" operator="equal">
      <formula>"Napkin Hs"</formula>
    </cfRule>
  </conditionalFormatting>
  <conditionalFormatting sqref="B44:C44">
    <cfRule type="cellIs" dxfId="26753" priority="15889" stopIfTrue="1" operator="equal">
      <formula>"Towel"</formula>
    </cfRule>
    <cfRule type="cellIs" dxfId="26752" priority="15890" stopIfTrue="1" operator="equal">
      <formula>"Napkin Hs"</formula>
    </cfRule>
  </conditionalFormatting>
  <conditionalFormatting sqref="B44:C44">
    <cfRule type="cellIs" dxfId="26751" priority="15875" stopIfTrue="1" operator="equal">
      <formula>"Towel"</formula>
    </cfRule>
    <cfRule type="cellIs" dxfId="26750" priority="15876" stopIfTrue="1" operator="equal">
      <formula>"Napkin Hs"</formula>
    </cfRule>
  </conditionalFormatting>
  <conditionalFormatting sqref="C44">
    <cfRule type="cellIs" dxfId="26749" priority="15888" stopIfTrue="1" operator="equal">
      <formula>"Napkin Hs"</formula>
    </cfRule>
  </conditionalFormatting>
  <conditionalFormatting sqref="C44">
    <cfRule type="cellIs" dxfId="26748" priority="15883" stopIfTrue="1" operator="equal">
      <formula>"Towel"</formula>
    </cfRule>
    <cfRule type="cellIs" dxfId="26747" priority="15884" stopIfTrue="1" operator="equal">
      <formula>"Napkin Hs"</formula>
    </cfRule>
  </conditionalFormatting>
  <conditionalFormatting sqref="C44">
    <cfRule type="cellIs" dxfId="26746" priority="15871" stopIfTrue="1" operator="equal">
      <formula>"Towel"</formula>
    </cfRule>
    <cfRule type="cellIs" dxfId="26745" priority="15872" stopIfTrue="1" operator="equal">
      <formula>"Napkin Hs"</formula>
    </cfRule>
  </conditionalFormatting>
  <conditionalFormatting sqref="C44">
    <cfRule type="cellIs" dxfId="26744" priority="15873" stopIfTrue="1" operator="equal">
      <formula>"Towel"</formula>
    </cfRule>
    <cfRule type="cellIs" dxfId="26743" priority="15874" stopIfTrue="1" operator="equal">
      <formula>"Napkin Hs"</formula>
    </cfRule>
  </conditionalFormatting>
  <conditionalFormatting sqref="C44">
    <cfRule type="cellIs" dxfId="26742" priority="15887" stopIfTrue="1" operator="equal">
      <formula>"Towel"</formula>
    </cfRule>
  </conditionalFormatting>
  <conditionalFormatting sqref="B44:C44">
    <cfRule type="cellIs" dxfId="26741" priority="15865" stopIfTrue="1" operator="equal">
      <formula>"Towel"</formula>
    </cfRule>
    <cfRule type="cellIs" dxfId="26740" priority="15866" stopIfTrue="1" operator="equal">
      <formula>"Napkin Hs"</formula>
    </cfRule>
  </conditionalFormatting>
  <conditionalFormatting sqref="C44">
    <cfRule type="cellIs" dxfId="26739" priority="15861" stopIfTrue="1" operator="equal">
      <formula>"Towel"</formula>
    </cfRule>
    <cfRule type="cellIs" dxfId="26738" priority="15862" stopIfTrue="1" operator="equal">
      <formula>"Napkin Hs"</formula>
    </cfRule>
  </conditionalFormatting>
  <conditionalFormatting sqref="C44">
    <cfRule type="cellIs" dxfId="26737" priority="15863" stopIfTrue="1" operator="equal">
      <formula>"Towel"</formula>
    </cfRule>
    <cfRule type="cellIs" dxfId="26736" priority="15864" stopIfTrue="1" operator="equal">
      <formula>"Napkin Hs"</formula>
    </cfRule>
  </conditionalFormatting>
  <conditionalFormatting sqref="B44:C44">
    <cfRule type="cellIs" dxfId="26735" priority="15851" stopIfTrue="1" operator="equal">
      <formula>"Towel"</formula>
    </cfRule>
    <cfRule type="cellIs" dxfId="26734" priority="15852" stopIfTrue="1" operator="equal">
      <formula>"Napkin Hs"</formula>
    </cfRule>
  </conditionalFormatting>
  <conditionalFormatting sqref="C44">
    <cfRule type="cellIs" dxfId="26733" priority="15853" stopIfTrue="1" operator="equal">
      <formula>"Towel"</formula>
    </cfRule>
    <cfRule type="cellIs" dxfId="26732" priority="15854" stopIfTrue="1" operator="equal">
      <formula>"Napkin Hs"</formula>
    </cfRule>
  </conditionalFormatting>
  <conditionalFormatting sqref="C44">
    <cfRule type="cellIs" dxfId="26731" priority="15847" stopIfTrue="1" operator="equal">
      <formula>"Towel"</formula>
    </cfRule>
    <cfRule type="cellIs" dxfId="26730" priority="15848" stopIfTrue="1" operator="equal">
      <formula>"Napkin Hs"</formula>
    </cfRule>
  </conditionalFormatting>
  <conditionalFormatting sqref="C44">
    <cfRule type="cellIs" dxfId="26729" priority="15849" stopIfTrue="1" operator="equal">
      <formula>"Towel"</formula>
    </cfRule>
    <cfRule type="cellIs" dxfId="26728" priority="15850" stopIfTrue="1" operator="equal">
      <formula>"Napkin Hs"</formula>
    </cfRule>
  </conditionalFormatting>
  <conditionalFormatting sqref="B44:C44">
    <cfRule type="cellIs" dxfId="26727" priority="15845" stopIfTrue="1" operator="equal">
      <formula>"Towel"</formula>
    </cfRule>
    <cfRule type="cellIs" dxfId="26726" priority="15846" stopIfTrue="1" operator="equal">
      <formula>"Napkin Hs"</formula>
    </cfRule>
  </conditionalFormatting>
  <conditionalFormatting sqref="C44">
    <cfRule type="cellIs" dxfId="26725" priority="15844" stopIfTrue="1" operator="equal">
      <formula>"Napkin Hs"</formula>
    </cfRule>
  </conditionalFormatting>
  <conditionalFormatting sqref="C44">
    <cfRule type="cellIs" dxfId="26724" priority="15843" stopIfTrue="1" operator="equal">
      <formula>"Towel"</formula>
    </cfRule>
  </conditionalFormatting>
  <conditionalFormatting sqref="C43">
    <cfRule type="cellIs" dxfId="26723" priority="15841" stopIfTrue="1" operator="equal">
      <formula>"Towel"</formula>
    </cfRule>
    <cfRule type="cellIs" dxfId="26722" priority="15842" stopIfTrue="1" operator="equal">
      <formula>"Napkin Hs"</formula>
    </cfRule>
  </conditionalFormatting>
  <conditionalFormatting sqref="C43">
    <cfRule type="cellIs" dxfId="26721" priority="15837" stopIfTrue="1" operator="equal">
      <formula>"Towel"</formula>
    </cfRule>
    <cfRule type="cellIs" dxfId="26720" priority="15838" stopIfTrue="1" operator="equal">
      <formula>"Napkin Hs"</formula>
    </cfRule>
  </conditionalFormatting>
  <conditionalFormatting sqref="C43">
    <cfRule type="cellIs" dxfId="26719" priority="15839" stopIfTrue="1" operator="equal">
      <formula>"Towel"</formula>
    </cfRule>
    <cfRule type="cellIs" dxfId="26718" priority="15840" stopIfTrue="1" operator="equal">
      <formula>"Napkin Hs"</formula>
    </cfRule>
  </conditionalFormatting>
  <conditionalFormatting sqref="C43">
    <cfRule type="cellIs" dxfId="26717" priority="15835" stopIfTrue="1" operator="equal">
      <formula>"Towel"</formula>
    </cfRule>
    <cfRule type="cellIs" dxfId="26716" priority="15836" stopIfTrue="1" operator="equal">
      <formula>"Napkin Hs"</formula>
    </cfRule>
  </conditionalFormatting>
  <conditionalFormatting sqref="C43">
    <cfRule type="cellIs" dxfId="26715" priority="15831" stopIfTrue="1" operator="equal">
      <formula>"Towel"</formula>
    </cfRule>
    <cfRule type="cellIs" dxfId="26714" priority="15832" stopIfTrue="1" operator="equal">
      <formula>"Napkin Hs"</formula>
    </cfRule>
  </conditionalFormatting>
  <conditionalFormatting sqref="C43">
    <cfRule type="cellIs" dxfId="26713" priority="15833" stopIfTrue="1" operator="equal">
      <formula>"Towel"</formula>
    </cfRule>
    <cfRule type="cellIs" dxfId="26712" priority="15834" stopIfTrue="1" operator="equal">
      <formula>"Napkin Hs"</formula>
    </cfRule>
  </conditionalFormatting>
  <conditionalFormatting sqref="C43">
    <cfRule type="cellIs" dxfId="26711" priority="15829" stopIfTrue="1" operator="equal">
      <formula>"Towel"</formula>
    </cfRule>
    <cfRule type="cellIs" dxfId="26710" priority="15830" stopIfTrue="1" operator="equal">
      <formula>"Napkin Hs"</formula>
    </cfRule>
  </conditionalFormatting>
  <conditionalFormatting sqref="C43">
    <cfRule type="cellIs" dxfId="26709" priority="15825" stopIfTrue="1" operator="equal">
      <formula>"Towel"</formula>
    </cfRule>
    <cfRule type="cellIs" dxfId="26708" priority="15826" stopIfTrue="1" operator="equal">
      <formula>"Napkin Hs"</formula>
    </cfRule>
  </conditionalFormatting>
  <conditionalFormatting sqref="C43">
    <cfRule type="cellIs" dxfId="26707" priority="15827" stopIfTrue="1" operator="equal">
      <formula>"Towel"</formula>
    </cfRule>
    <cfRule type="cellIs" dxfId="26706" priority="15828" stopIfTrue="1" operator="equal">
      <formula>"Napkin Hs"</formula>
    </cfRule>
  </conditionalFormatting>
  <conditionalFormatting sqref="C43">
    <cfRule type="cellIs" dxfId="26705" priority="15823" stopIfTrue="1" operator="equal">
      <formula>"Towel"</formula>
    </cfRule>
    <cfRule type="cellIs" dxfId="26704" priority="15824" stopIfTrue="1" operator="equal">
      <formula>"Napkin Hs"</formula>
    </cfRule>
  </conditionalFormatting>
  <conditionalFormatting sqref="C43">
    <cfRule type="cellIs" dxfId="26703" priority="15821" stopIfTrue="1" operator="equal">
      <formula>"Towel"</formula>
    </cfRule>
    <cfRule type="cellIs" dxfId="26702" priority="15822" stopIfTrue="1" operator="equal">
      <formula>"Napkin Hs"</formula>
    </cfRule>
  </conditionalFormatting>
  <conditionalFormatting sqref="C43">
    <cfRule type="cellIs" dxfId="26701" priority="15819" stopIfTrue="1" operator="equal">
      <formula>"Towel"</formula>
    </cfRule>
    <cfRule type="cellIs" dxfId="26700" priority="15820" stopIfTrue="1" operator="equal">
      <formula>"Napkin Hs"</formula>
    </cfRule>
  </conditionalFormatting>
  <conditionalFormatting sqref="C43">
    <cfRule type="cellIs" dxfId="26699" priority="15817" stopIfTrue="1" operator="equal">
      <formula>"Towel"</formula>
    </cfRule>
    <cfRule type="cellIs" dxfId="26698" priority="15818" stopIfTrue="1" operator="equal">
      <formula>"Napkin Hs"</formula>
    </cfRule>
  </conditionalFormatting>
  <conditionalFormatting sqref="C43">
    <cfRule type="cellIs" dxfId="26697" priority="15816" stopIfTrue="1" operator="equal">
      <formula>"Napkin Hs"</formula>
    </cfRule>
  </conditionalFormatting>
  <conditionalFormatting sqref="C43">
    <cfRule type="cellIs" dxfId="26696" priority="15813" stopIfTrue="1" operator="equal">
      <formula>"Towel"</formula>
    </cfRule>
    <cfRule type="cellIs" dxfId="26695" priority="15814" stopIfTrue="1" operator="equal">
      <formula>"Napkin Hs"</formula>
    </cfRule>
  </conditionalFormatting>
  <conditionalFormatting sqref="C43">
    <cfRule type="cellIs" dxfId="26694" priority="15815" stopIfTrue="1" operator="equal">
      <formula>"Towel"</formula>
    </cfRule>
  </conditionalFormatting>
  <conditionalFormatting sqref="B43">
    <cfRule type="cellIs" dxfId="26693" priority="15811" stopIfTrue="1" operator="equal">
      <formula>"Towel"</formula>
    </cfRule>
    <cfRule type="cellIs" dxfId="26692" priority="15812" stopIfTrue="1" operator="equal">
      <formula>"Napkin Hs"</formula>
    </cfRule>
  </conditionalFormatting>
  <conditionalFormatting sqref="B43">
    <cfRule type="cellIs" dxfId="26691" priority="15809" stopIfTrue="1" operator="equal">
      <formula>"Towel"</formula>
    </cfRule>
    <cfRule type="cellIs" dxfId="26690" priority="15810" stopIfTrue="1" operator="equal">
      <formula>"Napkin Hs"</formula>
    </cfRule>
  </conditionalFormatting>
  <conditionalFormatting sqref="B43">
    <cfRule type="cellIs" dxfId="26689" priority="15807" stopIfTrue="1" operator="equal">
      <formula>"Towel"</formula>
    </cfRule>
    <cfRule type="cellIs" dxfId="26688" priority="15808" stopIfTrue="1" operator="equal">
      <formula>"Napkin Hs"</formula>
    </cfRule>
  </conditionalFormatting>
  <conditionalFormatting sqref="B43">
    <cfRule type="cellIs" dxfId="26687" priority="15805" stopIfTrue="1" operator="equal">
      <formula>"Towel"</formula>
    </cfRule>
    <cfRule type="cellIs" dxfId="26686" priority="15806" stopIfTrue="1" operator="equal">
      <formula>"Napkin Hs"</formula>
    </cfRule>
  </conditionalFormatting>
  <conditionalFormatting sqref="B43">
    <cfRule type="cellIs" dxfId="26685" priority="15803" stopIfTrue="1" operator="equal">
      <formula>"Towel"</formula>
    </cfRule>
    <cfRule type="cellIs" dxfId="26684" priority="15804" stopIfTrue="1" operator="equal">
      <formula>"Napkin Hs"</formula>
    </cfRule>
  </conditionalFormatting>
  <conditionalFormatting sqref="B42:C42">
    <cfRule type="cellIs" dxfId="26683" priority="15749" stopIfTrue="1" operator="equal">
      <formula>"Towel"</formula>
    </cfRule>
    <cfRule type="cellIs" dxfId="26682" priority="15750" stopIfTrue="1" operator="equal">
      <formula>"Napkin Hs"</formula>
    </cfRule>
  </conditionalFormatting>
  <conditionalFormatting sqref="B42:C42">
    <cfRule type="cellIs" dxfId="26681" priority="15741" stopIfTrue="1" operator="equal">
      <formula>"Towel"</formula>
    </cfRule>
    <cfRule type="cellIs" dxfId="26680" priority="15742" stopIfTrue="1" operator="equal">
      <formula>"Napkin Hs"</formula>
    </cfRule>
    <cfRule type="cellIs" dxfId="26679" priority="15747" stopIfTrue="1" operator="equal">
      <formula>"Towel"</formula>
    </cfRule>
    <cfRule type="cellIs" dxfId="26678" priority="15748" stopIfTrue="1" operator="equal">
      <formula>"Napkin Hs"</formula>
    </cfRule>
  </conditionalFormatting>
  <conditionalFormatting sqref="C42">
    <cfRule type="cellIs" dxfId="26677" priority="15737" stopIfTrue="1" operator="equal">
      <formula>"Towel"</formula>
    </cfRule>
    <cfRule type="cellIs" dxfId="26676" priority="15738" stopIfTrue="1" operator="equal">
      <formula>"Napkin Hs"</formula>
    </cfRule>
  </conditionalFormatting>
  <conditionalFormatting sqref="C42">
    <cfRule type="cellIs" dxfId="26675" priority="15735" stopIfTrue="1" operator="equal">
      <formula>"Towel"</formula>
    </cfRule>
    <cfRule type="cellIs" dxfId="26674" priority="15736" stopIfTrue="1" operator="equal">
      <formula>"Napkin Hs"</formula>
    </cfRule>
    <cfRule type="cellIs" dxfId="26673" priority="15745" stopIfTrue="1" operator="equal">
      <formula>"Towel"</formula>
    </cfRule>
    <cfRule type="cellIs" dxfId="26672" priority="15746" stopIfTrue="1" operator="equal">
      <formula>"Napkin Hs"</formula>
    </cfRule>
  </conditionalFormatting>
  <conditionalFormatting sqref="C42">
    <cfRule type="cellIs" dxfId="26671" priority="15739" stopIfTrue="1" operator="equal">
      <formula>"Towel"</formula>
    </cfRule>
    <cfRule type="cellIs" dxfId="26670" priority="15740" stopIfTrue="1" operator="equal">
      <formula>"Napkin Hs"</formula>
    </cfRule>
    <cfRule type="cellIs" dxfId="26669" priority="15743" stopIfTrue="1" operator="equal">
      <formula>"Towel"</formula>
    </cfRule>
    <cfRule type="cellIs" dxfId="26668" priority="15744" stopIfTrue="1" operator="equal">
      <formula>"Napkin Hs"</formula>
    </cfRule>
  </conditionalFormatting>
  <conditionalFormatting sqref="C42">
    <cfRule type="cellIs" dxfId="26667" priority="15734" stopIfTrue="1" operator="equal">
      <formula>"Napkin Hs"</formula>
    </cfRule>
  </conditionalFormatting>
  <conditionalFormatting sqref="C42">
    <cfRule type="cellIs" dxfId="26666" priority="15733" stopIfTrue="1" operator="equal">
      <formula>"Towel"</formula>
    </cfRule>
  </conditionalFormatting>
  <conditionalFormatting sqref="C42">
    <cfRule type="cellIs" dxfId="26665" priority="15729" stopIfTrue="1" operator="equal">
      <formula>"Towel"</formula>
    </cfRule>
    <cfRule type="cellIs" dxfId="26664" priority="15730" stopIfTrue="1" operator="equal">
      <formula>"Napkin Hs"</formula>
    </cfRule>
    <cfRule type="cellIs" dxfId="26663" priority="15731" stopIfTrue="1" operator="equal">
      <formula>"Towel"</formula>
    </cfRule>
    <cfRule type="cellIs" dxfId="26662" priority="15732" stopIfTrue="1" operator="equal">
      <formula>"Napkin Hs"</formula>
    </cfRule>
  </conditionalFormatting>
  <conditionalFormatting sqref="B42:C42">
    <cfRule type="cellIs" dxfId="26661" priority="15727" stopIfTrue="1" operator="equal">
      <formula>"Towel"</formula>
    </cfRule>
    <cfRule type="cellIs" dxfId="26660" priority="15728" stopIfTrue="1" operator="equal">
      <formula>"Napkin Hs"</formula>
    </cfRule>
  </conditionalFormatting>
  <conditionalFormatting sqref="C42">
    <cfRule type="cellIs" dxfId="26659" priority="15723" stopIfTrue="1" operator="equal">
      <formula>"Towel"</formula>
    </cfRule>
    <cfRule type="cellIs" dxfId="26658" priority="15724" stopIfTrue="1" operator="equal">
      <formula>"Napkin Hs"</formula>
    </cfRule>
  </conditionalFormatting>
  <conditionalFormatting sqref="C42">
    <cfRule type="cellIs" dxfId="26657" priority="15725" stopIfTrue="1" operator="equal">
      <formula>"Towel"</formula>
    </cfRule>
    <cfRule type="cellIs" dxfId="26656" priority="15726" stopIfTrue="1" operator="equal">
      <formula>"Napkin Hs"</formula>
    </cfRule>
  </conditionalFormatting>
  <conditionalFormatting sqref="B42:C42">
    <cfRule type="cellIs" dxfId="26655" priority="15721" stopIfTrue="1" operator="equal">
      <formula>"Towel"</formula>
    </cfRule>
    <cfRule type="cellIs" dxfId="26654" priority="15722" stopIfTrue="1" operator="equal">
      <formula>"Napkin Hs"</formula>
    </cfRule>
  </conditionalFormatting>
  <conditionalFormatting sqref="C42">
    <cfRule type="cellIs" dxfId="26653" priority="15717" stopIfTrue="1" operator="equal">
      <formula>"Towel"</formula>
    </cfRule>
    <cfRule type="cellIs" dxfId="26652" priority="15718" stopIfTrue="1" operator="equal">
      <formula>"Napkin Hs"</formula>
    </cfRule>
  </conditionalFormatting>
  <conditionalFormatting sqref="C42">
    <cfRule type="cellIs" dxfId="26651" priority="15719" stopIfTrue="1" operator="equal">
      <formula>"Towel"</formula>
    </cfRule>
    <cfRule type="cellIs" dxfId="26650" priority="15720" stopIfTrue="1" operator="equal">
      <formula>"Napkin Hs"</formula>
    </cfRule>
  </conditionalFormatting>
  <conditionalFormatting sqref="B42:C42">
    <cfRule type="cellIs" dxfId="26649" priority="15715" stopIfTrue="1" operator="equal">
      <formula>"Towel"</formula>
    </cfRule>
    <cfRule type="cellIs" dxfId="26648" priority="15716" stopIfTrue="1" operator="equal">
      <formula>"Napkin Hs"</formula>
    </cfRule>
  </conditionalFormatting>
  <conditionalFormatting sqref="C42">
    <cfRule type="cellIs" dxfId="26647" priority="15711" stopIfTrue="1" operator="equal">
      <formula>"Towel"</formula>
    </cfRule>
    <cfRule type="cellIs" dxfId="26646" priority="15712" stopIfTrue="1" operator="equal">
      <formula>"Napkin Hs"</formula>
    </cfRule>
  </conditionalFormatting>
  <conditionalFormatting sqref="C42">
    <cfRule type="cellIs" dxfId="26645" priority="15713" stopIfTrue="1" operator="equal">
      <formula>"Towel"</formula>
    </cfRule>
    <cfRule type="cellIs" dxfId="26644" priority="15714" stopIfTrue="1" operator="equal">
      <formula>"Napkin Hs"</formula>
    </cfRule>
  </conditionalFormatting>
  <conditionalFormatting sqref="B42:C42">
    <cfRule type="cellIs" dxfId="26643" priority="15709" stopIfTrue="1" operator="equal">
      <formula>"Towel"</formula>
    </cfRule>
    <cfRule type="cellIs" dxfId="26642" priority="15710" stopIfTrue="1" operator="equal">
      <formula>"Napkin Hs"</formula>
    </cfRule>
  </conditionalFormatting>
  <conditionalFormatting sqref="C42">
    <cfRule type="cellIs" dxfId="26641" priority="15707" stopIfTrue="1" operator="equal">
      <formula>"Towel"</formula>
    </cfRule>
    <cfRule type="cellIs" dxfId="26640" priority="15708" stopIfTrue="1" operator="equal">
      <formula>"Napkin Hs"</formula>
    </cfRule>
  </conditionalFormatting>
  <conditionalFormatting sqref="C42">
    <cfRule type="cellIs" dxfId="26639" priority="15705" stopIfTrue="1" operator="equal">
      <formula>"Towel"</formula>
    </cfRule>
    <cfRule type="cellIs" dxfId="26638" priority="15706" stopIfTrue="1" operator="equal">
      <formula>"Napkin Hs"</formula>
    </cfRule>
  </conditionalFormatting>
  <conditionalFormatting sqref="B42:C42">
    <cfRule type="cellIs" dxfId="26637" priority="15703" stopIfTrue="1" operator="equal">
      <formula>"Towel"</formula>
    </cfRule>
    <cfRule type="cellIs" dxfId="26636" priority="15704" stopIfTrue="1" operator="equal">
      <formula>"Napkin Hs"</formula>
    </cfRule>
  </conditionalFormatting>
  <conditionalFormatting sqref="C42">
    <cfRule type="cellIs" dxfId="26635" priority="15702" stopIfTrue="1" operator="equal">
      <formula>"Napkin Hs"</formula>
    </cfRule>
  </conditionalFormatting>
  <conditionalFormatting sqref="C42">
    <cfRule type="cellIs" dxfId="26634" priority="15699" stopIfTrue="1" operator="equal">
      <formula>"Towel"</formula>
    </cfRule>
    <cfRule type="cellIs" dxfId="26633" priority="15700" stopIfTrue="1" operator="equal">
      <formula>"Napkin Hs"</formula>
    </cfRule>
  </conditionalFormatting>
  <conditionalFormatting sqref="C42">
    <cfRule type="cellIs" dxfId="26632" priority="15701" stopIfTrue="1" operator="equal">
      <formula>"Towel"</formula>
    </cfRule>
  </conditionalFormatting>
  <conditionalFormatting sqref="B41:C41">
    <cfRule type="cellIs" dxfId="26631" priority="15685" stopIfTrue="1" operator="equal">
      <formula>"Towel"</formula>
    </cfRule>
    <cfRule type="cellIs" dxfId="26630" priority="15686" stopIfTrue="1" operator="equal">
      <formula>"Napkin Hs"</formula>
    </cfRule>
    <cfRule type="cellIs" dxfId="26629" priority="15691" stopIfTrue="1" operator="equal">
      <formula>"Towel"</formula>
    </cfRule>
    <cfRule type="cellIs" dxfId="26628" priority="15692" stopIfTrue="1" operator="equal">
      <formula>"Napkin Hs"</formula>
    </cfRule>
    <cfRule type="cellIs" dxfId="26627" priority="15697" stopIfTrue="1" operator="equal">
      <formula>"Towel"</formula>
    </cfRule>
    <cfRule type="cellIs" dxfId="26626" priority="15698" stopIfTrue="1" operator="equal">
      <formula>"Napkin Hs"</formula>
    </cfRule>
  </conditionalFormatting>
  <conditionalFormatting sqref="C41">
    <cfRule type="cellIs" dxfId="26625" priority="15679" stopIfTrue="1" operator="equal">
      <formula>"Towel"</formula>
    </cfRule>
    <cfRule type="cellIs" dxfId="26624" priority="15680" stopIfTrue="1" operator="equal">
      <formula>"Napkin Hs"</formula>
    </cfRule>
    <cfRule type="cellIs" dxfId="26623" priority="15681" stopIfTrue="1" operator="equal">
      <formula>"Towel"</formula>
    </cfRule>
    <cfRule type="cellIs" dxfId="26622" priority="15682" stopIfTrue="1" operator="equal">
      <formula>"Napkin Hs"</formula>
    </cfRule>
    <cfRule type="cellIs" dxfId="26621" priority="15689" stopIfTrue="1" operator="equal">
      <formula>"Towel"</formula>
    </cfRule>
    <cfRule type="cellIs" dxfId="26620" priority="15690" stopIfTrue="1" operator="equal">
      <formula>"Napkin Hs"</formula>
    </cfRule>
    <cfRule type="cellIs" dxfId="26619" priority="15693" stopIfTrue="1" operator="equal">
      <formula>"Towel"</formula>
    </cfRule>
    <cfRule type="cellIs" dxfId="26618" priority="15694" stopIfTrue="1" operator="equal">
      <formula>"Napkin Hs"</formula>
    </cfRule>
  </conditionalFormatting>
  <conditionalFormatting sqref="C41">
    <cfRule type="cellIs" dxfId="26617" priority="15683" stopIfTrue="1" operator="equal">
      <formula>"Towel"</formula>
    </cfRule>
    <cfRule type="cellIs" dxfId="26616" priority="15684" stopIfTrue="1" operator="equal">
      <formula>"Napkin Hs"</formula>
    </cfRule>
    <cfRule type="cellIs" dxfId="26615" priority="15687" stopIfTrue="1" operator="equal">
      <formula>"Towel"</formula>
    </cfRule>
    <cfRule type="cellIs" dxfId="26614" priority="15688" stopIfTrue="1" operator="equal">
      <formula>"Napkin Hs"</formula>
    </cfRule>
    <cfRule type="cellIs" dxfId="26613" priority="15695" stopIfTrue="1" operator="equal">
      <formula>"Towel"</formula>
    </cfRule>
    <cfRule type="cellIs" dxfId="26612" priority="15696" stopIfTrue="1" operator="equal">
      <formula>"Napkin Hs"</formula>
    </cfRule>
  </conditionalFormatting>
  <conditionalFormatting sqref="B41:C41">
    <cfRule type="cellIs" dxfId="26611" priority="15677" stopIfTrue="1" operator="equal">
      <formula>"Towel"</formula>
    </cfRule>
    <cfRule type="cellIs" dxfId="26610" priority="15678" stopIfTrue="1" operator="equal">
      <formula>"Napkin Hs"</formula>
    </cfRule>
  </conditionalFormatting>
  <conditionalFormatting sqref="B41:C41">
    <cfRule type="cellIs" dxfId="26609" priority="15669" stopIfTrue="1" operator="equal">
      <formula>"Towel"</formula>
    </cfRule>
    <cfRule type="cellIs" dxfId="26608" priority="15670" stopIfTrue="1" operator="equal">
      <formula>"Napkin Hs"</formula>
    </cfRule>
    <cfRule type="cellIs" dxfId="26607" priority="15675" stopIfTrue="1" operator="equal">
      <formula>"Towel"</formula>
    </cfRule>
    <cfRule type="cellIs" dxfId="26606" priority="15676" stopIfTrue="1" operator="equal">
      <formula>"Napkin Hs"</formula>
    </cfRule>
  </conditionalFormatting>
  <conditionalFormatting sqref="C41">
    <cfRule type="cellIs" dxfId="26605" priority="15665" stopIfTrue="1" operator="equal">
      <formula>"Towel"</formula>
    </cfRule>
    <cfRule type="cellIs" dxfId="26604" priority="15666" stopIfTrue="1" operator="equal">
      <formula>"Napkin Hs"</formula>
    </cfRule>
  </conditionalFormatting>
  <conditionalFormatting sqref="C41">
    <cfRule type="cellIs" dxfId="26603" priority="15663" stopIfTrue="1" operator="equal">
      <formula>"Towel"</formula>
    </cfRule>
    <cfRule type="cellIs" dxfId="26602" priority="15664" stopIfTrue="1" operator="equal">
      <formula>"Napkin Hs"</formula>
    </cfRule>
    <cfRule type="cellIs" dxfId="26601" priority="15673" stopIfTrue="1" operator="equal">
      <formula>"Towel"</formula>
    </cfRule>
    <cfRule type="cellIs" dxfId="26600" priority="15674" stopIfTrue="1" operator="equal">
      <formula>"Napkin Hs"</formula>
    </cfRule>
  </conditionalFormatting>
  <conditionalFormatting sqref="C41">
    <cfRule type="cellIs" dxfId="26599" priority="15667" stopIfTrue="1" operator="equal">
      <formula>"Towel"</formula>
    </cfRule>
    <cfRule type="cellIs" dxfId="26598" priority="15668" stopIfTrue="1" operator="equal">
      <formula>"Napkin Hs"</formula>
    </cfRule>
    <cfRule type="cellIs" dxfId="26597" priority="15671" stopIfTrue="1" operator="equal">
      <formula>"Towel"</formula>
    </cfRule>
    <cfRule type="cellIs" dxfId="26596" priority="15672" stopIfTrue="1" operator="equal">
      <formula>"Napkin Hs"</formula>
    </cfRule>
  </conditionalFormatting>
  <conditionalFormatting sqref="C41">
    <cfRule type="cellIs" dxfId="26595" priority="15662" stopIfTrue="1" operator="equal">
      <formula>"Napkin Hs"</formula>
    </cfRule>
  </conditionalFormatting>
  <conditionalFormatting sqref="C41">
    <cfRule type="cellIs" dxfId="26594" priority="15661" stopIfTrue="1" operator="equal">
      <formula>"Towel"</formula>
    </cfRule>
  </conditionalFormatting>
  <conditionalFormatting sqref="C41">
    <cfRule type="cellIs" dxfId="26593" priority="15657" stopIfTrue="1" operator="equal">
      <formula>"Towel"</formula>
    </cfRule>
    <cfRule type="cellIs" dxfId="26592" priority="15658" stopIfTrue="1" operator="equal">
      <formula>"Napkin Hs"</formula>
    </cfRule>
    <cfRule type="cellIs" dxfId="26591" priority="15659" stopIfTrue="1" operator="equal">
      <formula>"Towel"</formula>
    </cfRule>
    <cfRule type="cellIs" dxfId="26590" priority="15660" stopIfTrue="1" operator="equal">
      <formula>"Napkin Hs"</formula>
    </cfRule>
  </conditionalFormatting>
  <conditionalFormatting sqref="B41:C41">
    <cfRule type="cellIs" dxfId="26589" priority="15655" stopIfTrue="1" operator="equal">
      <formula>"Towel"</formula>
    </cfRule>
    <cfRule type="cellIs" dxfId="26588" priority="15656" stopIfTrue="1" operator="equal">
      <formula>"Napkin Hs"</formula>
    </cfRule>
  </conditionalFormatting>
  <conditionalFormatting sqref="C41">
    <cfRule type="cellIs" dxfId="26587" priority="15651" stopIfTrue="1" operator="equal">
      <formula>"Towel"</formula>
    </cfRule>
    <cfRule type="cellIs" dxfId="26586" priority="15652" stopIfTrue="1" operator="equal">
      <formula>"Napkin Hs"</formula>
    </cfRule>
  </conditionalFormatting>
  <conditionalFormatting sqref="C41">
    <cfRule type="cellIs" dxfId="26585" priority="15653" stopIfTrue="1" operator="equal">
      <formula>"Towel"</formula>
    </cfRule>
    <cfRule type="cellIs" dxfId="26584" priority="15654" stopIfTrue="1" operator="equal">
      <formula>"Napkin Hs"</formula>
    </cfRule>
  </conditionalFormatting>
  <conditionalFormatting sqref="B41:C41">
    <cfRule type="cellIs" dxfId="26583" priority="15649" stopIfTrue="1" operator="equal">
      <formula>"Towel"</formula>
    </cfRule>
    <cfRule type="cellIs" dxfId="26582" priority="15650" stopIfTrue="1" operator="equal">
      <formula>"Napkin Hs"</formula>
    </cfRule>
  </conditionalFormatting>
  <conditionalFormatting sqref="C41">
    <cfRule type="cellIs" dxfId="26581" priority="15645" stopIfTrue="1" operator="equal">
      <formula>"Towel"</formula>
    </cfRule>
    <cfRule type="cellIs" dxfId="26580" priority="15646" stopIfTrue="1" operator="equal">
      <formula>"Napkin Hs"</formula>
    </cfRule>
  </conditionalFormatting>
  <conditionalFormatting sqref="C41">
    <cfRule type="cellIs" dxfId="26579" priority="15647" stopIfTrue="1" operator="equal">
      <formula>"Towel"</formula>
    </cfRule>
    <cfRule type="cellIs" dxfId="26578" priority="15648" stopIfTrue="1" operator="equal">
      <formula>"Napkin Hs"</formula>
    </cfRule>
  </conditionalFormatting>
  <conditionalFormatting sqref="B41:C41">
    <cfRule type="cellIs" dxfId="26577" priority="15643" stopIfTrue="1" operator="equal">
      <formula>"Towel"</formula>
    </cfRule>
    <cfRule type="cellIs" dxfId="26576" priority="15644" stopIfTrue="1" operator="equal">
      <formula>"Napkin Hs"</formula>
    </cfRule>
  </conditionalFormatting>
  <conditionalFormatting sqref="C41">
    <cfRule type="cellIs" dxfId="26575" priority="15639" stopIfTrue="1" operator="equal">
      <formula>"Towel"</formula>
    </cfRule>
    <cfRule type="cellIs" dxfId="26574" priority="15640" stopIfTrue="1" operator="equal">
      <formula>"Napkin Hs"</formula>
    </cfRule>
  </conditionalFormatting>
  <conditionalFormatting sqref="C41">
    <cfRule type="cellIs" dxfId="26573" priority="15641" stopIfTrue="1" operator="equal">
      <formula>"Towel"</formula>
    </cfRule>
    <cfRule type="cellIs" dxfId="26572" priority="15642" stopIfTrue="1" operator="equal">
      <formula>"Napkin Hs"</formula>
    </cfRule>
  </conditionalFormatting>
  <conditionalFormatting sqref="B41:C41">
    <cfRule type="cellIs" dxfId="26571" priority="15637" stopIfTrue="1" operator="equal">
      <formula>"Towel"</formula>
    </cfRule>
    <cfRule type="cellIs" dxfId="26570" priority="15638" stopIfTrue="1" operator="equal">
      <formula>"Napkin Hs"</formula>
    </cfRule>
  </conditionalFormatting>
  <conditionalFormatting sqref="C41">
    <cfRule type="cellIs" dxfId="26569" priority="15635" stopIfTrue="1" operator="equal">
      <formula>"Towel"</formula>
    </cfRule>
    <cfRule type="cellIs" dxfId="26568" priority="15636" stopIfTrue="1" operator="equal">
      <formula>"Napkin Hs"</formula>
    </cfRule>
  </conditionalFormatting>
  <conditionalFormatting sqref="C41">
    <cfRule type="cellIs" dxfId="26567" priority="15633" stopIfTrue="1" operator="equal">
      <formula>"Towel"</formula>
    </cfRule>
    <cfRule type="cellIs" dxfId="26566" priority="15634" stopIfTrue="1" operator="equal">
      <formula>"Napkin Hs"</formula>
    </cfRule>
  </conditionalFormatting>
  <conditionalFormatting sqref="B41:C41">
    <cfRule type="cellIs" dxfId="26565" priority="15631" stopIfTrue="1" operator="equal">
      <formula>"Towel"</formula>
    </cfRule>
    <cfRule type="cellIs" dxfId="26564" priority="15632" stopIfTrue="1" operator="equal">
      <formula>"Napkin Hs"</formula>
    </cfRule>
  </conditionalFormatting>
  <conditionalFormatting sqref="C41">
    <cfRule type="cellIs" dxfId="26563" priority="15630" stopIfTrue="1" operator="equal">
      <formula>"Napkin Hs"</formula>
    </cfRule>
  </conditionalFormatting>
  <conditionalFormatting sqref="C41">
    <cfRule type="cellIs" dxfId="26562" priority="15627" stopIfTrue="1" operator="equal">
      <formula>"Towel"</formula>
    </cfRule>
    <cfRule type="cellIs" dxfId="26561" priority="15628" stopIfTrue="1" operator="equal">
      <formula>"Napkin Hs"</formula>
    </cfRule>
  </conditionalFormatting>
  <conditionalFormatting sqref="C41">
    <cfRule type="cellIs" dxfId="26560" priority="15629" stopIfTrue="1" operator="equal">
      <formula>"Towel"</formula>
    </cfRule>
  </conditionalFormatting>
  <conditionalFormatting sqref="B46:C46 B47">
    <cfRule type="cellIs" dxfId="26559" priority="15613" stopIfTrue="1" operator="equal">
      <formula>"Towel"</formula>
    </cfRule>
    <cfRule type="cellIs" dxfId="26558" priority="15614" stopIfTrue="1" operator="equal">
      <formula>"Napkin Hs"</formula>
    </cfRule>
    <cfRule type="cellIs" dxfId="26557" priority="15619" stopIfTrue="1" operator="equal">
      <formula>"Towel"</formula>
    </cfRule>
    <cfRule type="cellIs" dxfId="26556" priority="15620" stopIfTrue="1" operator="equal">
      <formula>"Napkin Hs"</formula>
    </cfRule>
    <cfRule type="cellIs" dxfId="26555" priority="15625" stopIfTrue="1" operator="equal">
      <formula>"Towel"</formula>
    </cfRule>
    <cfRule type="cellIs" dxfId="26554" priority="15626" stopIfTrue="1" operator="equal">
      <formula>"Napkin Hs"</formula>
    </cfRule>
  </conditionalFormatting>
  <conditionalFormatting sqref="B47:C48">
    <cfRule type="cellIs" dxfId="26553" priority="15569" stopIfTrue="1" operator="equal">
      <formula>"Towel"</formula>
    </cfRule>
    <cfRule type="cellIs" dxfId="26552" priority="15570" stopIfTrue="1" operator="equal">
      <formula>"Napkin Hs"</formula>
    </cfRule>
    <cfRule type="cellIs" dxfId="26551" priority="15575" stopIfTrue="1" operator="equal">
      <formula>"Towel"</formula>
    </cfRule>
    <cfRule type="cellIs" dxfId="26550" priority="15576" stopIfTrue="1" operator="equal">
      <formula>"Napkin Hs"</formula>
    </cfRule>
    <cfRule type="cellIs" dxfId="26549" priority="15581" stopIfTrue="1" operator="equal">
      <formula>"Towel"</formula>
    </cfRule>
    <cfRule type="cellIs" dxfId="26548" priority="15582" stopIfTrue="1" operator="equal">
      <formula>"Napkin Hs"</formula>
    </cfRule>
    <cfRule type="cellIs" dxfId="26547" priority="15587" stopIfTrue="1" operator="equal">
      <formula>"Towel"</formula>
    </cfRule>
    <cfRule type="cellIs" dxfId="26546" priority="15588" stopIfTrue="1" operator="equal">
      <formula>"Napkin Hs"</formula>
    </cfRule>
    <cfRule type="cellIs" dxfId="26545" priority="15593" stopIfTrue="1" operator="equal">
      <formula>"Towel"</formula>
    </cfRule>
    <cfRule type="cellIs" dxfId="26544" priority="15594" stopIfTrue="1" operator="equal">
      <formula>"Napkin Hs"</formula>
    </cfRule>
    <cfRule type="cellIs" dxfId="26543" priority="15599" stopIfTrue="1" operator="equal">
      <formula>"Towel"</formula>
    </cfRule>
    <cfRule type="cellIs" dxfId="26542" priority="15600" stopIfTrue="1" operator="equal">
      <formula>"Napkin Hs"</formula>
    </cfRule>
    <cfRule type="cellIs" dxfId="26541" priority="15605" stopIfTrue="1" operator="equal">
      <formula>"Towel"</formula>
    </cfRule>
    <cfRule type="cellIs" dxfId="26540" priority="15606" stopIfTrue="1" operator="equal">
      <formula>"Napkin Hs"</formula>
    </cfRule>
  </conditionalFormatting>
  <conditionalFormatting sqref="C46">
    <cfRule type="cellIs" dxfId="26539" priority="15607" stopIfTrue="1" operator="equal">
      <formula>"Towel"</formula>
    </cfRule>
    <cfRule type="cellIs" dxfId="26538" priority="15608" stopIfTrue="1" operator="equal">
      <formula>"Napkin Hs"</formula>
    </cfRule>
    <cfRule type="cellIs" dxfId="26537" priority="15609" stopIfTrue="1" operator="equal">
      <formula>"Towel"</formula>
    </cfRule>
    <cfRule type="cellIs" dxfId="26536" priority="15610" stopIfTrue="1" operator="equal">
      <formula>"Napkin Hs"</formula>
    </cfRule>
    <cfRule type="cellIs" dxfId="26535" priority="15617" stopIfTrue="1" operator="equal">
      <formula>"Towel"</formula>
    </cfRule>
    <cfRule type="cellIs" dxfId="26534" priority="15618" stopIfTrue="1" operator="equal">
      <formula>"Napkin Hs"</formula>
    </cfRule>
    <cfRule type="cellIs" dxfId="26533" priority="15621" stopIfTrue="1" operator="equal">
      <formula>"Towel"</formula>
    </cfRule>
    <cfRule type="cellIs" dxfId="26532" priority="15622" stopIfTrue="1" operator="equal">
      <formula>"Napkin Hs"</formula>
    </cfRule>
  </conditionalFormatting>
  <conditionalFormatting sqref="C46">
    <cfRule type="cellIs" dxfId="26531" priority="15611" stopIfTrue="1" operator="equal">
      <formula>"Towel"</formula>
    </cfRule>
    <cfRule type="cellIs" dxfId="26530" priority="15612" stopIfTrue="1" operator="equal">
      <formula>"Napkin Hs"</formula>
    </cfRule>
    <cfRule type="cellIs" dxfId="26529" priority="15615" stopIfTrue="1" operator="equal">
      <formula>"Towel"</formula>
    </cfRule>
    <cfRule type="cellIs" dxfId="26528" priority="15616" stopIfTrue="1" operator="equal">
      <formula>"Napkin Hs"</formula>
    </cfRule>
    <cfRule type="cellIs" dxfId="26527" priority="15623" stopIfTrue="1" operator="equal">
      <formula>"Towel"</formula>
    </cfRule>
    <cfRule type="cellIs" dxfId="26526" priority="15624" stopIfTrue="1" operator="equal">
      <formula>"Napkin Hs"</formula>
    </cfRule>
  </conditionalFormatting>
  <conditionalFormatting sqref="C47:C48">
    <cfRule type="cellIs" dxfId="26525" priority="15565" stopIfTrue="1" operator="equal">
      <formula>"Towel"</formula>
    </cfRule>
    <cfRule type="cellIs" dxfId="26524" priority="15566" stopIfTrue="1" operator="equal">
      <formula>"Napkin Hs"</formula>
    </cfRule>
    <cfRule type="cellIs" dxfId="26523" priority="15567" stopIfTrue="1" operator="equal">
      <formula>"Towel"</formula>
    </cfRule>
    <cfRule type="cellIs" dxfId="26522" priority="15568" stopIfTrue="1" operator="equal">
      <formula>"Napkin Hs"</formula>
    </cfRule>
    <cfRule type="cellIs" dxfId="26521" priority="15571" stopIfTrue="1" operator="equal">
      <formula>"Towel"</formula>
    </cfRule>
    <cfRule type="cellIs" dxfId="26520" priority="15572" stopIfTrue="1" operator="equal">
      <formula>"Napkin Hs"</formula>
    </cfRule>
    <cfRule type="cellIs" dxfId="26519" priority="15573" stopIfTrue="1" operator="equal">
      <formula>"Towel"</formula>
    </cfRule>
    <cfRule type="cellIs" dxfId="26518" priority="15574" stopIfTrue="1" operator="equal">
      <formula>"Napkin Hs"</formula>
    </cfRule>
    <cfRule type="cellIs" dxfId="26517" priority="15577" stopIfTrue="1" operator="equal">
      <formula>"Towel"</formula>
    </cfRule>
    <cfRule type="cellIs" dxfId="26516" priority="15578" stopIfTrue="1" operator="equal">
      <formula>"Napkin Hs"</formula>
    </cfRule>
    <cfRule type="cellIs" dxfId="26515" priority="15579" stopIfTrue="1" operator="equal">
      <formula>"Towel"</formula>
    </cfRule>
    <cfRule type="cellIs" dxfId="26514" priority="15580" stopIfTrue="1" operator="equal">
      <formula>"Napkin Hs"</formula>
    </cfRule>
    <cfRule type="cellIs" dxfId="26513" priority="15583" stopIfTrue="1" operator="equal">
      <formula>"Towel"</formula>
    </cfRule>
    <cfRule type="cellIs" dxfId="26512" priority="15584" stopIfTrue="1" operator="equal">
      <formula>"Napkin Hs"</formula>
    </cfRule>
    <cfRule type="cellIs" dxfId="26511" priority="15585" stopIfTrue="1" operator="equal">
      <formula>"Towel"</formula>
    </cfRule>
    <cfRule type="cellIs" dxfId="26510" priority="15586" stopIfTrue="1" operator="equal">
      <formula>"Napkin Hs"</formula>
    </cfRule>
    <cfRule type="cellIs" dxfId="26509" priority="15589" stopIfTrue="1" operator="equal">
      <formula>"Towel"</formula>
    </cfRule>
    <cfRule type="cellIs" dxfId="26508" priority="15590" stopIfTrue="1" operator="equal">
      <formula>"Napkin Hs"</formula>
    </cfRule>
    <cfRule type="cellIs" dxfId="26507" priority="15591" stopIfTrue="1" operator="equal">
      <formula>"Towel"</formula>
    </cfRule>
    <cfRule type="cellIs" dxfId="26506" priority="15592" stopIfTrue="1" operator="equal">
      <formula>"Napkin Hs"</formula>
    </cfRule>
    <cfRule type="cellIs" dxfId="26505" priority="15595" stopIfTrue="1" operator="equal">
      <formula>"Towel"</formula>
    </cfRule>
    <cfRule type="cellIs" dxfId="26504" priority="15596" stopIfTrue="1" operator="equal">
      <formula>"Napkin Hs"</formula>
    </cfRule>
    <cfRule type="cellIs" dxfId="26503" priority="15597" stopIfTrue="1" operator="equal">
      <formula>"Towel"</formula>
    </cfRule>
    <cfRule type="cellIs" dxfId="26502" priority="15598" stopIfTrue="1" operator="equal">
      <formula>"Napkin Hs"</formula>
    </cfRule>
    <cfRule type="cellIs" dxfId="26501" priority="15601" stopIfTrue="1" operator="equal">
      <formula>"Towel"</formula>
    </cfRule>
    <cfRule type="cellIs" dxfId="26500" priority="15602" stopIfTrue="1" operator="equal">
      <formula>"Napkin Hs"</formula>
    </cfRule>
  </conditionalFormatting>
  <conditionalFormatting sqref="C47:C48">
    <cfRule type="cellIs" dxfId="26499" priority="15603" stopIfTrue="1" operator="equal">
      <formula>"Towel"</formula>
    </cfRule>
    <cfRule type="cellIs" dxfId="26498" priority="15604" stopIfTrue="1" operator="equal">
      <formula>"Napkin Hs"</formula>
    </cfRule>
  </conditionalFormatting>
  <conditionalFormatting sqref="B47:C47">
    <cfRule type="cellIs" dxfId="26497" priority="15563" stopIfTrue="1" operator="equal">
      <formula>"Towel"</formula>
    </cfRule>
    <cfRule type="cellIs" dxfId="26496" priority="15564" stopIfTrue="1" operator="equal">
      <formula>"Napkin Hs"</formula>
    </cfRule>
  </conditionalFormatting>
  <conditionalFormatting sqref="B47:C47">
    <cfRule type="cellIs" dxfId="26495" priority="15527" stopIfTrue="1" operator="equal">
      <formula>"Towel"</formula>
    </cfRule>
    <cfRule type="cellIs" dxfId="26494" priority="15528" stopIfTrue="1" operator="equal">
      <formula>"Napkin Hs"</formula>
    </cfRule>
    <cfRule type="cellIs" dxfId="26493" priority="15533" stopIfTrue="1" operator="equal">
      <formula>"Towel"</formula>
    </cfRule>
    <cfRule type="cellIs" dxfId="26492" priority="15534" stopIfTrue="1" operator="equal">
      <formula>"Napkin Hs"</formula>
    </cfRule>
    <cfRule type="cellIs" dxfId="26491" priority="15539" stopIfTrue="1" operator="equal">
      <formula>"Towel"</formula>
    </cfRule>
    <cfRule type="cellIs" dxfId="26490" priority="15540" stopIfTrue="1" operator="equal">
      <formula>"Napkin Hs"</formula>
    </cfRule>
    <cfRule type="cellIs" dxfId="26489" priority="15545" stopIfTrue="1" operator="equal">
      <formula>"Towel"</formula>
    </cfRule>
    <cfRule type="cellIs" dxfId="26488" priority="15546" stopIfTrue="1" operator="equal">
      <formula>"Napkin Hs"</formula>
    </cfRule>
    <cfRule type="cellIs" dxfId="26487" priority="15551" stopIfTrue="1" operator="equal">
      <formula>"Towel"</formula>
    </cfRule>
    <cfRule type="cellIs" dxfId="26486" priority="15552" stopIfTrue="1" operator="equal">
      <formula>"Napkin Hs"</formula>
    </cfRule>
    <cfRule type="cellIs" dxfId="26485" priority="15557" stopIfTrue="1" operator="equal">
      <formula>"Towel"</formula>
    </cfRule>
    <cfRule type="cellIs" dxfId="26484" priority="15558" stopIfTrue="1" operator="equal">
      <formula>"Napkin Hs"</formula>
    </cfRule>
  </conditionalFormatting>
  <conditionalFormatting sqref="B48:C48">
    <cfRule type="cellIs" dxfId="26483" priority="15487" stopIfTrue="1" operator="equal">
      <formula>"Towel"</formula>
    </cfRule>
    <cfRule type="cellIs" dxfId="26482" priority="15488" stopIfTrue="1" operator="equal">
      <formula>"Napkin Hs"</formula>
    </cfRule>
    <cfRule type="cellIs" dxfId="26481" priority="15493" stopIfTrue="1" operator="equal">
      <formula>"Towel"</formula>
    </cfRule>
    <cfRule type="cellIs" dxfId="26480" priority="15494" stopIfTrue="1" operator="equal">
      <formula>"Napkin Hs"</formula>
    </cfRule>
    <cfRule type="cellIs" dxfId="26479" priority="15499" stopIfTrue="1" operator="equal">
      <formula>"Towel"</formula>
    </cfRule>
    <cfRule type="cellIs" dxfId="26478" priority="15500" stopIfTrue="1" operator="equal">
      <formula>"Napkin Hs"</formula>
    </cfRule>
    <cfRule type="cellIs" dxfId="26477" priority="15505" stopIfTrue="1" operator="equal">
      <formula>"Towel"</formula>
    </cfRule>
    <cfRule type="cellIs" dxfId="26476" priority="15506" stopIfTrue="1" operator="equal">
      <formula>"Napkin Hs"</formula>
    </cfRule>
    <cfRule type="cellIs" dxfId="26475" priority="15511" stopIfTrue="1" operator="equal">
      <formula>"Towel"</formula>
    </cfRule>
    <cfRule type="cellIs" dxfId="26474" priority="15512" stopIfTrue="1" operator="equal">
      <formula>"Napkin Hs"</formula>
    </cfRule>
    <cfRule type="cellIs" dxfId="26473" priority="15517" stopIfTrue="1" operator="equal">
      <formula>"Towel"</formula>
    </cfRule>
    <cfRule type="cellIs" dxfId="26472" priority="15518" stopIfTrue="1" operator="equal">
      <formula>"Napkin Hs"</formula>
    </cfRule>
    <cfRule type="cellIs" dxfId="26471" priority="15523" stopIfTrue="1" operator="equal">
      <formula>"Towel"</formula>
    </cfRule>
    <cfRule type="cellIs" dxfId="26470" priority="15524" stopIfTrue="1" operator="equal">
      <formula>"Napkin Hs"</formula>
    </cfRule>
  </conditionalFormatting>
  <conditionalFormatting sqref="C47">
    <cfRule type="cellIs" dxfId="26469" priority="15562" stopIfTrue="1" operator="equal">
      <formula>"Napkin Hs"</formula>
    </cfRule>
  </conditionalFormatting>
  <conditionalFormatting sqref="C47">
    <cfRule type="cellIs" dxfId="26468" priority="15561" stopIfTrue="1" operator="equal">
      <formula>"Towel"</formula>
    </cfRule>
  </conditionalFormatting>
  <conditionalFormatting sqref="C47">
    <cfRule type="cellIs" dxfId="26467" priority="15555" stopIfTrue="1" operator="equal">
      <formula>"Towel"</formula>
    </cfRule>
    <cfRule type="cellIs" dxfId="26466" priority="15556" stopIfTrue="1" operator="equal">
      <formula>"Napkin Hs"</formula>
    </cfRule>
  </conditionalFormatting>
  <conditionalFormatting sqref="C47">
    <cfRule type="cellIs" dxfId="26465" priority="15553" stopIfTrue="1" operator="equal">
      <formula>"Towel"</formula>
    </cfRule>
    <cfRule type="cellIs" dxfId="26464" priority="15554" stopIfTrue="1" operator="equal">
      <formula>"Napkin Hs"</formula>
    </cfRule>
    <cfRule type="cellIs" dxfId="26463" priority="15559" stopIfTrue="1" operator="equal">
      <formula>"Towel"</formula>
    </cfRule>
    <cfRule type="cellIs" dxfId="26462" priority="15560" stopIfTrue="1" operator="equal">
      <formula>"Napkin Hs"</formula>
    </cfRule>
  </conditionalFormatting>
  <conditionalFormatting sqref="C47">
    <cfRule type="cellIs" dxfId="26461" priority="15525" stopIfTrue="1" operator="equal">
      <formula>"Towel"</formula>
    </cfRule>
    <cfRule type="cellIs" dxfId="26460" priority="15526" stopIfTrue="1" operator="equal">
      <formula>"Napkin Hs"</formula>
    </cfRule>
    <cfRule type="cellIs" dxfId="26459" priority="15529" stopIfTrue="1" operator="equal">
      <formula>"Towel"</formula>
    </cfRule>
    <cfRule type="cellIs" dxfId="26458" priority="15530" stopIfTrue="1" operator="equal">
      <formula>"Napkin Hs"</formula>
    </cfRule>
    <cfRule type="cellIs" dxfId="26457" priority="15531" stopIfTrue="1" operator="equal">
      <formula>"Towel"</formula>
    </cfRule>
    <cfRule type="cellIs" dxfId="26456" priority="15532" stopIfTrue="1" operator="equal">
      <formula>"Napkin Hs"</formula>
    </cfRule>
    <cfRule type="cellIs" dxfId="26455" priority="15535" stopIfTrue="1" operator="equal">
      <formula>"Towel"</formula>
    </cfRule>
    <cfRule type="cellIs" dxfId="26454" priority="15536" stopIfTrue="1" operator="equal">
      <formula>"Napkin Hs"</formula>
    </cfRule>
    <cfRule type="cellIs" dxfId="26453" priority="15537" stopIfTrue="1" operator="equal">
      <formula>"Towel"</formula>
    </cfRule>
    <cfRule type="cellIs" dxfId="26452" priority="15538" stopIfTrue="1" operator="equal">
      <formula>"Napkin Hs"</formula>
    </cfRule>
    <cfRule type="cellIs" dxfId="26451" priority="15541" stopIfTrue="1" operator="equal">
      <formula>"Towel"</formula>
    </cfRule>
    <cfRule type="cellIs" dxfId="26450" priority="15542" stopIfTrue="1" operator="equal">
      <formula>"Napkin Hs"</formula>
    </cfRule>
    <cfRule type="cellIs" dxfId="26449" priority="15543" stopIfTrue="1" operator="equal">
      <formula>"Towel"</formula>
    </cfRule>
    <cfRule type="cellIs" dxfId="26448" priority="15544" stopIfTrue="1" operator="equal">
      <formula>"Napkin Hs"</formula>
    </cfRule>
    <cfRule type="cellIs" dxfId="26447" priority="15547" stopIfTrue="1" operator="equal">
      <formula>"Towel"</formula>
    </cfRule>
    <cfRule type="cellIs" dxfId="26446" priority="15548" stopIfTrue="1" operator="equal">
      <formula>"Napkin Hs"</formula>
    </cfRule>
    <cfRule type="cellIs" dxfId="26445" priority="15549" stopIfTrue="1" operator="equal">
      <formula>"Towel"</formula>
    </cfRule>
    <cfRule type="cellIs" dxfId="26444" priority="15550" stopIfTrue="1" operator="equal">
      <formula>"Napkin Hs"</formula>
    </cfRule>
  </conditionalFormatting>
  <conditionalFormatting sqref="C47:C48">
    <cfRule type="cellIs" dxfId="26443" priority="15521" stopIfTrue="1" operator="equal">
      <formula>"Towel"</formula>
    </cfRule>
    <cfRule type="cellIs" dxfId="26442" priority="15522" stopIfTrue="1" operator="equal">
      <formula>"Napkin Hs"</formula>
    </cfRule>
  </conditionalFormatting>
  <conditionalFormatting sqref="C48">
    <cfRule type="cellIs" dxfId="26441" priority="15483" stopIfTrue="1" operator="equal">
      <formula>"Towel"</formula>
    </cfRule>
    <cfRule type="cellIs" dxfId="26440" priority="15484" stopIfTrue="1" operator="equal">
      <formula>"Napkin Hs"</formula>
    </cfRule>
    <cfRule type="cellIs" dxfId="26439" priority="15485" stopIfTrue="1" operator="equal">
      <formula>"Towel"</formula>
    </cfRule>
    <cfRule type="cellIs" dxfId="26438" priority="15486" stopIfTrue="1" operator="equal">
      <formula>"Napkin Hs"</formula>
    </cfRule>
    <cfRule type="cellIs" dxfId="26437" priority="15489" stopIfTrue="1" operator="equal">
      <formula>"Towel"</formula>
    </cfRule>
    <cfRule type="cellIs" dxfId="26436" priority="15490" stopIfTrue="1" operator="equal">
      <formula>"Napkin Hs"</formula>
    </cfRule>
    <cfRule type="cellIs" dxfId="26435" priority="15491" stopIfTrue="1" operator="equal">
      <formula>"Towel"</formula>
    </cfRule>
    <cfRule type="cellIs" dxfId="26434" priority="15492" stopIfTrue="1" operator="equal">
      <formula>"Napkin Hs"</formula>
    </cfRule>
    <cfRule type="cellIs" dxfId="26433" priority="15495" stopIfTrue="1" operator="equal">
      <formula>"Towel"</formula>
    </cfRule>
    <cfRule type="cellIs" dxfId="26432" priority="15496" stopIfTrue="1" operator="equal">
      <formula>"Napkin Hs"</formula>
    </cfRule>
    <cfRule type="cellIs" dxfId="26431" priority="15497" stopIfTrue="1" operator="equal">
      <formula>"Towel"</formula>
    </cfRule>
    <cfRule type="cellIs" dxfId="26430" priority="15498" stopIfTrue="1" operator="equal">
      <formula>"Napkin Hs"</formula>
    </cfRule>
    <cfRule type="cellIs" dxfId="26429" priority="15501" stopIfTrue="1" operator="equal">
      <formula>"Towel"</formula>
    </cfRule>
    <cfRule type="cellIs" dxfId="26428" priority="15502" stopIfTrue="1" operator="equal">
      <formula>"Napkin Hs"</formula>
    </cfRule>
    <cfRule type="cellIs" dxfId="26427" priority="15503" stopIfTrue="1" operator="equal">
      <formula>"Towel"</formula>
    </cfRule>
    <cfRule type="cellIs" dxfId="26426" priority="15504" stopIfTrue="1" operator="equal">
      <formula>"Napkin Hs"</formula>
    </cfRule>
    <cfRule type="cellIs" dxfId="26425" priority="15507" stopIfTrue="1" operator="equal">
      <formula>"Towel"</formula>
    </cfRule>
    <cfRule type="cellIs" dxfId="26424" priority="15508" stopIfTrue="1" operator="equal">
      <formula>"Napkin Hs"</formula>
    </cfRule>
    <cfRule type="cellIs" dxfId="26423" priority="15509" stopIfTrue="1" operator="equal">
      <formula>"Towel"</formula>
    </cfRule>
    <cfRule type="cellIs" dxfId="26422" priority="15510" stopIfTrue="1" operator="equal">
      <formula>"Napkin Hs"</formula>
    </cfRule>
    <cfRule type="cellIs" dxfId="26421" priority="15513" stopIfTrue="1" operator="equal">
      <formula>"Towel"</formula>
    </cfRule>
    <cfRule type="cellIs" dxfId="26420" priority="15514" stopIfTrue="1" operator="equal">
      <formula>"Napkin Hs"</formula>
    </cfRule>
    <cfRule type="cellIs" dxfId="26419" priority="15515" stopIfTrue="1" operator="equal">
      <formula>"Towel"</formula>
    </cfRule>
    <cfRule type="cellIs" dxfId="26418" priority="15516" stopIfTrue="1" operator="equal">
      <formula>"Napkin Hs"</formula>
    </cfRule>
    <cfRule type="cellIs" dxfId="26417" priority="15519" stopIfTrue="1" operator="equal">
      <formula>"Towel"</formula>
    </cfRule>
    <cfRule type="cellIs" dxfId="26416" priority="15520" stopIfTrue="1" operator="equal">
      <formula>"Napkin Hs"</formula>
    </cfRule>
  </conditionalFormatting>
  <conditionalFormatting sqref="C47">
    <cfRule type="cellIs" dxfId="26415" priority="15451" stopIfTrue="1" operator="equal">
      <formula>"Towel"</formula>
    </cfRule>
    <cfRule type="cellIs" dxfId="26414" priority="15452" stopIfTrue="1" operator="equal">
      <formula>"Napkin Hs"</formula>
    </cfRule>
    <cfRule type="cellIs" dxfId="26413" priority="15465" stopIfTrue="1" operator="equal">
      <formula>"Towel"</formula>
    </cfRule>
    <cfRule type="cellIs" dxfId="26412" priority="15466" stopIfTrue="1" operator="equal">
      <formula>"Napkin Hs"</formula>
    </cfRule>
    <cfRule type="cellIs" dxfId="26411" priority="15471" stopIfTrue="1" operator="equal">
      <formula>"Towel"</formula>
    </cfRule>
    <cfRule type="cellIs" dxfId="26410" priority="15472" stopIfTrue="1" operator="equal">
      <formula>"Napkin Hs"</formula>
    </cfRule>
    <cfRule type="cellIs" dxfId="26409" priority="15481" stopIfTrue="1" operator="equal">
      <formula>"Towel"</formula>
    </cfRule>
    <cfRule type="cellIs" dxfId="26408" priority="15482" stopIfTrue="1" operator="equal">
      <formula>"Napkin Hs"</formula>
    </cfRule>
  </conditionalFormatting>
  <conditionalFormatting sqref="B48:C48">
    <cfRule type="cellIs" dxfId="26407" priority="15455" stopIfTrue="1" operator="equal">
      <formula>"Towel"</formula>
    </cfRule>
    <cfRule type="cellIs" dxfId="26406" priority="15456" stopIfTrue="1" operator="equal">
      <formula>"Napkin Hs"</formula>
    </cfRule>
    <cfRule type="cellIs" dxfId="26405" priority="15461" stopIfTrue="1" operator="equal">
      <formula>"Towel"</formula>
    </cfRule>
    <cfRule type="cellIs" dxfId="26404" priority="15462" stopIfTrue="1" operator="equal">
      <formula>"Napkin Hs"</formula>
    </cfRule>
    <cfRule type="cellIs" dxfId="26403" priority="15477" stopIfTrue="1" operator="equal">
      <formula>"Towel"</formula>
    </cfRule>
    <cfRule type="cellIs" dxfId="26402" priority="15478" stopIfTrue="1" operator="equal">
      <formula>"Napkin Hs"</formula>
    </cfRule>
  </conditionalFormatting>
  <conditionalFormatting sqref="C47">
    <cfRule type="cellIs" dxfId="26401" priority="15469" stopIfTrue="1" operator="equal">
      <formula>"Towel"</formula>
    </cfRule>
    <cfRule type="cellIs" dxfId="26400" priority="15470" stopIfTrue="1" operator="equal">
      <formula>"Napkin Hs"</formula>
    </cfRule>
    <cfRule type="cellIs" dxfId="26399" priority="15479" stopIfTrue="1" operator="equal">
      <formula>"Towel"</formula>
    </cfRule>
    <cfRule type="cellIs" dxfId="26398" priority="15480" stopIfTrue="1" operator="equal">
      <formula>"Napkin Hs"</formula>
    </cfRule>
  </conditionalFormatting>
  <conditionalFormatting sqref="C47">
    <cfRule type="cellIs" dxfId="26397" priority="15447" stopIfTrue="1" operator="equal">
      <formula>"Towel"</formula>
    </cfRule>
    <cfRule type="cellIs" dxfId="26396" priority="15448" stopIfTrue="1" operator="equal">
      <formula>"Napkin Hs"</formula>
    </cfRule>
    <cfRule type="cellIs" dxfId="26395" priority="15463" stopIfTrue="1" operator="equal">
      <formula>"Towel"</formula>
    </cfRule>
    <cfRule type="cellIs" dxfId="26394" priority="15464" stopIfTrue="1" operator="equal">
      <formula>"Napkin Hs"</formula>
    </cfRule>
    <cfRule type="cellIs" dxfId="26393" priority="15467" stopIfTrue="1" operator="equal">
      <formula>"Towel"</formula>
    </cfRule>
    <cfRule type="cellIs" dxfId="26392" priority="15468" stopIfTrue="1" operator="equal">
      <formula>"Napkin Hs"</formula>
    </cfRule>
  </conditionalFormatting>
  <conditionalFormatting sqref="C47:C48">
    <cfRule type="cellIs" dxfId="26391" priority="15449" stopIfTrue="1" operator="equal">
      <formula>"Towel"</formula>
    </cfRule>
    <cfRule type="cellIs" dxfId="26390" priority="15450" stopIfTrue="1" operator="equal">
      <formula>"Napkin Hs"</formula>
    </cfRule>
    <cfRule type="cellIs" dxfId="26389" priority="15459" stopIfTrue="1" operator="equal">
      <formula>"Towel"</formula>
    </cfRule>
    <cfRule type="cellIs" dxfId="26388" priority="15460" stopIfTrue="1" operator="equal">
      <formula>"Napkin Hs"</formula>
    </cfRule>
    <cfRule type="cellIs" dxfId="26387" priority="15475" stopIfTrue="1" operator="equal">
      <formula>"Towel"</formula>
    </cfRule>
    <cfRule type="cellIs" dxfId="26386" priority="15476" stopIfTrue="1" operator="equal">
      <formula>"Napkin Hs"</formula>
    </cfRule>
  </conditionalFormatting>
  <conditionalFormatting sqref="C48">
    <cfRule type="cellIs" dxfId="26385" priority="15453" stopIfTrue="1" operator="equal">
      <formula>"Towel"</formula>
    </cfRule>
    <cfRule type="cellIs" dxfId="26384" priority="15454" stopIfTrue="1" operator="equal">
      <formula>"Napkin Hs"</formula>
    </cfRule>
    <cfRule type="cellIs" dxfId="26383" priority="15473" stopIfTrue="1" operator="equal">
      <formula>"Towel"</formula>
    </cfRule>
    <cfRule type="cellIs" dxfId="26382" priority="15474" stopIfTrue="1" operator="equal">
      <formula>"Napkin Hs"</formula>
    </cfRule>
  </conditionalFormatting>
  <conditionalFormatting sqref="C48">
    <cfRule type="cellIs" dxfId="26381" priority="15457" stopIfTrue="1" operator="equal">
      <formula>"Towel"</formula>
    </cfRule>
    <cfRule type="cellIs" dxfId="26380" priority="15458" stopIfTrue="1" operator="equal">
      <formula>"Napkin Hs"</formula>
    </cfRule>
  </conditionalFormatting>
  <conditionalFormatting sqref="B48:C48">
    <cfRule type="cellIs" dxfId="26379" priority="15445" stopIfTrue="1" operator="equal">
      <formula>"Towel"</formula>
    </cfRule>
    <cfRule type="cellIs" dxfId="26378" priority="15446" stopIfTrue="1" operator="equal">
      <formula>"Napkin Hs"</formula>
    </cfRule>
  </conditionalFormatting>
  <conditionalFormatting sqref="B48:C48">
    <cfRule type="cellIs" dxfId="26377" priority="15439" stopIfTrue="1" operator="equal">
      <formula>"Towel"</formula>
    </cfRule>
    <cfRule type="cellIs" dxfId="26376" priority="15440" stopIfTrue="1" operator="equal">
      <formula>"Napkin Hs"</formula>
    </cfRule>
  </conditionalFormatting>
  <conditionalFormatting sqref="C48">
    <cfRule type="cellIs" dxfId="26375" priority="15444" stopIfTrue="1" operator="equal">
      <formula>"Napkin Hs"</formula>
    </cfRule>
  </conditionalFormatting>
  <conditionalFormatting sqref="C48">
    <cfRule type="cellIs" dxfId="26374" priority="15441" stopIfTrue="1" operator="equal">
      <formula>"Towel"</formula>
    </cfRule>
    <cfRule type="cellIs" dxfId="26373" priority="15442" stopIfTrue="1" operator="equal">
      <formula>"Napkin Hs"</formula>
    </cfRule>
  </conditionalFormatting>
  <conditionalFormatting sqref="C48">
    <cfRule type="cellIs" dxfId="26372" priority="15435" stopIfTrue="1" operator="equal">
      <formula>"Towel"</formula>
    </cfRule>
    <cfRule type="cellIs" dxfId="26371" priority="15436" stopIfTrue="1" operator="equal">
      <formula>"Napkin Hs"</formula>
    </cfRule>
  </conditionalFormatting>
  <conditionalFormatting sqref="C48">
    <cfRule type="cellIs" dxfId="26370" priority="15437" stopIfTrue="1" operator="equal">
      <formula>"Towel"</formula>
    </cfRule>
    <cfRule type="cellIs" dxfId="26369" priority="15438" stopIfTrue="1" operator="equal">
      <formula>"Napkin Hs"</formula>
    </cfRule>
  </conditionalFormatting>
  <conditionalFormatting sqref="C48">
    <cfRule type="cellIs" dxfId="26368" priority="15443" stopIfTrue="1" operator="equal">
      <formula>"Towel"</formula>
    </cfRule>
  </conditionalFormatting>
  <conditionalFormatting sqref="B48:C48">
    <cfRule type="cellIs" dxfId="26367" priority="15433" stopIfTrue="1" operator="equal">
      <formula>"Towel"</formula>
    </cfRule>
    <cfRule type="cellIs" dxfId="26366" priority="15434" stopIfTrue="1" operator="equal">
      <formula>"Napkin Hs"</formula>
    </cfRule>
  </conditionalFormatting>
  <conditionalFormatting sqref="C48">
    <cfRule type="cellIs" dxfId="26365" priority="15429" stopIfTrue="1" operator="equal">
      <formula>"Towel"</formula>
    </cfRule>
    <cfRule type="cellIs" dxfId="26364" priority="15430" stopIfTrue="1" operator="equal">
      <formula>"Napkin Hs"</formula>
    </cfRule>
  </conditionalFormatting>
  <conditionalFormatting sqref="C48">
    <cfRule type="cellIs" dxfId="26363" priority="15431" stopIfTrue="1" operator="equal">
      <formula>"Towel"</formula>
    </cfRule>
    <cfRule type="cellIs" dxfId="26362" priority="15432" stopIfTrue="1" operator="equal">
      <formula>"Napkin Hs"</formula>
    </cfRule>
  </conditionalFormatting>
  <conditionalFormatting sqref="B48:C48">
    <cfRule type="cellIs" dxfId="26361" priority="15425" stopIfTrue="1" operator="equal">
      <formula>"Towel"</formula>
    </cfRule>
    <cfRule type="cellIs" dxfId="26360" priority="15426" stopIfTrue="1" operator="equal">
      <formula>"Napkin Hs"</formula>
    </cfRule>
  </conditionalFormatting>
  <conditionalFormatting sqref="C48">
    <cfRule type="cellIs" dxfId="26359" priority="15427" stopIfTrue="1" operator="equal">
      <formula>"Towel"</formula>
    </cfRule>
    <cfRule type="cellIs" dxfId="26358" priority="15428" stopIfTrue="1" operator="equal">
      <formula>"Napkin Hs"</formula>
    </cfRule>
  </conditionalFormatting>
  <conditionalFormatting sqref="C48">
    <cfRule type="cellIs" dxfId="26357" priority="15421" stopIfTrue="1" operator="equal">
      <formula>"Towel"</formula>
    </cfRule>
    <cfRule type="cellIs" dxfId="26356" priority="15422" stopIfTrue="1" operator="equal">
      <formula>"Napkin Hs"</formula>
    </cfRule>
  </conditionalFormatting>
  <conditionalFormatting sqref="C48">
    <cfRule type="cellIs" dxfId="26355" priority="15423" stopIfTrue="1" operator="equal">
      <formula>"Towel"</formula>
    </cfRule>
    <cfRule type="cellIs" dxfId="26354" priority="15424" stopIfTrue="1" operator="equal">
      <formula>"Napkin Hs"</formula>
    </cfRule>
  </conditionalFormatting>
  <conditionalFormatting sqref="B48:C48">
    <cfRule type="cellIs" dxfId="26353" priority="15419" stopIfTrue="1" operator="equal">
      <formula>"Towel"</formula>
    </cfRule>
    <cfRule type="cellIs" dxfId="26352" priority="15420" stopIfTrue="1" operator="equal">
      <formula>"Napkin Hs"</formula>
    </cfRule>
  </conditionalFormatting>
  <conditionalFormatting sqref="C48">
    <cfRule type="cellIs" dxfId="26351" priority="15418" stopIfTrue="1" operator="equal">
      <formula>"Napkin Hs"</formula>
    </cfRule>
  </conditionalFormatting>
  <conditionalFormatting sqref="C48">
    <cfRule type="cellIs" dxfId="26350" priority="15417" stopIfTrue="1" operator="equal">
      <formula>"Towel"</formula>
    </cfRule>
  </conditionalFormatting>
  <conditionalFormatting sqref="C47">
    <cfRule type="cellIs" dxfId="26349" priority="15415" stopIfTrue="1" operator="equal">
      <formula>"Towel"</formula>
    </cfRule>
    <cfRule type="cellIs" dxfId="26348" priority="15416" stopIfTrue="1" operator="equal">
      <formula>"Napkin Hs"</formula>
    </cfRule>
  </conditionalFormatting>
  <conditionalFormatting sqref="C47">
    <cfRule type="cellIs" dxfId="26347" priority="15411" stopIfTrue="1" operator="equal">
      <formula>"Towel"</formula>
    </cfRule>
    <cfRule type="cellIs" dxfId="26346" priority="15412" stopIfTrue="1" operator="equal">
      <formula>"Napkin Hs"</formula>
    </cfRule>
  </conditionalFormatting>
  <conditionalFormatting sqref="C47">
    <cfRule type="cellIs" dxfId="26345" priority="15413" stopIfTrue="1" operator="equal">
      <formula>"Towel"</formula>
    </cfRule>
    <cfRule type="cellIs" dxfId="26344" priority="15414" stopIfTrue="1" operator="equal">
      <formula>"Napkin Hs"</formula>
    </cfRule>
  </conditionalFormatting>
  <conditionalFormatting sqref="C47">
    <cfRule type="cellIs" dxfId="26343" priority="15409" stopIfTrue="1" operator="equal">
      <formula>"Towel"</formula>
    </cfRule>
    <cfRule type="cellIs" dxfId="26342" priority="15410" stopIfTrue="1" operator="equal">
      <formula>"Napkin Hs"</formula>
    </cfRule>
  </conditionalFormatting>
  <conditionalFormatting sqref="C47">
    <cfRule type="cellIs" dxfId="26341" priority="15405" stopIfTrue="1" operator="equal">
      <formula>"Towel"</formula>
    </cfRule>
    <cfRule type="cellIs" dxfId="26340" priority="15406" stopIfTrue="1" operator="equal">
      <formula>"Napkin Hs"</formula>
    </cfRule>
  </conditionalFormatting>
  <conditionalFormatting sqref="C47">
    <cfRule type="cellIs" dxfId="26339" priority="15407" stopIfTrue="1" operator="equal">
      <formula>"Towel"</formula>
    </cfRule>
    <cfRule type="cellIs" dxfId="26338" priority="15408" stopIfTrue="1" operator="equal">
      <formula>"Napkin Hs"</formula>
    </cfRule>
  </conditionalFormatting>
  <conditionalFormatting sqref="C47">
    <cfRule type="cellIs" dxfId="26337" priority="15403" stopIfTrue="1" operator="equal">
      <formula>"Towel"</formula>
    </cfRule>
    <cfRule type="cellIs" dxfId="26336" priority="15404" stopIfTrue="1" operator="equal">
      <formula>"Napkin Hs"</formula>
    </cfRule>
  </conditionalFormatting>
  <conditionalFormatting sqref="C47">
    <cfRule type="cellIs" dxfId="26335" priority="15399" stopIfTrue="1" operator="equal">
      <formula>"Towel"</formula>
    </cfRule>
    <cfRule type="cellIs" dxfId="26334" priority="15400" stopIfTrue="1" operator="equal">
      <formula>"Napkin Hs"</formula>
    </cfRule>
  </conditionalFormatting>
  <conditionalFormatting sqref="C47">
    <cfRule type="cellIs" dxfId="26333" priority="15401" stopIfTrue="1" operator="equal">
      <formula>"Towel"</formula>
    </cfRule>
    <cfRule type="cellIs" dxfId="26332" priority="15402" stopIfTrue="1" operator="equal">
      <formula>"Napkin Hs"</formula>
    </cfRule>
  </conditionalFormatting>
  <conditionalFormatting sqref="C47">
    <cfRule type="cellIs" dxfId="26331" priority="15397" stopIfTrue="1" operator="equal">
      <formula>"Towel"</formula>
    </cfRule>
    <cfRule type="cellIs" dxfId="26330" priority="15398" stopIfTrue="1" operator="equal">
      <formula>"Napkin Hs"</formula>
    </cfRule>
  </conditionalFormatting>
  <conditionalFormatting sqref="C47">
    <cfRule type="cellIs" dxfId="26329" priority="15395" stopIfTrue="1" operator="equal">
      <formula>"Towel"</formula>
    </cfRule>
    <cfRule type="cellIs" dxfId="26328" priority="15396" stopIfTrue="1" operator="equal">
      <formula>"Napkin Hs"</formula>
    </cfRule>
  </conditionalFormatting>
  <conditionalFormatting sqref="C47">
    <cfRule type="cellIs" dxfId="26327" priority="15393" stopIfTrue="1" operator="equal">
      <formula>"Towel"</formula>
    </cfRule>
    <cfRule type="cellIs" dxfId="26326" priority="15394" stopIfTrue="1" operator="equal">
      <formula>"Napkin Hs"</formula>
    </cfRule>
  </conditionalFormatting>
  <conditionalFormatting sqref="C47">
    <cfRule type="cellIs" dxfId="26325" priority="15391" stopIfTrue="1" operator="equal">
      <formula>"Towel"</formula>
    </cfRule>
    <cfRule type="cellIs" dxfId="26324" priority="15392" stopIfTrue="1" operator="equal">
      <formula>"Napkin Hs"</formula>
    </cfRule>
  </conditionalFormatting>
  <conditionalFormatting sqref="C47">
    <cfRule type="cellIs" dxfId="26323" priority="15390" stopIfTrue="1" operator="equal">
      <formula>"Napkin Hs"</formula>
    </cfRule>
  </conditionalFormatting>
  <conditionalFormatting sqref="C47">
    <cfRule type="cellIs" dxfId="26322" priority="15387" stopIfTrue="1" operator="equal">
      <formula>"Towel"</formula>
    </cfRule>
    <cfRule type="cellIs" dxfId="26321" priority="15388" stopIfTrue="1" operator="equal">
      <formula>"Napkin Hs"</formula>
    </cfRule>
  </conditionalFormatting>
  <conditionalFormatting sqref="C47">
    <cfRule type="cellIs" dxfId="26320" priority="15389" stopIfTrue="1" operator="equal">
      <formula>"Towel"</formula>
    </cfRule>
  </conditionalFormatting>
  <conditionalFormatting sqref="B47">
    <cfRule type="cellIs" dxfId="26319" priority="15385" stopIfTrue="1" operator="equal">
      <formula>"Towel"</formula>
    </cfRule>
    <cfRule type="cellIs" dxfId="26318" priority="15386" stopIfTrue="1" operator="equal">
      <formula>"Napkin Hs"</formula>
    </cfRule>
  </conditionalFormatting>
  <conditionalFormatting sqref="B47">
    <cfRule type="cellIs" dxfId="26317" priority="15383" stopIfTrue="1" operator="equal">
      <formula>"Towel"</formula>
    </cfRule>
    <cfRule type="cellIs" dxfId="26316" priority="15384" stopIfTrue="1" operator="equal">
      <formula>"Napkin Hs"</formula>
    </cfRule>
  </conditionalFormatting>
  <conditionalFormatting sqref="B47">
    <cfRule type="cellIs" dxfId="26315" priority="15381" stopIfTrue="1" operator="equal">
      <formula>"Towel"</formula>
    </cfRule>
    <cfRule type="cellIs" dxfId="26314" priority="15382" stopIfTrue="1" operator="equal">
      <formula>"Napkin Hs"</formula>
    </cfRule>
  </conditionalFormatting>
  <conditionalFormatting sqref="B47">
    <cfRule type="cellIs" dxfId="26313" priority="15379" stopIfTrue="1" operator="equal">
      <formula>"Towel"</formula>
    </cfRule>
    <cfRule type="cellIs" dxfId="26312" priority="15380" stopIfTrue="1" operator="equal">
      <formula>"Napkin Hs"</formula>
    </cfRule>
  </conditionalFormatting>
  <conditionalFormatting sqref="B47">
    <cfRule type="cellIs" dxfId="26311" priority="15377" stopIfTrue="1" operator="equal">
      <formula>"Towel"</formula>
    </cfRule>
    <cfRule type="cellIs" dxfId="26310" priority="15378" stopIfTrue="1" operator="equal">
      <formula>"Napkin Hs"</formula>
    </cfRule>
  </conditionalFormatting>
  <conditionalFormatting sqref="B46:C46 B47">
    <cfRule type="cellIs" dxfId="26309" priority="15375" stopIfTrue="1" operator="equal">
      <formula>"Towel"</formula>
    </cfRule>
    <cfRule type="cellIs" dxfId="26308" priority="15376" stopIfTrue="1" operator="equal">
      <formula>"Napkin Hs"</formula>
    </cfRule>
  </conditionalFormatting>
  <conditionalFormatting sqref="B46:C46 B47">
    <cfRule type="cellIs" dxfId="26307" priority="15367" stopIfTrue="1" operator="equal">
      <formula>"Towel"</formula>
    </cfRule>
    <cfRule type="cellIs" dxfId="26306" priority="15368" stopIfTrue="1" operator="equal">
      <formula>"Napkin Hs"</formula>
    </cfRule>
    <cfRule type="cellIs" dxfId="26305" priority="15373" stopIfTrue="1" operator="equal">
      <formula>"Towel"</formula>
    </cfRule>
    <cfRule type="cellIs" dxfId="26304" priority="15374" stopIfTrue="1" operator="equal">
      <formula>"Napkin Hs"</formula>
    </cfRule>
  </conditionalFormatting>
  <conditionalFormatting sqref="C46">
    <cfRule type="cellIs" dxfId="26303" priority="15363" stopIfTrue="1" operator="equal">
      <formula>"Towel"</formula>
    </cfRule>
    <cfRule type="cellIs" dxfId="26302" priority="15364" stopIfTrue="1" operator="equal">
      <formula>"Napkin Hs"</formula>
    </cfRule>
  </conditionalFormatting>
  <conditionalFormatting sqref="C46">
    <cfRule type="cellIs" dxfId="26301" priority="15361" stopIfTrue="1" operator="equal">
      <formula>"Towel"</formula>
    </cfRule>
    <cfRule type="cellIs" dxfId="26300" priority="15362" stopIfTrue="1" operator="equal">
      <formula>"Napkin Hs"</formula>
    </cfRule>
    <cfRule type="cellIs" dxfId="26299" priority="15371" stopIfTrue="1" operator="equal">
      <formula>"Towel"</formula>
    </cfRule>
    <cfRule type="cellIs" dxfId="26298" priority="15372" stopIfTrue="1" operator="equal">
      <formula>"Napkin Hs"</formula>
    </cfRule>
  </conditionalFormatting>
  <conditionalFormatting sqref="C46">
    <cfRule type="cellIs" dxfId="26297" priority="15365" stopIfTrue="1" operator="equal">
      <formula>"Towel"</formula>
    </cfRule>
    <cfRule type="cellIs" dxfId="26296" priority="15366" stopIfTrue="1" operator="equal">
      <formula>"Napkin Hs"</formula>
    </cfRule>
    <cfRule type="cellIs" dxfId="26295" priority="15369" stopIfTrue="1" operator="equal">
      <formula>"Towel"</formula>
    </cfRule>
    <cfRule type="cellIs" dxfId="26294" priority="15370" stopIfTrue="1" operator="equal">
      <formula>"Napkin Hs"</formula>
    </cfRule>
  </conditionalFormatting>
  <conditionalFormatting sqref="C46">
    <cfRule type="cellIs" dxfId="26293" priority="15360" stopIfTrue="1" operator="equal">
      <formula>"Napkin Hs"</formula>
    </cfRule>
  </conditionalFormatting>
  <conditionalFormatting sqref="C46">
    <cfRule type="cellIs" dxfId="26292" priority="15359" stopIfTrue="1" operator="equal">
      <formula>"Towel"</formula>
    </cfRule>
  </conditionalFormatting>
  <conditionalFormatting sqref="C46">
    <cfRule type="cellIs" dxfId="26291" priority="15355" stopIfTrue="1" operator="equal">
      <formula>"Towel"</formula>
    </cfRule>
    <cfRule type="cellIs" dxfId="26290" priority="15356" stopIfTrue="1" operator="equal">
      <formula>"Napkin Hs"</formula>
    </cfRule>
    <cfRule type="cellIs" dxfId="26289" priority="15357" stopIfTrue="1" operator="equal">
      <formula>"Towel"</formula>
    </cfRule>
    <cfRule type="cellIs" dxfId="26288" priority="15358" stopIfTrue="1" operator="equal">
      <formula>"Napkin Hs"</formula>
    </cfRule>
  </conditionalFormatting>
  <conditionalFormatting sqref="B46:C46 B47">
    <cfRule type="cellIs" dxfId="26287" priority="15353" stopIfTrue="1" operator="equal">
      <formula>"Towel"</formula>
    </cfRule>
    <cfRule type="cellIs" dxfId="26286" priority="15354" stopIfTrue="1" operator="equal">
      <formula>"Napkin Hs"</formula>
    </cfRule>
  </conditionalFormatting>
  <conditionalFormatting sqref="C46">
    <cfRule type="cellIs" dxfId="26285" priority="15349" stopIfTrue="1" operator="equal">
      <formula>"Towel"</formula>
    </cfRule>
    <cfRule type="cellIs" dxfId="26284" priority="15350" stopIfTrue="1" operator="equal">
      <formula>"Napkin Hs"</formula>
    </cfRule>
  </conditionalFormatting>
  <conditionalFormatting sqref="C46">
    <cfRule type="cellIs" dxfId="26283" priority="15351" stopIfTrue="1" operator="equal">
      <formula>"Towel"</formula>
    </cfRule>
    <cfRule type="cellIs" dxfId="26282" priority="15352" stopIfTrue="1" operator="equal">
      <formula>"Napkin Hs"</formula>
    </cfRule>
  </conditionalFormatting>
  <conditionalFormatting sqref="B46:C46 B47">
    <cfRule type="cellIs" dxfId="26281" priority="15347" stopIfTrue="1" operator="equal">
      <formula>"Towel"</formula>
    </cfRule>
    <cfRule type="cellIs" dxfId="26280" priority="15348" stopIfTrue="1" operator="equal">
      <formula>"Napkin Hs"</formula>
    </cfRule>
  </conditionalFormatting>
  <conditionalFormatting sqref="C46">
    <cfRule type="cellIs" dxfId="26279" priority="15343" stopIfTrue="1" operator="equal">
      <formula>"Towel"</formula>
    </cfRule>
    <cfRule type="cellIs" dxfId="26278" priority="15344" stopIfTrue="1" operator="equal">
      <formula>"Napkin Hs"</formula>
    </cfRule>
  </conditionalFormatting>
  <conditionalFormatting sqref="C46">
    <cfRule type="cellIs" dxfId="26277" priority="15345" stopIfTrue="1" operator="equal">
      <formula>"Towel"</formula>
    </cfRule>
    <cfRule type="cellIs" dxfId="26276" priority="15346" stopIfTrue="1" operator="equal">
      <formula>"Napkin Hs"</formula>
    </cfRule>
  </conditionalFormatting>
  <conditionalFormatting sqref="B46:C46 B47">
    <cfRule type="cellIs" dxfId="26275" priority="15341" stopIfTrue="1" operator="equal">
      <formula>"Towel"</formula>
    </cfRule>
    <cfRule type="cellIs" dxfId="26274" priority="15342" stopIfTrue="1" operator="equal">
      <formula>"Napkin Hs"</formula>
    </cfRule>
  </conditionalFormatting>
  <conditionalFormatting sqref="C46">
    <cfRule type="cellIs" dxfId="26273" priority="15337" stopIfTrue="1" operator="equal">
      <formula>"Towel"</formula>
    </cfRule>
    <cfRule type="cellIs" dxfId="26272" priority="15338" stopIfTrue="1" operator="equal">
      <formula>"Napkin Hs"</formula>
    </cfRule>
  </conditionalFormatting>
  <conditionalFormatting sqref="C46">
    <cfRule type="cellIs" dxfId="26271" priority="15339" stopIfTrue="1" operator="equal">
      <formula>"Towel"</formula>
    </cfRule>
    <cfRule type="cellIs" dxfId="26270" priority="15340" stopIfTrue="1" operator="equal">
      <formula>"Napkin Hs"</formula>
    </cfRule>
  </conditionalFormatting>
  <conditionalFormatting sqref="B46:C46 B47">
    <cfRule type="cellIs" dxfId="26269" priority="15335" stopIfTrue="1" operator="equal">
      <formula>"Towel"</formula>
    </cfRule>
    <cfRule type="cellIs" dxfId="26268" priority="15336" stopIfTrue="1" operator="equal">
      <formula>"Napkin Hs"</formula>
    </cfRule>
  </conditionalFormatting>
  <conditionalFormatting sqref="C46">
    <cfRule type="cellIs" dxfId="26267" priority="15333" stopIfTrue="1" operator="equal">
      <formula>"Towel"</formula>
    </cfRule>
    <cfRule type="cellIs" dxfId="26266" priority="15334" stopIfTrue="1" operator="equal">
      <formula>"Napkin Hs"</formula>
    </cfRule>
  </conditionalFormatting>
  <conditionalFormatting sqref="C46">
    <cfRule type="cellIs" dxfId="26265" priority="15331" stopIfTrue="1" operator="equal">
      <formula>"Towel"</formula>
    </cfRule>
    <cfRule type="cellIs" dxfId="26264" priority="15332" stopIfTrue="1" operator="equal">
      <formula>"Napkin Hs"</formula>
    </cfRule>
  </conditionalFormatting>
  <conditionalFormatting sqref="B46:C46 B47">
    <cfRule type="cellIs" dxfId="26263" priority="15329" stopIfTrue="1" operator="equal">
      <formula>"Towel"</formula>
    </cfRule>
    <cfRule type="cellIs" dxfId="26262" priority="15330" stopIfTrue="1" operator="equal">
      <formula>"Napkin Hs"</formula>
    </cfRule>
  </conditionalFormatting>
  <conditionalFormatting sqref="C46">
    <cfRule type="cellIs" dxfId="26261" priority="15328" stopIfTrue="1" operator="equal">
      <formula>"Napkin Hs"</formula>
    </cfRule>
  </conditionalFormatting>
  <conditionalFormatting sqref="C46">
    <cfRule type="cellIs" dxfId="26260" priority="15325" stopIfTrue="1" operator="equal">
      <formula>"Towel"</formula>
    </cfRule>
    <cfRule type="cellIs" dxfId="26259" priority="15326" stopIfTrue="1" operator="equal">
      <formula>"Napkin Hs"</formula>
    </cfRule>
  </conditionalFormatting>
  <conditionalFormatting sqref="C46">
    <cfRule type="cellIs" dxfId="26258" priority="15327" stopIfTrue="1" operator="equal">
      <formula>"Towel"</formula>
    </cfRule>
  </conditionalFormatting>
  <conditionalFormatting sqref="B45:C47">
    <cfRule type="cellIs" dxfId="26257" priority="15311" stopIfTrue="1" operator="equal">
      <formula>"Towel"</formula>
    </cfRule>
    <cfRule type="cellIs" dxfId="26256" priority="15312" stopIfTrue="1" operator="equal">
      <formula>"Napkin Hs"</formula>
    </cfRule>
    <cfRule type="cellIs" dxfId="26255" priority="15317" stopIfTrue="1" operator="equal">
      <formula>"Towel"</formula>
    </cfRule>
    <cfRule type="cellIs" dxfId="26254" priority="15318" stopIfTrue="1" operator="equal">
      <formula>"Napkin Hs"</formula>
    </cfRule>
    <cfRule type="cellIs" dxfId="26253" priority="15323" stopIfTrue="1" operator="equal">
      <formula>"Towel"</formula>
    </cfRule>
    <cfRule type="cellIs" dxfId="26252" priority="15324" stopIfTrue="1" operator="equal">
      <formula>"Napkin Hs"</formula>
    </cfRule>
  </conditionalFormatting>
  <conditionalFormatting sqref="C45:C47">
    <cfRule type="cellIs" dxfId="26251" priority="15305" stopIfTrue="1" operator="equal">
      <formula>"Towel"</formula>
    </cfRule>
    <cfRule type="cellIs" dxfId="26250" priority="15306" stopIfTrue="1" operator="equal">
      <formula>"Napkin Hs"</formula>
    </cfRule>
    <cfRule type="cellIs" dxfId="26249" priority="15307" stopIfTrue="1" operator="equal">
      <formula>"Towel"</formula>
    </cfRule>
    <cfRule type="cellIs" dxfId="26248" priority="15308" stopIfTrue="1" operator="equal">
      <formula>"Napkin Hs"</formula>
    </cfRule>
    <cfRule type="cellIs" dxfId="26247" priority="15315" stopIfTrue="1" operator="equal">
      <formula>"Towel"</formula>
    </cfRule>
    <cfRule type="cellIs" dxfId="26246" priority="15316" stopIfTrue="1" operator="equal">
      <formula>"Napkin Hs"</formula>
    </cfRule>
    <cfRule type="cellIs" dxfId="26245" priority="15319" stopIfTrue="1" operator="equal">
      <formula>"Towel"</formula>
    </cfRule>
    <cfRule type="cellIs" dxfId="26244" priority="15320" stopIfTrue="1" operator="equal">
      <formula>"Napkin Hs"</formula>
    </cfRule>
  </conditionalFormatting>
  <conditionalFormatting sqref="C45:C47">
    <cfRule type="cellIs" dxfId="26243" priority="15309" stopIfTrue="1" operator="equal">
      <formula>"Towel"</formula>
    </cfRule>
    <cfRule type="cellIs" dxfId="26242" priority="15310" stopIfTrue="1" operator="equal">
      <formula>"Napkin Hs"</formula>
    </cfRule>
    <cfRule type="cellIs" dxfId="26241" priority="15313" stopIfTrue="1" operator="equal">
      <formula>"Towel"</formula>
    </cfRule>
    <cfRule type="cellIs" dxfId="26240" priority="15314" stopIfTrue="1" operator="equal">
      <formula>"Napkin Hs"</formula>
    </cfRule>
    <cfRule type="cellIs" dxfId="26239" priority="15321" stopIfTrue="1" operator="equal">
      <formula>"Towel"</formula>
    </cfRule>
    <cfRule type="cellIs" dxfId="26238" priority="15322" stopIfTrue="1" operator="equal">
      <formula>"Napkin Hs"</formula>
    </cfRule>
  </conditionalFormatting>
  <conditionalFormatting sqref="B45:C47">
    <cfRule type="cellIs" dxfId="26237" priority="15303" stopIfTrue="1" operator="equal">
      <formula>"Towel"</formula>
    </cfRule>
    <cfRule type="cellIs" dxfId="26236" priority="15304" stopIfTrue="1" operator="equal">
      <formula>"Napkin Hs"</formula>
    </cfRule>
  </conditionalFormatting>
  <conditionalFormatting sqref="B45:C47">
    <cfRule type="cellIs" dxfId="26235" priority="15295" stopIfTrue="1" operator="equal">
      <formula>"Towel"</formula>
    </cfRule>
    <cfRule type="cellIs" dxfId="26234" priority="15296" stopIfTrue="1" operator="equal">
      <formula>"Napkin Hs"</formula>
    </cfRule>
    <cfRule type="cellIs" dxfId="26233" priority="15301" stopIfTrue="1" operator="equal">
      <formula>"Towel"</formula>
    </cfRule>
    <cfRule type="cellIs" dxfId="26232" priority="15302" stopIfTrue="1" operator="equal">
      <formula>"Napkin Hs"</formula>
    </cfRule>
  </conditionalFormatting>
  <conditionalFormatting sqref="C45:C47">
    <cfRule type="cellIs" dxfId="26231" priority="15291" stopIfTrue="1" operator="equal">
      <formula>"Towel"</formula>
    </cfRule>
    <cfRule type="cellIs" dxfId="26230" priority="15292" stopIfTrue="1" operator="equal">
      <formula>"Napkin Hs"</formula>
    </cfRule>
  </conditionalFormatting>
  <conditionalFormatting sqref="C45:C47">
    <cfRule type="cellIs" dxfId="26229" priority="15289" stopIfTrue="1" operator="equal">
      <formula>"Towel"</formula>
    </cfRule>
    <cfRule type="cellIs" dxfId="26228" priority="15290" stopIfTrue="1" operator="equal">
      <formula>"Napkin Hs"</formula>
    </cfRule>
    <cfRule type="cellIs" dxfId="26227" priority="15299" stopIfTrue="1" operator="equal">
      <formula>"Towel"</formula>
    </cfRule>
    <cfRule type="cellIs" dxfId="26226" priority="15300" stopIfTrue="1" operator="equal">
      <formula>"Napkin Hs"</formula>
    </cfRule>
  </conditionalFormatting>
  <conditionalFormatting sqref="C45:C47">
    <cfRule type="cellIs" dxfId="26225" priority="15293" stopIfTrue="1" operator="equal">
      <formula>"Towel"</formula>
    </cfRule>
    <cfRule type="cellIs" dxfId="26224" priority="15294" stopIfTrue="1" operator="equal">
      <formula>"Napkin Hs"</formula>
    </cfRule>
    <cfRule type="cellIs" dxfId="26223" priority="15297" stopIfTrue="1" operator="equal">
      <formula>"Towel"</formula>
    </cfRule>
    <cfRule type="cellIs" dxfId="26222" priority="15298" stopIfTrue="1" operator="equal">
      <formula>"Napkin Hs"</formula>
    </cfRule>
  </conditionalFormatting>
  <conditionalFormatting sqref="C45:C47">
    <cfRule type="cellIs" dxfId="26221" priority="15288" stopIfTrue="1" operator="equal">
      <formula>"Napkin Hs"</formula>
    </cfRule>
  </conditionalFormatting>
  <conditionalFormatting sqref="C45:C47">
    <cfRule type="cellIs" dxfId="26220" priority="15287" stopIfTrue="1" operator="equal">
      <formula>"Towel"</formula>
    </cfRule>
  </conditionalFormatting>
  <conditionalFormatting sqref="C45:C47">
    <cfRule type="cellIs" dxfId="26219" priority="15283" stopIfTrue="1" operator="equal">
      <formula>"Towel"</formula>
    </cfRule>
    <cfRule type="cellIs" dxfId="26218" priority="15284" stopIfTrue="1" operator="equal">
      <formula>"Napkin Hs"</formula>
    </cfRule>
    <cfRule type="cellIs" dxfId="26217" priority="15285" stopIfTrue="1" operator="equal">
      <formula>"Towel"</formula>
    </cfRule>
    <cfRule type="cellIs" dxfId="26216" priority="15286" stopIfTrue="1" operator="equal">
      <formula>"Napkin Hs"</formula>
    </cfRule>
  </conditionalFormatting>
  <conditionalFormatting sqref="B45:C47">
    <cfRule type="cellIs" dxfId="26215" priority="15281" stopIfTrue="1" operator="equal">
      <formula>"Towel"</formula>
    </cfRule>
    <cfRule type="cellIs" dxfId="26214" priority="15282" stopIfTrue="1" operator="equal">
      <formula>"Napkin Hs"</formula>
    </cfRule>
  </conditionalFormatting>
  <conditionalFormatting sqref="C45:C47">
    <cfRule type="cellIs" dxfId="26213" priority="15277" stopIfTrue="1" operator="equal">
      <formula>"Towel"</formula>
    </cfRule>
    <cfRule type="cellIs" dxfId="26212" priority="15278" stopIfTrue="1" operator="equal">
      <formula>"Napkin Hs"</formula>
    </cfRule>
  </conditionalFormatting>
  <conditionalFormatting sqref="C45:C47">
    <cfRule type="cellIs" dxfId="26211" priority="15279" stopIfTrue="1" operator="equal">
      <formula>"Towel"</formula>
    </cfRule>
    <cfRule type="cellIs" dxfId="26210" priority="15280" stopIfTrue="1" operator="equal">
      <formula>"Napkin Hs"</formula>
    </cfRule>
  </conditionalFormatting>
  <conditionalFormatting sqref="B45:C47">
    <cfRule type="cellIs" dxfId="26209" priority="15275" stopIfTrue="1" operator="equal">
      <formula>"Towel"</formula>
    </cfRule>
    <cfRule type="cellIs" dxfId="26208" priority="15276" stopIfTrue="1" operator="equal">
      <formula>"Napkin Hs"</formula>
    </cfRule>
  </conditionalFormatting>
  <conditionalFormatting sqref="C45:C47">
    <cfRule type="cellIs" dxfId="26207" priority="15271" stopIfTrue="1" operator="equal">
      <formula>"Towel"</formula>
    </cfRule>
    <cfRule type="cellIs" dxfId="26206" priority="15272" stopIfTrue="1" operator="equal">
      <formula>"Napkin Hs"</formula>
    </cfRule>
  </conditionalFormatting>
  <conditionalFormatting sqref="C45:C47">
    <cfRule type="cellIs" dxfId="26205" priority="15273" stopIfTrue="1" operator="equal">
      <formula>"Towel"</formula>
    </cfRule>
    <cfRule type="cellIs" dxfId="26204" priority="15274" stopIfTrue="1" operator="equal">
      <formula>"Napkin Hs"</formula>
    </cfRule>
  </conditionalFormatting>
  <conditionalFormatting sqref="B45:C47">
    <cfRule type="cellIs" dxfId="26203" priority="15269" stopIfTrue="1" operator="equal">
      <formula>"Towel"</formula>
    </cfRule>
    <cfRule type="cellIs" dxfId="26202" priority="15270" stopIfTrue="1" operator="equal">
      <formula>"Napkin Hs"</formula>
    </cfRule>
  </conditionalFormatting>
  <conditionalFormatting sqref="C45:C47">
    <cfRule type="cellIs" dxfId="26201" priority="15265" stopIfTrue="1" operator="equal">
      <formula>"Towel"</formula>
    </cfRule>
    <cfRule type="cellIs" dxfId="26200" priority="15266" stopIfTrue="1" operator="equal">
      <formula>"Napkin Hs"</formula>
    </cfRule>
  </conditionalFormatting>
  <conditionalFormatting sqref="C45:C47">
    <cfRule type="cellIs" dxfId="26199" priority="15267" stopIfTrue="1" operator="equal">
      <formula>"Towel"</formula>
    </cfRule>
    <cfRule type="cellIs" dxfId="26198" priority="15268" stopIfTrue="1" operator="equal">
      <formula>"Napkin Hs"</formula>
    </cfRule>
  </conditionalFormatting>
  <conditionalFormatting sqref="B45:C47">
    <cfRule type="cellIs" dxfId="26197" priority="15263" stopIfTrue="1" operator="equal">
      <formula>"Towel"</formula>
    </cfRule>
    <cfRule type="cellIs" dxfId="26196" priority="15264" stopIfTrue="1" operator="equal">
      <formula>"Napkin Hs"</formula>
    </cfRule>
  </conditionalFormatting>
  <conditionalFormatting sqref="C45:C47">
    <cfRule type="cellIs" dxfId="26195" priority="15261" stopIfTrue="1" operator="equal">
      <formula>"Towel"</formula>
    </cfRule>
    <cfRule type="cellIs" dxfId="26194" priority="15262" stopIfTrue="1" operator="equal">
      <formula>"Napkin Hs"</formula>
    </cfRule>
  </conditionalFormatting>
  <conditionalFormatting sqref="C45:C47">
    <cfRule type="cellIs" dxfId="26193" priority="15259" stopIfTrue="1" operator="equal">
      <formula>"Towel"</formula>
    </cfRule>
    <cfRule type="cellIs" dxfId="26192" priority="15260" stopIfTrue="1" operator="equal">
      <formula>"Napkin Hs"</formula>
    </cfRule>
  </conditionalFormatting>
  <conditionalFormatting sqref="B45:C47">
    <cfRule type="cellIs" dxfId="26191" priority="15257" stopIfTrue="1" operator="equal">
      <formula>"Towel"</formula>
    </cfRule>
    <cfRule type="cellIs" dxfId="26190" priority="15258" stopIfTrue="1" operator="equal">
      <formula>"Napkin Hs"</formula>
    </cfRule>
  </conditionalFormatting>
  <conditionalFormatting sqref="C45:C47">
    <cfRule type="cellIs" dxfId="26189" priority="15256" stopIfTrue="1" operator="equal">
      <formula>"Napkin Hs"</formula>
    </cfRule>
  </conditionalFormatting>
  <conditionalFormatting sqref="C45:C47">
    <cfRule type="cellIs" dxfId="26188" priority="15253" stopIfTrue="1" operator="equal">
      <formula>"Towel"</formula>
    </cfRule>
    <cfRule type="cellIs" dxfId="26187" priority="15254" stopIfTrue="1" operator="equal">
      <formula>"Napkin Hs"</formula>
    </cfRule>
  </conditionalFormatting>
  <conditionalFormatting sqref="C45:C47">
    <cfRule type="cellIs" dxfId="26186" priority="15255" stopIfTrue="1" operator="equal">
      <formula>"Towel"</formula>
    </cfRule>
  </conditionalFormatting>
  <conditionalFormatting sqref="B51:C51 B52">
    <cfRule type="cellIs" dxfId="26185" priority="15161" stopIfTrue="1" operator="equal">
      <formula>"Towel"</formula>
    </cfRule>
    <cfRule type="cellIs" dxfId="26184" priority="15162" stopIfTrue="1" operator="equal">
      <formula>"Napkin Hs"</formula>
    </cfRule>
    <cfRule type="cellIs" dxfId="26183" priority="15167" stopIfTrue="1" operator="equal">
      <formula>"Towel"</formula>
    </cfRule>
    <cfRule type="cellIs" dxfId="26182" priority="15168" stopIfTrue="1" operator="equal">
      <formula>"Napkin Hs"</formula>
    </cfRule>
    <cfRule type="cellIs" dxfId="26181" priority="15173" stopIfTrue="1" operator="equal">
      <formula>"Towel"</formula>
    </cfRule>
    <cfRule type="cellIs" dxfId="26180" priority="15174" stopIfTrue="1" operator="equal">
      <formula>"Napkin Hs"</formula>
    </cfRule>
  </conditionalFormatting>
  <conditionalFormatting sqref="B52:C53">
    <cfRule type="cellIs" dxfId="26179" priority="15117" stopIfTrue="1" operator="equal">
      <formula>"Towel"</formula>
    </cfRule>
    <cfRule type="cellIs" dxfId="26178" priority="15118" stopIfTrue="1" operator="equal">
      <formula>"Napkin Hs"</formula>
    </cfRule>
    <cfRule type="cellIs" dxfId="26177" priority="15123" stopIfTrue="1" operator="equal">
      <formula>"Towel"</formula>
    </cfRule>
    <cfRule type="cellIs" dxfId="26176" priority="15124" stopIfTrue="1" operator="equal">
      <formula>"Napkin Hs"</formula>
    </cfRule>
    <cfRule type="cellIs" dxfId="26175" priority="15129" stopIfTrue="1" operator="equal">
      <formula>"Towel"</formula>
    </cfRule>
    <cfRule type="cellIs" dxfId="26174" priority="15130" stopIfTrue="1" operator="equal">
      <formula>"Napkin Hs"</formula>
    </cfRule>
    <cfRule type="cellIs" dxfId="26173" priority="15135" stopIfTrue="1" operator="equal">
      <formula>"Towel"</formula>
    </cfRule>
    <cfRule type="cellIs" dxfId="26172" priority="15136" stopIfTrue="1" operator="equal">
      <formula>"Napkin Hs"</formula>
    </cfRule>
    <cfRule type="cellIs" dxfId="26171" priority="15141" stopIfTrue="1" operator="equal">
      <formula>"Towel"</formula>
    </cfRule>
    <cfRule type="cellIs" dxfId="26170" priority="15142" stopIfTrue="1" operator="equal">
      <formula>"Napkin Hs"</formula>
    </cfRule>
    <cfRule type="cellIs" dxfId="26169" priority="15147" stopIfTrue="1" operator="equal">
      <formula>"Towel"</formula>
    </cfRule>
    <cfRule type="cellIs" dxfId="26168" priority="15148" stopIfTrue="1" operator="equal">
      <formula>"Napkin Hs"</formula>
    </cfRule>
    <cfRule type="cellIs" dxfId="26167" priority="15153" stopIfTrue="1" operator="equal">
      <formula>"Towel"</formula>
    </cfRule>
    <cfRule type="cellIs" dxfId="26166" priority="15154" stopIfTrue="1" operator="equal">
      <formula>"Napkin Hs"</formula>
    </cfRule>
  </conditionalFormatting>
  <conditionalFormatting sqref="C51">
    <cfRule type="cellIs" dxfId="26165" priority="15155" stopIfTrue="1" operator="equal">
      <formula>"Towel"</formula>
    </cfRule>
    <cfRule type="cellIs" dxfId="26164" priority="15156" stopIfTrue="1" operator="equal">
      <formula>"Napkin Hs"</formula>
    </cfRule>
    <cfRule type="cellIs" dxfId="26163" priority="15157" stopIfTrue="1" operator="equal">
      <formula>"Towel"</formula>
    </cfRule>
    <cfRule type="cellIs" dxfId="26162" priority="15158" stopIfTrue="1" operator="equal">
      <formula>"Napkin Hs"</formula>
    </cfRule>
    <cfRule type="cellIs" dxfId="26161" priority="15165" stopIfTrue="1" operator="equal">
      <formula>"Towel"</formula>
    </cfRule>
    <cfRule type="cellIs" dxfId="26160" priority="15166" stopIfTrue="1" operator="equal">
      <formula>"Napkin Hs"</formula>
    </cfRule>
    <cfRule type="cellIs" dxfId="26159" priority="15169" stopIfTrue="1" operator="equal">
      <formula>"Towel"</formula>
    </cfRule>
    <cfRule type="cellIs" dxfId="26158" priority="15170" stopIfTrue="1" operator="equal">
      <formula>"Napkin Hs"</formula>
    </cfRule>
  </conditionalFormatting>
  <conditionalFormatting sqref="C51">
    <cfRule type="cellIs" dxfId="26157" priority="15159" stopIfTrue="1" operator="equal">
      <formula>"Towel"</formula>
    </cfRule>
    <cfRule type="cellIs" dxfId="26156" priority="15160" stopIfTrue="1" operator="equal">
      <formula>"Napkin Hs"</formula>
    </cfRule>
    <cfRule type="cellIs" dxfId="26155" priority="15163" stopIfTrue="1" operator="equal">
      <formula>"Towel"</formula>
    </cfRule>
    <cfRule type="cellIs" dxfId="26154" priority="15164" stopIfTrue="1" operator="equal">
      <formula>"Napkin Hs"</formula>
    </cfRule>
    <cfRule type="cellIs" dxfId="26153" priority="15171" stopIfTrue="1" operator="equal">
      <formula>"Towel"</formula>
    </cfRule>
    <cfRule type="cellIs" dxfId="26152" priority="15172" stopIfTrue="1" operator="equal">
      <formula>"Napkin Hs"</formula>
    </cfRule>
  </conditionalFormatting>
  <conditionalFormatting sqref="C52:C53">
    <cfRule type="cellIs" dxfId="26151" priority="15113" stopIfTrue="1" operator="equal">
      <formula>"Towel"</formula>
    </cfRule>
    <cfRule type="cellIs" dxfId="26150" priority="15114" stopIfTrue="1" operator="equal">
      <formula>"Napkin Hs"</formula>
    </cfRule>
    <cfRule type="cellIs" dxfId="26149" priority="15115" stopIfTrue="1" operator="equal">
      <formula>"Towel"</formula>
    </cfRule>
    <cfRule type="cellIs" dxfId="26148" priority="15116" stopIfTrue="1" operator="equal">
      <formula>"Napkin Hs"</formula>
    </cfRule>
    <cfRule type="cellIs" dxfId="26147" priority="15119" stopIfTrue="1" operator="equal">
      <formula>"Towel"</formula>
    </cfRule>
    <cfRule type="cellIs" dxfId="26146" priority="15120" stopIfTrue="1" operator="equal">
      <formula>"Napkin Hs"</formula>
    </cfRule>
    <cfRule type="cellIs" dxfId="26145" priority="15121" stopIfTrue="1" operator="equal">
      <formula>"Towel"</formula>
    </cfRule>
    <cfRule type="cellIs" dxfId="26144" priority="15122" stopIfTrue="1" operator="equal">
      <formula>"Napkin Hs"</formula>
    </cfRule>
    <cfRule type="cellIs" dxfId="26143" priority="15125" stopIfTrue="1" operator="equal">
      <formula>"Towel"</formula>
    </cfRule>
    <cfRule type="cellIs" dxfId="26142" priority="15126" stopIfTrue="1" operator="equal">
      <formula>"Napkin Hs"</formula>
    </cfRule>
    <cfRule type="cellIs" dxfId="26141" priority="15127" stopIfTrue="1" operator="equal">
      <formula>"Towel"</formula>
    </cfRule>
    <cfRule type="cellIs" dxfId="26140" priority="15128" stopIfTrue="1" operator="equal">
      <formula>"Napkin Hs"</formula>
    </cfRule>
    <cfRule type="cellIs" dxfId="26139" priority="15131" stopIfTrue="1" operator="equal">
      <formula>"Towel"</formula>
    </cfRule>
    <cfRule type="cellIs" dxfId="26138" priority="15132" stopIfTrue="1" operator="equal">
      <formula>"Napkin Hs"</formula>
    </cfRule>
    <cfRule type="cellIs" dxfId="26137" priority="15133" stopIfTrue="1" operator="equal">
      <formula>"Towel"</formula>
    </cfRule>
    <cfRule type="cellIs" dxfId="26136" priority="15134" stopIfTrue="1" operator="equal">
      <formula>"Napkin Hs"</formula>
    </cfRule>
    <cfRule type="cellIs" dxfId="26135" priority="15137" stopIfTrue="1" operator="equal">
      <formula>"Towel"</formula>
    </cfRule>
    <cfRule type="cellIs" dxfId="26134" priority="15138" stopIfTrue="1" operator="equal">
      <formula>"Napkin Hs"</formula>
    </cfRule>
    <cfRule type="cellIs" dxfId="26133" priority="15139" stopIfTrue="1" operator="equal">
      <formula>"Towel"</formula>
    </cfRule>
    <cfRule type="cellIs" dxfId="26132" priority="15140" stopIfTrue="1" operator="equal">
      <formula>"Napkin Hs"</formula>
    </cfRule>
    <cfRule type="cellIs" dxfId="26131" priority="15143" stopIfTrue="1" operator="equal">
      <formula>"Towel"</formula>
    </cfRule>
    <cfRule type="cellIs" dxfId="26130" priority="15144" stopIfTrue="1" operator="equal">
      <formula>"Napkin Hs"</formula>
    </cfRule>
    <cfRule type="cellIs" dxfId="26129" priority="15145" stopIfTrue="1" operator="equal">
      <formula>"Towel"</formula>
    </cfRule>
    <cfRule type="cellIs" dxfId="26128" priority="15146" stopIfTrue="1" operator="equal">
      <formula>"Napkin Hs"</formula>
    </cfRule>
    <cfRule type="cellIs" dxfId="26127" priority="15149" stopIfTrue="1" operator="equal">
      <formula>"Towel"</formula>
    </cfRule>
    <cfRule type="cellIs" dxfId="26126" priority="15150" stopIfTrue="1" operator="equal">
      <formula>"Napkin Hs"</formula>
    </cfRule>
  </conditionalFormatting>
  <conditionalFormatting sqref="C52:C53">
    <cfRule type="cellIs" dxfId="26125" priority="15151" stopIfTrue="1" operator="equal">
      <formula>"Towel"</formula>
    </cfRule>
    <cfRule type="cellIs" dxfId="26124" priority="15152" stopIfTrue="1" operator="equal">
      <formula>"Napkin Hs"</formula>
    </cfRule>
  </conditionalFormatting>
  <conditionalFormatting sqref="B52:C52">
    <cfRule type="cellIs" dxfId="26123" priority="15111" stopIfTrue="1" operator="equal">
      <formula>"Towel"</formula>
    </cfRule>
    <cfRule type="cellIs" dxfId="26122" priority="15112" stopIfTrue="1" operator="equal">
      <formula>"Napkin Hs"</formula>
    </cfRule>
  </conditionalFormatting>
  <conditionalFormatting sqref="B52:C52">
    <cfRule type="cellIs" dxfId="26121" priority="15075" stopIfTrue="1" operator="equal">
      <formula>"Towel"</formula>
    </cfRule>
    <cfRule type="cellIs" dxfId="26120" priority="15076" stopIfTrue="1" operator="equal">
      <formula>"Napkin Hs"</formula>
    </cfRule>
    <cfRule type="cellIs" dxfId="26119" priority="15081" stopIfTrue="1" operator="equal">
      <formula>"Towel"</formula>
    </cfRule>
    <cfRule type="cellIs" dxfId="26118" priority="15082" stopIfTrue="1" operator="equal">
      <formula>"Napkin Hs"</formula>
    </cfRule>
    <cfRule type="cellIs" dxfId="26117" priority="15087" stopIfTrue="1" operator="equal">
      <formula>"Towel"</formula>
    </cfRule>
    <cfRule type="cellIs" dxfId="26116" priority="15088" stopIfTrue="1" operator="equal">
      <formula>"Napkin Hs"</formula>
    </cfRule>
    <cfRule type="cellIs" dxfId="26115" priority="15093" stopIfTrue="1" operator="equal">
      <formula>"Towel"</formula>
    </cfRule>
    <cfRule type="cellIs" dxfId="26114" priority="15094" stopIfTrue="1" operator="equal">
      <formula>"Napkin Hs"</formula>
    </cfRule>
    <cfRule type="cellIs" dxfId="26113" priority="15099" stopIfTrue="1" operator="equal">
      <formula>"Towel"</formula>
    </cfRule>
    <cfRule type="cellIs" dxfId="26112" priority="15100" stopIfTrue="1" operator="equal">
      <formula>"Napkin Hs"</formula>
    </cfRule>
    <cfRule type="cellIs" dxfId="26111" priority="15105" stopIfTrue="1" operator="equal">
      <formula>"Towel"</formula>
    </cfRule>
    <cfRule type="cellIs" dxfId="26110" priority="15106" stopIfTrue="1" operator="equal">
      <formula>"Napkin Hs"</formula>
    </cfRule>
  </conditionalFormatting>
  <conditionalFormatting sqref="B53:C53">
    <cfRule type="cellIs" dxfId="26109" priority="15035" stopIfTrue="1" operator="equal">
      <formula>"Towel"</formula>
    </cfRule>
    <cfRule type="cellIs" dxfId="26108" priority="15036" stopIfTrue="1" operator="equal">
      <formula>"Napkin Hs"</formula>
    </cfRule>
    <cfRule type="cellIs" dxfId="26107" priority="15041" stopIfTrue="1" operator="equal">
      <formula>"Towel"</formula>
    </cfRule>
    <cfRule type="cellIs" dxfId="26106" priority="15042" stopIfTrue="1" operator="equal">
      <formula>"Napkin Hs"</formula>
    </cfRule>
    <cfRule type="cellIs" dxfId="26105" priority="15047" stopIfTrue="1" operator="equal">
      <formula>"Towel"</formula>
    </cfRule>
    <cfRule type="cellIs" dxfId="26104" priority="15048" stopIfTrue="1" operator="equal">
      <formula>"Napkin Hs"</formula>
    </cfRule>
    <cfRule type="cellIs" dxfId="26103" priority="15053" stopIfTrue="1" operator="equal">
      <formula>"Towel"</formula>
    </cfRule>
    <cfRule type="cellIs" dxfId="26102" priority="15054" stopIfTrue="1" operator="equal">
      <formula>"Napkin Hs"</formula>
    </cfRule>
    <cfRule type="cellIs" dxfId="26101" priority="15059" stopIfTrue="1" operator="equal">
      <formula>"Towel"</formula>
    </cfRule>
    <cfRule type="cellIs" dxfId="26100" priority="15060" stopIfTrue="1" operator="equal">
      <formula>"Napkin Hs"</formula>
    </cfRule>
    <cfRule type="cellIs" dxfId="26099" priority="15065" stopIfTrue="1" operator="equal">
      <formula>"Towel"</formula>
    </cfRule>
    <cfRule type="cellIs" dxfId="26098" priority="15066" stopIfTrue="1" operator="equal">
      <formula>"Napkin Hs"</formula>
    </cfRule>
    <cfRule type="cellIs" dxfId="26097" priority="15071" stopIfTrue="1" operator="equal">
      <formula>"Towel"</formula>
    </cfRule>
    <cfRule type="cellIs" dxfId="26096" priority="15072" stopIfTrue="1" operator="equal">
      <formula>"Napkin Hs"</formula>
    </cfRule>
  </conditionalFormatting>
  <conditionalFormatting sqref="C52">
    <cfRule type="cellIs" dxfId="26095" priority="15110" stopIfTrue="1" operator="equal">
      <formula>"Napkin Hs"</formula>
    </cfRule>
  </conditionalFormatting>
  <conditionalFormatting sqref="C52">
    <cfRule type="cellIs" dxfId="26094" priority="15109" stopIfTrue="1" operator="equal">
      <formula>"Towel"</formula>
    </cfRule>
  </conditionalFormatting>
  <conditionalFormatting sqref="C52">
    <cfRule type="cellIs" dxfId="26093" priority="15103" stopIfTrue="1" operator="equal">
      <formula>"Towel"</formula>
    </cfRule>
    <cfRule type="cellIs" dxfId="26092" priority="15104" stopIfTrue="1" operator="equal">
      <formula>"Napkin Hs"</formula>
    </cfRule>
  </conditionalFormatting>
  <conditionalFormatting sqref="C52">
    <cfRule type="cellIs" dxfId="26091" priority="15101" stopIfTrue="1" operator="equal">
      <formula>"Towel"</formula>
    </cfRule>
    <cfRule type="cellIs" dxfId="26090" priority="15102" stopIfTrue="1" operator="equal">
      <formula>"Napkin Hs"</formula>
    </cfRule>
    <cfRule type="cellIs" dxfId="26089" priority="15107" stopIfTrue="1" operator="equal">
      <formula>"Towel"</formula>
    </cfRule>
    <cfRule type="cellIs" dxfId="26088" priority="15108" stopIfTrue="1" operator="equal">
      <formula>"Napkin Hs"</formula>
    </cfRule>
  </conditionalFormatting>
  <conditionalFormatting sqref="C52">
    <cfRule type="cellIs" dxfId="26087" priority="15073" stopIfTrue="1" operator="equal">
      <formula>"Towel"</formula>
    </cfRule>
    <cfRule type="cellIs" dxfId="26086" priority="15074" stopIfTrue="1" operator="equal">
      <formula>"Napkin Hs"</formula>
    </cfRule>
    <cfRule type="cellIs" dxfId="26085" priority="15077" stopIfTrue="1" operator="equal">
      <formula>"Towel"</formula>
    </cfRule>
    <cfRule type="cellIs" dxfId="26084" priority="15078" stopIfTrue="1" operator="equal">
      <formula>"Napkin Hs"</formula>
    </cfRule>
    <cfRule type="cellIs" dxfId="26083" priority="15079" stopIfTrue="1" operator="equal">
      <formula>"Towel"</formula>
    </cfRule>
    <cfRule type="cellIs" dxfId="26082" priority="15080" stopIfTrue="1" operator="equal">
      <formula>"Napkin Hs"</formula>
    </cfRule>
    <cfRule type="cellIs" dxfId="26081" priority="15083" stopIfTrue="1" operator="equal">
      <formula>"Towel"</formula>
    </cfRule>
    <cfRule type="cellIs" dxfId="26080" priority="15084" stopIfTrue="1" operator="equal">
      <formula>"Napkin Hs"</formula>
    </cfRule>
    <cfRule type="cellIs" dxfId="26079" priority="15085" stopIfTrue="1" operator="equal">
      <formula>"Towel"</formula>
    </cfRule>
    <cfRule type="cellIs" dxfId="26078" priority="15086" stopIfTrue="1" operator="equal">
      <formula>"Napkin Hs"</formula>
    </cfRule>
    <cfRule type="cellIs" dxfId="26077" priority="15089" stopIfTrue="1" operator="equal">
      <formula>"Towel"</formula>
    </cfRule>
    <cfRule type="cellIs" dxfId="26076" priority="15090" stopIfTrue="1" operator="equal">
      <formula>"Napkin Hs"</formula>
    </cfRule>
    <cfRule type="cellIs" dxfId="26075" priority="15091" stopIfTrue="1" operator="equal">
      <formula>"Towel"</formula>
    </cfRule>
    <cfRule type="cellIs" dxfId="26074" priority="15092" stopIfTrue="1" operator="equal">
      <formula>"Napkin Hs"</formula>
    </cfRule>
    <cfRule type="cellIs" dxfId="26073" priority="15095" stopIfTrue="1" operator="equal">
      <formula>"Towel"</formula>
    </cfRule>
    <cfRule type="cellIs" dxfId="26072" priority="15096" stopIfTrue="1" operator="equal">
      <formula>"Napkin Hs"</formula>
    </cfRule>
    <cfRule type="cellIs" dxfId="26071" priority="15097" stopIfTrue="1" operator="equal">
      <formula>"Towel"</formula>
    </cfRule>
    <cfRule type="cellIs" dxfId="26070" priority="15098" stopIfTrue="1" operator="equal">
      <formula>"Napkin Hs"</formula>
    </cfRule>
  </conditionalFormatting>
  <conditionalFormatting sqref="C52:C53">
    <cfRule type="cellIs" dxfId="26069" priority="15069" stopIfTrue="1" operator="equal">
      <formula>"Towel"</formula>
    </cfRule>
    <cfRule type="cellIs" dxfId="26068" priority="15070" stopIfTrue="1" operator="equal">
      <formula>"Napkin Hs"</formula>
    </cfRule>
  </conditionalFormatting>
  <conditionalFormatting sqref="C53">
    <cfRule type="cellIs" dxfId="26067" priority="15031" stopIfTrue="1" operator="equal">
      <formula>"Towel"</formula>
    </cfRule>
    <cfRule type="cellIs" dxfId="26066" priority="15032" stopIfTrue="1" operator="equal">
      <formula>"Napkin Hs"</formula>
    </cfRule>
    <cfRule type="cellIs" dxfId="26065" priority="15033" stopIfTrue="1" operator="equal">
      <formula>"Towel"</formula>
    </cfRule>
    <cfRule type="cellIs" dxfId="26064" priority="15034" stopIfTrue="1" operator="equal">
      <formula>"Napkin Hs"</formula>
    </cfRule>
    <cfRule type="cellIs" dxfId="26063" priority="15037" stopIfTrue="1" operator="equal">
      <formula>"Towel"</formula>
    </cfRule>
    <cfRule type="cellIs" dxfId="26062" priority="15038" stopIfTrue="1" operator="equal">
      <formula>"Napkin Hs"</formula>
    </cfRule>
    <cfRule type="cellIs" dxfId="26061" priority="15039" stopIfTrue="1" operator="equal">
      <formula>"Towel"</formula>
    </cfRule>
    <cfRule type="cellIs" dxfId="26060" priority="15040" stopIfTrue="1" operator="equal">
      <formula>"Napkin Hs"</formula>
    </cfRule>
    <cfRule type="cellIs" dxfId="26059" priority="15043" stopIfTrue="1" operator="equal">
      <formula>"Towel"</formula>
    </cfRule>
    <cfRule type="cellIs" dxfId="26058" priority="15044" stopIfTrue="1" operator="equal">
      <formula>"Napkin Hs"</formula>
    </cfRule>
    <cfRule type="cellIs" dxfId="26057" priority="15045" stopIfTrue="1" operator="equal">
      <formula>"Towel"</formula>
    </cfRule>
    <cfRule type="cellIs" dxfId="26056" priority="15046" stopIfTrue="1" operator="equal">
      <formula>"Napkin Hs"</formula>
    </cfRule>
    <cfRule type="cellIs" dxfId="26055" priority="15049" stopIfTrue="1" operator="equal">
      <formula>"Towel"</formula>
    </cfRule>
    <cfRule type="cellIs" dxfId="26054" priority="15050" stopIfTrue="1" operator="equal">
      <formula>"Napkin Hs"</formula>
    </cfRule>
    <cfRule type="cellIs" dxfId="26053" priority="15051" stopIfTrue="1" operator="equal">
      <formula>"Towel"</formula>
    </cfRule>
    <cfRule type="cellIs" dxfId="26052" priority="15052" stopIfTrue="1" operator="equal">
      <formula>"Napkin Hs"</formula>
    </cfRule>
    <cfRule type="cellIs" dxfId="26051" priority="15055" stopIfTrue="1" operator="equal">
      <formula>"Towel"</formula>
    </cfRule>
    <cfRule type="cellIs" dxfId="26050" priority="15056" stopIfTrue="1" operator="equal">
      <formula>"Napkin Hs"</formula>
    </cfRule>
    <cfRule type="cellIs" dxfId="26049" priority="15057" stopIfTrue="1" operator="equal">
      <formula>"Towel"</formula>
    </cfRule>
    <cfRule type="cellIs" dxfId="26048" priority="15058" stopIfTrue="1" operator="equal">
      <formula>"Napkin Hs"</formula>
    </cfRule>
    <cfRule type="cellIs" dxfId="26047" priority="15061" stopIfTrue="1" operator="equal">
      <formula>"Towel"</formula>
    </cfRule>
    <cfRule type="cellIs" dxfId="26046" priority="15062" stopIfTrue="1" operator="equal">
      <formula>"Napkin Hs"</formula>
    </cfRule>
    <cfRule type="cellIs" dxfId="26045" priority="15063" stopIfTrue="1" operator="equal">
      <formula>"Towel"</formula>
    </cfRule>
    <cfRule type="cellIs" dxfId="26044" priority="15064" stopIfTrue="1" operator="equal">
      <formula>"Napkin Hs"</formula>
    </cfRule>
    <cfRule type="cellIs" dxfId="26043" priority="15067" stopIfTrue="1" operator="equal">
      <formula>"Towel"</formula>
    </cfRule>
    <cfRule type="cellIs" dxfId="26042" priority="15068" stopIfTrue="1" operator="equal">
      <formula>"Napkin Hs"</formula>
    </cfRule>
  </conditionalFormatting>
  <conditionalFormatting sqref="C52">
    <cfRule type="cellIs" dxfId="26041" priority="14999" stopIfTrue="1" operator="equal">
      <formula>"Towel"</formula>
    </cfRule>
    <cfRule type="cellIs" dxfId="26040" priority="15000" stopIfTrue="1" operator="equal">
      <formula>"Napkin Hs"</formula>
    </cfRule>
    <cfRule type="cellIs" dxfId="26039" priority="15013" stopIfTrue="1" operator="equal">
      <formula>"Towel"</formula>
    </cfRule>
    <cfRule type="cellIs" dxfId="26038" priority="15014" stopIfTrue="1" operator="equal">
      <formula>"Napkin Hs"</formula>
    </cfRule>
    <cfRule type="cellIs" dxfId="26037" priority="15019" stopIfTrue="1" operator="equal">
      <formula>"Towel"</formula>
    </cfRule>
    <cfRule type="cellIs" dxfId="26036" priority="15020" stopIfTrue="1" operator="equal">
      <formula>"Napkin Hs"</formula>
    </cfRule>
    <cfRule type="cellIs" dxfId="26035" priority="15029" stopIfTrue="1" operator="equal">
      <formula>"Towel"</formula>
    </cfRule>
    <cfRule type="cellIs" dxfId="26034" priority="15030" stopIfTrue="1" operator="equal">
      <formula>"Napkin Hs"</formula>
    </cfRule>
  </conditionalFormatting>
  <conditionalFormatting sqref="B53:C53">
    <cfRule type="cellIs" dxfId="26033" priority="15003" stopIfTrue="1" operator="equal">
      <formula>"Towel"</formula>
    </cfRule>
    <cfRule type="cellIs" dxfId="26032" priority="15004" stopIfTrue="1" operator="equal">
      <formula>"Napkin Hs"</formula>
    </cfRule>
    <cfRule type="cellIs" dxfId="26031" priority="15009" stopIfTrue="1" operator="equal">
      <formula>"Towel"</formula>
    </cfRule>
    <cfRule type="cellIs" dxfId="26030" priority="15010" stopIfTrue="1" operator="equal">
      <formula>"Napkin Hs"</formula>
    </cfRule>
    <cfRule type="cellIs" dxfId="26029" priority="15025" stopIfTrue="1" operator="equal">
      <formula>"Towel"</formula>
    </cfRule>
    <cfRule type="cellIs" dxfId="26028" priority="15026" stopIfTrue="1" operator="equal">
      <formula>"Napkin Hs"</formula>
    </cfRule>
  </conditionalFormatting>
  <conditionalFormatting sqref="C52">
    <cfRule type="cellIs" dxfId="26027" priority="15017" stopIfTrue="1" operator="equal">
      <formula>"Towel"</formula>
    </cfRule>
    <cfRule type="cellIs" dxfId="26026" priority="15018" stopIfTrue="1" operator="equal">
      <formula>"Napkin Hs"</formula>
    </cfRule>
    <cfRule type="cellIs" dxfId="26025" priority="15027" stopIfTrue="1" operator="equal">
      <formula>"Towel"</formula>
    </cfRule>
    <cfRule type="cellIs" dxfId="26024" priority="15028" stopIfTrue="1" operator="equal">
      <formula>"Napkin Hs"</formula>
    </cfRule>
  </conditionalFormatting>
  <conditionalFormatting sqref="C52">
    <cfRule type="cellIs" dxfId="26023" priority="14995" stopIfTrue="1" operator="equal">
      <formula>"Towel"</formula>
    </cfRule>
    <cfRule type="cellIs" dxfId="26022" priority="14996" stopIfTrue="1" operator="equal">
      <formula>"Napkin Hs"</formula>
    </cfRule>
    <cfRule type="cellIs" dxfId="26021" priority="15011" stopIfTrue="1" operator="equal">
      <formula>"Towel"</formula>
    </cfRule>
    <cfRule type="cellIs" dxfId="26020" priority="15012" stopIfTrue="1" operator="equal">
      <formula>"Napkin Hs"</formula>
    </cfRule>
    <cfRule type="cellIs" dxfId="26019" priority="15015" stopIfTrue="1" operator="equal">
      <formula>"Towel"</formula>
    </cfRule>
    <cfRule type="cellIs" dxfId="26018" priority="15016" stopIfTrue="1" operator="equal">
      <formula>"Napkin Hs"</formula>
    </cfRule>
  </conditionalFormatting>
  <conditionalFormatting sqref="C52:C53">
    <cfRule type="cellIs" dxfId="26017" priority="14997" stopIfTrue="1" operator="equal">
      <formula>"Towel"</formula>
    </cfRule>
    <cfRule type="cellIs" dxfId="26016" priority="14998" stopIfTrue="1" operator="equal">
      <formula>"Napkin Hs"</formula>
    </cfRule>
    <cfRule type="cellIs" dxfId="26015" priority="15007" stopIfTrue="1" operator="equal">
      <formula>"Towel"</formula>
    </cfRule>
    <cfRule type="cellIs" dxfId="26014" priority="15008" stopIfTrue="1" operator="equal">
      <formula>"Napkin Hs"</formula>
    </cfRule>
    <cfRule type="cellIs" dxfId="26013" priority="15023" stopIfTrue="1" operator="equal">
      <formula>"Towel"</formula>
    </cfRule>
    <cfRule type="cellIs" dxfId="26012" priority="15024" stopIfTrue="1" operator="equal">
      <formula>"Napkin Hs"</formula>
    </cfRule>
  </conditionalFormatting>
  <conditionalFormatting sqref="C53">
    <cfRule type="cellIs" dxfId="26011" priority="15001" stopIfTrue="1" operator="equal">
      <formula>"Towel"</formula>
    </cfRule>
    <cfRule type="cellIs" dxfId="26010" priority="15002" stopIfTrue="1" operator="equal">
      <formula>"Napkin Hs"</formula>
    </cfRule>
    <cfRule type="cellIs" dxfId="26009" priority="15021" stopIfTrue="1" operator="equal">
      <formula>"Towel"</formula>
    </cfRule>
    <cfRule type="cellIs" dxfId="26008" priority="15022" stopIfTrue="1" operator="equal">
      <formula>"Napkin Hs"</formula>
    </cfRule>
  </conditionalFormatting>
  <conditionalFormatting sqref="C53">
    <cfRule type="cellIs" dxfId="26007" priority="15005" stopIfTrue="1" operator="equal">
      <formula>"Towel"</formula>
    </cfRule>
    <cfRule type="cellIs" dxfId="26006" priority="15006" stopIfTrue="1" operator="equal">
      <formula>"Napkin Hs"</formula>
    </cfRule>
  </conditionalFormatting>
  <conditionalFormatting sqref="B53:C53">
    <cfRule type="cellIs" dxfId="26005" priority="14993" stopIfTrue="1" operator="equal">
      <formula>"Towel"</formula>
    </cfRule>
    <cfRule type="cellIs" dxfId="26004" priority="14994" stopIfTrue="1" operator="equal">
      <formula>"Napkin Hs"</formula>
    </cfRule>
  </conditionalFormatting>
  <conditionalFormatting sqref="B53:C53">
    <cfRule type="cellIs" dxfId="26003" priority="14987" stopIfTrue="1" operator="equal">
      <formula>"Towel"</formula>
    </cfRule>
    <cfRule type="cellIs" dxfId="26002" priority="14988" stopIfTrue="1" operator="equal">
      <formula>"Napkin Hs"</formula>
    </cfRule>
  </conditionalFormatting>
  <conditionalFormatting sqref="C53">
    <cfRule type="cellIs" dxfId="26001" priority="14992" stopIfTrue="1" operator="equal">
      <formula>"Napkin Hs"</formula>
    </cfRule>
  </conditionalFormatting>
  <conditionalFormatting sqref="C53">
    <cfRule type="cellIs" dxfId="26000" priority="14989" stopIfTrue="1" operator="equal">
      <formula>"Towel"</formula>
    </cfRule>
    <cfRule type="cellIs" dxfId="25999" priority="14990" stopIfTrue="1" operator="equal">
      <formula>"Napkin Hs"</formula>
    </cfRule>
  </conditionalFormatting>
  <conditionalFormatting sqref="C53">
    <cfRule type="cellIs" dxfId="25998" priority="14983" stopIfTrue="1" operator="equal">
      <formula>"Towel"</formula>
    </cfRule>
    <cfRule type="cellIs" dxfId="25997" priority="14984" stopIfTrue="1" operator="equal">
      <formula>"Napkin Hs"</formula>
    </cfRule>
  </conditionalFormatting>
  <conditionalFormatting sqref="C53">
    <cfRule type="cellIs" dxfId="25996" priority="14985" stopIfTrue="1" operator="equal">
      <formula>"Towel"</formula>
    </cfRule>
    <cfRule type="cellIs" dxfId="25995" priority="14986" stopIfTrue="1" operator="equal">
      <formula>"Napkin Hs"</formula>
    </cfRule>
  </conditionalFormatting>
  <conditionalFormatting sqref="C53">
    <cfRule type="cellIs" dxfId="25994" priority="14991" stopIfTrue="1" operator="equal">
      <formula>"Towel"</formula>
    </cfRule>
  </conditionalFormatting>
  <conditionalFormatting sqref="B53:C53">
    <cfRule type="cellIs" dxfId="25993" priority="14981" stopIfTrue="1" operator="equal">
      <formula>"Towel"</formula>
    </cfRule>
    <cfRule type="cellIs" dxfId="25992" priority="14982" stopIfTrue="1" operator="equal">
      <formula>"Napkin Hs"</formula>
    </cfRule>
  </conditionalFormatting>
  <conditionalFormatting sqref="C53">
    <cfRule type="cellIs" dxfId="25991" priority="14977" stopIfTrue="1" operator="equal">
      <formula>"Towel"</formula>
    </cfRule>
    <cfRule type="cellIs" dxfId="25990" priority="14978" stopIfTrue="1" operator="equal">
      <formula>"Napkin Hs"</formula>
    </cfRule>
  </conditionalFormatting>
  <conditionalFormatting sqref="C53">
    <cfRule type="cellIs" dxfId="25989" priority="14979" stopIfTrue="1" operator="equal">
      <formula>"Towel"</formula>
    </cfRule>
    <cfRule type="cellIs" dxfId="25988" priority="14980" stopIfTrue="1" operator="equal">
      <formula>"Napkin Hs"</formula>
    </cfRule>
  </conditionalFormatting>
  <conditionalFormatting sqref="B53:C53">
    <cfRule type="cellIs" dxfId="25987" priority="14973" stopIfTrue="1" operator="equal">
      <formula>"Towel"</formula>
    </cfRule>
    <cfRule type="cellIs" dxfId="25986" priority="14974" stopIfTrue="1" operator="equal">
      <formula>"Napkin Hs"</formula>
    </cfRule>
  </conditionalFormatting>
  <conditionalFormatting sqref="C53">
    <cfRule type="cellIs" dxfId="25985" priority="14975" stopIfTrue="1" operator="equal">
      <formula>"Towel"</formula>
    </cfRule>
    <cfRule type="cellIs" dxfId="25984" priority="14976" stopIfTrue="1" operator="equal">
      <formula>"Napkin Hs"</formula>
    </cfRule>
  </conditionalFormatting>
  <conditionalFormatting sqref="C53">
    <cfRule type="cellIs" dxfId="25983" priority="14969" stopIfTrue="1" operator="equal">
      <formula>"Towel"</formula>
    </cfRule>
    <cfRule type="cellIs" dxfId="25982" priority="14970" stopIfTrue="1" operator="equal">
      <formula>"Napkin Hs"</formula>
    </cfRule>
  </conditionalFormatting>
  <conditionalFormatting sqref="C53">
    <cfRule type="cellIs" dxfId="25981" priority="14971" stopIfTrue="1" operator="equal">
      <formula>"Towel"</formula>
    </cfRule>
    <cfRule type="cellIs" dxfId="25980" priority="14972" stopIfTrue="1" operator="equal">
      <formula>"Napkin Hs"</formula>
    </cfRule>
  </conditionalFormatting>
  <conditionalFormatting sqref="B53:C53">
    <cfRule type="cellIs" dxfId="25979" priority="14967" stopIfTrue="1" operator="equal">
      <formula>"Towel"</formula>
    </cfRule>
    <cfRule type="cellIs" dxfId="25978" priority="14968" stopIfTrue="1" operator="equal">
      <formula>"Napkin Hs"</formula>
    </cfRule>
  </conditionalFormatting>
  <conditionalFormatting sqref="C53">
    <cfRule type="cellIs" dxfId="25977" priority="14966" stopIfTrue="1" operator="equal">
      <formula>"Napkin Hs"</formula>
    </cfRule>
  </conditionalFormatting>
  <conditionalFormatting sqref="C53">
    <cfRule type="cellIs" dxfId="25976" priority="14965" stopIfTrue="1" operator="equal">
      <formula>"Towel"</formula>
    </cfRule>
  </conditionalFormatting>
  <conditionalFormatting sqref="C52">
    <cfRule type="cellIs" dxfId="25975" priority="14963" stopIfTrue="1" operator="equal">
      <formula>"Towel"</formula>
    </cfRule>
    <cfRule type="cellIs" dxfId="25974" priority="14964" stopIfTrue="1" operator="equal">
      <formula>"Napkin Hs"</formula>
    </cfRule>
  </conditionalFormatting>
  <conditionalFormatting sqref="C52">
    <cfRule type="cellIs" dxfId="25973" priority="14959" stopIfTrue="1" operator="equal">
      <formula>"Towel"</formula>
    </cfRule>
    <cfRule type="cellIs" dxfId="25972" priority="14960" stopIfTrue="1" operator="equal">
      <formula>"Napkin Hs"</formula>
    </cfRule>
  </conditionalFormatting>
  <conditionalFormatting sqref="C52">
    <cfRule type="cellIs" dxfId="25971" priority="14961" stopIfTrue="1" operator="equal">
      <formula>"Towel"</formula>
    </cfRule>
    <cfRule type="cellIs" dxfId="25970" priority="14962" stopIfTrue="1" operator="equal">
      <formula>"Napkin Hs"</formula>
    </cfRule>
  </conditionalFormatting>
  <conditionalFormatting sqref="C52">
    <cfRule type="cellIs" dxfId="25969" priority="14957" stopIfTrue="1" operator="equal">
      <formula>"Towel"</formula>
    </cfRule>
    <cfRule type="cellIs" dxfId="25968" priority="14958" stopIfTrue="1" operator="equal">
      <formula>"Napkin Hs"</formula>
    </cfRule>
  </conditionalFormatting>
  <conditionalFormatting sqref="C52">
    <cfRule type="cellIs" dxfId="25967" priority="14953" stopIfTrue="1" operator="equal">
      <formula>"Towel"</formula>
    </cfRule>
    <cfRule type="cellIs" dxfId="25966" priority="14954" stopIfTrue="1" operator="equal">
      <formula>"Napkin Hs"</formula>
    </cfRule>
  </conditionalFormatting>
  <conditionalFormatting sqref="C52">
    <cfRule type="cellIs" dxfId="25965" priority="14955" stopIfTrue="1" operator="equal">
      <formula>"Towel"</formula>
    </cfRule>
    <cfRule type="cellIs" dxfId="25964" priority="14956" stopIfTrue="1" operator="equal">
      <formula>"Napkin Hs"</formula>
    </cfRule>
  </conditionalFormatting>
  <conditionalFormatting sqref="C52">
    <cfRule type="cellIs" dxfId="25963" priority="14951" stopIfTrue="1" operator="equal">
      <formula>"Towel"</formula>
    </cfRule>
    <cfRule type="cellIs" dxfId="25962" priority="14952" stopIfTrue="1" operator="equal">
      <formula>"Napkin Hs"</formula>
    </cfRule>
  </conditionalFormatting>
  <conditionalFormatting sqref="C52">
    <cfRule type="cellIs" dxfId="25961" priority="14947" stopIfTrue="1" operator="equal">
      <formula>"Towel"</formula>
    </cfRule>
    <cfRule type="cellIs" dxfId="25960" priority="14948" stopIfTrue="1" operator="equal">
      <formula>"Napkin Hs"</formula>
    </cfRule>
  </conditionalFormatting>
  <conditionalFormatting sqref="C52">
    <cfRule type="cellIs" dxfId="25959" priority="14949" stopIfTrue="1" operator="equal">
      <formula>"Towel"</formula>
    </cfRule>
    <cfRule type="cellIs" dxfId="25958" priority="14950" stopIfTrue="1" operator="equal">
      <formula>"Napkin Hs"</formula>
    </cfRule>
  </conditionalFormatting>
  <conditionalFormatting sqref="C52">
    <cfRule type="cellIs" dxfId="25957" priority="14945" stopIfTrue="1" operator="equal">
      <formula>"Towel"</formula>
    </cfRule>
    <cfRule type="cellIs" dxfId="25956" priority="14946" stopIfTrue="1" operator="equal">
      <formula>"Napkin Hs"</formula>
    </cfRule>
  </conditionalFormatting>
  <conditionalFormatting sqref="C52">
    <cfRule type="cellIs" dxfId="25955" priority="14943" stopIfTrue="1" operator="equal">
      <formula>"Towel"</formula>
    </cfRule>
    <cfRule type="cellIs" dxfId="25954" priority="14944" stopIfTrue="1" operator="equal">
      <formula>"Napkin Hs"</formula>
    </cfRule>
  </conditionalFormatting>
  <conditionalFormatting sqref="C52">
    <cfRule type="cellIs" dxfId="25953" priority="14941" stopIfTrue="1" operator="equal">
      <formula>"Towel"</formula>
    </cfRule>
    <cfRule type="cellIs" dxfId="25952" priority="14942" stopIfTrue="1" operator="equal">
      <formula>"Napkin Hs"</formula>
    </cfRule>
  </conditionalFormatting>
  <conditionalFormatting sqref="C52">
    <cfRule type="cellIs" dxfId="25951" priority="14939" stopIfTrue="1" operator="equal">
      <formula>"Towel"</formula>
    </cfRule>
    <cfRule type="cellIs" dxfId="25950" priority="14940" stopIfTrue="1" operator="equal">
      <formula>"Napkin Hs"</formula>
    </cfRule>
  </conditionalFormatting>
  <conditionalFormatting sqref="C52">
    <cfRule type="cellIs" dxfId="25949" priority="14938" stopIfTrue="1" operator="equal">
      <formula>"Napkin Hs"</formula>
    </cfRule>
  </conditionalFormatting>
  <conditionalFormatting sqref="C52">
    <cfRule type="cellIs" dxfId="25948" priority="14935" stopIfTrue="1" operator="equal">
      <formula>"Towel"</formula>
    </cfRule>
    <cfRule type="cellIs" dxfId="25947" priority="14936" stopIfTrue="1" operator="equal">
      <formula>"Napkin Hs"</formula>
    </cfRule>
  </conditionalFormatting>
  <conditionalFormatting sqref="C52">
    <cfRule type="cellIs" dxfId="25946" priority="14937" stopIfTrue="1" operator="equal">
      <formula>"Towel"</formula>
    </cfRule>
  </conditionalFormatting>
  <conditionalFormatting sqref="B52">
    <cfRule type="cellIs" dxfId="25945" priority="14933" stopIfTrue="1" operator="equal">
      <formula>"Towel"</formula>
    </cfRule>
    <cfRule type="cellIs" dxfId="25944" priority="14934" stopIfTrue="1" operator="equal">
      <formula>"Napkin Hs"</formula>
    </cfRule>
  </conditionalFormatting>
  <conditionalFormatting sqref="B52">
    <cfRule type="cellIs" dxfId="25943" priority="14931" stopIfTrue="1" operator="equal">
      <formula>"Towel"</formula>
    </cfRule>
    <cfRule type="cellIs" dxfId="25942" priority="14932" stopIfTrue="1" operator="equal">
      <formula>"Napkin Hs"</formula>
    </cfRule>
  </conditionalFormatting>
  <conditionalFormatting sqref="B52">
    <cfRule type="cellIs" dxfId="25941" priority="14929" stopIfTrue="1" operator="equal">
      <formula>"Towel"</formula>
    </cfRule>
    <cfRule type="cellIs" dxfId="25940" priority="14930" stopIfTrue="1" operator="equal">
      <formula>"Napkin Hs"</formula>
    </cfRule>
  </conditionalFormatting>
  <conditionalFormatting sqref="B52">
    <cfRule type="cellIs" dxfId="25939" priority="14927" stopIfTrue="1" operator="equal">
      <formula>"Towel"</formula>
    </cfRule>
    <cfRule type="cellIs" dxfId="25938" priority="14928" stopIfTrue="1" operator="equal">
      <formula>"Napkin Hs"</formula>
    </cfRule>
  </conditionalFormatting>
  <conditionalFormatting sqref="B52">
    <cfRule type="cellIs" dxfId="25937" priority="14925" stopIfTrue="1" operator="equal">
      <formula>"Towel"</formula>
    </cfRule>
    <cfRule type="cellIs" dxfId="25936" priority="14926" stopIfTrue="1" operator="equal">
      <formula>"Napkin Hs"</formula>
    </cfRule>
  </conditionalFormatting>
  <conditionalFormatting sqref="B51:C51 B52">
    <cfRule type="cellIs" dxfId="25935" priority="14923" stopIfTrue="1" operator="equal">
      <formula>"Towel"</formula>
    </cfRule>
    <cfRule type="cellIs" dxfId="25934" priority="14924" stopIfTrue="1" operator="equal">
      <formula>"Napkin Hs"</formula>
    </cfRule>
  </conditionalFormatting>
  <conditionalFormatting sqref="B51:C51 B52">
    <cfRule type="cellIs" dxfId="25933" priority="14915" stopIfTrue="1" operator="equal">
      <formula>"Towel"</formula>
    </cfRule>
    <cfRule type="cellIs" dxfId="25932" priority="14916" stopIfTrue="1" operator="equal">
      <formula>"Napkin Hs"</formula>
    </cfRule>
    <cfRule type="cellIs" dxfId="25931" priority="14921" stopIfTrue="1" operator="equal">
      <formula>"Towel"</formula>
    </cfRule>
    <cfRule type="cellIs" dxfId="25930" priority="14922" stopIfTrue="1" operator="equal">
      <formula>"Napkin Hs"</formula>
    </cfRule>
  </conditionalFormatting>
  <conditionalFormatting sqref="C51">
    <cfRule type="cellIs" dxfId="25929" priority="14911" stopIfTrue="1" operator="equal">
      <formula>"Towel"</formula>
    </cfRule>
    <cfRule type="cellIs" dxfId="25928" priority="14912" stopIfTrue="1" operator="equal">
      <formula>"Napkin Hs"</formula>
    </cfRule>
  </conditionalFormatting>
  <conditionalFormatting sqref="C51">
    <cfRule type="cellIs" dxfId="25927" priority="14909" stopIfTrue="1" operator="equal">
      <formula>"Towel"</formula>
    </cfRule>
    <cfRule type="cellIs" dxfId="25926" priority="14910" stopIfTrue="1" operator="equal">
      <formula>"Napkin Hs"</formula>
    </cfRule>
    <cfRule type="cellIs" dxfId="25925" priority="14919" stopIfTrue="1" operator="equal">
      <formula>"Towel"</formula>
    </cfRule>
    <cfRule type="cellIs" dxfId="25924" priority="14920" stopIfTrue="1" operator="equal">
      <formula>"Napkin Hs"</formula>
    </cfRule>
  </conditionalFormatting>
  <conditionalFormatting sqref="C51">
    <cfRule type="cellIs" dxfId="25923" priority="14913" stopIfTrue="1" operator="equal">
      <formula>"Towel"</formula>
    </cfRule>
    <cfRule type="cellIs" dxfId="25922" priority="14914" stopIfTrue="1" operator="equal">
      <formula>"Napkin Hs"</formula>
    </cfRule>
    <cfRule type="cellIs" dxfId="25921" priority="14917" stopIfTrue="1" operator="equal">
      <formula>"Towel"</formula>
    </cfRule>
    <cfRule type="cellIs" dxfId="25920" priority="14918" stopIfTrue="1" operator="equal">
      <formula>"Napkin Hs"</formula>
    </cfRule>
  </conditionalFormatting>
  <conditionalFormatting sqref="C51">
    <cfRule type="cellIs" dxfId="25919" priority="14908" stopIfTrue="1" operator="equal">
      <formula>"Napkin Hs"</formula>
    </cfRule>
  </conditionalFormatting>
  <conditionalFormatting sqref="C51">
    <cfRule type="cellIs" dxfId="25918" priority="14907" stopIfTrue="1" operator="equal">
      <formula>"Towel"</formula>
    </cfRule>
  </conditionalFormatting>
  <conditionalFormatting sqref="C51">
    <cfRule type="cellIs" dxfId="25917" priority="14903" stopIfTrue="1" operator="equal">
      <formula>"Towel"</formula>
    </cfRule>
    <cfRule type="cellIs" dxfId="25916" priority="14904" stopIfTrue="1" operator="equal">
      <formula>"Napkin Hs"</formula>
    </cfRule>
    <cfRule type="cellIs" dxfId="25915" priority="14905" stopIfTrue="1" operator="equal">
      <formula>"Towel"</formula>
    </cfRule>
    <cfRule type="cellIs" dxfId="25914" priority="14906" stopIfTrue="1" operator="equal">
      <formula>"Napkin Hs"</formula>
    </cfRule>
  </conditionalFormatting>
  <conditionalFormatting sqref="B51:C51 B52">
    <cfRule type="cellIs" dxfId="25913" priority="14901" stopIfTrue="1" operator="equal">
      <formula>"Towel"</formula>
    </cfRule>
    <cfRule type="cellIs" dxfId="25912" priority="14902" stopIfTrue="1" operator="equal">
      <formula>"Napkin Hs"</formula>
    </cfRule>
  </conditionalFormatting>
  <conditionalFormatting sqref="C51">
    <cfRule type="cellIs" dxfId="25911" priority="14897" stopIfTrue="1" operator="equal">
      <formula>"Towel"</formula>
    </cfRule>
    <cfRule type="cellIs" dxfId="25910" priority="14898" stopIfTrue="1" operator="equal">
      <formula>"Napkin Hs"</formula>
    </cfRule>
  </conditionalFormatting>
  <conditionalFormatting sqref="C51">
    <cfRule type="cellIs" dxfId="25909" priority="14899" stopIfTrue="1" operator="equal">
      <formula>"Towel"</formula>
    </cfRule>
    <cfRule type="cellIs" dxfId="25908" priority="14900" stopIfTrue="1" operator="equal">
      <formula>"Napkin Hs"</formula>
    </cfRule>
  </conditionalFormatting>
  <conditionalFormatting sqref="B51:C51 B52">
    <cfRule type="cellIs" dxfId="25907" priority="14895" stopIfTrue="1" operator="equal">
      <formula>"Towel"</formula>
    </cfRule>
    <cfRule type="cellIs" dxfId="25906" priority="14896" stopIfTrue="1" operator="equal">
      <formula>"Napkin Hs"</formula>
    </cfRule>
  </conditionalFormatting>
  <conditionalFormatting sqref="C51">
    <cfRule type="cellIs" dxfId="25905" priority="14891" stopIfTrue="1" operator="equal">
      <formula>"Towel"</formula>
    </cfRule>
    <cfRule type="cellIs" dxfId="25904" priority="14892" stopIfTrue="1" operator="equal">
      <formula>"Napkin Hs"</formula>
    </cfRule>
  </conditionalFormatting>
  <conditionalFormatting sqref="C51">
    <cfRule type="cellIs" dxfId="25903" priority="14893" stopIfTrue="1" operator="equal">
      <formula>"Towel"</formula>
    </cfRule>
    <cfRule type="cellIs" dxfId="25902" priority="14894" stopIfTrue="1" operator="equal">
      <formula>"Napkin Hs"</formula>
    </cfRule>
  </conditionalFormatting>
  <conditionalFormatting sqref="B51:C51 B52">
    <cfRule type="cellIs" dxfId="25901" priority="14889" stopIfTrue="1" operator="equal">
      <formula>"Towel"</formula>
    </cfRule>
    <cfRule type="cellIs" dxfId="25900" priority="14890" stopIfTrue="1" operator="equal">
      <formula>"Napkin Hs"</formula>
    </cfRule>
  </conditionalFormatting>
  <conditionalFormatting sqref="C51">
    <cfRule type="cellIs" dxfId="25899" priority="14885" stopIfTrue="1" operator="equal">
      <formula>"Towel"</formula>
    </cfRule>
    <cfRule type="cellIs" dxfId="25898" priority="14886" stopIfTrue="1" operator="equal">
      <formula>"Napkin Hs"</formula>
    </cfRule>
  </conditionalFormatting>
  <conditionalFormatting sqref="C51">
    <cfRule type="cellIs" dxfId="25897" priority="14887" stopIfTrue="1" operator="equal">
      <formula>"Towel"</formula>
    </cfRule>
    <cfRule type="cellIs" dxfId="25896" priority="14888" stopIfTrue="1" operator="equal">
      <formula>"Napkin Hs"</formula>
    </cfRule>
  </conditionalFormatting>
  <conditionalFormatting sqref="B51:C51 B52">
    <cfRule type="cellIs" dxfId="25895" priority="14883" stopIfTrue="1" operator="equal">
      <formula>"Towel"</formula>
    </cfRule>
    <cfRule type="cellIs" dxfId="25894" priority="14884" stopIfTrue="1" operator="equal">
      <formula>"Napkin Hs"</formula>
    </cfRule>
  </conditionalFormatting>
  <conditionalFormatting sqref="C51">
    <cfRule type="cellIs" dxfId="25893" priority="14881" stopIfTrue="1" operator="equal">
      <formula>"Towel"</formula>
    </cfRule>
    <cfRule type="cellIs" dxfId="25892" priority="14882" stopIfTrue="1" operator="equal">
      <formula>"Napkin Hs"</formula>
    </cfRule>
  </conditionalFormatting>
  <conditionalFormatting sqref="C51">
    <cfRule type="cellIs" dxfId="25891" priority="14879" stopIfTrue="1" operator="equal">
      <formula>"Towel"</formula>
    </cfRule>
    <cfRule type="cellIs" dxfId="25890" priority="14880" stopIfTrue="1" operator="equal">
      <formula>"Napkin Hs"</formula>
    </cfRule>
  </conditionalFormatting>
  <conditionalFormatting sqref="B51:C51 B52">
    <cfRule type="cellIs" dxfId="25889" priority="14877" stopIfTrue="1" operator="equal">
      <formula>"Towel"</formula>
    </cfRule>
    <cfRule type="cellIs" dxfId="25888" priority="14878" stopIfTrue="1" operator="equal">
      <formula>"Napkin Hs"</formula>
    </cfRule>
  </conditionalFormatting>
  <conditionalFormatting sqref="C51">
    <cfRule type="cellIs" dxfId="25887" priority="14876" stopIfTrue="1" operator="equal">
      <formula>"Napkin Hs"</formula>
    </cfRule>
  </conditionalFormatting>
  <conditionalFormatting sqref="C51">
    <cfRule type="cellIs" dxfId="25886" priority="14873" stopIfTrue="1" operator="equal">
      <formula>"Towel"</formula>
    </cfRule>
    <cfRule type="cellIs" dxfId="25885" priority="14874" stopIfTrue="1" operator="equal">
      <formula>"Napkin Hs"</formula>
    </cfRule>
  </conditionalFormatting>
  <conditionalFormatting sqref="C51">
    <cfRule type="cellIs" dxfId="25884" priority="14875" stopIfTrue="1" operator="equal">
      <formula>"Towel"</formula>
    </cfRule>
  </conditionalFormatting>
  <conditionalFormatting sqref="B51:C52">
    <cfRule type="cellIs" dxfId="25883" priority="14859" stopIfTrue="1" operator="equal">
      <formula>"Towel"</formula>
    </cfRule>
    <cfRule type="cellIs" dxfId="25882" priority="14860" stopIfTrue="1" operator="equal">
      <formula>"Napkin Hs"</formula>
    </cfRule>
    <cfRule type="cellIs" dxfId="25881" priority="14865" stopIfTrue="1" operator="equal">
      <formula>"Towel"</formula>
    </cfRule>
    <cfRule type="cellIs" dxfId="25880" priority="14866" stopIfTrue="1" operator="equal">
      <formula>"Napkin Hs"</formula>
    </cfRule>
    <cfRule type="cellIs" dxfId="25879" priority="14871" stopIfTrue="1" operator="equal">
      <formula>"Towel"</formula>
    </cfRule>
    <cfRule type="cellIs" dxfId="25878" priority="14872" stopIfTrue="1" operator="equal">
      <formula>"Napkin Hs"</formula>
    </cfRule>
  </conditionalFormatting>
  <conditionalFormatting sqref="C51:C52">
    <cfRule type="cellIs" dxfId="25877" priority="14853" stopIfTrue="1" operator="equal">
      <formula>"Towel"</formula>
    </cfRule>
    <cfRule type="cellIs" dxfId="25876" priority="14854" stopIfTrue="1" operator="equal">
      <formula>"Napkin Hs"</formula>
    </cfRule>
    <cfRule type="cellIs" dxfId="25875" priority="14855" stopIfTrue="1" operator="equal">
      <formula>"Towel"</formula>
    </cfRule>
    <cfRule type="cellIs" dxfId="25874" priority="14856" stopIfTrue="1" operator="equal">
      <formula>"Napkin Hs"</formula>
    </cfRule>
    <cfRule type="cellIs" dxfId="25873" priority="14863" stopIfTrue="1" operator="equal">
      <formula>"Towel"</formula>
    </cfRule>
    <cfRule type="cellIs" dxfId="25872" priority="14864" stopIfTrue="1" operator="equal">
      <formula>"Napkin Hs"</formula>
    </cfRule>
    <cfRule type="cellIs" dxfId="25871" priority="14867" stopIfTrue="1" operator="equal">
      <formula>"Towel"</formula>
    </cfRule>
    <cfRule type="cellIs" dxfId="25870" priority="14868" stopIfTrue="1" operator="equal">
      <formula>"Napkin Hs"</formula>
    </cfRule>
  </conditionalFormatting>
  <conditionalFormatting sqref="C51:C52">
    <cfRule type="cellIs" dxfId="25869" priority="14857" stopIfTrue="1" operator="equal">
      <formula>"Towel"</formula>
    </cfRule>
    <cfRule type="cellIs" dxfId="25868" priority="14858" stopIfTrue="1" operator="equal">
      <formula>"Napkin Hs"</formula>
    </cfRule>
    <cfRule type="cellIs" dxfId="25867" priority="14861" stopIfTrue="1" operator="equal">
      <formula>"Towel"</formula>
    </cfRule>
    <cfRule type="cellIs" dxfId="25866" priority="14862" stopIfTrue="1" operator="equal">
      <formula>"Napkin Hs"</formula>
    </cfRule>
    <cfRule type="cellIs" dxfId="25865" priority="14869" stopIfTrue="1" operator="equal">
      <formula>"Towel"</formula>
    </cfRule>
    <cfRule type="cellIs" dxfId="25864" priority="14870" stopIfTrue="1" operator="equal">
      <formula>"Napkin Hs"</formula>
    </cfRule>
  </conditionalFormatting>
  <conditionalFormatting sqref="B51:C52">
    <cfRule type="cellIs" dxfId="25863" priority="14851" stopIfTrue="1" operator="equal">
      <formula>"Towel"</formula>
    </cfRule>
    <cfRule type="cellIs" dxfId="25862" priority="14852" stopIfTrue="1" operator="equal">
      <formula>"Napkin Hs"</formula>
    </cfRule>
  </conditionalFormatting>
  <conditionalFormatting sqref="B51:C52">
    <cfRule type="cellIs" dxfId="25861" priority="14843" stopIfTrue="1" operator="equal">
      <formula>"Towel"</formula>
    </cfRule>
    <cfRule type="cellIs" dxfId="25860" priority="14844" stopIfTrue="1" operator="equal">
      <formula>"Napkin Hs"</formula>
    </cfRule>
    <cfRule type="cellIs" dxfId="25859" priority="14849" stopIfTrue="1" operator="equal">
      <formula>"Towel"</formula>
    </cfRule>
    <cfRule type="cellIs" dxfId="25858" priority="14850" stopIfTrue="1" operator="equal">
      <formula>"Napkin Hs"</formula>
    </cfRule>
  </conditionalFormatting>
  <conditionalFormatting sqref="C51:C52">
    <cfRule type="cellIs" dxfId="25857" priority="14839" stopIfTrue="1" operator="equal">
      <formula>"Towel"</formula>
    </cfRule>
    <cfRule type="cellIs" dxfId="25856" priority="14840" stopIfTrue="1" operator="equal">
      <formula>"Napkin Hs"</formula>
    </cfRule>
  </conditionalFormatting>
  <conditionalFormatting sqref="C51:C52">
    <cfRule type="cellIs" dxfId="25855" priority="14837" stopIfTrue="1" operator="equal">
      <formula>"Towel"</formula>
    </cfRule>
    <cfRule type="cellIs" dxfId="25854" priority="14838" stopIfTrue="1" operator="equal">
      <formula>"Napkin Hs"</formula>
    </cfRule>
    <cfRule type="cellIs" dxfId="25853" priority="14847" stopIfTrue="1" operator="equal">
      <formula>"Towel"</formula>
    </cfRule>
    <cfRule type="cellIs" dxfId="25852" priority="14848" stopIfTrue="1" operator="equal">
      <formula>"Napkin Hs"</formula>
    </cfRule>
  </conditionalFormatting>
  <conditionalFormatting sqref="C51:C52">
    <cfRule type="cellIs" dxfId="25851" priority="14841" stopIfTrue="1" operator="equal">
      <formula>"Towel"</formula>
    </cfRule>
    <cfRule type="cellIs" dxfId="25850" priority="14842" stopIfTrue="1" operator="equal">
      <formula>"Napkin Hs"</formula>
    </cfRule>
    <cfRule type="cellIs" dxfId="25849" priority="14845" stopIfTrue="1" operator="equal">
      <formula>"Towel"</formula>
    </cfRule>
    <cfRule type="cellIs" dxfId="25848" priority="14846" stopIfTrue="1" operator="equal">
      <formula>"Napkin Hs"</formula>
    </cfRule>
  </conditionalFormatting>
  <conditionalFormatting sqref="C51:C52">
    <cfRule type="cellIs" dxfId="25847" priority="14836" stopIfTrue="1" operator="equal">
      <formula>"Napkin Hs"</formula>
    </cfRule>
  </conditionalFormatting>
  <conditionalFormatting sqref="C51:C52">
    <cfRule type="cellIs" dxfId="25846" priority="14835" stopIfTrue="1" operator="equal">
      <formula>"Towel"</formula>
    </cfRule>
  </conditionalFormatting>
  <conditionalFormatting sqref="C51:C52">
    <cfRule type="cellIs" dxfId="25845" priority="14831" stopIfTrue="1" operator="equal">
      <formula>"Towel"</formula>
    </cfRule>
    <cfRule type="cellIs" dxfId="25844" priority="14832" stopIfTrue="1" operator="equal">
      <formula>"Napkin Hs"</formula>
    </cfRule>
    <cfRule type="cellIs" dxfId="25843" priority="14833" stopIfTrue="1" operator="equal">
      <formula>"Towel"</formula>
    </cfRule>
    <cfRule type="cellIs" dxfId="25842" priority="14834" stopIfTrue="1" operator="equal">
      <formula>"Napkin Hs"</formula>
    </cfRule>
  </conditionalFormatting>
  <conditionalFormatting sqref="B51:C52">
    <cfRule type="cellIs" dxfId="25841" priority="14829" stopIfTrue="1" operator="equal">
      <formula>"Towel"</formula>
    </cfRule>
    <cfRule type="cellIs" dxfId="25840" priority="14830" stopIfTrue="1" operator="equal">
      <formula>"Napkin Hs"</formula>
    </cfRule>
  </conditionalFormatting>
  <conditionalFormatting sqref="C51:C52">
    <cfRule type="cellIs" dxfId="25839" priority="14825" stopIfTrue="1" operator="equal">
      <formula>"Towel"</formula>
    </cfRule>
    <cfRule type="cellIs" dxfId="25838" priority="14826" stopIfTrue="1" operator="equal">
      <formula>"Napkin Hs"</formula>
    </cfRule>
  </conditionalFormatting>
  <conditionalFormatting sqref="C51:C52">
    <cfRule type="cellIs" dxfId="25837" priority="14827" stopIfTrue="1" operator="equal">
      <formula>"Towel"</formula>
    </cfRule>
    <cfRule type="cellIs" dxfId="25836" priority="14828" stopIfTrue="1" operator="equal">
      <formula>"Napkin Hs"</formula>
    </cfRule>
  </conditionalFormatting>
  <conditionalFormatting sqref="B51:C52">
    <cfRule type="cellIs" dxfId="25835" priority="14823" stopIfTrue="1" operator="equal">
      <formula>"Towel"</formula>
    </cfRule>
    <cfRule type="cellIs" dxfId="25834" priority="14824" stopIfTrue="1" operator="equal">
      <formula>"Napkin Hs"</formula>
    </cfRule>
  </conditionalFormatting>
  <conditionalFormatting sqref="C51:C52">
    <cfRule type="cellIs" dxfId="25833" priority="14819" stopIfTrue="1" operator="equal">
      <formula>"Towel"</formula>
    </cfRule>
    <cfRule type="cellIs" dxfId="25832" priority="14820" stopIfTrue="1" operator="equal">
      <formula>"Napkin Hs"</formula>
    </cfRule>
  </conditionalFormatting>
  <conditionalFormatting sqref="C51:C52">
    <cfRule type="cellIs" dxfId="25831" priority="14821" stopIfTrue="1" operator="equal">
      <formula>"Towel"</formula>
    </cfRule>
    <cfRule type="cellIs" dxfId="25830" priority="14822" stopIfTrue="1" operator="equal">
      <formula>"Napkin Hs"</formula>
    </cfRule>
  </conditionalFormatting>
  <conditionalFormatting sqref="B51:C52">
    <cfRule type="cellIs" dxfId="25829" priority="14817" stopIfTrue="1" operator="equal">
      <formula>"Towel"</formula>
    </cfRule>
    <cfRule type="cellIs" dxfId="25828" priority="14818" stopIfTrue="1" operator="equal">
      <formula>"Napkin Hs"</formula>
    </cfRule>
  </conditionalFormatting>
  <conditionalFormatting sqref="C51:C52">
    <cfRule type="cellIs" dxfId="25827" priority="14813" stopIfTrue="1" operator="equal">
      <formula>"Towel"</formula>
    </cfRule>
    <cfRule type="cellIs" dxfId="25826" priority="14814" stopIfTrue="1" operator="equal">
      <formula>"Napkin Hs"</formula>
    </cfRule>
  </conditionalFormatting>
  <conditionalFormatting sqref="C51:C52">
    <cfRule type="cellIs" dxfId="25825" priority="14815" stopIfTrue="1" operator="equal">
      <formula>"Towel"</formula>
    </cfRule>
    <cfRule type="cellIs" dxfId="25824" priority="14816" stopIfTrue="1" operator="equal">
      <formula>"Napkin Hs"</formula>
    </cfRule>
  </conditionalFormatting>
  <conditionalFormatting sqref="B51:C52">
    <cfRule type="cellIs" dxfId="25823" priority="14811" stopIfTrue="1" operator="equal">
      <formula>"Towel"</formula>
    </cfRule>
    <cfRule type="cellIs" dxfId="25822" priority="14812" stopIfTrue="1" operator="equal">
      <formula>"Napkin Hs"</formula>
    </cfRule>
  </conditionalFormatting>
  <conditionalFormatting sqref="C51:C52">
    <cfRule type="cellIs" dxfId="25821" priority="14809" stopIfTrue="1" operator="equal">
      <formula>"Towel"</formula>
    </cfRule>
    <cfRule type="cellIs" dxfId="25820" priority="14810" stopIfTrue="1" operator="equal">
      <formula>"Napkin Hs"</formula>
    </cfRule>
  </conditionalFormatting>
  <conditionalFormatting sqref="C51:C52">
    <cfRule type="cellIs" dxfId="25819" priority="14807" stopIfTrue="1" operator="equal">
      <formula>"Towel"</formula>
    </cfRule>
    <cfRule type="cellIs" dxfId="25818" priority="14808" stopIfTrue="1" operator="equal">
      <formula>"Napkin Hs"</formula>
    </cfRule>
  </conditionalFormatting>
  <conditionalFormatting sqref="B51:C52">
    <cfRule type="cellIs" dxfId="25817" priority="14805" stopIfTrue="1" operator="equal">
      <formula>"Towel"</formula>
    </cfRule>
    <cfRule type="cellIs" dxfId="25816" priority="14806" stopIfTrue="1" operator="equal">
      <formula>"Napkin Hs"</formula>
    </cfRule>
  </conditionalFormatting>
  <conditionalFormatting sqref="C51:C52">
    <cfRule type="cellIs" dxfId="25815" priority="14804" stopIfTrue="1" operator="equal">
      <formula>"Napkin Hs"</formula>
    </cfRule>
  </conditionalFormatting>
  <conditionalFormatting sqref="C51:C52">
    <cfRule type="cellIs" dxfId="25814" priority="14801" stopIfTrue="1" operator="equal">
      <formula>"Towel"</formula>
    </cfRule>
    <cfRule type="cellIs" dxfId="25813" priority="14802" stopIfTrue="1" operator="equal">
      <formula>"Napkin Hs"</formula>
    </cfRule>
  </conditionalFormatting>
  <conditionalFormatting sqref="C51:C52">
    <cfRule type="cellIs" dxfId="25812" priority="14803" stopIfTrue="1" operator="equal">
      <formula>"Towel"</formula>
    </cfRule>
  </conditionalFormatting>
  <conditionalFormatting sqref="B50:C50">
    <cfRule type="cellIs" dxfId="25811" priority="14757" stopIfTrue="1" operator="equal">
      <formula>"Towel"</formula>
    </cfRule>
    <cfRule type="cellIs" dxfId="25810" priority="14758" stopIfTrue="1" operator="equal">
      <formula>"Napkin Hs"</formula>
    </cfRule>
    <cfRule type="cellIs" dxfId="25809" priority="14763" stopIfTrue="1" operator="equal">
      <formula>"Towel"</formula>
    </cfRule>
    <cfRule type="cellIs" dxfId="25808" priority="14764" stopIfTrue="1" operator="equal">
      <formula>"Napkin Hs"</formula>
    </cfRule>
    <cfRule type="cellIs" dxfId="25807" priority="14769" stopIfTrue="1" operator="equal">
      <formula>"Towel"</formula>
    </cfRule>
    <cfRule type="cellIs" dxfId="25806" priority="14770" stopIfTrue="1" operator="equal">
      <formula>"Napkin Hs"</formula>
    </cfRule>
    <cfRule type="cellIs" dxfId="25805" priority="14775" stopIfTrue="1" operator="equal">
      <formula>"Towel"</formula>
    </cfRule>
    <cfRule type="cellIs" dxfId="25804" priority="14776" stopIfTrue="1" operator="equal">
      <formula>"Napkin Hs"</formula>
    </cfRule>
    <cfRule type="cellIs" dxfId="25803" priority="14781" stopIfTrue="1" operator="equal">
      <formula>"Towel"</formula>
    </cfRule>
    <cfRule type="cellIs" dxfId="25802" priority="14782" stopIfTrue="1" operator="equal">
      <formula>"Napkin Hs"</formula>
    </cfRule>
    <cfRule type="cellIs" dxfId="25801" priority="14787" stopIfTrue="1" operator="equal">
      <formula>"Towel"</formula>
    </cfRule>
    <cfRule type="cellIs" dxfId="25800" priority="14788" stopIfTrue="1" operator="equal">
      <formula>"Napkin Hs"</formula>
    </cfRule>
    <cfRule type="cellIs" dxfId="25799" priority="14793" stopIfTrue="1" operator="equal">
      <formula>"Towel"</formula>
    </cfRule>
    <cfRule type="cellIs" dxfId="25798" priority="14794" stopIfTrue="1" operator="equal">
      <formula>"Napkin Hs"</formula>
    </cfRule>
    <cfRule type="cellIs" dxfId="25797" priority="14799" stopIfTrue="1" operator="equal">
      <formula>"Towel"</formula>
    </cfRule>
    <cfRule type="cellIs" dxfId="25796" priority="14800" stopIfTrue="1" operator="equal">
      <formula>"Napkin Hs"</formula>
    </cfRule>
  </conditionalFormatting>
  <conditionalFormatting sqref="C50">
    <cfRule type="cellIs" dxfId="25795" priority="14753" stopIfTrue="1" operator="equal">
      <formula>"Towel"</formula>
    </cfRule>
    <cfRule type="cellIs" dxfId="25794" priority="14754" stopIfTrue="1" operator="equal">
      <formula>"Napkin Hs"</formula>
    </cfRule>
    <cfRule type="cellIs" dxfId="25793" priority="14755" stopIfTrue="1" operator="equal">
      <formula>"Towel"</formula>
    </cfRule>
    <cfRule type="cellIs" dxfId="25792" priority="14756" stopIfTrue="1" operator="equal">
      <formula>"Napkin Hs"</formula>
    </cfRule>
    <cfRule type="cellIs" dxfId="25791" priority="14759" stopIfTrue="1" operator="equal">
      <formula>"Towel"</formula>
    </cfRule>
    <cfRule type="cellIs" dxfId="25790" priority="14760" stopIfTrue="1" operator="equal">
      <formula>"Napkin Hs"</formula>
    </cfRule>
    <cfRule type="cellIs" dxfId="25789" priority="14761" stopIfTrue="1" operator="equal">
      <formula>"Towel"</formula>
    </cfRule>
    <cfRule type="cellIs" dxfId="25788" priority="14762" stopIfTrue="1" operator="equal">
      <formula>"Napkin Hs"</formula>
    </cfRule>
    <cfRule type="cellIs" dxfId="25787" priority="14765" stopIfTrue="1" operator="equal">
      <formula>"Towel"</formula>
    </cfRule>
    <cfRule type="cellIs" dxfId="25786" priority="14766" stopIfTrue="1" operator="equal">
      <formula>"Napkin Hs"</formula>
    </cfRule>
    <cfRule type="cellIs" dxfId="25785" priority="14767" stopIfTrue="1" operator="equal">
      <formula>"Towel"</formula>
    </cfRule>
    <cfRule type="cellIs" dxfId="25784" priority="14768" stopIfTrue="1" operator="equal">
      <formula>"Napkin Hs"</formula>
    </cfRule>
    <cfRule type="cellIs" dxfId="25783" priority="14771" stopIfTrue="1" operator="equal">
      <formula>"Towel"</formula>
    </cfRule>
    <cfRule type="cellIs" dxfId="25782" priority="14772" stopIfTrue="1" operator="equal">
      <formula>"Napkin Hs"</formula>
    </cfRule>
    <cfRule type="cellIs" dxfId="25781" priority="14773" stopIfTrue="1" operator="equal">
      <formula>"Towel"</formula>
    </cfRule>
    <cfRule type="cellIs" dxfId="25780" priority="14774" stopIfTrue="1" operator="equal">
      <formula>"Napkin Hs"</formula>
    </cfRule>
    <cfRule type="cellIs" dxfId="25779" priority="14777" stopIfTrue="1" operator="equal">
      <formula>"Towel"</formula>
    </cfRule>
    <cfRule type="cellIs" dxfId="25778" priority="14778" stopIfTrue="1" operator="equal">
      <formula>"Napkin Hs"</formula>
    </cfRule>
    <cfRule type="cellIs" dxfId="25777" priority="14779" stopIfTrue="1" operator="equal">
      <formula>"Towel"</formula>
    </cfRule>
    <cfRule type="cellIs" dxfId="25776" priority="14780" stopIfTrue="1" operator="equal">
      <formula>"Napkin Hs"</formula>
    </cfRule>
    <cfRule type="cellIs" dxfId="25775" priority="14783" stopIfTrue="1" operator="equal">
      <formula>"Towel"</formula>
    </cfRule>
    <cfRule type="cellIs" dxfId="25774" priority="14784" stopIfTrue="1" operator="equal">
      <formula>"Napkin Hs"</formula>
    </cfRule>
    <cfRule type="cellIs" dxfId="25773" priority="14785" stopIfTrue="1" operator="equal">
      <formula>"Towel"</formula>
    </cfRule>
    <cfRule type="cellIs" dxfId="25772" priority="14786" stopIfTrue="1" operator="equal">
      <formula>"Napkin Hs"</formula>
    </cfRule>
    <cfRule type="cellIs" dxfId="25771" priority="14789" stopIfTrue="1" operator="equal">
      <formula>"Towel"</formula>
    </cfRule>
    <cfRule type="cellIs" dxfId="25770" priority="14790" stopIfTrue="1" operator="equal">
      <formula>"Napkin Hs"</formula>
    </cfRule>
    <cfRule type="cellIs" dxfId="25769" priority="14791" stopIfTrue="1" operator="equal">
      <formula>"Towel"</formula>
    </cfRule>
    <cfRule type="cellIs" dxfId="25768" priority="14792" stopIfTrue="1" operator="equal">
      <formula>"Napkin Hs"</formula>
    </cfRule>
    <cfRule type="cellIs" dxfId="25767" priority="14795" stopIfTrue="1" operator="equal">
      <formula>"Towel"</formula>
    </cfRule>
    <cfRule type="cellIs" dxfId="25766" priority="14796" stopIfTrue="1" operator="equal">
      <formula>"Napkin Hs"</formula>
    </cfRule>
  </conditionalFormatting>
  <conditionalFormatting sqref="C50">
    <cfRule type="cellIs" dxfId="25765" priority="14797" stopIfTrue="1" operator="equal">
      <formula>"Towel"</formula>
    </cfRule>
    <cfRule type="cellIs" dxfId="25764" priority="14798" stopIfTrue="1" operator="equal">
      <formula>"Napkin Hs"</formula>
    </cfRule>
  </conditionalFormatting>
  <conditionalFormatting sqref="B50">
    <cfRule type="cellIs" dxfId="25763" priority="14747" stopIfTrue="1" operator="equal">
      <formula>"Towel"</formula>
    </cfRule>
    <cfRule type="cellIs" dxfId="25762" priority="14748" stopIfTrue="1" operator="equal">
      <formula>"Napkin Hs"</formula>
    </cfRule>
    <cfRule type="cellIs" dxfId="25761" priority="14749" stopIfTrue="1" operator="equal">
      <formula>"Towel"</formula>
    </cfRule>
    <cfRule type="cellIs" dxfId="25760" priority="14750" stopIfTrue="1" operator="equal">
      <formula>"Napkin Hs"</formula>
    </cfRule>
    <cfRule type="cellIs" dxfId="25759" priority="14751" stopIfTrue="1" operator="equal">
      <formula>"Towel"</formula>
    </cfRule>
    <cfRule type="cellIs" dxfId="25758" priority="14752" stopIfTrue="1" operator="equal">
      <formula>"Napkin Hs"</formula>
    </cfRule>
  </conditionalFormatting>
  <conditionalFormatting sqref="B50:C50">
    <cfRule type="cellIs" dxfId="25757" priority="14709" stopIfTrue="1" operator="equal">
      <formula>"Towel"</formula>
    </cfRule>
    <cfRule type="cellIs" dxfId="25756" priority="14710" stopIfTrue="1" operator="equal">
      <formula>"Napkin Hs"</formula>
    </cfRule>
    <cfRule type="cellIs" dxfId="25755" priority="14715" stopIfTrue="1" operator="equal">
      <formula>"Towel"</formula>
    </cfRule>
    <cfRule type="cellIs" dxfId="25754" priority="14716" stopIfTrue="1" operator="equal">
      <formula>"Napkin Hs"</formula>
    </cfRule>
    <cfRule type="cellIs" dxfId="25753" priority="14721" stopIfTrue="1" operator="equal">
      <formula>"Towel"</formula>
    </cfRule>
    <cfRule type="cellIs" dxfId="25752" priority="14722" stopIfTrue="1" operator="equal">
      <formula>"Napkin Hs"</formula>
    </cfRule>
    <cfRule type="cellIs" dxfId="25751" priority="14727" stopIfTrue="1" operator="equal">
      <formula>"Towel"</formula>
    </cfRule>
    <cfRule type="cellIs" dxfId="25750" priority="14728" stopIfTrue="1" operator="equal">
      <formula>"Napkin Hs"</formula>
    </cfRule>
    <cfRule type="cellIs" dxfId="25749" priority="14733" stopIfTrue="1" operator="equal">
      <formula>"Towel"</formula>
    </cfRule>
    <cfRule type="cellIs" dxfId="25748" priority="14734" stopIfTrue="1" operator="equal">
      <formula>"Napkin Hs"</formula>
    </cfRule>
    <cfRule type="cellIs" dxfId="25747" priority="14739" stopIfTrue="1" operator="equal">
      <formula>"Towel"</formula>
    </cfRule>
    <cfRule type="cellIs" dxfId="25746" priority="14740" stopIfTrue="1" operator="equal">
      <formula>"Napkin Hs"</formula>
    </cfRule>
    <cfRule type="cellIs" dxfId="25745" priority="14745" stopIfTrue="1" operator="equal">
      <formula>"Towel"</formula>
    </cfRule>
    <cfRule type="cellIs" dxfId="25744" priority="14746" stopIfTrue="1" operator="equal">
      <formula>"Napkin Hs"</formula>
    </cfRule>
  </conditionalFormatting>
  <conditionalFormatting sqref="C50">
    <cfRule type="cellIs" dxfId="25743" priority="14705" stopIfTrue="1" operator="equal">
      <formula>"Towel"</formula>
    </cfRule>
    <cfRule type="cellIs" dxfId="25742" priority="14706" stopIfTrue="1" operator="equal">
      <formula>"Napkin Hs"</formula>
    </cfRule>
    <cfRule type="cellIs" dxfId="25741" priority="14707" stopIfTrue="1" operator="equal">
      <formula>"Towel"</formula>
    </cfRule>
    <cfRule type="cellIs" dxfId="25740" priority="14708" stopIfTrue="1" operator="equal">
      <formula>"Napkin Hs"</formula>
    </cfRule>
    <cfRule type="cellIs" dxfId="25739" priority="14711" stopIfTrue="1" operator="equal">
      <formula>"Towel"</formula>
    </cfRule>
    <cfRule type="cellIs" dxfId="25738" priority="14712" stopIfTrue="1" operator="equal">
      <formula>"Napkin Hs"</formula>
    </cfRule>
    <cfRule type="cellIs" dxfId="25737" priority="14713" stopIfTrue="1" operator="equal">
      <formula>"Towel"</formula>
    </cfRule>
    <cfRule type="cellIs" dxfId="25736" priority="14714" stopIfTrue="1" operator="equal">
      <formula>"Napkin Hs"</formula>
    </cfRule>
    <cfRule type="cellIs" dxfId="25735" priority="14717" stopIfTrue="1" operator="equal">
      <formula>"Towel"</formula>
    </cfRule>
    <cfRule type="cellIs" dxfId="25734" priority="14718" stopIfTrue="1" operator="equal">
      <formula>"Napkin Hs"</formula>
    </cfRule>
    <cfRule type="cellIs" dxfId="25733" priority="14719" stopIfTrue="1" operator="equal">
      <formula>"Towel"</formula>
    </cfRule>
    <cfRule type="cellIs" dxfId="25732" priority="14720" stopIfTrue="1" operator="equal">
      <formula>"Napkin Hs"</formula>
    </cfRule>
    <cfRule type="cellIs" dxfId="25731" priority="14723" stopIfTrue="1" operator="equal">
      <formula>"Towel"</formula>
    </cfRule>
    <cfRule type="cellIs" dxfId="25730" priority="14724" stopIfTrue="1" operator="equal">
      <formula>"Napkin Hs"</formula>
    </cfRule>
    <cfRule type="cellIs" dxfId="25729" priority="14725" stopIfTrue="1" operator="equal">
      <formula>"Towel"</formula>
    </cfRule>
    <cfRule type="cellIs" dxfId="25728" priority="14726" stopIfTrue="1" operator="equal">
      <formula>"Napkin Hs"</formula>
    </cfRule>
    <cfRule type="cellIs" dxfId="25727" priority="14729" stopIfTrue="1" operator="equal">
      <formula>"Towel"</formula>
    </cfRule>
    <cfRule type="cellIs" dxfId="25726" priority="14730" stopIfTrue="1" operator="equal">
      <formula>"Napkin Hs"</formula>
    </cfRule>
    <cfRule type="cellIs" dxfId="25725" priority="14731" stopIfTrue="1" operator="equal">
      <formula>"Towel"</formula>
    </cfRule>
    <cfRule type="cellIs" dxfId="25724" priority="14732" stopIfTrue="1" operator="equal">
      <formula>"Napkin Hs"</formula>
    </cfRule>
    <cfRule type="cellIs" dxfId="25723" priority="14735" stopIfTrue="1" operator="equal">
      <formula>"Towel"</formula>
    </cfRule>
    <cfRule type="cellIs" dxfId="25722" priority="14736" stopIfTrue="1" operator="equal">
      <formula>"Napkin Hs"</formula>
    </cfRule>
    <cfRule type="cellIs" dxfId="25721" priority="14737" stopIfTrue="1" operator="equal">
      <formula>"Towel"</formula>
    </cfRule>
    <cfRule type="cellIs" dxfId="25720" priority="14738" stopIfTrue="1" operator="equal">
      <formula>"Napkin Hs"</formula>
    </cfRule>
    <cfRule type="cellIs" dxfId="25719" priority="14741" stopIfTrue="1" operator="equal">
      <formula>"Towel"</formula>
    </cfRule>
    <cfRule type="cellIs" dxfId="25718" priority="14742" stopIfTrue="1" operator="equal">
      <formula>"Napkin Hs"</formula>
    </cfRule>
  </conditionalFormatting>
  <conditionalFormatting sqref="C50">
    <cfRule type="cellIs" dxfId="25717" priority="14743" stopIfTrue="1" operator="equal">
      <formula>"Towel"</formula>
    </cfRule>
    <cfRule type="cellIs" dxfId="25716" priority="14744" stopIfTrue="1" operator="equal">
      <formula>"Napkin Hs"</formula>
    </cfRule>
  </conditionalFormatting>
  <conditionalFormatting sqref="B50:C50">
    <cfRule type="cellIs" dxfId="25715" priority="14703" stopIfTrue="1" operator="equal">
      <formula>"Towel"</formula>
    </cfRule>
    <cfRule type="cellIs" dxfId="25714" priority="14704" stopIfTrue="1" operator="equal">
      <formula>"Napkin Hs"</formula>
    </cfRule>
  </conditionalFormatting>
  <conditionalFormatting sqref="B50:C50">
    <cfRule type="cellIs" dxfId="25713" priority="14667" stopIfTrue="1" operator="equal">
      <formula>"Towel"</formula>
    </cfRule>
    <cfRule type="cellIs" dxfId="25712" priority="14668" stopIfTrue="1" operator="equal">
      <formula>"Napkin Hs"</formula>
    </cfRule>
    <cfRule type="cellIs" dxfId="25711" priority="14673" stopIfTrue="1" operator="equal">
      <formula>"Towel"</formula>
    </cfRule>
    <cfRule type="cellIs" dxfId="25710" priority="14674" stopIfTrue="1" operator="equal">
      <formula>"Napkin Hs"</formula>
    </cfRule>
    <cfRule type="cellIs" dxfId="25709" priority="14679" stopIfTrue="1" operator="equal">
      <formula>"Towel"</formula>
    </cfRule>
    <cfRule type="cellIs" dxfId="25708" priority="14680" stopIfTrue="1" operator="equal">
      <formula>"Napkin Hs"</formula>
    </cfRule>
    <cfRule type="cellIs" dxfId="25707" priority="14685" stopIfTrue="1" operator="equal">
      <formula>"Towel"</formula>
    </cfRule>
    <cfRule type="cellIs" dxfId="25706" priority="14686" stopIfTrue="1" operator="equal">
      <formula>"Napkin Hs"</formula>
    </cfRule>
    <cfRule type="cellIs" dxfId="25705" priority="14691" stopIfTrue="1" operator="equal">
      <formula>"Towel"</formula>
    </cfRule>
    <cfRule type="cellIs" dxfId="25704" priority="14692" stopIfTrue="1" operator="equal">
      <formula>"Napkin Hs"</formula>
    </cfRule>
    <cfRule type="cellIs" dxfId="25703" priority="14697" stopIfTrue="1" operator="equal">
      <formula>"Towel"</formula>
    </cfRule>
    <cfRule type="cellIs" dxfId="25702" priority="14698" stopIfTrue="1" operator="equal">
      <formula>"Napkin Hs"</formula>
    </cfRule>
  </conditionalFormatting>
  <conditionalFormatting sqref="C50">
    <cfRule type="cellIs" dxfId="25701" priority="14702" stopIfTrue="1" operator="equal">
      <formula>"Napkin Hs"</formula>
    </cfRule>
  </conditionalFormatting>
  <conditionalFormatting sqref="C50">
    <cfRule type="cellIs" dxfId="25700" priority="14701" stopIfTrue="1" operator="equal">
      <formula>"Towel"</formula>
    </cfRule>
  </conditionalFormatting>
  <conditionalFormatting sqref="C50">
    <cfRule type="cellIs" dxfId="25699" priority="14695" stopIfTrue="1" operator="equal">
      <formula>"Towel"</formula>
    </cfRule>
    <cfRule type="cellIs" dxfId="25698" priority="14696" stopIfTrue="1" operator="equal">
      <formula>"Napkin Hs"</formula>
    </cfRule>
  </conditionalFormatting>
  <conditionalFormatting sqref="C50">
    <cfRule type="cellIs" dxfId="25697" priority="14693" stopIfTrue="1" operator="equal">
      <formula>"Towel"</formula>
    </cfRule>
    <cfRule type="cellIs" dxfId="25696" priority="14694" stopIfTrue="1" operator="equal">
      <formula>"Napkin Hs"</formula>
    </cfRule>
    <cfRule type="cellIs" dxfId="25695" priority="14699" stopIfTrue="1" operator="equal">
      <formula>"Towel"</formula>
    </cfRule>
    <cfRule type="cellIs" dxfId="25694" priority="14700" stopIfTrue="1" operator="equal">
      <formula>"Napkin Hs"</formula>
    </cfRule>
  </conditionalFormatting>
  <conditionalFormatting sqref="C50">
    <cfRule type="cellIs" dxfId="25693" priority="14665" stopIfTrue="1" operator="equal">
      <formula>"Towel"</formula>
    </cfRule>
    <cfRule type="cellIs" dxfId="25692" priority="14666" stopIfTrue="1" operator="equal">
      <formula>"Napkin Hs"</formula>
    </cfRule>
    <cfRule type="cellIs" dxfId="25691" priority="14669" stopIfTrue="1" operator="equal">
      <formula>"Towel"</formula>
    </cfRule>
    <cfRule type="cellIs" dxfId="25690" priority="14670" stopIfTrue="1" operator="equal">
      <formula>"Napkin Hs"</formula>
    </cfRule>
    <cfRule type="cellIs" dxfId="25689" priority="14671" stopIfTrue="1" operator="equal">
      <formula>"Towel"</formula>
    </cfRule>
    <cfRule type="cellIs" dxfId="25688" priority="14672" stopIfTrue="1" operator="equal">
      <formula>"Napkin Hs"</formula>
    </cfRule>
    <cfRule type="cellIs" dxfId="25687" priority="14675" stopIfTrue="1" operator="equal">
      <formula>"Towel"</formula>
    </cfRule>
    <cfRule type="cellIs" dxfId="25686" priority="14676" stopIfTrue="1" operator="equal">
      <formula>"Napkin Hs"</formula>
    </cfRule>
    <cfRule type="cellIs" dxfId="25685" priority="14677" stopIfTrue="1" operator="equal">
      <formula>"Towel"</formula>
    </cfRule>
    <cfRule type="cellIs" dxfId="25684" priority="14678" stopIfTrue="1" operator="equal">
      <formula>"Napkin Hs"</formula>
    </cfRule>
    <cfRule type="cellIs" dxfId="25683" priority="14681" stopIfTrue="1" operator="equal">
      <formula>"Towel"</formula>
    </cfRule>
    <cfRule type="cellIs" dxfId="25682" priority="14682" stopIfTrue="1" operator="equal">
      <formula>"Napkin Hs"</formula>
    </cfRule>
    <cfRule type="cellIs" dxfId="25681" priority="14683" stopIfTrue="1" operator="equal">
      <formula>"Towel"</formula>
    </cfRule>
    <cfRule type="cellIs" dxfId="25680" priority="14684" stopIfTrue="1" operator="equal">
      <formula>"Napkin Hs"</formula>
    </cfRule>
    <cfRule type="cellIs" dxfId="25679" priority="14687" stopIfTrue="1" operator="equal">
      <formula>"Towel"</formula>
    </cfRule>
    <cfRule type="cellIs" dxfId="25678" priority="14688" stopIfTrue="1" operator="equal">
      <formula>"Napkin Hs"</formula>
    </cfRule>
    <cfRule type="cellIs" dxfId="25677" priority="14689" stopIfTrue="1" operator="equal">
      <formula>"Towel"</formula>
    </cfRule>
    <cfRule type="cellIs" dxfId="25676" priority="14690" stopIfTrue="1" operator="equal">
      <formula>"Napkin Hs"</formula>
    </cfRule>
  </conditionalFormatting>
  <conditionalFormatting sqref="C50">
    <cfRule type="cellIs" dxfId="25675" priority="14663" stopIfTrue="1" operator="equal">
      <formula>"Towel"</formula>
    </cfRule>
    <cfRule type="cellIs" dxfId="25674" priority="14664" stopIfTrue="1" operator="equal">
      <formula>"Napkin Hs"</formula>
    </cfRule>
  </conditionalFormatting>
  <conditionalFormatting sqref="C50">
    <cfRule type="cellIs" dxfId="25673" priority="14643" stopIfTrue="1" operator="equal">
      <formula>"Towel"</formula>
    </cfRule>
    <cfRule type="cellIs" dxfId="25672" priority="14644" stopIfTrue="1" operator="equal">
      <formula>"Napkin Hs"</formula>
    </cfRule>
    <cfRule type="cellIs" dxfId="25671" priority="14649" stopIfTrue="1" operator="equal">
      <formula>"Towel"</formula>
    </cfRule>
    <cfRule type="cellIs" dxfId="25670" priority="14650" stopIfTrue="1" operator="equal">
      <formula>"Napkin Hs"</formula>
    </cfRule>
    <cfRule type="cellIs" dxfId="25669" priority="14655" stopIfTrue="1" operator="equal">
      <formula>"Towel"</formula>
    </cfRule>
    <cfRule type="cellIs" dxfId="25668" priority="14656" stopIfTrue="1" operator="equal">
      <formula>"Napkin Hs"</formula>
    </cfRule>
    <cfRule type="cellIs" dxfId="25667" priority="14661" stopIfTrue="1" operator="equal">
      <formula>"Towel"</formula>
    </cfRule>
    <cfRule type="cellIs" dxfId="25666" priority="14662" stopIfTrue="1" operator="equal">
      <formula>"Napkin Hs"</formula>
    </cfRule>
  </conditionalFormatting>
  <conditionalFormatting sqref="C50">
    <cfRule type="cellIs" dxfId="25665" priority="14653" stopIfTrue="1" operator="equal">
      <formula>"Towel"</formula>
    </cfRule>
    <cfRule type="cellIs" dxfId="25664" priority="14654" stopIfTrue="1" operator="equal">
      <formula>"Napkin Hs"</formula>
    </cfRule>
    <cfRule type="cellIs" dxfId="25663" priority="14659" stopIfTrue="1" operator="equal">
      <formula>"Towel"</formula>
    </cfRule>
    <cfRule type="cellIs" dxfId="25662" priority="14660" stopIfTrue="1" operator="equal">
      <formula>"Napkin Hs"</formula>
    </cfRule>
  </conditionalFormatting>
  <conditionalFormatting sqref="C50">
    <cfRule type="cellIs" dxfId="25661" priority="14639" stopIfTrue="1" operator="equal">
      <formula>"Towel"</formula>
    </cfRule>
    <cfRule type="cellIs" dxfId="25660" priority="14640" stopIfTrue="1" operator="equal">
      <formula>"Napkin Hs"</formula>
    </cfRule>
    <cfRule type="cellIs" dxfId="25659" priority="14647" stopIfTrue="1" operator="equal">
      <formula>"Towel"</formula>
    </cfRule>
    <cfRule type="cellIs" dxfId="25658" priority="14648" stopIfTrue="1" operator="equal">
      <formula>"Napkin Hs"</formula>
    </cfRule>
    <cfRule type="cellIs" dxfId="25657" priority="14651" stopIfTrue="1" operator="equal">
      <formula>"Towel"</formula>
    </cfRule>
    <cfRule type="cellIs" dxfId="25656" priority="14652" stopIfTrue="1" operator="equal">
      <formula>"Napkin Hs"</formula>
    </cfRule>
  </conditionalFormatting>
  <conditionalFormatting sqref="C50">
    <cfRule type="cellIs" dxfId="25655" priority="14641" stopIfTrue="1" operator="equal">
      <formula>"Towel"</formula>
    </cfRule>
    <cfRule type="cellIs" dxfId="25654" priority="14642" stopIfTrue="1" operator="equal">
      <formula>"Napkin Hs"</formula>
    </cfRule>
    <cfRule type="cellIs" dxfId="25653" priority="14645" stopIfTrue="1" operator="equal">
      <formula>"Towel"</formula>
    </cfRule>
    <cfRule type="cellIs" dxfId="25652" priority="14646" stopIfTrue="1" operator="equal">
      <formula>"Napkin Hs"</formula>
    </cfRule>
    <cfRule type="cellIs" dxfId="25651" priority="14657" stopIfTrue="1" operator="equal">
      <formula>"Towel"</formula>
    </cfRule>
    <cfRule type="cellIs" dxfId="25650" priority="14658" stopIfTrue="1" operator="equal">
      <formula>"Napkin Hs"</formula>
    </cfRule>
  </conditionalFormatting>
  <conditionalFormatting sqref="C50">
    <cfRule type="cellIs" dxfId="25649" priority="14637" stopIfTrue="1" operator="equal">
      <formula>"Towel"</formula>
    </cfRule>
    <cfRule type="cellIs" dxfId="25648" priority="14638" stopIfTrue="1" operator="equal">
      <formula>"Napkin Hs"</formula>
    </cfRule>
  </conditionalFormatting>
  <conditionalFormatting sqref="C50">
    <cfRule type="cellIs" dxfId="25647" priority="14633" stopIfTrue="1" operator="equal">
      <formula>"Towel"</formula>
    </cfRule>
    <cfRule type="cellIs" dxfId="25646" priority="14634" stopIfTrue="1" operator="equal">
      <formula>"Napkin Hs"</formula>
    </cfRule>
  </conditionalFormatting>
  <conditionalFormatting sqref="C50">
    <cfRule type="cellIs" dxfId="25645" priority="14635" stopIfTrue="1" operator="equal">
      <formula>"Towel"</formula>
    </cfRule>
    <cfRule type="cellIs" dxfId="25644" priority="14636" stopIfTrue="1" operator="equal">
      <formula>"Napkin Hs"</formula>
    </cfRule>
  </conditionalFormatting>
  <conditionalFormatting sqref="C50">
    <cfRule type="cellIs" dxfId="25643" priority="14631" stopIfTrue="1" operator="equal">
      <formula>"Towel"</formula>
    </cfRule>
    <cfRule type="cellIs" dxfId="25642" priority="14632" stopIfTrue="1" operator="equal">
      <formula>"Napkin Hs"</formula>
    </cfRule>
  </conditionalFormatting>
  <conditionalFormatting sqref="C50">
    <cfRule type="cellIs" dxfId="25641" priority="14627" stopIfTrue="1" operator="equal">
      <formula>"Towel"</formula>
    </cfRule>
    <cfRule type="cellIs" dxfId="25640" priority="14628" stopIfTrue="1" operator="equal">
      <formula>"Napkin Hs"</formula>
    </cfRule>
  </conditionalFormatting>
  <conditionalFormatting sqref="C50">
    <cfRule type="cellIs" dxfId="25639" priority="14629" stopIfTrue="1" operator="equal">
      <formula>"Towel"</formula>
    </cfRule>
    <cfRule type="cellIs" dxfId="25638" priority="14630" stopIfTrue="1" operator="equal">
      <formula>"Napkin Hs"</formula>
    </cfRule>
  </conditionalFormatting>
  <conditionalFormatting sqref="C50">
    <cfRule type="cellIs" dxfId="25637" priority="14625" stopIfTrue="1" operator="equal">
      <formula>"Towel"</formula>
    </cfRule>
    <cfRule type="cellIs" dxfId="25636" priority="14626" stopIfTrue="1" operator="equal">
      <formula>"Napkin Hs"</formula>
    </cfRule>
  </conditionalFormatting>
  <conditionalFormatting sqref="C50">
    <cfRule type="cellIs" dxfId="25635" priority="14621" stopIfTrue="1" operator="equal">
      <formula>"Towel"</formula>
    </cfRule>
    <cfRule type="cellIs" dxfId="25634" priority="14622" stopIfTrue="1" operator="equal">
      <formula>"Napkin Hs"</formula>
    </cfRule>
  </conditionalFormatting>
  <conditionalFormatting sqref="C50">
    <cfRule type="cellIs" dxfId="25633" priority="14623" stopIfTrue="1" operator="equal">
      <formula>"Towel"</formula>
    </cfRule>
    <cfRule type="cellIs" dxfId="25632" priority="14624" stopIfTrue="1" operator="equal">
      <formula>"Napkin Hs"</formula>
    </cfRule>
  </conditionalFormatting>
  <conditionalFormatting sqref="C50">
    <cfRule type="cellIs" dxfId="25631" priority="14619" stopIfTrue="1" operator="equal">
      <formula>"Towel"</formula>
    </cfRule>
    <cfRule type="cellIs" dxfId="25630" priority="14620" stopIfTrue="1" operator="equal">
      <formula>"Napkin Hs"</formula>
    </cfRule>
  </conditionalFormatting>
  <conditionalFormatting sqref="C50">
    <cfRule type="cellIs" dxfId="25629" priority="14617" stopIfTrue="1" operator="equal">
      <formula>"Towel"</formula>
    </cfRule>
    <cfRule type="cellIs" dxfId="25628" priority="14618" stopIfTrue="1" operator="equal">
      <formula>"Napkin Hs"</formula>
    </cfRule>
  </conditionalFormatting>
  <conditionalFormatting sqref="C50">
    <cfRule type="cellIs" dxfId="25627" priority="14615" stopIfTrue="1" operator="equal">
      <formula>"Towel"</formula>
    </cfRule>
    <cfRule type="cellIs" dxfId="25626" priority="14616" stopIfTrue="1" operator="equal">
      <formula>"Napkin Hs"</formula>
    </cfRule>
  </conditionalFormatting>
  <conditionalFormatting sqref="C50">
    <cfRule type="cellIs" dxfId="25625" priority="14613" stopIfTrue="1" operator="equal">
      <formula>"Towel"</formula>
    </cfRule>
    <cfRule type="cellIs" dxfId="25624" priority="14614" stopIfTrue="1" operator="equal">
      <formula>"Napkin Hs"</formula>
    </cfRule>
  </conditionalFormatting>
  <conditionalFormatting sqref="C50">
    <cfRule type="cellIs" dxfId="25623" priority="14612" stopIfTrue="1" operator="equal">
      <formula>"Napkin Hs"</formula>
    </cfRule>
  </conditionalFormatting>
  <conditionalFormatting sqref="C50">
    <cfRule type="cellIs" dxfId="25622" priority="14609" stopIfTrue="1" operator="equal">
      <formula>"Towel"</formula>
    </cfRule>
    <cfRule type="cellIs" dxfId="25621" priority="14610" stopIfTrue="1" operator="equal">
      <formula>"Napkin Hs"</formula>
    </cfRule>
  </conditionalFormatting>
  <conditionalFormatting sqref="C50">
    <cfRule type="cellIs" dxfId="25620" priority="14611" stopIfTrue="1" operator="equal">
      <formula>"Towel"</formula>
    </cfRule>
  </conditionalFormatting>
  <conditionalFormatting sqref="B50">
    <cfRule type="cellIs" dxfId="25619" priority="14607" stopIfTrue="1" operator="equal">
      <formula>"Towel"</formula>
    </cfRule>
    <cfRule type="cellIs" dxfId="25618" priority="14608" stopIfTrue="1" operator="equal">
      <formula>"Napkin Hs"</formula>
    </cfRule>
  </conditionalFormatting>
  <conditionalFormatting sqref="B50">
    <cfRule type="cellIs" dxfId="25617" priority="14605" stopIfTrue="1" operator="equal">
      <formula>"Towel"</formula>
    </cfRule>
    <cfRule type="cellIs" dxfId="25616" priority="14606" stopIfTrue="1" operator="equal">
      <formula>"Napkin Hs"</formula>
    </cfRule>
  </conditionalFormatting>
  <conditionalFormatting sqref="B50">
    <cfRule type="cellIs" dxfId="25615" priority="14603" stopIfTrue="1" operator="equal">
      <formula>"Towel"</formula>
    </cfRule>
    <cfRule type="cellIs" dxfId="25614" priority="14604" stopIfTrue="1" operator="equal">
      <formula>"Napkin Hs"</formula>
    </cfRule>
  </conditionalFormatting>
  <conditionalFormatting sqref="B50">
    <cfRule type="cellIs" dxfId="25613" priority="14601" stopIfTrue="1" operator="equal">
      <formula>"Towel"</formula>
    </cfRule>
    <cfRule type="cellIs" dxfId="25612" priority="14602" stopIfTrue="1" operator="equal">
      <formula>"Napkin Hs"</formula>
    </cfRule>
  </conditionalFormatting>
  <conditionalFormatting sqref="B50">
    <cfRule type="cellIs" dxfId="25611" priority="14599" stopIfTrue="1" operator="equal">
      <formula>"Towel"</formula>
    </cfRule>
    <cfRule type="cellIs" dxfId="25610" priority="14600" stopIfTrue="1" operator="equal">
      <formula>"Napkin Hs"</formula>
    </cfRule>
  </conditionalFormatting>
  <conditionalFormatting sqref="B50">
    <cfRule type="cellIs" dxfId="25609" priority="14597" stopIfTrue="1" operator="equal">
      <formula>"Towel"</formula>
    </cfRule>
    <cfRule type="cellIs" dxfId="25608" priority="14598" stopIfTrue="1" operator="equal">
      <formula>"Napkin Hs"</formula>
    </cfRule>
  </conditionalFormatting>
  <conditionalFormatting sqref="B50">
    <cfRule type="cellIs" dxfId="25607" priority="14593" stopIfTrue="1" operator="equal">
      <formula>"Towel"</formula>
    </cfRule>
    <cfRule type="cellIs" dxfId="25606" priority="14594" stopIfTrue="1" operator="equal">
      <formula>"Napkin Hs"</formula>
    </cfRule>
    <cfRule type="cellIs" dxfId="25605" priority="14595" stopIfTrue="1" operator="equal">
      <formula>"Towel"</formula>
    </cfRule>
    <cfRule type="cellIs" dxfId="25604" priority="14596" stopIfTrue="1" operator="equal">
      <formula>"Napkin Hs"</formula>
    </cfRule>
  </conditionalFormatting>
  <conditionalFormatting sqref="B50">
    <cfRule type="cellIs" dxfId="25603" priority="14591" stopIfTrue="1" operator="equal">
      <formula>"Towel"</formula>
    </cfRule>
    <cfRule type="cellIs" dxfId="25602" priority="14592" stopIfTrue="1" operator="equal">
      <formula>"Napkin Hs"</formula>
    </cfRule>
  </conditionalFormatting>
  <conditionalFormatting sqref="B50">
    <cfRule type="cellIs" dxfId="25601" priority="14589" stopIfTrue="1" operator="equal">
      <formula>"Towel"</formula>
    </cfRule>
    <cfRule type="cellIs" dxfId="25600" priority="14590" stopIfTrue="1" operator="equal">
      <formula>"Napkin Hs"</formula>
    </cfRule>
  </conditionalFormatting>
  <conditionalFormatting sqref="B50">
    <cfRule type="cellIs" dxfId="25599" priority="14587" stopIfTrue="1" operator="equal">
      <formula>"Towel"</formula>
    </cfRule>
    <cfRule type="cellIs" dxfId="25598" priority="14588" stopIfTrue="1" operator="equal">
      <formula>"Napkin Hs"</formula>
    </cfRule>
  </conditionalFormatting>
  <conditionalFormatting sqref="B50">
    <cfRule type="cellIs" dxfId="25597" priority="14585" stopIfTrue="1" operator="equal">
      <formula>"Towel"</formula>
    </cfRule>
    <cfRule type="cellIs" dxfId="25596" priority="14586" stopIfTrue="1" operator="equal">
      <formula>"Napkin Hs"</formula>
    </cfRule>
  </conditionalFormatting>
  <conditionalFormatting sqref="B50">
    <cfRule type="cellIs" dxfId="25595" priority="14583" stopIfTrue="1" operator="equal">
      <formula>"Towel"</formula>
    </cfRule>
    <cfRule type="cellIs" dxfId="25594" priority="14584" stopIfTrue="1" operator="equal">
      <formula>"Napkin Hs"</formula>
    </cfRule>
  </conditionalFormatting>
  <conditionalFormatting sqref="B50:C50">
    <cfRule type="cellIs" dxfId="25593" priority="14569" stopIfTrue="1" operator="equal">
      <formula>"Towel"</formula>
    </cfRule>
    <cfRule type="cellIs" dxfId="25592" priority="14570" stopIfTrue="1" operator="equal">
      <formula>"Napkin Hs"</formula>
    </cfRule>
    <cfRule type="cellIs" dxfId="25591" priority="14575" stopIfTrue="1" operator="equal">
      <formula>"Towel"</formula>
    </cfRule>
    <cfRule type="cellIs" dxfId="25590" priority="14576" stopIfTrue="1" operator="equal">
      <formula>"Napkin Hs"</formula>
    </cfRule>
    <cfRule type="cellIs" dxfId="25589" priority="14581" stopIfTrue="1" operator="equal">
      <formula>"Towel"</formula>
    </cfRule>
    <cfRule type="cellIs" dxfId="25588" priority="14582" stopIfTrue="1" operator="equal">
      <formula>"Napkin Hs"</formula>
    </cfRule>
  </conditionalFormatting>
  <conditionalFormatting sqref="C50">
    <cfRule type="cellIs" dxfId="25587" priority="14563" stopIfTrue="1" operator="equal">
      <formula>"Towel"</formula>
    </cfRule>
    <cfRule type="cellIs" dxfId="25586" priority="14564" stopIfTrue="1" operator="equal">
      <formula>"Napkin Hs"</formula>
    </cfRule>
    <cfRule type="cellIs" dxfId="25585" priority="14565" stopIfTrue="1" operator="equal">
      <formula>"Towel"</formula>
    </cfRule>
    <cfRule type="cellIs" dxfId="25584" priority="14566" stopIfTrue="1" operator="equal">
      <formula>"Napkin Hs"</formula>
    </cfRule>
    <cfRule type="cellIs" dxfId="25583" priority="14573" stopIfTrue="1" operator="equal">
      <formula>"Towel"</formula>
    </cfRule>
    <cfRule type="cellIs" dxfId="25582" priority="14574" stopIfTrue="1" operator="equal">
      <formula>"Napkin Hs"</formula>
    </cfRule>
    <cfRule type="cellIs" dxfId="25581" priority="14577" stopIfTrue="1" operator="equal">
      <formula>"Towel"</formula>
    </cfRule>
    <cfRule type="cellIs" dxfId="25580" priority="14578" stopIfTrue="1" operator="equal">
      <formula>"Napkin Hs"</formula>
    </cfRule>
  </conditionalFormatting>
  <conditionalFormatting sqref="C50">
    <cfRule type="cellIs" dxfId="25579" priority="14567" stopIfTrue="1" operator="equal">
      <formula>"Towel"</formula>
    </cfRule>
    <cfRule type="cellIs" dxfId="25578" priority="14568" stopIfTrue="1" operator="equal">
      <formula>"Napkin Hs"</formula>
    </cfRule>
    <cfRule type="cellIs" dxfId="25577" priority="14571" stopIfTrue="1" operator="equal">
      <formula>"Towel"</formula>
    </cfRule>
    <cfRule type="cellIs" dxfId="25576" priority="14572" stopIfTrue="1" operator="equal">
      <formula>"Napkin Hs"</formula>
    </cfRule>
    <cfRule type="cellIs" dxfId="25575" priority="14579" stopIfTrue="1" operator="equal">
      <formula>"Towel"</formula>
    </cfRule>
    <cfRule type="cellIs" dxfId="25574" priority="14580" stopIfTrue="1" operator="equal">
      <formula>"Napkin Hs"</formula>
    </cfRule>
  </conditionalFormatting>
  <conditionalFormatting sqref="B50:C50">
    <cfRule type="cellIs" dxfId="25573" priority="14561" stopIfTrue="1" operator="equal">
      <formula>"Towel"</formula>
    </cfRule>
    <cfRule type="cellIs" dxfId="25572" priority="14562" stopIfTrue="1" operator="equal">
      <formula>"Napkin Hs"</formula>
    </cfRule>
  </conditionalFormatting>
  <conditionalFormatting sqref="B50:C50">
    <cfRule type="cellIs" dxfId="25571" priority="14553" stopIfTrue="1" operator="equal">
      <formula>"Towel"</formula>
    </cfRule>
    <cfRule type="cellIs" dxfId="25570" priority="14554" stopIfTrue="1" operator="equal">
      <formula>"Napkin Hs"</formula>
    </cfRule>
    <cfRule type="cellIs" dxfId="25569" priority="14559" stopIfTrue="1" operator="equal">
      <formula>"Towel"</formula>
    </cfRule>
    <cfRule type="cellIs" dxfId="25568" priority="14560" stopIfTrue="1" operator="equal">
      <formula>"Napkin Hs"</formula>
    </cfRule>
  </conditionalFormatting>
  <conditionalFormatting sqref="C50">
    <cfRule type="cellIs" dxfId="25567" priority="14549" stopIfTrue="1" operator="equal">
      <formula>"Towel"</formula>
    </cfRule>
    <cfRule type="cellIs" dxfId="25566" priority="14550" stopIfTrue="1" operator="equal">
      <formula>"Napkin Hs"</formula>
    </cfRule>
  </conditionalFormatting>
  <conditionalFormatting sqref="C50">
    <cfRule type="cellIs" dxfId="25565" priority="14547" stopIfTrue="1" operator="equal">
      <formula>"Towel"</formula>
    </cfRule>
    <cfRule type="cellIs" dxfId="25564" priority="14548" stopIfTrue="1" operator="equal">
      <formula>"Napkin Hs"</formula>
    </cfRule>
    <cfRule type="cellIs" dxfId="25563" priority="14557" stopIfTrue="1" operator="equal">
      <formula>"Towel"</formula>
    </cfRule>
    <cfRule type="cellIs" dxfId="25562" priority="14558" stopIfTrue="1" operator="equal">
      <formula>"Napkin Hs"</formula>
    </cfRule>
  </conditionalFormatting>
  <conditionalFormatting sqref="C50">
    <cfRule type="cellIs" dxfId="25561" priority="14551" stopIfTrue="1" operator="equal">
      <formula>"Towel"</formula>
    </cfRule>
    <cfRule type="cellIs" dxfId="25560" priority="14552" stopIfTrue="1" operator="equal">
      <formula>"Napkin Hs"</formula>
    </cfRule>
    <cfRule type="cellIs" dxfId="25559" priority="14555" stopIfTrue="1" operator="equal">
      <formula>"Towel"</formula>
    </cfRule>
    <cfRule type="cellIs" dxfId="25558" priority="14556" stopIfTrue="1" operator="equal">
      <formula>"Napkin Hs"</formula>
    </cfRule>
  </conditionalFormatting>
  <conditionalFormatting sqref="C50">
    <cfRule type="cellIs" dxfId="25557" priority="14546" stopIfTrue="1" operator="equal">
      <formula>"Napkin Hs"</formula>
    </cfRule>
  </conditionalFormatting>
  <conditionalFormatting sqref="C50">
    <cfRule type="cellIs" dxfId="25556" priority="14545" stopIfTrue="1" operator="equal">
      <formula>"Towel"</formula>
    </cfRule>
  </conditionalFormatting>
  <conditionalFormatting sqref="C50">
    <cfRule type="cellIs" dxfId="25555" priority="14541" stopIfTrue="1" operator="equal">
      <formula>"Towel"</formula>
    </cfRule>
    <cfRule type="cellIs" dxfId="25554" priority="14542" stopIfTrue="1" operator="equal">
      <formula>"Napkin Hs"</formula>
    </cfRule>
    <cfRule type="cellIs" dxfId="25553" priority="14543" stopIfTrue="1" operator="equal">
      <formula>"Towel"</formula>
    </cfRule>
    <cfRule type="cellIs" dxfId="25552" priority="14544" stopIfTrue="1" operator="equal">
      <formula>"Napkin Hs"</formula>
    </cfRule>
  </conditionalFormatting>
  <conditionalFormatting sqref="B50:C50">
    <cfRule type="cellIs" dxfId="25551" priority="14539" stopIfTrue="1" operator="equal">
      <formula>"Towel"</formula>
    </cfRule>
    <cfRule type="cellIs" dxfId="25550" priority="14540" stopIfTrue="1" operator="equal">
      <formula>"Napkin Hs"</formula>
    </cfRule>
  </conditionalFormatting>
  <conditionalFormatting sqref="C50">
    <cfRule type="cellIs" dxfId="25549" priority="14535" stopIfTrue="1" operator="equal">
      <formula>"Towel"</formula>
    </cfRule>
    <cfRule type="cellIs" dxfId="25548" priority="14536" stopIfTrue="1" operator="equal">
      <formula>"Napkin Hs"</formula>
    </cfRule>
  </conditionalFormatting>
  <conditionalFormatting sqref="C50">
    <cfRule type="cellIs" dxfId="25547" priority="14537" stopIfTrue="1" operator="equal">
      <formula>"Towel"</formula>
    </cfRule>
    <cfRule type="cellIs" dxfId="25546" priority="14538" stopIfTrue="1" operator="equal">
      <formula>"Napkin Hs"</formula>
    </cfRule>
  </conditionalFormatting>
  <conditionalFormatting sqref="B50:C50">
    <cfRule type="cellIs" dxfId="25545" priority="14533" stopIfTrue="1" operator="equal">
      <formula>"Towel"</formula>
    </cfRule>
    <cfRule type="cellIs" dxfId="25544" priority="14534" stopIfTrue="1" operator="equal">
      <formula>"Napkin Hs"</formula>
    </cfRule>
  </conditionalFormatting>
  <conditionalFormatting sqref="C50">
    <cfRule type="cellIs" dxfId="25543" priority="14529" stopIfTrue="1" operator="equal">
      <formula>"Towel"</formula>
    </cfRule>
    <cfRule type="cellIs" dxfId="25542" priority="14530" stopIfTrue="1" operator="equal">
      <formula>"Napkin Hs"</formula>
    </cfRule>
  </conditionalFormatting>
  <conditionalFormatting sqref="C50">
    <cfRule type="cellIs" dxfId="25541" priority="14531" stopIfTrue="1" operator="equal">
      <formula>"Towel"</formula>
    </cfRule>
    <cfRule type="cellIs" dxfId="25540" priority="14532" stopIfTrue="1" operator="equal">
      <formula>"Napkin Hs"</formula>
    </cfRule>
  </conditionalFormatting>
  <conditionalFormatting sqref="B50:C50">
    <cfRule type="cellIs" dxfId="25539" priority="14527" stopIfTrue="1" operator="equal">
      <formula>"Towel"</formula>
    </cfRule>
    <cfRule type="cellIs" dxfId="25538" priority="14528" stopIfTrue="1" operator="equal">
      <formula>"Napkin Hs"</formula>
    </cfRule>
  </conditionalFormatting>
  <conditionalFormatting sqref="C50">
    <cfRule type="cellIs" dxfId="25537" priority="14523" stopIfTrue="1" operator="equal">
      <formula>"Towel"</formula>
    </cfRule>
    <cfRule type="cellIs" dxfId="25536" priority="14524" stopIfTrue="1" operator="equal">
      <formula>"Napkin Hs"</formula>
    </cfRule>
  </conditionalFormatting>
  <conditionalFormatting sqref="C50">
    <cfRule type="cellIs" dxfId="25535" priority="14525" stopIfTrue="1" operator="equal">
      <formula>"Towel"</formula>
    </cfRule>
    <cfRule type="cellIs" dxfId="25534" priority="14526" stopIfTrue="1" operator="equal">
      <formula>"Napkin Hs"</formula>
    </cfRule>
  </conditionalFormatting>
  <conditionalFormatting sqref="B50:C50">
    <cfRule type="cellIs" dxfId="25533" priority="14521" stopIfTrue="1" operator="equal">
      <formula>"Towel"</formula>
    </cfRule>
    <cfRule type="cellIs" dxfId="25532" priority="14522" stopIfTrue="1" operator="equal">
      <formula>"Napkin Hs"</formula>
    </cfRule>
  </conditionalFormatting>
  <conditionalFormatting sqref="C50">
    <cfRule type="cellIs" dxfId="25531" priority="14519" stopIfTrue="1" operator="equal">
      <formula>"Towel"</formula>
    </cfRule>
    <cfRule type="cellIs" dxfId="25530" priority="14520" stopIfTrue="1" operator="equal">
      <formula>"Napkin Hs"</formula>
    </cfRule>
  </conditionalFormatting>
  <conditionalFormatting sqref="C50">
    <cfRule type="cellIs" dxfId="25529" priority="14517" stopIfTrue="1" operator="equal">
      <formula>"Towel"</formula>
    </cfRule>
    <cfRule type="cellIs" dxfId="25528" priority="14518" stopIfTrue="1" operator="equal">
      <formula>"Napkin Hs"</formula>
    </cfRule>
  </conditionalFormatting>
  <conditionalFormatting sqref="B50:C50">
    <cfRule type="cellIs" dxfId="25527" priority="14515" stopIfTrue="1" operator="equal">
      <formula>"Towel"</formula>
    </cfRule>
    <cfRule type="cellIs" dxfId="25526" priority="14516" stopIfTrue="1" operator="equal">
      <formula>"Napkin Hs"</formula>
    </cfRule>
  </conditionalFormatting>
  <conditionalFormatting sqref="C50">
    <cfRule type="cellIs" dxfId="25525" priority="14514" stopIfTrue="1" operator="equal">
      <formula>"Napkin Hs"</formula>
    </cfRule>
  </conditionalFormatting>
  <conditionalFormatting sqref="C50">
    <cfRule type="cellIs" dxfId="25524" priority="14511" stopIfTrue="1" operator="equal">
      <formula>"Towel"</formula>
    </cfRule>
    <cfRule type="cellIs" dxfId="25523" priority="14512" stopIfTrue="1" operator="equal">
      <formula>"Napkin Hs"</formula>
    </cfRule>
  </conditionalFormatting>
  <conditionalFormatting sqref="C50">
    <cfRule type="cellIs" dxfId="25522" priority="14513" stopIfTrue="1" operator="equal">
      <formula>"Towel"</formula>
    </cfRule>
  </conditionalFormatting>
  <conditionalFormatting sqref="B56:C56">
    <cfRule type="cellIs" dxfId="25521" priority="14389" stopIfTrue="1" operator="equal">
      <formula>"Towel"</formula>
    </cfRule>
    <cfRule type="cellIs" dxfId="25520" priority="14390" stopIfTrue="1" operator="equal">
      <formula>"Napkin Hs"</formula>
    </cfRule>
    <cfRule type="cellIs" dxfId="25519" priority="14395" stopIfTrue="1" operator="equal">
      <formula>"Towel"</formula>
    </cfRule>
    <cfRule type="cellIs" dxfId="25518" priority="14396" stopIfTrue="1" operator="equal">
      <formula>"Napkin Hs"</formula>
    </cfRule>
    <cfRule type="cellIs" dxfId="25517" priority="14401" stopIfTrue="1" operator="equal">
      <formula>"Towel"</formula>
    </cfRule>
    <cfRule type="cellIs" dxfId="25516" priority="14402" stopIfTrue="1" operator="equal">
      <formula>"Napkin Hs"</formula>
    </cfRule>
    <cfRule type="cellIs" dxfId="25515" priority="14407" stopIfTrue="1" operator="equal">
      <formula>"Towel"</formula>
    </cfRule>
    <cfRule type="cellIs" dxfId="25514" priority="14408" stopIfTrue="1" operator="equal">
      <formula>"Napkin Hs"</formula>
    </cfRule>
    <cfRule type="cellIs" dxfId="25513" priority="14413" stopIfTrue="1" operator="equal">
      <formula>"Towel"</formula>
    </cfRule>
    <cfRule type="cellIs" dxfId="25512" priority="14414" stopIfTrue="1" operator="equal">
      <formula>"Napkin Hs"</formula>
    </cfRule>
    <cfRule type="cellIs" dxfId="25511" priority="14419" stopIfTrue="1" operator="equal">
      <formula>"Towel"</formula>
    </cfRule>
    <cfRule type="cellIs" dxfId="25510" priority="14420" stopIfTrue="1" operator="equal">
      <formula>"Napkin Hs"</formula>
    </cfRule>
    <cfRule type="cellIs" dxfId="25509" priority="14425" stopIfTrue="1" operator="equal">
      <formula>"Towel"</formula>
    </cfRule>
    <cfRule type="cellIs" dxfId="25508" priority="14426" stopIfTrue="1" operator="equal">
      <formula>"Napkin Hs"</formula>
    </cfRule>
    <cfRule type="cellIs" dxfId="25507" priority="14431" stopIfTrue="1" operator="equal">
      <formula>"Towel"</formula>
    </cfRule>
    <cfRule type="cellIs" dxfId="25506" priority="14432" stopIfTrue="1" operator="equal">
      <formula>"Napkin Hs"</formula>
    </cfRule>
  </conditionalFormatting>
  <conditionalFormatting sqref="B57:C57">
    <cfRule type="cellIs" dxfId="25505" priority="14435" stopIfTrue="1" operator="equal">
      <formula>"Towel"</formula>
    </cfRule>
    <cfRule type="cellIs" dxfId="25504" priority="14436" stopIfTrue="1" operator="equal">
      <formula>"Napkin Hs"</formula>
    </cfRule>
    <cfRule type="cellIs" dxfId="25503" priority="14441" stopIfTrue="1" operator="equal">
      <formula>"Towel"</formula>
    </cfRule>
    <cfRule type="cellIs" dxfId="25502" priority="14442" stopIfTrue="1" operator="equal">
      <formula>"Napkin Hs"</formula>
    </cfRule>
    <cfRule type="cellIs" dxfId="25501" priority="14447" stopIfTrue="1" operator="equal">
      <formula>"Towel"</formula>
    </cfRule>
    <cfRule type="cellIs" dxfId="25500" priority="14448" stopIfTrue="1" operator="equal">
      <formula>"Napkin Hs"</formula>
    </cfRule>
    <cfRule type="cellIs" dxfId="25499" priority="14453" stopIfTrue="1" operator="equal">
      <formula>"Towel"</formula>
    </cfRule>
    <cfRule type="cellIs" dxfId="25498" priority="14454" stopIfTrue="1" operator="equal">
      <formula>"Napkin Hs"</formula>
    </cfRule>
    <cfRule type="cellIs" dxfId="25497" priority="14459" stopIfTrue="1" operator="equal">
      <formula>"Towel"</formula>
    </cfRule>
    <cfRule type="cellIs" dxfId="25496" priority="14460" stopIfTrue="1" operator="equal">
      <formula>"Napkin Hs"</formula>
    </cfRule>
    <cfRule type="cellIs" dxfId="25495" priority="14465" stopIfTrue="1" operator="equal">
      <formula>"Towel"</formula>
    </cfRule>
    <cfRule type="cellIs" dxfId="25494" priority="14466" stopIfTrue="1" operator="equal">
      <formula>"Napkin Hs"</formula>
    </cfRule>
    <cfRule type="cellIs" dxfId="25493" priority="14471" stopIfTrue="1" operator="equal">
      <formula>"Towel"</formula>
    </cfRule>
    <cfRule type="cellIs" dxfId="25492" priority="14472" stopIfTrue="1" operator="equal">
      <formula>"Napkin Hs"</formula>
    </cfRule>
    <cfRule type="cellIs" dxfId="25491" priority="14477" stopIfTrue="1" operator="equal">
      <formula>"Towel"</formula>
    </cfRule>
    <cfRule type="cellIs" dxfId="25490" priority="14478" stopIfTrue="1" operator="equal">
      <formula>"Napkin Hs"</formula>
    </cfRule>
  </conditionalFormatting>
  <conditionalFormatting sqref="C56">
    <cfRule type="cellIs" dxfId="25489" priority="14385" stopIfTrue="1" operator="equal">
      <formula>"Towel"</formula>
    </cfRule>
    <cfRule type="cellIs" dxfId="25488" priority="14386" stopIfTrue="1" operator="equal">
      <formula>"Napkin Hs"</formula>
    </cfRule>
    <cfRule type="cellIs" dxfId="25487" priority="14387" stopIfTrue="1" operator="equal">
      <formula>"Towel"</formula>
    </cfRule>
    <cfRule type="cellIs" dxfId="25486" priority="14388" stopIfTrue="1" operator="equal">
      <formula>"Napkin Hs"</formula>
    </cfRule>
    <cfRule type="cellIs" dxfId="25485" priority="14391" stopIfTrue="1" operator="equal">
      <formula>"Towel"</formula>
    </cfRule>
    <cfRule type="cellIs" dxfId="25484" priority="14392" stopIfTrue="1" operator="equal">
      <formula>"Napkin Hs"</formula>
    </cfRule>
    <cfRule type="cellIs" dxfId="25483" priority="14393" stopIfTrue="1" operator="equal">
      <formula>"Towel"</formula>
    </cfRule>
    <cfRule type="cellIs" dxfId="25482" priority="14394" stopIfTrue="1" operator="equal">
      <formula>"Napkin Hs"</formula>
    </cfRule>
    <cfRule type="cellIs" dxfId="25481" priority="14397" stopIfTrue="1" operator="equal">
      <formula>"Towel"</formula>
    </cfRule>
    <cfRule type="cellIs" dxfId="25480" priority="14398" stopIfTrue="1" operator="equal">
      <formula>"Napkin Hs"</formula>
    </cfRule>
    <cfRule type="cellIs" dxfId="25479" priority="14399" stopIfTrue="1" operator="equal">
      <formula>"Towel"</formula>
    </cfRule>
    <cfRule type="cellIs" dxfId="25478" priority="14400" stopIfTrue="1" operator="equal">
      <formula>"Napkin Hs"</formula>
    </cfRule>
    <cfRule type="cellIs" dxfId="25477" priority="14403" stopIfTrue="1" operator="equal">
      <formula>"Towel"</formula>
    </cfRule>
    <cfRule type="cellIs" dxfId="25476" priority="14404" stopIfTrue="1" operator="equal">
      <formula>"Napkin Hs"</formula>
    </cfRule>
    <cfRule type="cellIs" dxfId="25475" priority="14405" stopIfTrue="1" operator="equal">
      <formula>"Towel"</formula>
    </cfRule>
    <cfRule type="cellIs" dxfId="25474" priority="14406" stopIfTrue="1" operator="equal">
      <formula>"Napkin Hs"</formula>
    </cfRule>
    <cfRule type="cellIs" dxfId="25473" priority="14409" stopIfTrue="1" operator="equal">
      <formula>"Towel"</formula>
    </cfRule>
    <cfRule type="cellIs" dxfId="25472" priority="14410" stopIfTrue="1" operator="equal">
      <formula>"Napkin Hs"</formula>
    </cfRule>
    <cfRule type="cellIs" dxfId="25471" priority="14411" stopIfTrue="1" operator="equal">
      <formula>"Towel"</formula>
    </cfRule>
    <cfRule type="cellIs" dxfId="25470" priority="14412" stopIfTrue="1" operator="equal">
      <formula>"Napkin Hs"</formula>
    </cfRule>
    <cfRule type="cellIs" dxfId="25469" priority="14415" stopIfTrue="1" operator="equal">
      <formula>"Towel"</formula>
    </cfRule>
    <cfRule type="cellIs" dxfId="25468" priority="14416" stopIfTrue="1" operator="equal">
      <formula>"Napkin Hs"</formula>
    </cfRule>
    <cfRule type="cellIs" dxfId="25467" priority="14417" stopIfTrue="1" operator="equal">
      <formula>"Towel"</formula>
    </cfRule>
    <cfRule type="cellIs" dxfId="25466" priority="14418" stopIfTrue="1" operator="equal">
      <formula>"Napkin Hs"</formula>
    </cfRule>
    <cfRule type="cellIs" dxfId="25465" priority="14421" stopIfTrue="1" operator="equal">
      <formula>"Towel"</formula>
    </cfRule>
    <cfRule type="cellIs" dxfId="25464" priority="14422" stopIfTrue="1" operator="equal">
      <formula>"Napkin Hs"</formula>
    </cfRule>
    <cfRule type="cellIs" dxfId="25463" priority="14423" stopIfTrue="1" operator="equal">
      <formula>"Towel"</formula>
    </cfRule>
    <cfRule type="cellIs" dxfId="25462" priority="14424" stopIfTrue="1" operator="equal">
      <formula>"Napkin Hs"</formula>
    </cfRule>
    <cfRule type="cellIs" dxfId="25461" priority="14427" stopIfTrue="1" operator="equal">
      <formula>"Towel"</formula>
    </cfRule>
    <cfRule type="cellIs" dxfId="25460" priority="14428" stopIfTrue="1" operator="equal">
      <formula>"Napkin Hs"</formula>
    </cfRule>
  </conditionalFormatting>
  <conditionalFormatting sqref="C56:C57">
    <cfRule type="cellIs" dxfId="25459" priority="14429" stopIfTrue="1" operator="equal">
      <formula>"Towel"</formula>
    </cfRule>
    <cfRule type="cellIs" dxfId="25458" priority="14430" stopIfTrue="1" operator="equal">
      <formula>"Napkin Hs"</formula>
    </cfRule>
  </conditionalFormatting>
  <conditionalFormatting sqref="C57">
    <cfRule type="cellIs" dxfId="25457" priority="14433" stopIfTrue="1" operator="equal">
      <formula>"Towel"</formula>
    </cfRule>
    <cfRule type="cellIs" dxfId="25456" priority="14434" stopIfTrue="1" operator="equal">
      <formula>"Napkin Hs"</formula>
    </cfRule>
    <cfRule type="cellIs" dxfId="25455" priority="14437" stopIfTrue="1" operator="equal">
      <formula>"Towel"</formula>
    </cfRule>
    <cfRule type="cellIs" dxfId="25454" priority="14438" stopIfTrue="1" operator="equal">
      <formula>"Napkin Hs"</formula>
    </cfRule>
    <cfRule type="cellIs" dxfId="25453" priority="14439" stopIfTrue="1" operator="equal">
      <formula>"Towel"</formula>
    </cfRule>
    <cfRule type="cellIs" dxfId="25452" priority="14440" stopIfTrue="1" operator="equal">
      <formula>"Napkin Hs"</formula>
    </cfRule>
    <cfRule type="cellIs" dxfId="25451" priority="14443" stopIfTrue="1" operator="equal">
      <formula>"Towel"</formula>
    </cfRule>
    <cfRule type="cellIs" dxfId="25450" priority="14444" stopIfTrue="1" operator="equal">
      <formula>"Napkin Hs"</formula>
    </cfRule>
    <cfRule type="cellIs" dxfId="25449" priority="14445" stopIfTrue="1" operator="equal">
      <formula>"Towel"</formula>
    </cfRule>
    <cfRule type="cellIs" dxfId="25448" priority="14446" stopIfTrue="1" operator="equal">
      <formula>"Napkin Hs"</formula>
    </cfRule>
    <cfRule type="cellIs" dxfId="25447" priority="14449" stopIfTrue="1" operator="equal">
      <formula>"Towel"</formula>
    </cfRule>
    <cfRule type="cellIs" dxfId="25446" priority="14450" stopIfTrue="1" operator="equal">
      <formula>"Napkin Hs"</formula>
    </cfRule>
    <cfRule type="cellIs" dxfId="25445" priority="14451" stopIfTrue="1" operator="equal">
      <formula>"Towel"</formula>
    </cfRule>
    <cfRule type="cellIs" dxfId="25444" priority="14452" stopIfTrue="1" operator="equal">
      <formula>"Napkin Hs"</formula>
    </cfRule>
    <cfRule type="cellIs" dxfId="25443" priority="14455" stopIfTrue="1" operator="equal">
      <formula>"Towel"</formula>
    </cfRule>
    <cfRule type="cellIs" dxfId="25442" priority="14456" stopIfTrue="1" operator="equal">
      <formula>"Napkin Hs"</formula>
    </cfRule>
    <cfRule type="cellIs" dxfId="25441" priority="14457" stopIfTrue="1" operator="equal">
      <formula>"Towel"</formula>
    </cfRule>
    <cfRule type="cellIs" dxfId="25440" priority="14458" stopIfTrue="1" operator="equal">
      <formula>"Napkin Hs"</formula>
    </cfRule>
    <cfRule type="cellIs" dxfId="25439" priority="14461" stopIfTrue="1" operator="equal">
      <formula>"Towel"</formula>
    </cfRule>
    <cfRule type="cellIs" dxfId="25438" priority="14462" stopIfTrue="1" operator="equal">
      <formula>"Napkin Hs"</formula>
    </cfRule>
    <cfRule type="cellIs" dxfId="25437" priority="14463" stopIfTrue="1" operator="equal">
      <formula>"Towel"</formula>
    </cfRule>
    <cfRule type="cellIs" dxfId="25436" priority="14464" stopIfTrue="1" operator="equal">
      <formula>"Napkin Hs"</formula>
    </cfRule>
    <cfRule type="cellIs" dxfId="25435" priority="14467" stopIfTrue="1" operator="equal">
      <formula>"Towel"</formula>
    </cfRule>
    <cfRule type="cellIs" dxfId="25434" priority="14468" stopIfTrue="1" operator="equal">
      <formula>"Napkin Hs"</formula>
    </cfRule>
  </conditionalFormatting>
  <conditionalFormatting sqref="C57">
    <cfRule type="cellIs" dxfId="25433" priority="14469" stopIfTrue="1" operator="equal">
      <formula>"Towel"</formula>
    </cfRule>
    <cfRule type="cellIs" dxfId="25432" priority="14470" stopIfTrue="1" operator="equal">
      <formula>"Napkin Hs"</formula>
    </cfRule>
  </conditionalFormatting>
  <conditionalFormatting sqref="C57">
    <cfRule type="cellIs" dxfId="25431" priority="14473" stopIfTrue="1" operator="equal">
      <formula>"Towel"</formula>
    </cfRule>
    <cfRule type="cellIs" dxfId="25430" priority="14474" stopIfTrue="1" operator="equal">
      <formula>"Napkin Hs"</formula>
    </cfRule>
    <cfRule type="cellIs" dxfId="25429" priority="14475" stopIfTrue="1" operator="equal">
      <formula>"Towel"</formula>
    </cfRule>
    <cfRule type="cellIs" dxfId="25428" priority="14476" stopIfTrue="1" operator="equal">
      <formula>"Napkin Hs"</formula>
    </cfRule>
  </conditionalFormatting>
  <conditionalFormatting sqref="B56">
    <cfRule type="cellIs" dxfId="25427" priority="14371" stopIfTrue="1" operator="equal">
      <formula>"Towel"</formula>
    </cfRule>
    <cfRule type="cellIs" dxfId="25426" priority="14372" stopIfTrue="1" operator="equal">
      <formula>"Napkin Hs"</formula>
    </cfRule>
    <cfRule type="cellIs" dxfId="25425" priority="14377" stopIfTrue="1" operator="equal">
      <formula>"Towel"</formula>
    </cfRule>
    <cfRule type="cellIs" dxfId="25424" priority="14378" stopIfTrue="1" operator="equal">
      <formula>"Napkin Hs"</formula>
    </cfRule>
    <cfRule type="cellIs" dxfId="25423" priority="14383" stopIfTrue="1" operator="equal">
      <formula>"Towel"</formula>
    </cfRule>
    <cfRule type="cellIs" dxfId="25422" priority="14384" stopIfTrue="1" operator="equal">
      <formula>"Napkin Hs"</formula>
    </cfRule>
  </conditionalFormatting>
  <conditionalFormatting sqref="B56:C57">
    <cfRule type="cellIs" dxfId="25421" priority="14327" stopIfTrue="1" operator="equal">
      <formula>"Towel"</formula>
    </cfRule>
    <cfRule type="cellIs" dxfId="25420" priority="14328" stopIfTrue="1" operator="equal">
      <formula>"Napkin Hs"</formula>
    </cfRule>
    <cfRule type="cellIs" dxfId="25419" priority="14333" stopIfTrue="1" operator="equal">
      <formula>"Towel"</formula>
    </cfRule>
    <cfRule type="cellIs" dxfId="25418" priority="14334" stopIfTrue="1" operator="equal">
      <formula>"Napkin Hs"</formula>
    </cfRule>
    <cfRule type="cellIs" dxfId="25417" priority="14339" stopIfTrue="1" operator="equal">
      <formula>"Towel"</formula>
    </cfRule>
    <cfRule type="cellIs" dxfId="25416" priority="14340" stopIfTrue="1" operator="equal">
      <formula>"Napkin Hs"</formula>
    </cfRule>
    <cfRule type="cellIs" dxfId="25415" priority="14345" stopIfTrue="1" operator="equal">
      <formula>"Towel"</formula>
    </cfRule>
    <cfRule type="cellIs" dxfId="25414" priority="14346" stopIfTrue="1" operator="equal">
      <formula>"Napkin Hs"</formula>
    </cfRule>
    <cfRule type="cellIs" dxfId="25413" priority="14351" stopIfTrue="1" operator="equal">
      <formula>"Towel"</formula>
    </cfRule>
    <cfRule type="cellIs" dxfId="25412" priority="14352" stopIfTrue="1" operator="equal">
      <formula>"Napkin Hs"</formula>
    </cfRule>
    <cfRule type="cellIs" dxfId="25411" priority="14357" stopIfTrue="1" operator="equal">
      <formula>"Towel"</formula>
    </cfRule>
    <cfRule type="cellIs" dxfId="25410" priority="14358" stopIfTrue="1" operator="equal">
      <formula>"Napkin Hs"</formula>
    </cfRule>
    <cfRule type="cellIs" dxfId="25409" priority="14363" stopIfTrue="1" operator="equal">
      <formula>"Towel"</formula>
    </cfRule>
    <cfRule type="cellIs" dxfId="25408" priority="14364" stopIfTrue="1" operator="equal">
      <formula>"Napkin Hs"</formula>
    </cfRule>
  </conditionalFormatting>
  <conditionalFormatting sqref="C56:C57">
    <cfRule type="cellIs" dxfId="25407" priority="14323" stopIfTrue="1" operator="equal">
      <formula>"Towel"</formula>
    </cfRule>
    <cfRule type="cellIs" dxfId="25406" priority="14324" stopIfTrue="1" operator="equal">
      <formula>"Napkin Hs"</formula>
    </cfRule>
    <cfRule type="cellIs" dxfId="25405" priority="14325" stopIfTrue="1" operator="equal">
      <formula>"Towel"</formula>
    </cfRule>
    <cfRule type="cellIs" dxfId="25404" priority="14326" stopIfTrue="1" operator="equal">
      <formula>"Napkin Hs"</formula>
    </cfRule>
    <cfRule type="cellIs" dxfId="25403" priority="14329" stopIfTrue="1" operator="equal">
      <formula>"Towel"</formula>
    </cfRule>
    <cfRule type="cellIs" dxfId="25402" priority="14330" stopIfTrue="1" operator="equal">
      <formula>"Napkin Hs"</formula>
    </cfRule>
    <cfRule type="cellIs" dxfId="25401" priority="14331" stopIfTrue="1" operator="equal">
      <formula>"Towel"</formula>
    </cfRule>
    <cfRule type="cellIs" dxfId="25400" priority="14332" stopIfTrue="1" operator="equal">
      <formula>"Napkin Hs"</formula>
    </cfRule>
    <cfRule type="cellIs" dxfId="25399" priority="14335" stopIfTrue="1" operator="equal">
      <formula>"Towel"</formula>
    </cfRule>
    <cfRule type="cellIs" dxfId="25398" priority="14336" stopIfTrue="1" operator="equal">
      <formula>"Napkin Hs"</formula>
    </cfRule>
    <cfRule type="cellIs" dxfId="25397" priority="14337" stopIfTrue="1" operator="equal">
      <formula>"Towel"</formula>
    </cfRule>
    <cfRule type="cellIs" dxfId="25396" priority="14338" stopIfTrue="1" operator="equal">
      <formula>"Napkin Hs"</formula>
    </cfRule>
    <cfRule type="cellIs" dxfId="25395" priority="14341" stopIfTrue="1" operator="equal">
      <formula>"Towel"</formula>
    </cfRule>
    <cfRule type="cellIs" dxfId="25394" priority="14342" stopIfTrue="1" operator="equal">
      <formula>"Napkin Hs"</formula>
    </cfRule>
    <cfRule type="cellIs" dxfId="25393" priority="14343" stopIfTrue="1" operator="equal">
      <formula>"Towel"</formula>
    </cfRule>
    <cfRule type="cellIs" dxfId="25392" priority="14344" stopIfTrue="1" operator="equal">
      <formula>"Napkin Hs"</formula>
    </cfRule>
    <cfRule type="cellIs" dxfId="25391" priority="14347" stopIfTrue="1" operator="equal">
      <formula>"Towel"</formula>
    </cfRule>
    <cfRule type="cellIs" dxfId="25390" priority="14348" stopIfTrue="1" operator="equal">
      <formula>"Napkin Hs"</formula>
    </cfRule>
    <cfRule type="cellIs" dxfId="25389" priority="14349" stopIfTrue="1" operator="equal">
      <formula>"Towel"</formula>
    </cfRule>
    <cfRule type="cellIs" dxfId="25388" priority="14350" stopIfTrue="1" operator="equal">
      <formula>"Napkin Hs"</formula>
    </cfRule>
    <cfRule type="cellIs" dxfId="25387" priority="14353" stopIfTrue="1" operator="equal">
      <formula>"Towel"</formula>
    </cfRule>
    <cfRule type="cellIs" dxfId="25386" priority="14354" stopIfTrue="1" operator="equal">
      <formula>"Napkin Hs"</formula>
    </cfRule>
    <cfRule type="cellIs" dxfId="25385" priority="14355" stopIfTrue="1" operator="equal">
      <formula>"Towel"</formula>
    </cfRule>
    <cfRule type="cellIs" dxfId="25384" priority="14356" stopIfTrue="1" operator="equal">
      <formula>"Napkin Hs"</formula>
    </cfRule>
    <cfRule type="cellIs" dxfId="25383" priority="14359" stopIfTrue="1" operator="equal">
      <formula>"Towel"</formula>
    </cfRule>
    <cfRule type="cellIs" dxfId="25382" priority="14360" stopIfTrue="1" operator="equal">
      <formula>"Napkin Hs"</formula>
    </cfRule>
  </conditionalFormatting>
  <conditionalFormatting sqref="C56:C57">
    <cfRule type="cellIs" dxfId="25381" priority="14361" stopIfTrue="1" operator="equal">
      <formula>"Towel"</formula>
    </cfRule>
    <cfRule type="cellIs" dxfId="25380" priority="14362" stopIfTrue="1" operator="equal">
      <formula>"Napkin Hs"</formula>
    </cfRule>
  </conditionalFormatting>
  <conditionalFormatting sqref="B56:C56">
    <cfRule type="cellIs" dxfId="25379" priority="14321" stopIfTrue="1" operator="equal">
      <formula>"Towel"</formula>
    </cfRule>
    <cfRule type="cellIs" dxfId="25378" priority="14322" stopIfTrue="1" operator="equal">
      <formula>"Napkin Hs"</formula>
    </cfRule>
  </conditionalFormatting>
  <conditionalFormatting sqref="B56:C56">
    <cfRule type="cellIs" dxfId="25377" priority="14285" stopIfTrue="1" operator="equal">
      <formula>"Towel"</formula>
    </cfRule>
    <cfRule type="cellIs" dxfId="25376" priority="14286" stopIfTrue="1" operator="equal">
      <formula>"Napkin Hs"</formula>
    </cfRule>
    <cfRule type="cellIs" dxfId="25375" priority="14291" stopIfTrue="1" operator="equal">
      <formula>"Towel"</formula>
    </cfRule>
    <cfRule type="cellIs" dxfId="25374" priority="14292" stopIfTrue="1" operator="equal">
      <formula>"Napkin Hs"</formula>
    </cfRule>
    <cfRule type="cellIs" dxfId="25373" priority="14297" stopIfTrue="1" operator="equal">
      <formula>"Towel"</formula>
    </cfRule>
    <cfRule type="cellIs" dxfId="25372" priority="14298" stopIfTrue="1" operator="equal">
      <formula>"Napkin Hs"</formula>
    </cfRule>
    <cfRule type="cellIs" dxfId="25371" priority="14303" stopIfTrue="1" operator="equal">
      <formula>"Towel"</formula>
    </cfRule>
    <cfRule type="cellIs" dxfId="25370" priority="14304" stopIfTrue="1" operator="equal">
      <formula>"Napkin Hs"</formula>
    </cfRule>
    <cfRule type="cellIs" dxfId="25369" priority="14309" stopIfTrue="1" operator="equal">
      <formula>"Towel"</formula>
    </cfRule>
    <cfRule type="cellIs" dxfId="25368" priority="14310" stopIfTrue="1" operator="equal">
      <formula>"Napkin Hs"</formula>
    </cfRule>
    <cfRule type="cellIs" dxfId="25367" priority="14315" stopIfTrue="1" operator="equal">
      <formula>"Towel"</formula>
    </cfRule>
    <cfRule type="cellIs" dxfId="25366" priority="14316" stopIfTrue="1" operator="equal">
      <formula>"Napkin Hs"</formula>
    </cfRule>
  </conditionalFormatting>
  <conditionalFormatting sqref="B57:C57">
    <cfRule type="cellIs" dxfId="25365" priority="14245" stopIfTrue="1" operator="equal">
      <formula>"Towel"</formula>
    </cfRule>
    <cfRule type="cellIs" dxfId="25364" priority="14246" stopIfTrue="1" operator="equal">
      <formula>"Napkin Hs"</formula>
    </cfRule>
    <cfRule type="cellIs" dxfId="25363" priority="14251" stopIfTrue="1" operator="equal">
      <formula>"Towel"</formula>
    </cfRule>
    <cfRule type="cellIs" dxfId="25362" priority="14252" stopIfTrue="1" operator="equal">
      <formula>"Napkin Hs"</formula>
    </cfRule>
    <cfRule type="cellIs" dxfId="25361" priority="14257" stopIfTrue="1" operator="equal">
      <formula>"Towel"</formula>
    </cfRule>
    <cfRule type="cellIs" dxfId="25360" priority="14258" stopIfTrue="1" operator="equal">
      <formula>"Napkin Hs"</formula>
    </cfRule>
    <cfRule type="cellIs" dxfId="25359" priority="14263" stopIfTrue="1" operator="equal">
      <formula>"Towel"</formula>
    </cfRule>
    <cfRule type="cellIs" dxfId="25358" priority="14264" stopIfTrue="1" operator="equal">
      <formula>"Napkin Hs"</formula>
    </cfRule>
    <cfRule type="cellIs" dxfId="25357" priority="14269" stopIfTrue="1" operator="equal">
      <formula>"Towel"</formula>
    </cfRule>
    <cfRule type="cellIs" dxfId="25356" priority="14270" stopIfTrue="1" operator="equal">
      <formula>"Napkin Hs"</formula>
    </cfRule>
    <cfRule type="cellIs" dxfId="25355" priority="14275" stopIfTrue="1" operator="equal">
      <formula>"Towel"</formula>
    </cfRule>
    <cfRule type="cellIs" dxfId="25354" priority="14276" stopIfTrue="1" operator="equal">
      <formula>"Napkin Hs"</formula>
    </cfRule>
    <cfRule type="cellIs" dxfId="25353" priority="14281" stopIfTrue="1" operator="equal">
      <formula>"Towel"</formula>
    </cfRule>
    <cfRule type="cellIs" dxfId="25352" priority="14282" stopIfTrue="1" operator="equal">
      <formula>"Napkin Hs"</formula>
    </cfRule>
  </conditionalFormatting>
  <conditionalFormatting sqref="C56">
    <cfRule type="cellIs" dxfId="25351" priority="14320" stopIfTrue="1" operator="equal">
      <formula>"Napkin Hs"</formula>
    </cfRule>
  </conditionalFormatting>
  <conditionalFormatting sqref="C56">
    <cfRule type="cellIs" dxfId="25350" priority="14319" stopIfTrue="1" operator="equal">
      <formula>"Towel"</formula>
    </cfRule>
  </conditionalFormatting>
  <conditionalFormatting sqref="C56">
    <cfRule type="cellIs" dxfId="25349" priority="14313" stopIfTrue="1" operator="equal">
      <formula>"Towel"</formula>
    </cfRule>
    <cfRule type="cellIs" dxfId="25348" priority="14314" stopIfTrue="1" operator="equal">
      <formula>"Napkin Hs"</formula>
    </cfRule>
  </conditionalFormatting>
  <conditionalFormatting sqref="C56">
    <cfRule type="cellIs" dxfId="25347" priority="14311" stopIfTrue="1" operator="equal">
      <formula>"Towel"</formula>
    </cfRule>
    <cfRule type="cellIs" dxfId="25346" priority="14312" stopIfTrue="1" operator="equal">
      <formula>"Napkin Hs"</formula>
    </cfRule>
    <cfRule type="cellIs" dxfId="25345" priority="14317" stopIfTrue="1" operator="equal">
      <formula>"Towel"</formula>
    </cfRule>
    <cfRule type="cellIs" dxfId="25344" priority="14318" stopIfTrue="1" operator="equal">
      <formula>"Napkin Hs"</formula>
    </cfRule>
  </conditionalFormatting>
  <conditionalFormatting sqref="C56">
    <cfRule type="cellIs" dxfId="25343" priority="14283" stopIfTrue="1" operator="equal">
      <formula>"Towel"</formula>
    </cfRule>
    <cfRule type="cellIs" dxfId="25342" priority="14284" stopIfTrue="1" operator="equal">
      <formula>"Napkin Hs"</formula>
    </cfRule>
    <cfRule type="cellIs" dxfId="25341" priority="14287" stopIfTrue="1" operator="equal">
      <formula>"Towel"</formula>
    </cfRule>
    <cfRule type="cellIs" dxfId="25340" priority="14288" stopIfTrue="1" operator="equal">
      <formula>"Napkin Hs"</formula>
    </cfRule>
    <cfRule type="cellIs" dxfId="25339" priority="14289" stopIfTrue="1" operator="equal">
      <formula>"Towel"</formula>
    </cfRule>
    <cfRule type="cellIs" dxfId="25338" priority="14290" stopIfTrue="1" operator="equal">
      <formula>"Napkin Hs"</formula>
    </cfRule>
    <cfRule type="cellIs" dxfId="25337" priority="14293" stopIfTrue="1" operator="equal">
      <formula>"Towel"</formula>
    </cfRule>
    <cfRule type="cellIs" dxfId="25336" priority="14294" stopIfTrue="1" operator="equal">
      <formula>"Napkin Hs"</formula>
    </cfRule>
    <cfRule type="cellIs" dxfId="25335" priority="14295" stopIfTrue="1" operator="equal">
      <formula>"Towel"</formula>
    </cfRule>
    <cfRule type="cellIs" dxfId="25334" priority="14296" stopIfTrue="1" operator="equal">
      <formula>"Napkin Hs"</formula>
    </cfRule>
    <cfRule type="cellIs" dxfId="25333" priority="14299" stopIfTrue="1" operator="equal">
      <formula>"Towel"</formula>
    </cfRule>
    <cfRule type="cellIs" dxfId="25332" priority="14300" stopIfTrue="1" operator="equal">
      <formula>"Napkin Hs"</formula>
    </cfRule>
    <cfRule type="cellIs" dxfId="25331" priority="14301" stopIfTrue="1" operator="equal">
      <formula>"Towel"</formula>
    </cfRule>
    <cfRule type="cellIs" dxfId="25330" priority="14302" stopIfTrue="1" operator="equal">
      <formula>"Napkin Hs"</formula>
    </cfRule>
    <cfRule type="cellIs" dxfId="25329" priority="14305" stopIfTrue="1" operator="equal">
      <formula>"Towel"</formula>
    </cfRule>
    <cfRule type="cellIs" dxfId="25328" priority="14306" stopIfTrue="1" operator="equal">
      <formula>"Napkin Hs"</formula>
    </cfRule>
    <cfRule type="cellIs" dxfId="25327" priority="14307" stopIfTrue="1" operator="equal">
      <formula>"Towel"</formula>
    </cfRule>
    <cfRule type="cellIs" dxfId="25326" priority="14308" stopIfTrue="1" operator="equal">
      <formula>"Napkin Hs"</formula>
    </cfRule>
  </conditionalFormatting>
  <conditionalFormatting sqref="C56:C57">
    <cfRule type="cellIs" dxfId="25325" priority="14279" stopIfTrue="1" operator="equal">
      <formula>"Towel"</formula>
    </cfRule>
    <cfRule type="cellIs" dxfId="25324" priority="14280" stopIfTrue="1" operator="equal">
      <formula>"Napkin Hs"</formula>
    </cfRule>
  </conditionalFormatting>
  <conditionalFormatting sqref="C57">
    <cfRule type="cellIs" dxfId="25323" priority="14241" stopIfTrue="1" operator="equal">
      <formula>"Towel"</formula>
    </cfRule>
    <cfRule type="cellIs" dxfId="25322" priority="14242" stopIfTrue="1" operator="equal">
      <formula>"Napkin Hs"</formula>
    </cfRule>
    <cfRule type="cellIs" dxfId="25321" priority="14243" stopIfTrue="1" operator="equal">
      <formula>"Towel"</formula>
    </cfRule>
    <cfRule type="cellIs" dxfId="25320" priority="14244" stopIfTrue="1" operator="equal">
      <formula>"Napkin Hs"</formula>
    </cfRule>
    <cfRule type="cellIs" dxfId="25319" priority="14247" stopIfTrue="1" operator="equal">
      <formula>"Towel"</formula>
    </cfRule>
    <cfRule type="cellIs" dxfId="25318" priority="14248" stopIfTrue="1" operator="equal">
      <formula>"Napkin Hs"</formula>
    </cfRule>
    <cfRule type="cellIs" dxfId="25317" priority="14249" stopIfTrue="1" operator="equal">
      <formula>"Towel"</formula>
    </cfRule>
    <cfRule type="cellIs" dxfId="25316" priority="14250" stopIfTrue="1" operator="equal">
      <formula>"Napkin Hs"</formula>
    </cfRule>
    <cfRule type="cellIs" dxfId="25315" priority="14253" stopIfTrue="1" operator="equal">
      <formula>"Towel"</formula>
    </cfRule>
    <cfRule type="cellIs" dxfId="25314" priority="14254" stopIfTrue="1" operator="equal">
      <formula>"Napkin Hs"</formula>
    </cfRule>
    <cfRule type="cellIs" dxfId="25313" priority="14255" stopIfTrue="1" operator="equal">
      <formula>"Towel"</formula>
    </cfRule>
    <cfRule type="cellIs" dxfId="25312" priority="14256" stopIfTrue="1" operator="equal">
      <formula>"Napkin Hs"</formula>
    </cfRule>
    <cfRule type="cellIs" dxfId="25311" priority="14259" stopIfTrue="1" operator="equal">
      <formula>"Towel"</formula>
    </cfRule>
    <cfRule type="cellIs" dxfId="25310" priority="14260" stopIfTrue="1" operator="equal">
      <formula>"Napkin Hs"</formula>
    </cfRule>
    <cfRule type="cellIs" dxfId="25309" priority="14261" stopIfTrue="1" operator="equal">
      <formula>"Towel"</formula>
    </cfRule>
    <cfRule type="cellIs" dxfId="25308" priority="14262" stopIfTrue="1" operator="equal">
      <formula>"Napkin Hs"</formula>
    </cfRule>
    <cfRule type="cellIs" dxfId="25307" priority="14265" stopIfTrue="1" operator="equal">
      <formula>"Towel"</formula>
    </cfRule>
    <cfRule type="cellIs" dxfId="25306" priority="14266" stopIfTrue="1" operator="equal">
      <formula>"Napkin Hs"</formula>
    </cfRule>
    <cfRule type="cellIs" dxfId="25305" priority="14267" stopIfTrue="1" operator="equal">
      <formula>"Towel"</formula>
    </cfRule>
    <cfRule type="cellIs" dxfId="25304" priority="14268" stopIfTrue="1" operator="equal">
      <formula>"Napkin Hs"</formula>
    </cfRule>
    <cfRule type="cellIs" dxfId="25303" priority="14271" stopIfTrue="1" operator="equal">
      <formula>"Towel"</formula>
    </cfRule>
    <cfRule type="cellIs" dxfId="25302" priority="14272" stopIfTrue="1" operator="equal">
      <formula>"Napkin Hs"</formula>
    </cfRule>
    <cfRule type="cellIs" dxfId="25301" priority="14273" stopIfTrue="1" operator="equal">
      <formula>"Towel"</formula>
    </cfRule>
    <cfRule type="cellIs" dxfId="25300" priority="14274" stopIfTrue="1" operator="equal">
      <formula>"Napkin Hs"</formula>
    </cfRule>
    <cfRule type="cellIs" dxfId="25299" priority="14277" stopIfTrue="1" operator="equal">
      <formula>"Towel"</formula>
    </cfRule>
    <cfRule type="cellIs" dxfId="25298" priority="14278" stopIfTrue="1" operator="equal">
      <formula>"Napkin Hs"</formula>
    </cfRule>
  </conditionalFormatting>
  <conditionalFormatting sqref="C56">
    <cfRule type="cellIs" dxfId="25297" priority="14209" stopIfTrue="1" operator="equal">
      <formula>"Towel"</formula>
    </cfRule>
    <cfRule type="cellIs" dxfId="25296" priority="14210" stopIfTrue="1" operator="equal">
      <formula>"Napkin Hs"</formula>
    </cfRule>
    <cfRule type="cellIs" dxfId="25295" priority="14223" stopIfTrue="1" operator="equal">
      <formula>"Towel"</formula>
    </cfRule>
    <cfRule type="cellIs" dxfId="25294" priority="14224" stopIfTrue="1" operator="equal">
      <formula>"Napkin Hs"</formula>
    </cfRule>
    <cfRule type="cellIs" dxfId="25293" priority="14229" stopIfTrue="1" operator="equal">
      <formula>"Towel"</formula>
    </cfRule>
    <cfRule type="cellIs" dxfId="25292" priority="14230" stopIfTrue="1" operator="equal">
      <formula>"Napkin Hs"</formula>
    </cfRule>
    <cfRule type="cellIs" dxfId="25291" priority="14239" stopIfTrue="1" operator="equal">
      <formula>"Towel"</formula>
    </cfRule>
    <cfRule type="cellIs" dxfId="25290" priority="14240" stopIfTrue="1" operator="equal">
      <formula>"Napkin Hs"</formula>
    </cfRule>
  </conditionalFormatting>
  <conditionalFormatting sqref="B57:C57">
    <cfRule type="cellIs" dxfId="25289" priority="14213" stopIfTrue="1" operator="equal">
      <formula>"Towel"</formula>
    </cfRule>
    <cfRule type="cellIs" dxfId="25288" priority="14214" stopIfTrue="1" operator="equal">
      <formula>"Napkin Hs"</formula>
    </cfRule>
    <cfRule type="cellIs" dxfId="25287" priority="14219" stopIfTrue="1" operator="equal">
      <formula>"Towel"</formula>
    </cfRule>
    <cfRule type="cellIs" dxfId="25286" priority="14220" stopIfTrue="1" operator="equal">
      <formula>"Napkin Hs"</formula>
    </cfRule>
    <cfRule type="cellIs" dxfId="25285" priority="14235" stopIfTrue="1" operator="equal">
      <formula>"Towel"</formula>
    </cfRule>
    <cfRule type="cellIs" dxfId="25284" priority="14236" stopIfTrue="1" operator="equal">
      <formula>"Napkin Hs"</formula>
    </cfRule>
  </conditionalFormatting>
  <conditionalFormatting sqref="C56">
    <cfRule type="cellIs" dxfId="25283" priority="14227" stopIfTrue="1" operator="equal">
      <formula>"Towel"</formula>
    </cfRule>
    <cfRule type="cellIs" dxfId="25282" priority="14228" stopIfTrue="1" operator="equal">
      <formula>"Napkin Hs"</formula>
    </cfRule>
    <cfRule type="cellIs" dxfId="25281" priority="14237" stopIfTrue="1" operator="equal">
      <formula>"Towel"</formula>
    </cfRule>
    <cfRule type="cellIs" dxfId="25280" priority="14238" stopIfTrue="1" operator="equal">
      <formula>"Napkin Hs"</formula>
    </cfRule>
  </conditionalFormatting>
  <conditionalFormatting sqref="C56">
    <cfRule type="cellIs" dxfId="25279" priority="14205" stopIfTrue="1" operator="equal">
      <formula>"Towel"</formula>
    </cfRule>
    <cfRule type="cellIs" dxfId="25278" priority="14206" stopIfTrue="1" operator="equal">
      <formula>"Napkin Hs"</formula>
    </cfRule>
    <cfRule type="cellIs" dxfId="25277" priority="14221" stopIfTrue="1" operator="equal">
      <formula>"Towel"</formula>
    </cfRule>
    <cfRule type="cellIs" dxfId="25276" priority="14222" stopIfTrue="1" operator="equal">
      <formula>"Napkin Hs"</formula>
    </cfRule>
    <cfRule type="cellIs" dxfId="25275" priority="14225" stopIfTrue="1" operator="equal">
      <formula>"Towel"</formula>
    </cfRule>
    <cfRule type="cellIs" dxfId="25274" priority="14226" stopIfTrue="1" operator="equal">
      <formula>"Napkin Hs"</formula>
    </cfRule>
  </conditionalFormatting>
  <conditionalFormatting sqref="C56:C57">
    <cfRule type="cellIs" dxfId="25273" priority="14207" stopIfTrue="1" operator="equal">
      <formula>"Towel"</formula>
    </cfRule>
    <cfRule type="cellIs" dxfId="25272" priority="14208" stopIfTrue="1" operator="equal">
      <formula>"Napkin Hs"</formula>
    </cfRule>
    <cfRule type="cellIs" dxfId="25271" priority="14217" stopIfTrue="1" operator="equal">
      <formula>"Towel"</formula>
    </cfRule>
    <cfRule type="cellIs" dxfId="25270" priority="14218" stopIfTrue="1" operator="equal">
      <formula>"Napkin Hs"</formula>
    </cfRule>
    <cfRule type="cellIs" dxfId="25269" priority="14233" stopIfTrue="1" operator="equal">
      <formula>"Towel"</formula>
    </cfRule>
    <cfRule type="cellIs" dxfId="25268" priority="14234" stopIfTrue="1" operator="equal">
      <formula>"Napkin Hs"</formula>
    </cfRule>
  </conditionalFormatting>
  <conditionalFormatting sqref="C57">
    <cfRule type="cellIs" dxfId="25267" priority="14211" stopIfTrue="1" operator="equal">
      <formula>"Towel"</formula>
    </cfRule>
    <cfRule type="cellIs" dxfId="25266" priority="14212" stopIfTrue="1" operator="equal">
      <formula>"Napkin Hs"</formula>
    </cfRule>
    <cfRule type="cellIs" dxfId="25265" priority="14231" stopIfTrue="1" operator="equal">
      <formula>"Towel"</formula>
    </cfRule>
    <cfRule type="cellIs" dxfId="25264" priority="14232" stopIfTrue="1" operator="equal">
      <formula>"Napkin Hs"</formula>
    </cfRule>
  </conditionalFormatting>
  <conditionalFormatting sqref="C57">
    <cfRule type="cellIs" dxfId="25263" priority="14215" stopIfTrue="1" operator="equal">
      <formula>"Towel"</formula>
    </cfRule>
    <cfRule type="cellIs" dxfId="25262" priority="14216" stopIfTrue="1" operator="equal">
      <formula>"Napkin Hs"</formula>
    </cfRule>
  </conditionalFormatting>
  <conditionalFormatting sqref="B57:C57">
    <cfRule type="cellIs" dxfId="25261" priority="14203" stopIfTrue="1" operator="equal">
      <formula>"Towel"</formula>
    </cfRule>
    <cfRule type="cellIs" dxfId="25260" priority="14204" stopIfTrue="1" operator="equal">
      <formula>"Napkin Hs"</formula>
    </cfRule>
  </conditionalFormatting>
  <conditionalFormatting sqref="B57:C57">
    <cfRule type="cellIs" dxfId="25259" priority="14197" stopIfTrue="1" operator="equal">
      <formula>"Towel"</formula>
    </cfRule>
    <cfRule type="cellIs" dxfId="25258" priority="14198" stopIfTrue="1" operator="equal">
      <formula>"Napkin Hs"</formula>
    </cfRule>
  </conditionalFormatting>
  <conditionalFormatting sqref="C57">
    <cfRule type="cellIs" dxfId="25257" priority="14202" stopIfTrue="1" operator="equal">
      <formula>"Napkin Hs"</formula>
    </cfRule>
  </conditionalFormatting>
  <conditionalFormatting sqref="C57">
    <cfRule type="cellIs" dxfId="25256" priority="14199" stopIfTrue="1" operator="equal">
      <formula>"Towel"</formula>
    </cfRule>
    <cfRule type="cellIs" dxfId="25255" priority="14200" stopIfTrue="1" operator="equal">
      <formula>"Napkin Hs"</formula>
    </cfRule>
  </conditionalFormatting>
  <conditionalFormatting sqref="C57">
    <cfRule type="cellIs" dxfId="25254" priority="14193" stopIfTrue="1" operator="equal">
      <formula>"Towel"</formula>
    </cfRule>
    <cfRule type="cellIs" dxfId="25253" priority="14194" stopIfTrue="1" operator="equal">
      <formula>"Napkin Hs"</formula>
    </cfRule>
  </conditionalFormatting>
  <conditionalFormatting sqref="C57">
    <cfRule type="cellIs" dxfId="25252" priority="14195" stopIfTrue="1" operator="equal">
      <formula>"Towel"</formula>
    </cfRule>
    <cfRule type="cellIs" dxfId="25251" priority="14196" stopIfTrue="1" operator="equal">
      <formula>"Napkin Hs"</formula>
    </cfRule>
  </conditionalFormatting>
  <conditionalFormatting sqref="C57">
    <cfRule type="cellIs" dxfId="25250" priority="14201" stopIfTrue="1" operator="equal">
      <formula>"Towel"</formula>
    </cfRule>
  </conditionalFormatting>
  <conditionalFormatting sqref="B57:C57">
    <cfRule type="cellIs" dxfId="25249" priority="14191" stopIfTrue="1" operator="equal">
      <formula>"Towel"</formula>
    </cfRule>
    <cfRule type="cellIs" dxfId="25248" priority="14192" stopIfTrue="1" operator="equal">
      <formula>"Napkin Hs"</formula>
    </cfRule>
  </conditionalFormatting>
  <conditionalFormatting sqref="C57">
    <cfRule type="cellIs" dxfId="25247" priority="14187" stopIfTrue="1" operator="equal">
      <formula>"Towel"</formula>
    </cfRule>
    <cfRule type="cellIs" dxfId="25246" priority="14188" stopIfTrue="1" operator="equal">
      <formula>"Napkin Hs"</formula>
    </cfRule>
  </conditionalFormatting>
  <conditionalFormatting sqref="C57">
    <cfRule type="cellIs" dxfId="25245" priority="14189" stopIfTrue="1" operator="equal">
      <formula>"Towel"</formula>
    </cfRule>
    <cfRule type="cellIs" dxfId="25244" priority="14190" stopIfTrue="1" operator="equal">
      <formula>"Napkin Hs"</formula>
    </cfRule>
  </conditionalFormatting>
  <conditionalFormatting sqref="B57:C57">
    <cfRule type="cellIs" dxfId="25243" priority="14183" stopIfTrue="1" operator="equal">
      <formula>"Towel"</formula>
    </cfRule>
    <cfRule type="cellIs" dxfId="25242" priority="14184" stopIfTrue="1" operator="equal">
      <formula>"Napkin Hs"</formula>
    </cfRule>
  </conditionalFormatting>
  <conditionalFormatting sqref="C57">
    <cfRule type="cellIs" dxfId="25241" priority="14185" stopIfTrue="1" operator="equal">
      <formula>"Towel"</formula>
    </cfRule>
    <cfRule type="cellIs" dxfId="25240" priority="14186" stopIfTrue="1" operator="equal">
      <formula>"Napkin Hs"</formula>
    </cfRule>
  </conditionalFormatting>
  <conditionalFormatting sqref="C57">
    <cfRule type="cellIs" dxfId="25239" priority="14179" stopIfTrue="1" operator="equal">
      <formula>"Towel"</formula>
    </cfRule>
    <cfRule type="cellIs" dxfId="25238" priority="14180" stopIfTrue="1" operator="equal">
      <formula>"Napkin Hs"</formula>
    </cfRule>
  </conditionalFormatting>
  <conditionalFormatting sqref="C57">
    <cfRule type="cellIs" dxfId="25237" priority="14181" stopIfTrue="1" operator="equal">
      <formula>"Towel"</formula>
    </cfRule>
    <cfRule type="cellIs" dxfId="25236" priority="14182" stopIfTrue="1" operator="equal">
      <formula>"Napkin Hs"</formula>
    </cfRule>
  </conditionalFormatting>
  <conditionalFormatting sqref="B57:C57">
    <cfRule type="cellIs" dxfId="25235" priority="14177" stopIfTrue="1" operator="equal">
      <formula>"Towel"</formula>
    </cfRule>
    <cfRule type="cellIs" dxfId="25234" priority="14178" stopIfTrue="1" operator="equal">
      <formula>"Napkin Hs"</formula>
    </cfRule>
  </conditionalFormatting>
  <conditionalFormatting sqref="C57">
    <cfRule type="cellIs" dxfId="25233" priority="14176" stopIfTrue="1" operator="equal">
      <formula>"Napkin Hs"</formula>
    </cfRule>
  </conditionalFormatting>
  <conditionalFormatting sqref="C57">
    <cfRule type="cellIs" dxfId="25232" priority="14175" stopIfTrue="1" operator="equal">
      <formula>"Towel"</formula>
    </cfRule>
  </conditionalFormatting>
  <conditionalFormatting sqref="C56">
    <cfRule type="cellIs" dxfId="25231" priority="14173" stopIfTrue="1" operator="equal">
      <formula>"Towel"</formula>
    </cfRule>
    <cfRule type="cellIs" dxfId="25230" priority="14174" stopIfTrue="1" operator="equal">
      <formula>"Napkin Hs"</formula>
    </cfRule>
  </conditionalFormatting>
  <conditionalFormatting sqref="C56">
    <cfRule type="cellIs" dxfId="25229" priority="14169" stopIfTrue="1" operator="equal">
      <formula>"Towel"</formula>
    </cfRule>
    <cfRule type="cellIs" dxfId="25228" priority="14170" stopIfTrue="1" operator="equal">
      <formula>"Napkin Hs"</formula>
    </cfRule>
  </conditionalFormatting>
  <conditionalFormatting sqref="C56">
    <cfRule type="cellIs" dxfId="25227" priority="14171" stopIfTrue="1" operator="equal">
      <formula>"Towel"</formula>
    </cfRule>
    <cfRule type="cellIs" dxfId="25226" priority="14172" stopIfTrue="1" operator="equal">
      <formula>"Napkin Hs"</formula>
    </cfRule>
  </conditionalFormatting>
  <conditionalFormatting sqref="C56">
    <cfRule type="cellIs" dxfId="25225" priority="14167" stopIfTrue="1" operator="equal">
      <formula>"Towel"</formula>
    </cfRule>
    <cfRule type="cellIs" dxfId="25224" priority="14168" stopIfTrue="1" operator="equal">
      <formula>"Napkin Hs"</formula>
    </cfRule>
  </conditionalFormatting>
  <conditionalFormatting sqref="C56">
    <cfRule type="cellIs" dxfId="25223" priority="14163" stopIfTrue="1" operator="equal">
      <formula>"Towel"</formula>
    </cfRule>
    <cfRule type="cellIs" dxfId="25222" priority="14164" stopIfTrue="1" operator="equal">
      <formula>"Napkin Hs"</formula>
    </cfRule>
  </conditionalFormatting>
  <conditionalFormatting sqref="C56">
    <cfRule type="cellIs" dxfId="25221" priority="14165" stopIfTrue="1" operator="equal">
      <formula>"Towel"</formula>
    </cfRule>
    <cfRule type="cellIs" dxfId="25220" priority="14166" stopIfTrue="1" operator="equal">
      <formula>"Napkin Hs"</formula>
    </cfRule>
  </conditionalFormatting>
  <conditionalFormatting sqref="C56">
    <cfRule type="cellIs" dxfId="25219" priority="14161" stopIfTrue="1" operator="equal">
      <formula>"Towel"</formula>
    </cfRule>
    <cfRule type="cellIs" dxfId="25218" priority="14162" stopIfTrue="1" operator="equal">
      <formula>"Napkin Hs"</formula>
    </cfRule>
  </conditionalFormatting>
  <conditionalFormatting sqref="C56">
    <cfRule type="cellIs" dxfId="25217" priority="14157" stopIfTrue="1" operator="equal">
      <formula>"Towel"</formula>
    </cfRule>
    <cfRule type="cellIs" dxfId="25216" priority="14158" stopIfTrue="1" operator="equal">
      <formula>"Napkin Hs"</formula>
    </cfRule>
  </conditionalFormatting>
  <conditionalFormatting sqref="C56">
    <cfRule type="cellIs" dxfId="25215" priority="14159" stopIfTrue="1" operator="equal">
      <formula>"Towel"</formula>
    </cfRule>
    <cfRule type="cellIs" dxfId="25214" priority="14160" stopIfTrue="1" operator="equal">
      <formula>"Napkin Hs"</formula>
    </cfRule>
  </conditionalFormatting>
  <conditionalFormatting sqref="C56">
    <cfRule type="cellIs" dxfId="25213" priority="14155" stopIfTrue="1" operator="equal">
      <formula>"Towel"</formula>
    </cfRule>
    <cfRule type="cellIs" dxfId="25212" priority="14156" stopIfTrue="1" operator="equal">
      <formula>"Napkin Hs"</formula>
    </cfRule>
  </conditionalFormatting>
  <conditionalFormatting sqref="C56">
    <cfRule type="cellIs" dxfId="25211" priority="14153" stopIfTrue="1" operator="equal">
      <formula>"Towel"</formula>
    </cfRule>
    <cfRule type="cellIs" dxfId="25210" priority="14154" stopIfTrue="1" operator="equal">
      <formula>"Napkin Hs"</formula>
    </cfRule>
  </conditionalFormatting>
  <conditionalFormatting sqref="C56">
    <cfRule type="cellIs" dxfId="25209" priority="14151" stopIfTrue="1" operator="equal">
      <formula>"Towel"</formula>
    </cfRule>
    <cfRule type="cellIs" dxfId="25208" priority="14152" stopIfTrue="1" operator="equal">
      <formula>"Napkin Hs"</formula>
    </cfRule>
  </conditionalFormatting>
  <conditionalFormatting sqref="C56">
    <cfRule type="cellIs" dxfId="25207" priority="14149" stopIfTrue="1" operator="equal">
      <formula>"Towel"</formula>
    </cfRule>
    <cfRule type="cellIs" dxfId="25206" priority="14150" stopIfTrue="1" operator="equal">
      <formula>"Napkin Hs"</formula>
    </cfRule>
  </conditionalFormatting>
  <conditionalFormatting sqref="C56">
    <cfRule type="cellIs" dxfId="25205" priority="14148" stopIfTrue="1" operator="equal">
      <formula>"Napkin Hs"</formula>
    </cfRule>
  </conditionalFormatting>
  <conditionalFormatting sqref="C56">
    <cfRule type="cellIs" dxfId="25204" priority="14145" stopIfTrue="1" operator="equal">
      <formula>"Towel"</formula>
    </cfRule>
    <cfRule type="cellIs" dxfId="25203" priority="14146" stopIfTrue="1" operator="equal">
      <formula>"Napkin Hs"</formula>
    </cfRule>
  </conditionalFormatting>
  <conditionalFormatting sqref="C56">
    <cfRule type="cellIs" dxfId="25202" priority="14147" stopIfTrue="1" operator="equal">
      <formula>"Towel"</formula>
    </cfRule>
  </conditionalFormatting>
  <conditionalFormatting sqref="B56">
    <cfRule type="cellIs" dxfId="25201" priority="14143" stopIfTrue="1" operator="equal">
      <formula>"Towel"</formula>
    </cfRule>
    <cfRule type="cellIs" dxfId="25200" priority="14144" stopIfTrue="1" operator="equal">
      <formula>"Napkin Hs"</formula>
    </cfRule>
  </conditionalFormatting>
  <conditionalFormatting sqref="B56">
    <cfRule type="cellIs" dxfId="25199" priority="14141" stopIfTrue="1" operator="equal">
      <formula>"Towel"</formula>
    </cfRule>
    <cfRule type="cellIs" dxfId="25198" priority="14142" stopIfTrue="1" operator="equal">
      <formula>"Napkin Hs"</formula>
    </cfRule>
  </conditionalFormatting>
  <conditionalFormatting sqref="B56">
    <cfRule type="cellIs" dxfId="25197" priority="14139" stopIfTrue="1" operator="equal">
      <formula>"Towel"</formula>
    </cfRule>
    <cfRule type="cellIs" dxfId="25196" priority="14140" stopIfTrue="1" operator="equal">
      <formula>"Napkin Hs"</formula>
    </cfRule>
  </conditionalFormatting>
  <conditionalFormatting sqref="B56">
    <cfRule type="cellIs" dxfId="25195" priority="14137" stopIfTrue="1" operator="equal">
      <formula>"Towel"</formula>
    </cfRule>
    <cfRule type="cellIs" dxfId="25194" priority="14138" stopIfTrue="1" operator="equal">
      <formula>"Napkin Hs"</formula>
    </cfRule>
  </conditionalFormatting>
  <conditionalFormatting sqref="B56">
    <cfRule type="cellIs" dxfId="25193" priority="14135" stopIfTrue="1" operator="equal">
      <formula>"Towel"</formula>
    </cfRule>
    <cfRule type="cellIs" dxfId="25192" priority="14136" stopIfTrue="1" operator="equal">
      <formula>"Napkin Hs"</formula>
    </cfRule>
  </conditionalFormatting>
  <conditionalFormatting sqref="B56">
    <cfRule type="cellIs" dxfId="25191" priority="14133" stopIfTrue="1" operator="equal">
      <formula>"Towel"</formula>
    </cfRule>
    <cfRule type="cellIs" dxfId="25190" priority="14134" stopIfTrue="1" operator="equal">
      <formula>"Napkin Hs"</formula>
    </cfRule>
  </conditionalFormatting>
  <conditionalFormatting sqref="B56">
    <cfRule type="cellIs" dxfId="25189" priority="14125" stopIfTrue="1" operator="equal">
      <formula>"Towel"</formula>
    </cfRule>
    <cfRule type="cellIs" dxfId="25188" priority="14126" stopIfTrue="1" operator="equal">
      <formula>"Napkin Hs"</formula>
    </cfRule>
    <cfRule type="cellIs" dxfId="25187" priority="14131" stopIfTrue="1" operator="equal">
      <formula>"Towel"</formula>
    </cfRule>
    <cfRule type="cellIs" dxfId="25186" priority="14132" stopIfTrue="1" operator="equal">
      <formula>"Napkin Hs"</formula>
    </cfRule>
  </conditionalFormatting>
  <conditionalFormatting sqref="B56">
    <cfRule type="cellIs" dxfId="25185" priority="14111" stopIfTrue="1" operator="equal">
      <formula>"Towel"</formula>
    </cfRule>
    <cfRule type="cellIs" dxfId="25184" priority="14112" stopIfTrue="1" operator="equal">
      <formula>"Napkin Hs"</formula>
    </cfRule>
  </conditionalFormatting>
  <conditionalFormatting sqref="B56">
    <cfRule type="cellIs" dxfId="25183" priority="14105" stopIfTrue="1" operator="equal">
      <formula>"Towel"</formula>
    </cfRule>
    <cfRule type="cellIs" dxfId="25182" priority="14106" stopIfTrue="1" operator="equal">
      <formula>"Napkin Hs"</formula>
    </cfRule>
  </conditionalFormatting>
  <conditionalFormatting sqref="B56">
    <cfRule type="cellIs" dxfId="25181" priority="14099" stopIfTrue="1" operator="equal">
      <formula>"Towel"</formula>
    </cfRule>
    <cfRule type="cellIs" dxfId="25180" priority="14100" stopIfTrue="1" operator="equal">
      <formula>"Napkin Hs"</formula>
    </cfRule>
  </conditionalFormatting>
  <conditionalFormatting sqref="B56">
    <cfRule type="cellIs" dxfId="25179" priority="14093" stopIfTrue="1" operator="equal">
      <formula>"Towel"</formula>
    </cfRule>
    <cfRule type="cellIs" dxfId="25178" priority="14094" stopIfTrue="1" operator="equal">
      <formula>"Napkin Hs"</formula>
    </cfRule>
  </conditionalFormatting>
  <conditionalFormatting sqref="B56">
    <cfRule type="cellIs" dxfId="25177" priority="14087" stopIfTrue="1" operator="equal">
      <formula>"Towel"</formula>
    </cfRule>
    <cfRule type="cellIs" dxfId="25176" priority="14088" stopIfTrue="1" operator="equal">
      <formula>"Napkin Hs"</formula>
    </cfRule>
  </conditionalFormatting>
  <conditionalFormatting sqref="B56:C56">
    <cfRule type="cellIs" dxfId="25175" priority="14069" stopIfTrue="1" operator="equal">
      <formula>"Towel"</formula>
    </cfRule>
    <cfRule type="cellIs" dxfId="25174" priority="14070" stopIfTrue="1" operator="equal">
      <formula>"Napkin Hs"</formula>
    </cfRule>
    <cfRule type="cellIs" dxfId="25173" priority="14075" stopIfTrue="1" operator="equal">
      <formula>"Towel"</formula>
    </cfRule>
    <cfRule type="cellIs" dxfId="25172" priority="14076" stopIfTrue="1" operator="equal">
      <formula>"Napkin Hs"</formula>
    </cfRule>
    <cfRule type="cellIs" dxfId="25171" priority="14081" stopIfTrue="1" operator="equal">
      <formula>"Towel"</formula>
    </cfRule>
    <cfRule type="cellIs" dxfId="25170" priority="14082" stopIfTrue="1" operator="equal">
      <formula>"Napkin Hs"</formula>
    </cfRule>
  </conditionalFormatting>
  <conditionalFormatting sqref="C56">
    <cfRule type="cellIs" dxfId="25169" priority="14063" stopIfTrue="1" operator="equal">
      <formula>"Towel"</formula>
    </cfRule>
    <cfRule type="cellIs" dxfId="25168" priority="14064" stopIfTrue="1" operator="equal">
      <formula>"Napkin Hs"</formula>
    </cfRule>
    <cfRule type="cellIs" dxfId="25167" priority="14065" stopIfTrue="1" operator="equal">
      <formula>"Towel"</formula>
    </cfRule>
    <cfRule type="cellIs" dxfId="25166" priority="14066" stopIfTrue="1" operator="equal">
      <formula>"Napkin Hs"</formula>
    </cfRule>
    <cfRule type="cellIs" dxfId="25165" priority="14073" stopIfTrue="1" operator="equal">
      <formula>"Towel"</formula>
    </cfRule>
    <cfRule type="cellIs" dxfId="25164" priority="14074" stopIfTrue="1" operator="equal">
      <formula>"Napkin Hs"</formula>
    </cfRule>
    <cfRule type="cellIs" dxfId="25163" priority="14077" stopIfTrue="1" operator="equal">
      <formula>"Towel"</formula>
    </cfRule>
    <cfRule type="cellIs" dxfId="25162" priority="14078" stopIfTrue="1" operator="equal">
      <formula>"Napkin Hs"</formula>
    </cfRule>
  </conditionalFormatting>
  <conditionalFormatting sqref="C56">
    <cfRule type="cellIs" dxfId="25161" priority="14067" stopIfTrue="1" operator="equal">
      <formula>"Towel"</formula>
    </cfRule>
    <cfRule type="cellIs" dxfId="25160" priority="14068" stopIfTrue="1" operator="equal">
      <formula>"Napkin Hs"</formula>
    </cfRule>
    <cfRule type="cellIs" dxfId="25159" priority="14071" stopIfTrue="1" operator="equal">
      <formula>"Towel"</formula>
    </cfRule>
    <cfRule type="cellIs" dxfId="25158" priority="14072" stopIfTrue="1" operator="equal">
      <formula>"Napkin Hs"</formula>
    </cfRule>
    <cfRule type="cellIs" dxfId="25157" priority="14079" stopIfTrue="1" operator="equal">
      <formula>"Towel"</formula>
    </cfRule>
    <cfRule type="cellIs" dxfId="25156" priority="14080" stopIfTrue="1" operator="equal">
      <formula>"Napkin Hs"</formula>
    </cfRule>
  </conditionalFormatting>
  <conditionalFormatting sqref="B56:C56">
    <cfRule type="cellIs" dxfId="25155" priority="14061" stopIfTrue="1" operator="equal">
      <formula>"Towel"</formula>
    </cfRule>
    <cfRule type="cellIs" dxfId="25154" priority="14062" stopIfTrue="1" operator="equal">
      <formula>"Napkin Hs"</formula>
    </cfRule>
  </conditionalFormatting>
  <conditionalFormatting sqref="B56:C56">
    <cfRule type="cellIs" dxfId="25153" priority="14053" stopIfTrue="1" operator="equal">
      <formula>"Towel"</formula>
    </cfRule>
    <cfRule type="cellIs" dxfId="25152" priority="14054" stopIfTrue="1" operator="equal">
      <formula>"Napkin Hs"</formula>
    </cfRule>
    <cfRule type="cellIs" dxfId="25151" priority="14059" stopIfTrue="1" operator="equal">
      <formula>"Towel"</formula>
    </cfRule>
    <cfRule type="cellIs" dxfId="25150" priority="14060" stopIfTrue="1" operator="equal">
      <formula>"Napkin Hs"</formula>
    </cfRule>
  </conditionalFormatting>
  <conditionalFormatting sqref="C56">
    <cfRule type="cellIs" dxfId="25149" priority="14049" stopIfTrue="1" operator="equal">
      <formula>"Towel"</formula>
    </cfRule>
    <cfRule type="cellIs" dxfId="25148" priority="14050" stopIfTrue="1" operator="equal">
      <formula>"Napkin Hs"</formula>
    </cfRule>
  </conditionalFormatting>
  <conditionalFormatting sqref="C56">
    <cfRule type="cellIs" dxfId="25147" priority="14047" stopIfTrue="1" operator="equal">
      <formula>"Towel"</formula>
    </cfRule>
    <cfRule type="cellIs" dxfId="25146" priority="14048" stopIfTrue="1" operator="equal">
      <formula>"Napkin Hs"</formula>
    </cfRule>
    <cfRule type="cellIs" dxfId="25145" priority="14057" stopIfTrue="1" operator="equal">
      <formula>"Towel"</formula>
    </cfRule>
    <cfRule type="cellIs" dxfId="25144" priority="14058" stopIfTrue="1" operator="equal">
      <formula>"Napkin Hs"</formula>
    </cfRule>
  </conditionalFormatting>
  <conditionalFormatting sqref="C56">
    <cfRule type="cellIs" dxfId="25143" priority="14051" stopIfTrue="1" operator="equal">
      <formula>"Towel"</formula>
    </cfRule>
    <cfRule type="cellIs" dxfId="25142" priority="14052" stopIfTrue="1" operator="equal">
      <formula>"Napkin Hs"</formula>
    </cfRule>
    <cfRule type="cellIs" dxfId="25141" priority="14055" stopIfTrue="1" operator="equal">
      <formula>"Towel"</formula>
    </cfRule>
    <cfRule type="cellIs" dxfId="25140" priority="14056" stopIfTrue="1" operator="equal">
      <formula>"Napkin Hs"</formula>
    </cfRule>
  </conditionalFormatting>
  <conditionalFormatting sqref="C56">
    <cfRule type="cellIs" dxfId="25139" priority="14046" stopIfTrue="1" operator="equal">
      <formula>"Napkin Hs"</formula>
    </cfRule>
  </conditionalFormatting>
  <conditionalFormatting sqref="C56">
    <cfRule type="cellIs" dxfId="25138" priority="14045" stopIfTrue="1" operator="equal">
      <formula>"Towel"</formula>
    </cfRule>
  </conditionalFormatting>
  <conditionalFormatting sqref="C56">
    <cfRule type="cellIs" dxfId="25137" priority="14041" stopIfTrue="1" operator="equal">
      <formula>"Towel"</formula>
    </cfRule>
    <cfRule type="cellIs" dxfId="25136" priority="14042" stopIfTrue="1" operator="equal">
      <formula>"Napkin Hs"</formula>
    </cfRule>
    <cfRule type="cellIs" dxfId="25135" priority="14043" stopIfTrue="1" operator="equal">
      <formula>"Towel"</formula>
    </cfRule>
    <cfRule type="cellIs" dxfId="25134" priority="14044" stopIfTrue="1" operator="equal">
      <formula>"Napkin Hs"</formula>
    </cfRule>
  </conditionalFormatting>
  <conditionalFormatting sqref="B56:C56">
    <cfRule type="cellIs" dxfId="25133" priority="14039" stopIfTrue="1" operator="equal">
      <formula>"Towel"</formula>
    </cfRule>
    <cfRule type="cellIs" dxfId="25132" priority="14040" stopIfTrue="1" operator="equal">
      <formula>"Napkin Hs"</formula>
    </cfRule>
  </conditionalFormatting>
  <conditionalFormatting sqref="C56">
    <cfRule type="cellIs" dxfId="25131" priority="14035" stopIfTrue="1" operator="equal">
      <formula>"Towel"</formula>
    </cfRule>
    <cfRule type="cellIs" dxfId="25130" priority="14036" stopIfTrue="1" operator="equal">
      <formula>"Napkin Hs"</formula>
    </cfRule>
  </conditionalFormatting>
  <conditionalFormatting sqref="C56">
    <cfRule type="cellIs" dxfId="25129" priority="14037" stopIfTrue="1" operator="equal">
      <formula>"Towel"</formula>
    </cfRule>
    <cfRule type="cellIs" dxfId="25128" priority="14038" stopIfTrue="1" operator="equal">
      <formula>"Napkin Hs"</formula>
    </cfRule>
  </conditionalFormatting>
  <conditionalFormatting sqref="B56:C56">
    <cfRule type="cellIs" dxfId="25127" priority="14033" stopIfTrue="1" operator="equal">
      <formula>"Towel"</formula>
    </cfRule>
    <cfRule type="cellIs" dxfId="25126" priority="14034" stopIfTrue="1" operator="equal">
      <formula>"Napkin Hs"</formula>
    </cfRule>
  </conditionalFormatting>
  <conditionalFormatting sqref="C56">
    <cfRule type="cellIs" dxfId="25125" priority="14029" stopIfTrue="1" operator="equal">
      <formula>"Towel"</formula>
    </cfRule>
    <cfRule type="cellIs" dxfId="25124" priority="14030" stopIfTrue="1" operator="equal">
      <formula>"Napkin Hs"</formula>
    </cfRule>
  </conditionalFormatting>
  <conditionalFormatting sqref="C56">
    <cfRule type="cellIs" dxfId="25123" priority="14031" stopIfTrue="1" operator="equal">
      <formula>"Towel"</formula>
    </cfRule>
    <cfRule type="cellIs" dxfId="25122" priority="14032" stopIfTrue="1" operator="equal">
      <formula>"Napkin Hs"</formula>
    </cfRule>
  </conditionalFormatting>
  <conditionalFormatting sqref="B56:C56">
    <cfRule type="cellIs" dxfId="25121" priority="14027" stopIfTrue="1" operator="equal">
      <formula>"Towel"</formula>
    </cfRule>
    <cfRule type="cellIs" dxfId="25120" priority="14028" stopIfTrue="1" operator="equal">
      <formula>"Napkin Hs"</formula>
    </cfRule>
  </conditionalFormatting>
  <conditionalFormatting sqref="C56">
    <cfRule type="cellIs" dxfId="25119" priority="14023" stopIfTrue="1" operator="equal">
      <formula>"Towel"</formula>
    </cfRule>
    <cfRule type="cellIs" dxfId="25118" priority="14024" stopIfTrue="1" operator="equal">
      <formula>"Napkin Hs"</formula>
    </cfRule>
  </conditionalFormatting>
  <conditionalFormatting sqref="C56">
    <cfRule type="cellIs" dxfId="25117" priority="14025" stopIfTrue="1" operator="equal">
      <formula>"Towel"</formula>
    </cfRule>
    <cfRule type="cellIs" dxfId="25116" priority="14026" stopIfTrue="1" operator="equal">
      <formula>"Napkin Hs"</formula>
    </cfRule>
  </conditionalFormatting>
  <conditionalFormatting sqref="B56:C56">
    <cfRule type="cellIs" dxfId="25115" priority="14021" stopIfTrue="1" operator="equal">
      <formula>"Towel"</formula>
    </cfRule>
    <cfRule type="cellIs" dxfId="25114" priority="14022" stopIfTrue="1" operator="equal">
      <formula>"Napkin Hs"</formula>
    </cfRule>
  </conditionalFormatting>
  <conditionalFormatting sqref="C56">
    <cfRule type="cellIs" dxfId="25113" priority="14019" stopIfTrue="1" operator="equal">
      <formula>"Towel"</formula>
    </cfRule>
    <cfRule type="cellIs" dxfId="25112" priority="14020" stopIfTrue="1" operator="equal">
      <formula>"Napkin Hs"</formula>
    </cfRule>
  </conditionalFormatting>
  <conditionalFormatting sqref="C56">
    <cfRule type="cellIs" dxfId="25111" priority="14017" stopIfTrue="1" operator="equal">
      <formula>"Towel"</formula>
    </cfRule>
    <cfRule type="cellIs" dxfId="25110" priority="14018" stopIfTrue="1" operator="equal">
      <formula>"Napkin Hs"</formula>
    </cfRule>
  </conditionalFormatting>
  <conditionalFormatting sqref="B56:C56">
    <cfRule type="cellIs" dxfId="25109" priority="14015" stopIfTrue="1" operator="equal">
      <formula>"Towel"</formula>
    </cfRule>
    <cfRule type="cellIs" dxfId="25108" priority="14016" stopIfTrue="1" operator="equal">
      <formula>"Napkin Hs"</formula>
    </cfRule>
  </conditionalFormatting>
  <conditionalFormatting sqref="C56">
    <cfRule type="cellIs" dxfId="25107" priority="14014" stopIfTrue="1" operator="equal">
      <formula>"Napkin Hs"</formula>
    </cfRule>
  </conditionalFormatting>
  <conditionalFormatting sqref="C56">
    <cfRule type="cellIs" dxfId="25106" priority="14011" stopIfTrue="1" operator="equal">
      <formula>"Towel"</formula>
    </cfRule>
    <cfRule type="cellIs" dxfId="25105" priority="14012" stopIfTrue="1" operator="equal">
      <formula>"Napkin Hs"</formula>
    </cfRule>
  </conditionalFormatting>
  <conditionalFormatting sqref="C56">
    <cfRule type="cellIs" dxfId="25104" priority="14013" stopIfTrue="1" operator="equal">
      <formula>"Towel"</formula>
    </cfRule>
  </conditionalFormatting>
  <conditionalFormatting sqref="B54:C54">
    <cfRule type="cellIs" dxfId="25103" priority="13967" stopIfTrue="1" operator="equal">
      <formula>"Towel"</formula>
    </cfRule>
    <cfRule type="cellIs" dxfId="25102" priority="13968" stopIfTrue="1" operator="equal">
      <formula>"Napkin Hs"</formula>
    </cfRule>
    <cfRule type="cellIs" dxfId="25101" priority="13973" stopIfTrue="1" operator="equal">
      <formula>"Towel"</formula>
    </cfRule>
    <cfRule type="cellIs" dxfId="25100" priority="13974" stopIfTrue="1" operator="equal">
      <formula>"Napkin Hs"</formula>
    </cfRule>
    <cfRule type="cellIs" dxfId="25099" priority="13979" stopIfTrue="1" operator="equal">
      <formula>"Towel"</formula>
    </cfRule>
    <cfRule type="cellIs" dxfId="25098" priority="13980" stopIfTrue="1" operator="equal">
      <formula>"Napkin Hs"</formula>
    </cfRule>
    <cfRule type="cellIs" dxfId="25097" priority="13985" stopIfTrue="1" operator="equal">
      <formula>"Towel"</formula>
    </cfRule>
    <cfRule type="cellIs" dxfId="25096" priority="13986" stopIfTrue="1" operator="equal">
      <formula>"Napkin Hs"</formula>
    </cfRule>
    <cfRule type="cellIs" dxfId="25095" priority="13991" stopIfTrue="1" operator="equal">
      <formula>"Towel"</formula>
    </cfRule>
    <cfRule type="cellIs" dxfId="25094" priority="13992" stopIfTrue="1" operator="equal">
      <formula>"Napkin Hs"</formula>
    </cfRule>
    <cfRule type="cellIs" dxfId="25093" priority="13997" stopIfTrue="1" operator="equal">
      <formula>"Towel"</formula>
    </cfRule>
    <cfRule type="cellIs" dxfId="25092" priority="13998" stopIfTrue="1" operator="equal">
      <formula>"Napkin Hs"</formula>
    </cfRule>
    <cfRule type="cellIs" dxfId="25091" priority="14003" stopIfTrue="1" operator="equal">
      <formula>"Towel"</formula>
    </cfRule>
    <cfRule type="cellIs" dxfId="25090" priority="14004" stopIfTrue="1" operator="equal">
      <formula>"Napkin Hs"</formula>
    </cfRule>
    <cfRule type="cellIs" dxfId="25089" priority="14009" stopIfTrue="1" operator="equal">
      <formula>"Towel"</formula>
    </cfRule>
    <cfRule type="cellIs" dxfId="25088" priority="14010" stopIfTrue="1" operator="equal">
      <formula>"Napkin Hs"</formula>
    </cfRule>
  </conditionalFormatting>
  <conditionalFormatting sqref="C54">
    <cfRule type="cellIs" dxfId="25087" priority="13963" stopIfTrue="1" operator="equal">
      <formula>"Towel"</formula>
    </cfRule>
    <cfRule type="cellIs" dxfId="25086" priority="13964" stopIfTrue="1" operator="equal">
      <formula>"Napkin Hs"</formula>
    </cfRule>
    <cfRule type="cellIs" dxfId="25085" priority="13965" stopIfTrue="1" operator="equal">
      <formula>"Towel"</formula>
    </cfRule>
    <cfRule type="cellIs" dxfId="25084" priority="13966" stopIfTrue="1" operator="equal">
      <formula>"Napkin Hs"</formula>
    </cfRule>
    <cfRule type="cellIs" dxfId="25083" priority="13969" stopIfTrue="1" operator="equal">
      <formula>"Towel"</formula>
    </cfRule>
    <cfRule type="cellIs" dxfId="25082" priority="13970" stopIfTrue="1" operator="equal">
      <formula>"Napkin Hs"</formula>
    </cfRule>
    <cfRule type="cellIs" dxfId="25081" priority="13971" stopIfTrue="1" operator="equal">
      <formula>"Towel"</formula>
    </cfRule>
    <cfRule type="cellIs" dxfId="25080" priority="13972" stopIfTrue="1" operator="equal">
      <formula>"Napkin Hs"</formula>
    </cfRule>
    <cfRule type="cellIs" dxfId="25079" priority="13975" stopIfTrue="1" operator="equal">
      <formula>"Towel"</formula>
    </cfRule>
    <cfRule type="cellIs" dxfId="25078" priority="13976" stopIfTrue="1" operator="equal">
      <formula>"Napkin Hs"</formula>
    </cfRule>
    <cfRule type="cellIs" dxfId="25077" priority="13977" stopIfTrue="1" operator="equal">
      <formula>"Towel"</formula>
    </cfRule>
    <cfRule type="cellIs" dxfId="25076" priority="13978" stopIfTrue="1" operator="equal">
      <formula>"Napkin Hs"</formula>
    </cfRule>
    <cfRule type="cellIs" dxfId="25075" priority="13981" stopIfTrue="1" operator="equal">
      <formula>"Towel"</formula>
    </cfRule>
    <cfRule type="cellIs" dxfId="25074" priority="13982" stopIfTrue="1" operator="equal">
      <formula>"Napkin Hs"</formula>
    </cfRule>
    <cfRule type="cellIs" dxfId="25073" priority="13983" stopIfTrue="1" operator="equal">
      <formula>"Towel"</formula>
    </cfRule>
    <cfRule type="cellIs" dxfId="25072" priority="13984" stopIfTrue="1" operator="equal">
      <formula>"Napkin Hs"</formula>
    </cfRule>
    <cfRule type="cellIs" dxfId="25071" priority="13987" stopIfTrue="1" operator="equal">
      <formula>"Towel"</formula>
    </cfRule>
    <cfRule type="cellIs" dxfId="25070" priority="13988" stopIfTrue="1" operator="equal">
      <formula>"Napkin Hs"</formula>
    </cfRule>
    <cfRule type="cellIs" dxfId="25069" priority="13989" stopIfTrue="1" operator="equal">
      <formula>"Towel"</formula>
    </cfRule>
    <cfRule type="cellIs" dxfId="25068" priority="13990" stopIfTrue="1" operator="equal">
      <formula>"Napkin Hs"</formula>
    </cfRule>
    <cfRule type="cellIs" dxfId="25067" priority="13993" stopIfTrue="1" operator="equal">
      <formula>"Towel"</formula>
    </cfRule>
    <cfRule type="cellIs" dxfId="25066" priority="13994" stopIfTrue="1" operator="equal">
      <formula>"Napkin Hs"</formula>
    </cfRule>
    <cfRule type="cellIs" dxfId="25065" priority="13995" stopIfTrue="1" operator="equal">
      <formula>"Towel"</formula>
    </cfRule>
    <cfRule type="cellIs" dxfId="25064" priority="13996" stopIfTrue="1" operator="equal">
      <formula>"Napkin Hs"</formula>
    </cfRule>
    <cfRule type="cellIs" dxfId="25063" priority="13999" stopIfTrue="1" operator="equal">
      <formula>"Towel"</formula>
    </cfRule>
    <cfRule type="cellIs" dxfId="25062" priority="14000" stopIfTrue="1" operator="equal">
      <formula>"Napkin Hs"</formula>
    </cfRule>
    <cfRule type="cellIs" dxfId="25061" priority="14001" stopIfTrue="1" operator="equal">
      <formula>"Towel"</formula>
    </cfRule>
    <cfRule type="cellIs" dxfId="25060" priority="14002" stopIfTrue="1" operator="equal">
      <formula>"Napkin Hs"</formula>
    </cfRule>
    <cfRule type="cellIs" dxfId="25059" priority="14005" stopIfTrue="1" operator="equal">
      <formula>"Towel"</formula>
    </cfRule>
    <cfRule type="cellIs" dxfId="25058" priority="14006" stopIfTrue="1" operator="equal">
      <formula>"Napkin Hs"</formula>
    </cfRule>
  </conditionalFormatting>
  <conditionalFormatting sqref="C54">
    <cfRule type="cellIs" dxfId="25057" priority="14007" stopIfTrue="1" operator="equal">
      <formula>"Towel"</formula>
    </cfRule>
    <cfRule type="cellIs" dxfId="25056" priority="14008" stopIfTrue="1" operator="equal">
      <formula>"Napkin Hs"</formula>
    </cfRule>
  </conditionalFormatting>
  <conditionalFormatting sqref="B54">
    <cfRule type="cellIs" dxfId="25055" priority="13957" stopIfTrue="1" operator="equal">
      <formula>"Towel"</formula>
    </cfRule>
    <cfRule type="cellIs" dxfId="25054" priority="13958" stopIfTrue="1" operator="equal">
      <formula>"Napkin Hs"</formula>
    </cfRule>
    <cfRule type="cellIs" dxfId="25053" priority="13959" stopIfTrue="1" operator="equal">
      <formula>"Towel"</formula>
    </cfRule>
    <cfRule type="cellIs" dxfId="25052" priority="13960" stopIfTrue="1" operator="equal">
      <formula>"Napkin Hs"</formula>
    </cfRule>
    <cfRule type="cellIs" dxfId="25051" priority="13961" stopIfTrue="1" operator="equal">
      <formula>"Towel"</formula>
    </cfRule>
    <cfRule type="cellIs" dxfId="25050" priority="13962" stopIfTrue="1" operator="equal">
      <formula>"Napkin Hs"</formula>
    </cfRule>
  </conditionalFormatting>
  <conditionalFormatting sqref="B54:C54">
    <cfRule type="cellIs" dxfId="25049" priority="13919" stopIfTrue="1" operator="equal">
      <formula>"Towel"</formula>
    </cfRule>
    <cfRule type="cellIs" dxfId="25048" priority="13920" stopIfTrue="1" operator="equal">
      <formula>"Napkin Hs"</formula>
    </cfRule>
    <cfRule type="cellIs" dxfId="25047" priority="13925" stopIfTrue="1" operator="equal">
      <formula>"Towel"</formula>
    </cfRule>
    <cfRule type="cellIs" dxfId="25046" priority="13926" stopIfTrue="1" operator="equal">
      <formula>"Napkin Hs"</formula>
    </cfRule>
    <cfRule type="cellIs" dxfId="25045" priority="13931" stopIfTrue="1" operator="equal">
      <formula>"Towel"</formula>
    </cfRule>
    <cfRule type="cellIs" dxfId="25044" priority="13932" stopIfTrue="1" operator="equal">
      <formula>"Napkin Hs"</formula>
    </cfRule>
    <cfRule type="cellIs" dxfId="25043" priority="13937" stopIfTrue="1" operator="equal">
      <formula>"Towel"</formula>
    </cfRule>
    <cfRule type="cellIs" dxfId="25042" priority="13938" stopIfTrue="1" operator="equal">
      <formula>"Napkin Hs"</formula>
    </cfRule>
    <cfRule type="cellIs" dxfId="25041" priority="13943" stopIfTrue="1" operator="equal">
      <formula>"Towel"</formula>
    </cfRule>
    <cfRule type="cellIs" dxfId="25040" priority="13944" stopIfTrue="1" operator="equal">
      <formula>"Napkin Hs"</formula>
    </cfRule>
    <cfRule type="cellIs" dxfId="25039" priority="13949" stopIfTrue="1" operator="equal">
      <formula>"Towel"</formula>
    </cfRule>
    <cfRule type="cellIs" dxfId="25038" priority="13950" stopIfTrue="1" operator="equal">
      <formula>"Napkin Hs"</formula>
    </cfRule>
    <cfRule type="cellIs" dxfId="25037" priority="13955" stopIfTrue="1" operator="equal">
      <formula>"Towel"</formula>
    </cfRule>
    <cfRule type="cellIs" dxfId="25036" priority="13956" stopIfTrue="1" operator="equal">
      <formula>"Napkin Hs"</formula>
    </cfRule>
  </conditionalFormatting>
  <conditionalFormatting sqref="C54">
    <cfRule type="cellIs" dxfId="25035" priority="13915" stopIfTrue="1" operator="equal">
      <formula>"Towel"</formula>
    </cfRule>
    <cfRule type="cellIs" dxfId="25034" priority="13916" stopIfTrue="1" operator="equal">
      <formula>"Napkin Hs"</formula>
    </cfRule>
    <cfRule type="cellIs" dxfId="25033" priority="13917" stopIfTrue="1" operator="equal">
      <formula>"Towel"</formula>
    </cfRule>
    <cfRule type="cellIs" dxfId="25032" priority="13918" stopIfTrue="1" operator="equal">
      <formula>"Napkin Hs"</formula>
    </cfRule>
    <cfRule type="cellIs" dxfId="25031" priority="13921" stopIfTrue="1" operator="equal">
      <formula>"Towel"</formula>
    </cfRule>
    <cfRule type="cellIs" dxfId="25030" priority="13922" stopIfTrue="1" operator="equal">
      <formula>"Napkin Hs"</formula>
    </cfRule>
    <cfRule type="cellIs" dxfId="25029" priority="13923" stopIfTrue="1" operator="equal">
      <formula>"Towel"</formula>
    </cfRule>
    <cfRule type="cellIs" dxfId="25028" priority="13924" stopIfTrue="1" operator="equal">
      <formula>"Napkin Hs"</formula>
    </cfRule>
    <cfRule type="cellIs" dxfId="25027" priority="13927" stopIfTrue="1" operator="equal">
      <formula>"Towel"</formula>
    </cfRule>
    <cfRule type="cellIs" dxfId="25026" priority="13928" stopIfTrue="1" operator="equal">
      <formula>"Napkin Hs"</formula>
    </cfRule>
    <cfRule type="cellIs" dxfId="25025" priority="13929" stopIfTrue="1" operator="equal">
      <formula>"Towel"</formula>
    </cfRule>
    <cfRule type="cellIs" dxfId="25024" priority="13930" stopIfTrue="1" operator="equal">
      <formula>"Napkin Hs"</formula>
    </cfRule>
    <cfRule type="cellIs" dxfId="25023" priority="13933" stopIfTrue="1" operator="equal">
      <formula>"Towel"</formula>
    </cfRule>
    <cfRule type="cellIs" dxfId="25022" priority="13934" stopIfTrue="1" operator="equal">
      <formula>"Napkin Hs"</formula>
    </cfRule>
    <cfRule type="cellIs" dxfId="25021" priority="13935" stopIfTrue="1" operator="equal">
      <formula>"Towel"</formula>
    </cfRule>
    <cfRule type="cellIs" dxfId="25020" priority="13936" stopIfTrue="1" operator="equal">
      <formula>"Napkin Hs"</formula>
    </cfRule>
    <cfRule type="cellIs" dxfId="25019" priority="13939" stopIfTrue="1" operator="equal">
      <formula>"Towel"</formula>
    </cfRule>
    <cfRule type="cellIs" dxfId="25018" priority="13940" stopIfTrue="1" operator="equal">
      <formula>"Napkin Hs"</formula>
    </cfRule>
    <cfRule type="cellIs" dxfId="25017" priority="13941" stopIfTrue="1" operator="equal">
      <formula>"Towel"</formula>
    </cfRule>
    <cfRule type="cellIs" dxfId="25016" priority="13942" stopIfTrue="1" operator="equal">
      <formula>"Napkin Hs"</formula>
    </cfRule>
    <cfRule type="cellIs" dxfId="25015" priority="13945" stopIfTrue="1" operator="equal">
      <formula>"Towel"</formula>
    </cfRule>
    <cfRule type="cellIs" dxfId="25014" priority="13946" stopIfTrue="1" operator="equal">
      <formula>"Napkin Hs"</formula>
    </cfRule>
    <cfRule type="cellIs" dxfId="25013" priority="13947" stopIfTrue="1" operator="equal">
      <formula>"Towel"</formula>
    </cfRule>
    <cfRule type="cellIs" dxfId="25012" priority="13948" stopIfTrue="1" operator="equal">
      <formula>"Napkin Hs"</formula>
    </cfRule>
    <cfRule type="cellIs" dxfId="25011" priority="13951" stopIfTrue="1" operator="equal">
      <formula>"Towel"</formula>
    </cfRule>
    <cfRule type="cellIs" dxfId="25010" priority="13952" stopIfTrue="1" operator="equal">
      <formula>"Napkin Hs"</formula>
    </cfRule>
  </conditionalFormatting>
  <conditionalFormatting sqref="C54">
    <cfRule type="cellIs" dxfId="25009" priority="13953" stopIfTrue="1" operator="equal">
      <formula>"Towel"</formula>
    </cfRule>
    <cfRule type="cellIs" dxfId="25008" priority="13954" stopIfTrue="1" operator="equal">
      <formula>"Napkin Hs"</formula>
    </cfRule>
  </conditionalFormatting>
  <conditionalFormatting sqref="B54:C54">
    <cfRule type="cellIs" dxfId="25007" priority="13913" stopIfTrue="1" operator="equal">
      <formula>"Towel"</formula>
    </cfRule>
    <cfRule type="cellIs" dxfId="25006" priority="13914" stopIfTrue="1" operator="equal">
      <formula>"Napkin Hs"</formula>
    </cfRule>
  </conditionalFormatting>
  <conditionalFormatting sqref="B54:C54">
    <cfRule type="cellIs" dxfId="25005" priority="13877" stopIfTrue="1" operator="equal">
      <formula>"Towel"</formula>
    </cfRule>
    <cfRule type="cellIs" dxfId="25004" priority="13878" stopIfTrue="1" operator="equal">
      <formula>"Napkin Hs"</formula>
    </cfRule>
    <cfRule type="cellIs" dxfId="25003" priority="13883" stopIfTrue="1" operator="equal">
      <formula>"Towel"</formula>
    </cfRule>
    <cfRule type="cellIs" dxfId="25002" priority="13884" stopIfTrue="1" operator="equal">
      <formula>"Napkin Hs"</formula>
    </cfRule>
    <cfRule type="cellIs" dxfId="25001" priority="13889" stopIfTrue="1" operator="equal">
      <formula>"Towel"</formula>
    </cfRule>
    <cfRule type="cellIs" dxfId="25000" priority="13890" stopIfTrue="1" operator="equal">
      <formula>"Napkin Hs"</formula>
    </cfRule>
    <cfRule type="cellIs" dxfId="24999" priority="13895" stopIfTrue="1" operator="equal">
      <formula>"Towel"</formula>
    </cfRule>
    <cfRule type="cellIs" dxfId="24998" priority="13896" stopIfTrue="1" operator="equal">
      <formula>"Napkin Hs"</formula>
    </cfRule>
    <cfRule type="cellIs" dxfId="24997" priority="13901" stopIfTrue="1" operator="equal">
      <formula>"Towel"</formula>
    </cfRule>
    <cfRule type="cellIs" dxfId="24996" priority="13902" stopIfTrue="1" operator="equal">
      <formula>"Napkin Hs"</formula>
    </cfRule>
    <cfRule type="cellIs" dxfId="24995" priority="13907" stopIfTrue="1" operator="equal">
      <formula>"Towel"</formula>
    </cfRule>
    <cfRule type="cellIs" dxfId="24994" priority="13908" stopIfTrue="1" operator="equal">
      <formula>"Napkin Hs"</formula>
    </cfRule>
  </conditionalFormatting>
  <conditionalFormatting sqref="C54">
    <cfRule type="cellIs" dxfId="24993" priority="13912" stopIfTrue="1" operator="equal">
      <formula>"Napkin Hs"</formula>
    </cfRule>
  </conditionalFormatting>
  <conditionalFormatting sqref="C54">
    <cfRule type="cellIs" dxfId="24992" priority="13911" stopIfTrue="1" operator="equal">
      <formula>"Towel"</formula>
    </cfRule>
  </conditionalFormatting>
  <conditionalFormatting sqref="C54">
    <cfRule type="cellIs" dxfId="24991" priority="13905" stopIfTrue="1" operator="equal">
      <formula>"Towel"</formula>
    </cfRule>
    <cfRule type="cellIs" dxfId="24990" priority="13906" stopIfTrue="1" operator="equal">
      <formula>"Napkin Hs"</formula>
    </cfRule>
  </conditionalFormatting>
  <conditionalFormatting sqref="C54">
    <cfRule type="cellIs" dxfId="24989" priority="13903" stopIfTrue="1" operator="equal">
      <formula>"Towel"</formula>
    </cfRule>
    <cfRule type="cellIs" dxfId="24988" priority="13904" stopIfTrue="1" operator="equal">
      <formula>"Napkin Hs"</formula>
    </cfRule>
    <cfRule type="cellIs" dxfId="24987" priority="13909" stopIfTrue="1" operator="equal">
      <formula>"Towel"</formula>
    </cfRule>
    <cfRule type="cellIs" dxfId="24986" priority="13910" stopIfTrue="1" operator="equal">
      <formula>"Napkin Hs"</formula>
    </cfRule>
  </conditionalFormatting>
  <conditionalFormatting sqref="C54">
    <cfRule type="cellIs" dxfId="24985" priority="13875" stopIfTrue="1" operator="equal">
      <formula>"Towel"</formula>
    </cfRule>
    <cfRule type="cellIs" dxfId="24984" priority="13876" stopIfTrue="1" operator="equal">
      <formula>"Napkin Hs"</formula>
    </cfRule>
    <cfRule type="cellIs" dxfId="24983" priority="13879" stopIfTrue="1" operator="equal">
      <formula>"Towel"</formula>
    </cfRule>
    <cfRule type="cellIs" dxfId="24982" priority="13880" stopIfTrue="1" operator="equal">
      <formula>"Napkin Hs"</formula>
    </cfRule>
    <cfRule type="cellIs" dxfId="24981" priority="13881" stopIfTrue="1" operator="equal">
      <formula>"Towel"</formula>
    </cfRule>
    <cfRule type="cellIs" dxfId="24980" priority="13882" stopIfTrue="1" operator="equal">
      <formula>"Napkin Hs"</formula>
    </cfRule>
    <cfRule type="cellIs" dxfId="24979" priority="13885" stopIfTrue="1" operator="equal">
      <formula>"Towel"</formula>
    </cfRule>
    <cfRule type="cellIs" dxfId="24978" priority="13886" stopIfTrue="1" operator="equal">
      <formula>"Napkin Hs"</formula>
    </cfRule>
    <cfRule type="cellIs" dxfId="24977" priority="13887" stopIfTrue="1" operator="equal">
      <formula>"Towel"</formula>
    </cfRule>
    <cfRule type="cellIs" dxfId="24976" priority="13888" stopIfTrue="1" operator="equal">
      <formula>"Napkin Hs"</formula>
    </cfRule>
    <cfRule type="cellIs" dxfId="24975" priority="13891" stopIfTrue="1" operator="equal">
      <formula>"Towel"</formula>
    </cfRule>
    <cfRule type="cellIs" dxfId="24974" priority="13892" stopIfTrue="1" operator="equal">
      <formula>"Napkin Hs"</formula>
    </cfRule>
    <cfRule type="cellIs" dxfId="24973" priority="13893" stopIfTrue="1" operator="equal">
      <formula>"Towel"</formula>
    </cfRule>
    <cfRule type="cellIs" dxfId="24972" priority="13894" stopIfTrue="1" operator="equal">
      <formula>"Napkin Hs"</formula>
    </cfRule>
    <cfRule type="cellIs" dxfId="24971" priority="13897" stopIfTrue="1" operator="equal">
      <formula>"Towel"</formula>
    </cfRule>
    <cfRule type="cellIs" dxfId="24970" priority="13898" stopIfTrue="1" operator="equal">
      <formula>"Napkin Hs"</formula>
    </cfRule>
    <cfRule type="cellIs" dxfId="24969" priority="13899" stopIfTrue="1" operator="equal">
      <formula>"Towel"</formula>
    </cfRule>
    <cfRule type="cellIs" dxfId="24968" priority="13900" stopIfTrue="1" operator="equal">
      <formula>"Napkin Hs"</formula>
    </cfRule>
  </conditionalFormatting>
  <conditionalFormatting sqref="C54">
    <cfRule type="cellIs" dxfId="24967" priority="13873" stopIfTrue="1" operator="equal">
      <formula>"Towel"</formula>
    </cfRule>
    <cfRule type="cellIs" dxfId="24966" priority="13874" stopIfTrue="1" operator="equal">
      <formula>"Napkin Hs"</formula>
    </cfRule>
  </conditionalFormatting>
  <conditionalFormatting sqref="C54">
    <cfRule type="cellIs" dxfId="24965" priority="13853" stopIfTrue="1" operator="equal">
      <formula>"Towel"</formula>
    </cfRule>
    <cfRule type="cellIs" dxfId="24964" priority="13854" stopIfTrue="1" operator="equal">
      <formula>"Napkin Hs"</formula>
    </cfRule>
    <cfRule type="cellIs" dxfId="24963" priority="13859" stopIfTrue="1" operator="equal">
      <formula>"Towel"</formula>
    </cfRule>
    <cfRule type="cellIs" dxfId="24962" priority="13860" stopIfTrue="1" operator="equal">
      <formula>"Napkin Hs"</formula>
    </cfRule>
    <cfRule type="cellIs" dxfId="24961" priority="13865" stopIfTrue="1" operator="equal">
      <formula>"Towel"</formula>
    </cfRule>
    <cfRule type="cellIs" dxfId="24960" priority="13866" stopIfTrue="1" operator="equal">
      <formula>"Napkin Hs"</formula>
    </cfRule>
    <cfRule type="cellIs" dxfId="24959" priority="13871" stopIfTrue="1" operator="equal">
      <formula>"Towel"</formula>
    </cfRule>
    <cfRule type="cellIs" dxfId="24958" priority="13872" stopIfTrue="1" operator="equal">
      <formula>"Napkin Hs"</formula>
    </cfRule>
  </conditionalFormatting>
  <conditionalFormatting sqref="C54">
    <cfRule type="cellIs" dxfId="24957" priority="13863" stopIfTrue="1" operator="equal">
      <formula>"Towel"</formula>
    </cfRule>
    <cfRule type="cellIs" dxfId="24956" priority="13864" stopIfTrue="1" operator="equal">
      <formula>"Napkin Hs"</formula>
    </cfRule>
    <cfRule type="cellIs" dxfId="24955" priority="13869" stopIfTrue="1" operator="equal">
      <formula>"Towel"</formula>
    </cfRule>
    <cfRule type="cellIs" dxfId="24954" priority="13870" stopIfTrue="1" operator="equal">
      <formula>"Napkin Hs"</formula>
    </cfRule>
  </conditionalFormatting>
  <conditionalFormatting sqref="C54">
    <cfRule type="cellIs" dxfId="24953" priority="13849" stopIfTrue="1" operator="equal">
      <formula>"Towel"</formula>
    </cfRule>
    <cfRule type="cellIs" dxfId="24952" priority="13850" stopIfTrue="1" operator="equal">
      <formula>"Napkin Hs"</formula>
    </cfRule>
    <cfRule type="cellIs" dxfId="24951" priority="13857" stopIfTrue="1" operator="equal">
      <formula>"Towel"</formula>
    </cfRule>
    <cfRule type="cellIs" dxfId="24950" priority="13858" stopIfTrue="1" operator="equal">
      <formula>"Napkin Hs"</formula>
    </cfRule>
    <cfRule type="cellIs" dxfId="24949" priority="13861" stopIfTrue="1" operator="equal">
      <formula>"Towel"</formula>
    </cfRule>
    <cfRule type="cellIs" dxfId="24948" priority="13862" stopIfTrue="1" operator="equal">
      <formula>"Napkin Hs"</formula>
    </cfRule>
  </conditionalFormatting>
  <conditionalFormatting sqref="C54">
    <cfRule type="cellIs" dxfId="24947" priority="13851" stopIfTrue="1" operator="equal">
      <formula>"Towel"</formula>
    </cfRule>
    <cfRule type="cellIs" dxfId="24946" priority="13852" stopIfTrue="1" operator="equal">
      <formula>"Napkin Hs"</formula>
    </cfRule>
    <cfRule type="cellIs" dxfId="24945" priority="13855" stopIfTrue="1" operator="equal">
      <formula>"Towel"</formula>
    </cfRule>
    <cfRule type="cellIs" dxfId="24944" priority="13856" stopIfTrue="1" operator="equal">
      <formula>"Napkin Hs"</formula>
    </cfRule>
    <cfRule type="cellIs" dxfId="24943" priority="13867" stopIfTrue="1" operator="equal">
      <formula>"Towel"</formula>
    </cfRule>
    <cfRule type="cellIs" dxfId="24942" priority="13868" stopIfTrue="1" operator="equal">
      <formula>"Napkin Hs"</formula>
    </cfRule>
  </conditionalFormatting>
  <conditionalFormatting sqref="C54">
    <cfRule type="cellIs" dxfId="24941" priority="13847" stopIfTrue="1" operator="equal">
      <formula>"Towel"</formula>
    </cfRule>
    <cfRule type="cellIs" dxfId="24940" priority="13848" stopIfTrue="1" operator="equal">
      <formula>"Napkin Hs"</formula>
    </cfRule>
  </conditionalFormatting>
  <conditionalFormatting sqref="C54">
    <cfRule type="cellIs" dxfId="24939" priority="13843" stopIfTrue="1" operator="equal">
      <formula>"Towel"</formula>
    </cfRule>
    <cfRule type="cellIs" dxfId="24938" priority="13844" stopIfTrue="1" operator="equal">
      <formula>"Napkin Hs"</formula>
    </cfRule>
  </conditionalFormatting>
  <conditionalFormatting sqref="C54">
    <cfRule type="cellIs" dxfId="24937" priority="13845" stopIfTrue="1" operator="equal">
      <formula>"Towel"</formula>
    </cfRule>
    <cfRule type="cellIs" dxfId="24936" priority="13846" stopIfTrue="1" operator="equal">
      <formula>"Napkin Hs"</formula>
    </cfRule>
  </conditionalFormatting>
  <conditionalFormatting sqref="C54">
    <cfRule type="cellIs" dxfId="24935" priority="13841" stopIfTrue="1" operator="equal">
      <formula>"Towel"</formula>
    </cfRule>
    <cfRule type="cellIs" dxfId="24934" priority="13842" stopIfTrue="1" operator="equal">
      <formula>"Napkin Hs"</formula>
    </cfRule>
  </conditionalFormatting>
  <conditionalFormatting sqref="C54">
    <cfRule type="cellIs" dxfId="24933" priority="13837" stopIfTrue="1" operator="equal">
      <formula>"Towel"</formula>
    </cfRule>
    <cfRule type="cellIs" dxfId="24932" priority="13838" stopIfTrue="1" operator="equal">
      <formula>"Napkin Hs"</formula>
    </cfRule>
  </conditionalFormatting>
  <conditionalFormatting sqref="C54">
    <cfRule type="cellIs" dxfId="24931" priority="13839" stopIfTrue="1" operator="equal">
      <formula>"Towel"</formula>
    </cfRule>
    <cfRule type="cellIs" dxfId="24930" priority="13840" stopIfTrue="1" operator="equal">
      <formula>"Napkin Hs"</formula>
    </cfRule>
  </conditionalFormatting>
  <conditionalFormatting sqref="C54">
    <cfRule type="cellIs" dxfId="24929" priority="13835" stopIfTrue="1" operator="equal">
      <formula>"Towel"</formula>
    </cfRule>
    <cfRule type="cellIs" dxfId="24928" priority="13836" stopIfTrue="1" operator="equal">
      <formula>"Napkin Hs"</formula>
    </cfRule>
  </conditionalFormatting>
  <conditionalFormatting sqref="C54">
    <cfRule type="cellIs" dxfId="24927" priority="13831" stopIfTrue="1" operator="equal">
      <formula>"Towel"</formula>
    </cfRule>
    <cfRule type="cellIs" dxfId="24926" priority="13832" stopIfTrue="1" operator="equal">
      <formula>"Napkin Hs"</formula>
    </cfRule>
  </conditionalFormatting>
  <conditionalFormatting sqref="C54">
    <cfRule type="cellIs" dxfId="24925" priority="13833" stopIfTrue="1" operator="equal">
      <formula>"Towel"</formula>
    </cfRule>
    <cfRule type="cellIs" dxfId="24924" priority="13834" stopIfTrue="1" operator="equal">
      <formula>"Napkin Hs"</formula>
    </cfRule>
  </conditionalFormatting>
  <conditionalFormatting sqref="C54">
    <cfRule type="cellIs" dxfId="24923" priority="13829" stopIfTrue="1" operator="equal">
      <formula>"Towel"</formula>
    </cfRule>
    <cfRule type="cellIs" dxfId="24922" priority="13830" stopIfTrue="1" operator="equal">
      <formula>"Napkin Hs"</formula>
    </cfRule>
  </conditionalFormatting>
  <conditionalFormatting sqref="C54">
    <cfRule type="cellIs" dxfId="24921" priority="13827" stopIfTrue="1" operator="equal">
      <formula>"Towel"</formula>
    </cfRule>
    <cfRule type="cellIs" dxfId="24920" priority="13828" stopIfTrue="1" operator="equal">
      <formula>"Napkin Hs"</formula>
    </cfRule>
  </conditionalFormatting>
  <conditionalFormatting sqref="C54">
    <cfRule type="cellIs" dxfId="24919" priority="13825" stopIfTrue="1" operator="equal">
      <formula>"Towel"</formula>
    </cfRule>
    <cfRule type="cellIs" dxfId="24918" priority="13826" stopIfTrue="1" operator="equal">
      <formula>"Napkin Hs"</formula>
    </cfRule>
  </conditionalFormatting>
  <conditionalFormatting sqref="C54">
    <cfRule type="cellIs" dxfId="24917" priority="13823" stopIfTrue="1" operator="equal">
      <formula>"Towel"</formula>
    </cfRule>
    <cfRule type="cellIs" dxfId="24916" priority="13824" stopIfTrue="1" operator="equal">
      <formula>"Napkin Hs"</formula>
    </cfRule>
  </conditionalFormatting>
  <conditionalFormatting sqref="C54">
    <cfRule type="cellIs" dxfId="24915" priority="13822" stopIfTrue="1" operator="equal">
      <formula>"Napkin Hs"</formula>
    </cfRule>
  </conditionalFormatting>
  <conditionalFormatting sqref="C54">
    <cfRule type="cellIs" dxfId="24914" priority="13819" stopIfTrue="1" operator="equal">
      <formula>"Towel"</formula>
    </cfRule>
    <cfRule type="cellIs" dxfId="24913" priority="13820" stopIfTrue="1" operator="equal">
      <formula>"Napkin Hs"</formula>
    </cfRule>
  </conditionalFormatting>
  <conditionalFormatting sqref="C54">
    <cfRule type="cellIs" dxfId="24912" priority="13821" stopIfTrue="1" operator="equal">
      <formula>"Towel"</formula>
    </cfRule>
  </conditionalFormatting>
  <conditionalFormatting sqref="B54">
    <cfRule type="cellIs" dxfId="24911" priority="13817" stopIfTrue="1" operator="equal">
      <formula>"Towel"</formula>
    </cfRule>
    <cfRule type="cellIs" dxfId="24910" priority="13818" stopIfTrue="1" operator="equal">
      <formula>"Napkin Hs"</formula>
    </cfRule>
  </conditionalFormatting>
  <conditionalFormatting sqref="B54">
    <cfRule type="cellIs" dxfId="24909" priority="13815" stopIfTrue="1" operator="equal">
      <formula>"Towel"</formula>
    </cfRule>
    <cfRule type="cellIs" dxfId="24908" priority="13816" stopIfTrue="1" operator="equal">
      <formula>"Napkin Hs"</formula>
    </cfRule>
  </conditionalFormatting>
  <conditionalFormatting sqref="B54">
    <cfRule type="cellIs" dxfId="24907" priority="13813" stopIfTrue="1" operator="equal">
      <formula>"Towel"</formula>
    </cfRule>
    <cfRule type="cellIs" dxfId="24906" priority="13814" stopIfTrue="1" operator="equal">
      <formula>"Napkin Hs"</formula>
    </cfRule>
  </conditionalFormatting>
  <conditionalFormatting sqref="B54">
    <cfRule type="cellIs" dxfId="24905" priority="13811" stopIfTrue="1" operator="equal">
      <formula>"Towel"</formula>
    </cfRule>
    <cfRule type="cellIs" dxfId="24904" priority="13812" stopIfTrue="1" operator="equal">
      <formula>"Napkin Hs"</formula>
    </cfRule>
  </conditionalFormatting>
  <conditionalFormatting sqref="B54">
    <cfRule type="cellIs" dxfId="24903" priority="13809" stopIfTrue="1" operator="equal">
      <formula>"Towel"</formula>
    </cfRule>
    <cfRule type="cellIs" dxfId="24902" priority="13810" stopIfTrue="1" operator="equal">
      <formula>"Napkin Hs"</formula>
    </cfRule>
  </conditionalFormatting>
  <conditionalFormatting sqref="B54">
    <cfRule type="cellIs" dxfId="24901" priority="13807" stopIfTrue="1" operator="equal">
      <formula>"Towel"</formula>
    </cfRule>
    <cfRule type="cellIs" dxfId="24900" priority="13808" stopIfTrue="1" operator="equal">
      <formula>"Napkin Hs"</formula>
    </cfRule>
  </conditionalFormatting>
  <conditionalFormatting sqref="B54">
    <cfRule type="cellIs" dxfId="24899" priority="13803" stopIfTrue="1" operator="equal">
      <formula>"Towel"</formula>
    </cfRule>
    <cfRule type="cellIs" dxfId="24898" priority="13804" stopIfTrue="1" operator="equal">
      <formula>"Napkin Hs"</formula>
    </cfRule>
    <cfRule type="cellIs" dxfId="24897" priority="13805" stopIfTrue="1" operator="equal">
      <formula>"Towel"</formula>
    </cfRule>
    <cfRule type="cellIs" dxfId="24896" priority="13806" stopIfTrue="1" operator="equal">
      <formula>"Napkin Hs"</formula>
    </cfRule>
  </conditionalFormatting>
  <conditionalFormatting sqref="B54">
    <cfRule type="cellIs" dxfId="24895" priority="13801" stopIfTrue="1" operator="equal">
      <formula>"Towel"</formula>
    </cfRule>
    <cfRule type="cellIs" dxfId="24894" priority="13802" stopIfTrue="1" operator="equal">
      <formula>"Napkin Hs"</formula>
    </cfRule>
  </conditionalFormatting>
  <conditionalFormatting sqref="B54">
    <cfRule type="cellIs" dxfId="24893" priority="13799" stopIfTrue="1" operator="equal">
      <formula>"Towel"</formula>
    </cfRule>
    <cfRule type="cellIs" dxfId="24892" priority="13800" stopIfTrue="1" operator="equal">
      <formula>"Napkin Hs"</formula>
    </cfRule>
  </conditionalFormatting>
  <conditionalFormatting sqref="B54">
    <cfRule type="cellIs" dxfId="24891" priority="13797" stopIfTrue="1" operator="equal">
      <formula>"Towel"</formula>
    </cfRule>
    <cfRule type="cellIs" dxfId="24890" priority="13798" stopIfTrue="1" operator="equal">
      <formula>"Napkin Hs"</formula>
    </cfRule>
  </conditionalFormatting>
  <conditionalFormatting sqref="B54">
    <cfRule type="cellIs" dxfId="24889" priority="13795" stopIfTrue="1" operator="equal">
      <formula>"Towel"</formula>
    </cfRule>
    <cfRule type="cellIs" dxfId="24888" priority="13796" stopIfTrue="1" operator="equal">
      <formula>"Napkin Hs"</formula>
    </cfRule>
  </conditionalFormatting>
  <conditionalFormatting sqref="B54">
    <cfRule type="cellIs" dxfId="24887" priority="13793" stopIfTrue="1" operator="equal">
      <formula>"Towel"</formula>
    </cfRule>
    <cfRule type="cellIs" dxfId="24886" priority="13794" stopIfTrue="1" operator="equal">
      <formula>"Napkin Hs"</formula>
    </cfRule>
  </conditionalFormatting>
  <conditionalFormatting sqref="B54:C54">
    <cfRule type="cellIs" dxfId="24885" priority="13779" stopIfTrue="1" operator="equal">
      <formula>"Towel"</formula>
    </cfRule>
    <cfRule type="cellIs" dxfId="24884" priority="13780" stopIfTrue="1" operator="equal">
      <formula>"Napkin Hs"</formula>
    </cfRule>
    <cfRule type="cellIs" dxfId="24883" priority="13785" stopIfTrue="1" operator="equal">
      <formula>"Towel"</formula>
    </cfRule>
    <cfRule type="cellIs" dxfId="24882" priority="13786" stopIfTrue="1" operator="equal">
      <formula>"Napkin Hs"</formula>
    </cfRule>
    <cfRule type="cellIs" dxfId="24881" priority="13791" stopIfTrue="1" operator="equal">
      <formula>"Towel"</formula>
    </cfRule>
    <cfRule type="cellIs" dxfId="24880" priority="13792" stopIfTrue="1" operator="equal">
      <formula>"Napkin Hs"</formula>
    </cfRule>
  </conditionalFormatting>
  <conditionalFormatting sqref="C54">
    <cfRule type="cellIs" dxfId="24879" priority="13773" stopIfTrue="1" operator="equal">
      <formula>"Towel"</formula>
    </cfRule>
    <cfRule type="cellIs" dxfId="24878" priority="13774" stopIfTrue="1" operator="equal">
      <formula>"Napkin Hs"</formula>
    </cfRule>
    <cfRule type="cellIs" dxfId="24877" priority="13775" stopIfTrue="1" operator="equal">
      <formula>"Towel"</formula>
    </cfRule>
    <cfRule type="cellIs" dxfId="24876" priority="13776" stopIfTrue="1" operator="equal">
      <formula>"Napkin Hs"</formula>
    </cfRule>
    <cfRule type="cellIs" dxfId="24875" priority="13783" stopIfTrue="1" operator="equal">
      <formula>"Towel"</formula>
    </cfRule>
    <cfRule type="cellIs" dxfId="24874" priority="13784" stopIfTrue="1" operator="equal">
      <formula>"Napkin Hs"</formula>
    </cfRule>
    <cfRule type="cellIs" dxfId="24873" priority="13787" stopIfTrue="1" operator="equal">
      <formula>"Towel"</formula>
    </cfRule>
    <cfRule type="cellIs" dxfId="24872" priority="13788" stopIfTrue="1" operator="equal">
      <formula>"Napkin Hs"</formula>
    </cfRule>
  </conditionalFormatting>
  <conditionalFormatting sqref="C54">
    <cfRule type="cellIs" dxfId="24871" priority="13777" stopIfTrue="1" operator="equal">
      <formula>"Towel"</formula>
    </cfRule>
    <cfRule type="cellIs" dxfId="24870" priority="13778" stopIfTrue="1" operator="equal">
      <formula>"Napkin Hs"</formula>
    </cfRule>
    <cfRule type="cellIs" dxfId="24869" priority="13781" stopIfTrue="1" operator="equal">
      <formula>"Towel"</formula>
    </cfRule>
    <cfRule type="cellIs" dxfId="24868" priority="13782" stopIfTrue="1" operator="equal">
      <formula>"Napkin Hs"</formula>
    </cfRule>
    <cfRule type="cellIs" dxfId="24867" priority="13789" stopIfTrue="1" operator="equal">
      <formula>"Towel"</formula>
    </cfRule>
    <cfRule type="cellIs" dxfId="24866" priority="13790" stopIfTrue="1" operator="equal">
      <formula>"Napkin Hs"</formula>
    </cfRule>
  </conditionalFormatting>
  <conditionalFormatting sqref="B54:C54">
    <cfRule type="cellIs" dxfId="24865" priority="13771" stopIfTrue="1" operator="equal">
      <formula>"Towel"</formula>
    </cfRule>
    <cfRule type="cellIs" dxfId="24864" priority="13772" stopIfTrue="1" operator="equal">
      <formula>"Napkin Hs"</formula>
    </cfRule>
  </conditionalFormatting>
  <conditionalFormatting sqref="B54:C54">
    <cfRule type="cellIs" dxfId="24863" priority="13763" stopIfTrue="1" operator="equal">
      <formula>"Towel"</formula>
    </cfRule>
    <cfRule type="cellIs" dxfId="24862" priority="13764" stopIfTrue="1" operator="equal">
      <formula>"Napkin Hs"</formula>
    </cfRule>
    <cfRule type="cellIs" dxfId="24861" priority="13769" stopIfTrue="1" operator="equal">
      <formula>"Towel"</formula>
    </cfRule>
    <cfRule type="cellIs" dxfId="24860" priority="13770" stopIfTrue="1" operator="equal">
      <formula>"Napkin Hs"</formula>
    </cfRule>
  </conditionalFormatting>
  <conditionalFormatting sqref="C54">
    <cfRule type="cellIs" dxfId="24859" priority="13759" stopIfTrue="1" operator="equal">
      <formula>"Towel"</formula>
    </cfRule>
    <cfRule type="cellIs" dxfId="24858" priority="13760" stopIfTrue="1" operator="equal">
      <formula>"Napkin Hs"</formula>
    </cfRule>
  </conditionalFormatting>
  <conditionalFormatting sqref="C54">
    <cfRule type="cellIs" dxfId="24857" priority="13757" stopIfTrue="1" operator="equal">
      <formula>"Towel"</formula>
    </cfRule>
    <cfRule type="cellIs" dxfId="24856" priority="13758" stopIfTrue="1" operator="equal">
      <formula>"Napkin Hs"</formula>
    </cfRule>
    <cfRule type="cellIs" dxfId="24855" priority="13767" stopIfTrue="1" operator="equal">
      <formula>"Towel"</formula>
    </cfRule>
    <cfRule type="cellIs" dxfId="24854" priority="13768" stopIfTrue="1" operator="equal">
      <formula>"Napkin Hs"</formula>
    </cfRule>
  </conditionalFormatting>
  <conditionalFormatting sqref="C54">
    <cfRule type="cellIs" dxfId="24853" priority="13761" stopIfTrue="1" operator="equal">
      <formula>"Towel"</formula>
    </cfRule>
    <cfRule type="cellIs" dxfId="24852" priority="13762" stopIfTrue="1" operator="equal">
      <formula>"Napkin Hs"</formula>
    </cfRule>
    <cfRule type="cellIs" dxfId="24851" priority="13765" stopIfTrue="1" operator="equal">
      <formula>"Towel"</formula>
    </cfRule>
    <cfRule type="cellIs" dxfId="24850" priority="13766" stopIfTrue="1" operator="equal">
      <formula>"Napkin Hs"</formula>
    </cfRule>
  </conditionalFormatting>
  <conditionalFormatting sqref="C54">
    <cfRule type="cellIs" dxfId="24849" priority="13756" stopIfTrue="1" operator="equal">
      <formula>"Napkin Hs"</formula>
    </cfRule>
  </conditionalFormatting>
  <conditionalFormatting sqref="C54">
    <cfRule type="cellIs" dxfId="24848" priority="13755" stopIfTrue="1" operator="equal">
      <formula>"Towel"</formula>
    </cfRule>
  </conditionalFormatting>
  <conditionalFormatting sqref="C54">
    <cfRule type="cellIs" dxfId="24847" priority="13751" stopIfTrue="1" operator="equal">
      <formula>"Towel"</formula>
    </cfRule>
    <cfRule type="cellIs" dxfId="24846" priority="13752" stopIfTrue="1" operator="equal">
      <formula>"Napkin Hs"</formula>
    </cfRule>
    <cfRule type="cellIs" dxfId="24845" priority="13753" stopIfTrue="1" operator="equal">
      <formula>"Towel"</formula>
    </cfRule>
    <cfRule type="cellIs" dxfId="24844" priority="13754" stopIfTrue="1" operator="equal">
      <formula>"Napkin Hs"</formula>
    </cfRule>
  </conditionalFormatting>
  <conditionalFormatting sqref="B54:C54">
    <cfRule type="cellIs" dxfId="24843" priority="13749" stopIfTrue="1" operator="equal">
      <formula>"Towel"</formula>
    </cfRule>
    <cfRule type="cellIs" dxfId="24842" priority="13750" stopIfTrue="1" operator="equal">
      <formula>"Napkin Hs"</formula>
    </cfRule>
  </conditionalFormatting>
  <conditionalFormatting sqref="C54">
    <cfRule type="cellIs" dxfId="24841" priority="13745" stopIfTrue="1" operator="equal">
      <formula>"Towel"</formula>
    </cfRule>
    <cfRule type="cellIs" dxfId="24840" priority="13746" stopIfTrue="1" operator="equal">
      <formula>"Napkin Hs"</formula>
    </cfRule>
  </conditionalFormatting>
  <conditionalFormatting sqref="C54">
    <cfRule type="cellIs" dxfId="24839" priority="13747" stopIfTrue="1" operator="equal">
      <formula>"Towel"</formula>
    </cfRule>
    <cfRule type="cellIs" dxfId="24838" priority="13748" stopIfTrue="1" operator="equal">
      <formula>"Napkin Hs"</formula>
    </cfRule>
  </conditionalFormatting>
  <conditionalFormatting sqref="B54:C54">
    <cfRule type="cellIs" dxfId="24837" priority="13743" stopIfTrue="1" operator="equal">
      <formula>"Towel"</formula>
    </cfRule>
    <cfRule type="cellIs" dxfId="24836" priority="13744" stopIfTrue="1" operator="equal">
      <formula>"Napkin Hs"</formula>
    </cfRule>
  </conditionalFormatting>
  <conditionalFormatting sqref="C54">
    <cfRule type="cellIs" dxfId="24835" priority="13739" stopIfTrue="1" operator="equal">
      <formula>"Towel"</formula>
    </cfRule>
    <cfRule type="cellIs" dxfId="24834" priority="13740" stopIfTrue="1" operator="equal">
      <formula>"Napkin Hs"</formula>
    </cfRule>
  </conditionalFormatting>
  <conditionalFormatting sqref="C54">
    <cfRule type="cellIs" dxfId="24833" priority="13741" stopIfTrue="1" operator="equal">
      <formula>"Towel"</formula>
    </cfRule>
    <cfRule type="cellIs" dxfId="24832" priority="13742" stopIfTrue="1" operator="equal">
      <formula>"Napkin Hs"</formula>
    </cfRule>
  </conditionalFormatting>
  <conditionalFormatting sqref="B54:C54">
    <cfRule type="cellIs" dxfId="24831" priority="13737" stopIfTrue="1" operator="equal">
      <formula>"Towel"</formula>
    </cfRule>
    <cfRule type="cellIs" dxfId="24830" priority="13738" stopIfTrue="1" operator="equal">
      <formula>"Napkin Hs"</formula>
    </cfRule>
  </conditionalFormatting>
  <conditionalFormatting sqref="C54">
    <cfRule type="cellIs" dxfId="24829" priority="13733" stopIfTrue="1" operator="equal">
      <formula>"Towel"</formula>
    </cfRule>
    <cfRule type="cellIs" dxfId="24828" priority="13734" stopIfTrue="1" operator="equal">
      <formula>"Napkin Hs"</formula>
    </cfRule>
  </conditionalFormatting>
  <conditionalFormatting sqref="C54">
    <cfRule type="cellIs" dxfId="24827" priority="13735" stopIfTrue="1" operator="equal">
      <formula>"Towel"</formula>
    </cfRule>
    <cfRule type="cellIs" dxfId="24826" priority="13736" stopIfTrue="1" operator="equal">
      <formula>"Napkin Hs"</formula>
    </cfRule>
  </conditionalFormatting>
  <conditionalFormatting sqref="B54:C54">
    <cfRule type="cellIs" dxfId="24825" priority="13731" stopIfTrue="1" operator="equal">
      <formula>"Towel"</formula>
    </cfRule>
    <cfRule type="cellIs" dxfId="24824" priority="13732" stopIfTrue="1" operator="equal">
      <formula>"Napkin Hs"</formula>
    </cfRule>
  </conditionalFormatting>
  <conditionalFormatting sqref="C54">
    <cfRule type="cellIs" dxfId="24823" priority="13729" stopIfTrue="1" operator="equal">
      <formula>"Towel"</formula>
    </cfRule>
    <cfRule type="cellIs" dxfId="24822" priority="13730" stopIfTrue="1" operator="equal">
      <formula>"Napkin Hs"</formula>
    </cfRule>
  </conditionalFormatting>
  <conditionalFormatting sqref="C54">
    <cfRule type="cellIs" dxfId="24821" priority="13727" stopIfTrue="1" operator="equal">
      <formula>"Towel"</formula>
    </cfRule>
    <cfRule type="cellIs" dxfId="24820" priority="13728" stopIfTrue="1" operator="equal">
      <formula>"Napkin Hs"</formula>
    </cfRule>
  </conditionalFormatting>
  <conditionalFormatting sqref="B54:C54">
    <cfRule type="cellIs" dxfId="24819" priority="13725" stopIfTrue="1" operator="equal">
      <formula>"Towel"</formula>
    </cfRule>
    <cfRule type="cellIs" dxfId="24818" priority="13726" stopIfTrue="1" operator="equal">
      <formula>"Napkin Hs"</formula>
    </cfRule>
  </conditionalFormatting>
  <conditionalFormatting sqref="C54">
    <cfRule type="cellIs" dxfId="24817" priority="13724" stopIfTrue="1" operator="equal">
      <formula>"Napkin Hs"</formula>
    </cfRule>
  </conditionalFormatting>
  <conditionalFormatting sqref="C54">
    <cfRule type="cellIs" dxfId="24816" priority="13721" stopIfTrue="1" operator="equal">
      <formula>"Towel"</formula>
    </cfRule>
    <cfRule type="cellIs" dxfId="24815" priority="13722" stopIfTrue="1" operator="equal">
      <formula>"Napkin Hs"</formula>
    </cfRule>
  </conditionalFormatting>
  <conditionalFormatting sqref="C54">
    <cfRule type="cellIs" dxfId="24814" priority="13723" stopIfTrue="1" operator="equal">
      <formula>"Towel"</formula>
    </cfRule>
  </conditionalFormatting>
  <conditionalFormatting sqref="B55:C55">
    <cfRule type="cellIs" dxfId="24813" priority="13677" stopIfTrue="1" operator="equal">
      <formula>"Towel"</formula>
    </cfRule>
    <cfRule type="cellIs" dxfId="24812" priority="13678" stopIfTrue="1" operator="equal">
      <formula>"Napkin Hs"</formula>
    </cfRule>
    <cfRule type="cellIs" dxfId="24811" priority="13683" stopIfTrue="1" operator="equal">
      <formula>"Towel"</formula>
    </cfRule>
    <cfRule type="cellIs" dxfId="24810" priority="13684" stopIfTrue="1" operator="equal">
      <formula>"Napkin Hs"</formula>
    </cfRule>
    <cfRule type="cellIs" dxfId="24809" priority="13689" stopIfTrue="1" operator="equal">
      <formula>"Towel"</formula>
    </cfRule>
    <cfRule type="cellIs" dxfId="24808" priority="13690" stopIfTrue="1" operator="equal">
      <formula>"Napkin Hs"</formula>
    </cfRule>
    <cfRule type="cellIs" dxfId="24807" priority="13695" stopIfTrue="1" operator="equal">
      <formula>"Towel"</formula>
    </cfRule>
    <cfRule type="cellIs" dxfId="24806" priority="13696" stopIfTrue="1" operator="equal">
      <formula>"Napkin Hs"</formula>
    </cfRule>
    <cfRule type="cellIs" dxfId="24805" priority="13701" stopIfTrue="1" operator="equal">
      <formula>"Towel"</formula>
    </cfRule>
    <cfRule type="cellIs" dxfId="24804" priority="13702" stopIfTrue="1" operator="equal">
      <formula>"Napkin Hs"</formula>
    </cfRule>
    <cfRule type="cellIs" dxfId="24803" priority="13707" stopIfTrue="1" operator="equal">
      <formula>"Towel"</formula>
    </cfRule>
    <cfRule type="cellIs" dxfId="24802" priority="13708" stopIfTrue="1" operator="equal">
      <formula>"Napkin Hs"</formula>
    </cfRule>
    <cfRule type="cellIs" dxfId="24801" priority="13713" stopIfTrue="1" operator="equal">
      <formula>"Towel"</formula>
    </cfRule>
    <cfRule type="cellIs" dxfId="24800" priority="13714" stopIfTrue="1" operator="equal">
      <formula>"Napkin Hs"</formula>
    </cfRule>
    <cfRule type="cellIs" dxfId="24799" priority="13719" stopIfTrue="1" operator="equal">
      <formula>"Towel"</formula>
    </cfRule>
    <cfRule type="cellIs" dxfId="24798" priority="13720" stopIfTrue="1" operator="equal">
      <formula>"Napkin Hs"</formula>
    </cfRule>
  </conditionalFormatting>
  <conditionalFormatting sqref="C55">
    <cfRule type="cellIs" dxfId="24797" priority="13673" stopIfTrue="1" operator="equal">
      <formula>"Towel"</formula>
    </cfRule>
    <cfRule type="cellIs" dxfId="24796" priority="13674" stopIfTrue="1" operator="equal">
      <formula>"Napkin Hs"</formula>
    </cfRule>
    <cfRule type="cellIs" dxfId="24795" priority="13675" stopIfTrue="1" operator="equal">
      <formula>"Towel"</formula>
    </cfRule>
    <cfRule type="cellIs" dxfId="24794" priority="13676" stopIfTrue="1" operator="equal">
      <formula>"Napkin Hs"</formula>
    </cfRule>
    <cfRule type="cellIs" dxfId="24793" priority="13679" stopIfTrue="1" operator="equal">
      <formula>"Towel"</formula>
    </cfRule>
    <cfRule type="cellIs" dxfId="24792" priority="13680" stopIfTrue="1" operator="equal">
      <formula>"Napkin Hs"</formula>
    </cfRule>
    <cfRule type="cellIs" dxfId="24791" priority="13681" stopIfTrue="1" operator="equal">
      <formula>"Towel"</formula>
    </cfRule>
    <cfRule type="cellIs" dxfId="24790" priority="13682" stopIfTrue="1" operator="equal">
      <formula>"Napkin Hs"</formula>
    </cfRule>
    <cfRule type="cellIs" dxfId="24789" priority="13685" stopIfTrue="1" operator="equal">
      <formula>"Towel"</formula>
    </cfRule>
    <cfRule type="cellIs" dxfId="24788" priority="13686" stopIfTrue="1" operator="equal">
      <formula>"Napkin Hs"</formula>
    </cfRule>
    <cfRule type="cellIs" dxfId="24787" priority="13687" stopIfTrue="1" operator="equal">
      <formula>"Towel"</formula>
    </cfRule>
    <cfRule type="cellIs" dxfId="24786" priority="13688" stopIfTrue="1" operator="equal">
      <formula>"Napkin Hs"</formula>
    </cfRule>
    <cfRule type="cellIs" dxfId="24785" priority="13691" stopIfTrue="1" operator="equal">
      <formula>"Towel"</formula>
    </cfRule>
    <cfRule type="cellIs" dxfId="24784" priority="13692" stopIfTrue="1" operator="equal">
      <formula>"Napkin Hs"</formula>
    </cfRule>
    <cfRule type="cellIs" dxfId="24783" priority="13693" stopIfTrue="1" operator="equal">
      <formula>"Towel"</formula>
    </cfRule>
    <cfRule type="cellIs" dxfId="24782" priority="13694" stopIfTrue="1" operator="equal">
      <formula>"Napkin Hs"</formula>
    </cfRule>
    <cfRule type="cellIs" dxfId="24781" priority="13697" stopIfTrue="1" operator="equal">
      <formula>"Towel"</formula>
    </cfRule>
    <cfRule type="cellIs" dxfId="24780" priority="13698" stopIfTrue="1" operator="equal">
      <formula>"Napkin Hs"</formula>
    </cfRule>
    <cfRule type="cellIs" dxfId="24779" priority="13699" stopIfTrue="1" operator="equal">
      <formula>"Towel"</formula>
    </cfRule>
    <cfRule type="cellIs" dxfId="24778" priority="13700" stopIfTrue="1" operator="equal">
      <formula>"Napkin Hs"</formula>
    </cfRule>
    <cfRule type="cellIs" dxfId="24777" priority="13703" stopIfTrue="1" operator="equal">
      <formula>"Towel"</formula>
    </cfRule>
    <cfRule type="cellIs" dxfId="24776" priority="13704" stopIfTrue="1" operator="equal">
      <formula>"Napkin Hs"</formula>
    </cfRule>
    <cfRule type="cellIs" dxfId="24775" priority="13705" stopIfTrue="1" operator="equal">
      <formula>"Towel"</formula>
    </cfRule>
    <cfRule type="cellIs" dxfId="24774" priority="13706" stopIfTrue="1" operator="equal">
      <formula>"Napkin Hs"</formula>
    </cfRule>
    <cfRule type="cellIs" dxfId="24773" priority="13709" stopIfTrue="1" operator="equal">
      <formula>"Towel"</formula>
    </cfRule>
    <cfRule type="cellIs" dxfId="24772" priority="13710" stopIfTrue="1" operator="equal">
      <formula>"Napkin Hs"</formula>
    </cfRule>
    <cfRule type="cellIs" dxfId="24771" priority="13711" stopIfTrue="1" operator="equal">
      <formula>"Towel"</formula>
    </cfRule>
    <cfRule type="cellIs" dxfId="24770" priority="13712" stopIfTrue="1" operator="equal">
      <formula>"Napkin Hs"</formula>
    </cfRule>
    <cfRule type="cellIs" dxfId="24769" priority="13715" stopIfTrue="1" operator="equal">
      <formula>"Towel"</formula>
    </cfRule>
    <cfRule type="cellIs" dxfId="24768" priority="13716" stopIfTrue="1" operator="equal">
      <formula>"Napkin Hs"</formula>
    </cfRule>
  </conditionalFormatting>
  <conditionalFormatting sqref="C55">
    <cfRule type="cellIs" dxfId="24767" priority="13717" stopIfTrue="1" operator="equal">
      <formula>"Towel"</formula>
    </cfRule>
    <cfRule type="cellIs" dxfId="24766" priority="13718" stopIfTrue="1" operator="equal">
      <formula>"Napkin Hs"</formula>
    </cfRule>
  </conditionalFormatting>
  <conditionalFormatting sqref="B55">
    <cfRule type="cellIs" dxfId="24765" priority="13667" stopIfTrue="1" operator="equal">
      <formula>"Towel"</formula>
    </cfRule>
    <cfRule type="cellIs" dxfId="24764" priority="13668" stopIfTrue="1" operator="equal">
      <formula>"Napkin Hs"</formula>
    </cfRule>
    <cfRule type="cellIs" dxfId="24763" priority="13669" stopIfTrue="1" operator="equal">
      <formula>"Towel"</formula>
    </cfRule>
    <cfRule type="cellIs" dxfId="24762" priority="13670" stopIfTrue="1" operator="equal">
      <formula>"Napkin Hs"</formula>
    </cfRule>
    <cfRule type="cellIs" dxfId="24761" priority="13671" stopIfTrue="1" operator="equal">
      <formula>"Towel"</formula>
    </cfRule>
    <cfRule type="cellIs" dxfId="24760" priority="13672" stopIfTrue="1" operator="equal">
      <formula>"Napkin Hs"</formula>
    </cfRule>
  </conditionalFormatting>
  <conditionalFormatting sqref="B55:C55">
    <cfRule type="cellIs" dxfId="24759" priority="13629" stopIfTrue="1" operator="equal">
      <formula>"Towel"</formula>
    </cfRule>
    <cfRule type="cellIs" dxfId="24758" priority="13630" stopIfTrue="1" operator="equal">
      <formula>"Napkin Hs"</formula>
    </cfRule>
    <cfRule type="cellIs" dxfId="24757" priority="13635" stopIfTrue="1" operator="equal">
      <formula>"Towel"</formula>
    </cfRule>
    <cfRule type="cellIs" dxfId="24756" priority="13636" stopIfTrue="1" operator="equal">
      <formula>"Napkin Hs"</formula>
    </cfRule>
    <cfRule type="cellIs" dxfId="24755" priority="13641" stopIfTrue="1" operator="equal">
      <formula>"Towel"</formula>
    </cfRule>
    <cfRule type="cellIs" dxfId="24754" priority="13642" stopIfTrue="1" operator="equal">
      <formula>"Napkin Hs"</formula>
    </cfRule>
    <cfRule type="cellIs" dxfId="24753" priority="13647" stopIfTrue="1" operator="equal">
      <formula>"Towel"</formula>
    </cfRule>
    <cfRule type="cellIs" dxfId="24752" priority="13648" stopIfTrue="1" operator="equal">
      <formula>"Napkin Hs"</formula>
    </cfRule>
    <cfRule type="cellIs" dxfId="24751" priority="13653" stopIfTrue="1" operator="equal">
      <formula>"Towel"</formula>
    </cfRule>
    <cfRule type="cellIs" dxfId="24750" priority="13654" stopIfTrue="1" operator="equal">
      <formula>"Napkin Hs"</formula>
    </cfRule>
    <cfRule type="cellIs" dxfId="24749" priority="13659" stopIfTrue="1" operator="equal">
      <formula>"Towel"</formula>
    </cfRule>
    <cfRule type="cellIs" dxfId="24748" priority="13660" stopIfTrue="1" operator="equal">
      <formula>"Napkin Hs"</formula>
    </cfRule>
    <cfRule type="cellIs" dxfId="24747" priority="13665" stopIfTrue="1" operator="equal">
      <formula>"Towel"</formula>
    </cfRule>
    <cfRule type="cellIs" dxfId="24746" priority="13666" stopIfTrue="1" operator="equal">
      <formula>"Napkin Hs"</formula>
    </cfRule>
  </conditionalFormatting>
  <conditionalFormatting sqref="C55">
    <cfRule type="cellIs" dxfId="24745" priority="13625" stopIfTrue="1" operator="equal">
      <formula>"Towel"</formula>
    </cfRule>
    <cfRule type="cellIs" dxfId="24744" priority="13626" stopIfTrue="1" operator="equal">
      <formula>"Napkin Hs"</formula>
    </cfRule>
    <cfRule type="cellIs" dxfId="24743" priority="13627" stopIfTrue="1" operator="equal">
      <formula>"Towel"</formula>
    </cfRule>
    <cfRule type="cellIs" dxfId="24742" priority="13628" stopIfTrue="1" operator="equal">
      <formula>"Napkin Hs"</formula>
    </cfRule>
    <cfRule type="cellIs" dxfId="24741" priority="13631" stopIfTrue="1" operator="equal">
      <formula>"Towel"</formula>
    </cfRule>
    <cfRule type="cellIs" dxfId="24740" priority="13632" stopIfTrue="1" operator="equal">
      <formula>"Napkin Hs"</formula>
    </cfRule>
    <cfRule type="cellIs" dxfId="24739" priority="13633" stopIfTrue="1" operator="equal">
      <formula>"Towel"</formula>
    </cfRule>
    <cfRule type="cellIs" dxfId="24738" priority="13634" stopIfTrue="1" operator="equal">
      <formula>"Napkin Hs"</formula>
    </cfRule>
    <cfRule type="cellIs" dxfId="24737" priority="13637" stopIfTrue="1" operator="equal">
      <formula>"Towel"</formula>
    </cfRule>
    <cfRule type="cellIs" dxfId="24736" priority="13638" stopIfTrue="1" operator="equal">
      <formula>"Napkin Hs"</formula>
    </cfRule>
    <cfRule type="cellIs" dxfId="24735" priority="13639" stopIfTrue="1" operator="equal">
      <formula>"Towel"</formula>
    </cfRule>
    <cfRule type="cellIs" dxfId="24734" priority="13640" stopIfTrue="1" operator="equal">
      <formula>"Napkin Hs"</formula>
    </cfRule>
    <cfRule type="cellIs" dxfId="24733" priority="13643" stopIfTrue="1" operator="equal">
      <formula>"Towel"</formula>
    </cfRule>
    <cfRule type="cellIs" dxfId="24732" priority="13644" stopIfTrue="1" operator="equal">
      <formula>"Napkin Hs"</formula>
    </cfRule>
    <cfRule type="cellIs" dxfId="24731" priority="13645" stopIfTrue="1" operator="equal">
      <formula>"Towel"</formula>
    </cfRule>
    <cfRule type="cellIs" dxfId="24730" priority="13646" stopIfTrue="1" operator="equal">
      <formula>"Napkin Hs"</formula>
    </cfRule>
    <cfRule type="cellIs" dxfId="24729" priority="13649" stopIfTrue="1" operator="equal">
      <formula>"Towel"</formula>
    </cfRule>
    <cfRule type="cellIs" dxfId="24728" priority="13650" stopIfTrue="1" operator="equal">
      <formula>"Napkin Hs"</formula>
    </cfRule>
    <cfRule type="cellIs" dxfId="24727" priority="13651" stopIfTrue="1" operator="equal">
      <formula>"Towel"</formula>
    </cfRule>
    <cfRule type="cellIs" dxfId="24726" priority="13652" stopIfTrue="1" operator="equal">
      <formula>"Napkin Hs"</formula>
    </cfRule>
    <cfRule type="cellIs" dxfId="24725" priority="13655" stopIfTrue="1" operator="equal">
      <formula>"Towel"</formula>
    </cfRule>
    <cfRule type="cellIs" dxfId="24724" priority="13656" stopIfTrue="1" operator="equal">
      <formula>"Napkin Hs"</formula>
    </cfRule>
    <cfRule type="cellIs" dxfId="24723" priority="13657" stopIfTrue="1" operator="equal">
      <formula>"Towel"</formula>
    </cfRule>
    <cfRule type="cellIs" dxfId="24722" priority="13658" stopIfTrue="1" operator="equal">
      <formula>"Napkin Hs"</formula>
    </cfRule>
    <cfRule type="cellIs" dxfId="24721" priority="13661" stopIfTrue="1" operator="equal">
      <formula>"Towel"</formula>
    </cfRule>
    <cfRule type="cellIs" dxfId="24720" priority="13662" stopIfTrue="1" operator="equal">
      <formula>"Napkin Hs"</formula>
    </cfRule>
  </conditionalFormatting>
  <conditionalFormatting sqref="C55">
    <cfRule type="cellIs" dxfId="24719" priority="13663" stopIfTrue="1" operator="equal">
      <formula>"Towel"</formula>
    </cfRule>
    <cfRule type="cellIs" dxfId="24718" priority="13664" stopIfTrue="1" operator="equal">
      <formula>"Napkin Hs"</formula>
    </cfRule>
  </conditionalFormatting>
  <conditionalFormatting sqref="B55:C55">
    <cfRule type="cellIs" dxfId="24717" priority="13623" stopIfTrue="1" operator="equal">
      <formula>"Towel"</formula>
    </cfRule>
    <cfRule type="cellIs" dxfId="24716" priority="13624" stopIfTrue="1" operator="equal">
      <formula>"Napkin Hs"</formula>
    </cfRule>
  </conditionalFormatting>
  <conditionalFormatting sqref="B55:C55">
    <cfRule type="cellIs" dxfId="24715" priority="13587" stopIfTrue="1" operator="equal">
      <formula>"Towel"</formula>
    </cfRule>
    <cfRule type="cellIs" dxfId="24714" priority="13588" stopIfTrue="1" operator="equal">
      <formula>"Napkin Hs"</formula>
    </cfRule>
    <cfRule type="cellIs" dxfId="24713" priority="13593" stopIfTrue="1" operator="equal">
      <formula>"Towel"</formula>
    </cfRule>
    <cfRule type="cellIs" dxfId="24712" priority="13594" stopIfTrue="1" operator="equal">
      <formula>"Napkin Hs"</formula>
    </cfRule>
    <cfRule type="cellIs" dxfId="24711" priority="13599" stopIfTrue="1" operator="equal">
      <formula>"Towel"</formula>
    </cfRule>
    <cfRule type="cellIs" dxfId="24710" priority="13600" stopIfTrue="1" operator="equal">
      <formula>"Napkin Hs"</formula>
    </cfRule>
    <cfRule type="cellIs" dxfId="24709" priority="13605" stopIfTrue="1" operator="equal">
      <formula>"Towel"</formula>
    </cfRule>
    <cfRule type="cellIs" dxfId="24708" priority="13606" stopIfTrue="1" operator="equal">
      <formula>"Napkin Hs"</formula>
    </cfRule>
    <cfRule type="cellIs" dxfId="24707" priority="13611" stopIfTrue="1" operator="equal">
      <formula>"Towel"</formula>
    </cfRule>
    <cfRule type="cellIs" dxfId="24706" priority="13612" stopIfTrue="1" operator="equal">
      <formula>"Napkin Hs"</formula>
    </cfRule>
    <cfRule type="cellIs" dxfId="24705" priority="13617" stopIfTrue="1" operator="equal">
      <formula>"Towel"</formula>
    </cfRule>
    <cfRule type="cellIs" dxfId="24704" priority="13618" stopIfTrue="1" operator="equal">
      <formula>"Napkin Hs"</formula>
    </cfRule>
  </conditionalFormatting>
  <conditionalFormatting sqref="C55">
    <cfRule type="cellIs" dxfId="24703" priority="13622" stopIfTrue="1" operator="equal">
      <formula>"Napkin Hs"</formula>
    </cfRule>
  </conditionalFormatting>
  <conditionalFormatting sqref="C55">
    <cfRule type="cellIs" dxfId="24702" priority="13621" stopIfTrue="1" operator="equal">
      <formula>"Towel"</formula>
    </cfRule>
  </conditionalFormatting>
  <conditionalFormatting sqref="C55">
    <cfRule type="cellIs" dxfId="24701" priority="13615" stopIfTrue="1" operator="equal">
      <formula>"Towel"</formula>
    </cfRule>
    <cfRule type="cellIs" dxfId="24700" priority="13616" stopIfTrue="1" operator="equal">
      <formula>"Napkin Hs"</formula>
    </cfRule>
  </conditionalFormatting>
  <conditionalFormatting sqref="C55">
    <cfRule type="cellIs" dxfId="24699" priority="13613" stopIfTrue="1" operator="equal">
      <formula>"Towel"</formula>
    </cfRule>
    <cfRule type="cellIs" dxfId="24698" priority="13614" stopIfTrue="1" operator="equal">
      <formula>"Napkin Hs"</formula>
    </cfRule>
    <cfRule type="cellIs" dxfId="24697" priority="13619" stopIfTrue="1" operator="equal">
      <formula>"Towel"</formula>
    </cfRule>
    <cfRule type="cellIs" dxfId="24696" priority="13620" stopIfTrue="1" operator="equal">
      <formula>"Napkin Hs"</formula>
    </cfRule>
  </conditionalFormatting>
  <conditionalFormatting sqref="C55">
    <cfRule type="cellIs" dxfId="24695" priority="13585" stopIfTrue="1" operator="equal">
      <formula>"Towel"</formula>
    </cfRule>
    <cfRule type="cellIs" dxfId="24694" priority="13586" stopIfTrue="1" operator="equal">
      <formula>"Napkin Hs"</formula>
    </cfRule>
    <cfRule type="cellIs" dxfId="24693" priority="13589" stopIfTrue="1" operator="equal">
      <formula>"Towel"</formula>
    </cfRule>
    <cfRule type="cellIs" dxfId="24692" priority="13590" stopIfTrue="1" operator="equal">
      <formula>"Napkin Hs"</formula>
    </cfRule>
    <cfRule type="cellIs" dxfId="24691" priority="13591" stopIfTrue="1" operator="equal">
      <formula>"Towel"</formula>
    </cfRule>
    <cfRule type="cellIs" dxfId="24690" priority="13592" stopIfTrue="1" operator="equal">
      <formula>"Napkin Hs"</formula>
    </cfRule>
    <cfRule type="cellIs" dxfId="24689" priority="13595" stopIfTrue="1" operator="equal">
      <formula>"Towel"</formula>
    </cfRule>
    <cfRule type="cellIs" dxfId="24688" priority="13596" stopIfTrue="1" operator="equal">
      <formula>"Napkin Hs"</formula>
    </cfRule>
    <cfRule type="cellIs" dxfId="24687" priority="13597" stopIfTrue="1" operator="equal">
      <formula>"Towel"</formula>
    </cfRule>
    <cfRule type="cellIs" dxfId="24686" priority="13598" stopIfTrue="1" operator="equal">
      <formula>"Napkin Hs"</formula>
    </cfRule>
    <cfRule type="cellIs" dxfId="24685" priority="13601" stopIfTrue="1" operator="equal">
      <formula>"Towel"</formula>
    </cfRule>
    <cfRule type="cellIs" dxfId="24684" priority="13602" stopIfTrue="1" operator="equal">
      <formula>"Napkin Hs"</formula>
    </cfRule>
    <cfRule type="cellIs" dxfId="24683" priority="13603" stopIfTrue="1" operator="equal">
      <formula>"Towel"</formula>
    </cfRule>
    <cfRule type="cellIs" dxfId="24682" priority="13604" stopIfTrue="1" operator="equal">
      <formula>"Napkin Hs"</formula>
    </cfRule>
    <cfRule type="cellIs" dxfId="24681" priority="13607" stopIfTrue="1" operator="equal">
      <formula>"Towel"</formula>
    </cfRule>
    <cfRule type="cellIs" dxfId="24680" priority="13608" stopIfTrue="1" operator="equal">
      <formula>"Napkin Hs"</formula>
    </cfRule>
    <cfRule type="cellIs" dxfId="24679" priority="13609" stopIfTrue="1" operator="equal">
      <formula>"Towel"</formula>
    </cfRule>
    <cfRule type="cellIs" dxfId="24678" priority="13610" stopIfTrue="1" operator="equal">
      <formula>"Napkin Hs"</formula>
    </cfRule>
  </conditionalFormatting>
  <conditionalFormatting sqref="C55">
    <cfRule type="cellIs" dxfId="24677" priority="13583" stopIfTrue="1" operator="equal">
      <formula>"Towel"</formula>
    </cfRule>
    <cfRule type="cellIs" dxfId="24676" priority="13584" stopIfTrue="1" operator="equal">
      <formula>"Napkin Hs"</formula>
    </cfRule>
  </conditionalFormatting>
  <conditionalFormatting sqref="C55">
    <cfRule type="cellIs" dxfId="24675" priority="13563" stopIfTrue="1" operator="equal">
      <formula>"Towel"</formula>
    </cfRule>
    <cfRule type="cellIs" dxfId="24674" priority="13564" stopIfTrue="1" operator="equal">
      <formula>"Napkin Hs"</formula>
    </cfRule>
    <cfRule type="cellIs" dxfId="24673" priority="13569" stopIfTrue="1" operator="equal">
      <formula>"Towel"</formula>
    </cfRule>
    <cfRule type="cellIs" dxfId="24672" priority="13570" stopIfTrue="1" operator="equal">
      <formula>"Napkin Hs"</formula>
    </cfRule>
    <cfRule type="cellIs" dxfId="24671" priority="13575" stopIfTrue="1" operator="equal">
      <formula>"Towel"</formula>
    </cfRule>
    <cfRule type="cellIs" dxfId="24670" priority="13576" stopIfTrue="1" operator="equal">
      <formula>"Napkin Hs"</formula>
    </cfRule>
    <cfRule type="cellIs" dxfId="24669" priority="13581" stopIfTrue="1" operator="equal">
      <formula>"Towel"</formula>
    </cfRule>
    <cfRule type="cellIs" dxfId="24668" priority="13582" stopIfTrue="1" operator="equal">
      <formula>"Napkin Hs"</formula>
    </cfRule>
  </conditionalFormatting>
  <conditionalFormatting sqref="C55">
    <cfRule type="cellIs" dxfId="24667" priority="13573" stopIfTrue="1" operator="equal">
      <formula>"Towel"</formula>
    </cfRule>
    <cfRule type="cellIs" dxfId="24666" priority="13574" stopIfTrue="1" operator="equal">
      <formula>"Napkin Hs"</formula>
    </cfRule>
    <cfRule type="cellIs" dxfId="24665" priority="13579" stopIfTrue="1" operator="equal">
      <formula>"Towel"</formula>
    </cfRule>
    <cfRule type="cellIs" dxfId="24664" priority="13580" stopIfTrue="1" operator="equal">
      <formula>"Napkin Hs"</formula>
    </cfRule>
  </conditionalFormatting>
  <conditionalFormatting sqref="C55">
    <cfRule type="cellIs" dxfId="24663" priority="13559" stopIfTrue="1" operator="equal">
      <formula>"Towel"</formula>
    </cfRule>
    <cfRule type="cellIs" dxfId="24662" priority="13560" stopIfTrue="1" operator="equal">
      <formula>"Napkin Hs"</formula>
    </cfRule>
    <cfRule type="cellIs" dxfId="24661" priority="13567" stopIfTrue="1" operator="equal">
      <formula>"Towel"</formula>
    </cfRule>
    <cfRule type="cellIs" dxfId="24660" priority="13568" stopIfTrue="1" operator="equal">
      <formula>"Napkin Hs"</formula>
    </cfRule>
    <cfRule type="cellIs" dxfId="24659" priority="13571" stopIfTrue="1" operator="equal">
      <formula>"Towel"</formula>
    </cfRule>
    <cfRule type="cellIs" dxfId="24658" priority="13572" stopIfTrue="1" operator="equal">
      <formula>"Napkin Hs"</formula>
    </cfRule>
  </conditionalFormatting>
  <conditionalFormatting sqref="C55">
    <cfRule type="cellIs" dxfId="24657" priority="13561" stopIfTrue="1" operator="equal">
      <formula>"Towel"</formula>
    </cfRule>
    <cfRule type="cellIs" dxfId="24656" priority="13562" stopIfTrue="1" operator="equal">
      <formula>"Napkin Hs"</formula>
    </cfRule>
    <cfRule type="cellIs" dxfId="24655" priority="13565" stopIfTrue="1" operator="equal">
      <formula>"Towel"</formula>
    </cfRule>
    <cfRule type="cellIs" dxfId="24654" priority="13566" stopIfTrue="1" operator="equal">
      <formula>"Napkin Hs"</formula>
    </cfRule>
    <cfRule type="cellIs" dxfId="24653" priority="13577" stopIfTrue="1" operator="equal">
      <formula>"Towel"</formula>
    </cfRule>
    <cfRule type="cellIs" dxfId="24652" priority="13578" stopIfTrue="1" operator="equal">
      <formula>"Napkin Hs"</formula>
    </cfRule>
  </conditionalFormatting>
  <conditionalFormatting sqref="C55">
    <cfRule type="cellIs" dxfId="24651" priority="13557" stopIfTrue="1" operator="equal">
      <formula>"Towel"</formula>
    </cfRule>
    <cfRule type="cellIs" dxfId="24650" priority="13558" stopIfTrue="1" operator="equal">
      <formula>"Napkin Hs"</formula>
    </cfRule>
  </conditionalFormatting>
  <conditionalFormatting sqref="C55">
    <cfRule type="cellIs" dxfId="24649" priority="13553" stopIfTrue="1" operator="equal">
      <formula>"Towel"</formula>
    </cfRule>
    <cfRule type="cellIs" dxfId="24648" priority="13554" stopIfTrue="1" operator="equal">
      <formula>"Napkin Hs"</formula>
    </cfRule>
  </conditionalFormatting>
  <conditionalFormatting sqref="C55">
    <cfRule type="cellIs" dxfId="24647" priority="13555" stopIfTrue="1" operator="equal">
      <formula>"Towel"</formula>
    </cfRule>
    <cfRule type="cellIs" dxfId="24646" priority="13556" stopIfTrue="1" operator="equal">
      <formula>"Napkin Hs"</formula>
    </cfRule>
  </conditionalFormatting>
  <conditionalFormatting sqref="C55">
    <cfRule type="cellIs" dxfId="24645" priority="13551" stopIfTrue="1" operator="equal">
      <formula>"Towel"</formula>
    </cfRule>
    <cfRule type="cellIs" dxfId="24644" priority="13552" stopIfTrue="1" operator="equal">
      <formula>"Napkin Hs"</formula>
    </cfRule>
  </conditionalFormatting>
  <conditionalFormatting sqref="C55">
    <cfRule type="cellIs" dxfId="24643" priority="13547" stopIfTrue="1" operator="equal">
      <formula>"Towel"</formula>
    </cfRule>
    <cfRule type="cellIs" dxfId="24642" priority="13548" stopIfTrue="1" operator="equal">
      <formula>"Napkin Hs"</formula>
    </cfRule>
  </conditionalFormatting>
  <conditionalFormatting sqref="C55">
    <cfRule type="cellIs" dxfId="24641" priority="13549" stopIfTrue="1" operator="equal">
      <formula>"Towel"</formula>
    </cfRule>
    <cfRule type="cellIs" dxfId="24640" priority="13550" stopIfTrue="1" operator="equal">
      <formula>"Napkin Hs"</formula>
    </cfRule>
  </conditionalFormatting>
  <conditionalFormatting sqref="C55">
    <cfRule type="cellIs" dxfId="24639" priority="13545" stopIfTrue="1" operator="equal">
      <formula>"Towel"</formula>
    </cfRule>
    <cfRule type="cellIs" dxfId="24638" priority="13546" stopIfTrue="1" operator="equal">
      <formula>"Napkin Hs"</formula>
    </cfRule>
  </conditionalFormatting>
  <conditionalFormatting sqref="C55">
    <cfRule type="cellIs" dxfId="24637" priority="13541" stopIfTrue="1" operator="equal">
      <formula>"Towel"</formula>
    </cfRule>
    <cfRule type="cellIs" dxfId="24636" priority="13542" stopIfTrue="1" operator="equal">
      <formula>"Napkin Hs"</formula>
    </cfRule>
  </conditionalFormatting>
  <conditionalFormatting sqref="C55">
    <cfRule type="cellIs" dxfId="24635" priority="13543" stopIfTrue="1" operator="equal">
      <formula>"Towel"</formula>
    </cfRule>
    <cfRule type="cellIs" dxfId="24634" priority="13544" stopIfTrue="1" operator="equal">
      <formula>"Napkin Hs"</formula>
    </cfRule>
  </conditionalFormatting>
  <conditionalFormatting sqref="C55">
    <cfRule type="cellIs" dxfId="24633" priority="13539" stopIfTrue="1" operator="equal">
      <formula>"Towel"</formula>
    </cfRule>
    <cfRule type="cellIs" dxfId="24632" priority="13540" stopIfTrue="1" operator="equal">
      <formula>"Napkin Hs"</formula>
    </cfRule>
  </conditionalFormatting>
  <conditionalFormatting sqref="C55">
    <cfRule type="cellIs" dxfId="24631" priority="13537" stopIfTrue="1" operator="equal">
      <formula>"Towel"</formula>
    </cfRule>
    <cfRule type="cellIs" dxfId="24630" priority="13538" stopIfTrue="1" operator="equal">
      <formula>"Napkin Hs"</formula>
    </cfRule>
  </conditionalFormatting>
  <conditionalFormatting sqref="C55">
    <cfRule type="cellIs" dxfId="24629" priority="13535" stopIfTrue="1" operator="equal">
      <formula>"Towel"</formula>
    </cfRule>
    <cfRule type="cellIs" dxfId="24628" priority="13536" stopIfTrue="1" operator="equal">
      <formula>"Napkin Hs"</formula>
    </cfRule>
  </conditionalFormatting>
  <conditionalFormatting sqref="C55">
    <cfRule type="cellIs" dxfId="24627" priority="13533" stopIfTrue="1" operator="equal">
      <formula>"Towel"</formula>
    </cfRule>
    <cfRule type="cellIs" dxfId="24626" priority="13534" stopIfTrue="1" operator="equal">
      <formula>"Napkin Hs"</formula>
    </cfRule>
  </conditionalFormatting>
  <conditionalFormatting sqref="C55">
    <cfRule type="cellIs" dxfId="24625" priority="13532" stopIfTrue="1" operator="equal">
      <formula>"Napkin Hs"</formula>
    </cfRule>
  </conditionalFormatting>
  <conditionalFormatting sqref="C55">
    <cfRule type="cellIs" dxfId="24624" priority="13529" stopIfTrue="1" operator="equal">
      <formula>"Towel"</formula>
    </cfRule>
    <cfRule type="cellIs" dxfId="24623" priority="13530" stopIfTrue="1" operator="equal">
      <formula>"Napkin Hs"</formula>
    </cfRule>
  </conditionalFormatting>
  <conditionalFormatting sqref="C55">
    <cfRule type="cellIs" dxfId="24622" priority="13531" stopIfTrue="1" operator="equal">
      <formula>"Towel"</formula>
    </cfRule>
  </conditionalFormatting>
  <conditionalFormatting sqref="B55">
    <cfRule type="cellIs" dxfId="24621" priority="13527" stopIfTrue="1" operator="equal">
      <formula>"Towel"</formula>
    </cfRule>
    <cfRule type="cellIs" dxfId="24620" priority="13528" stopIfTrue="1" operator="equal">
      <formula>"Napkin Hs"</formula>
    </cfRule>
  </conditionalFormatting>
  <conditionalFormatting sqref="B55">
    <cfRule type="cellIs" dxfId="24619" priority="13525" stopIfTrue="1" operator="equal">
      <formula>"Towel"</formula>
    </cfRule>
    <cfRule type="cellIs" dxfId="24618" priority="13526" stopIfTrue="1" operator="equal">
      <formula>"Napkin Hs"</formula>
    </cfRule>
  </conditionalFormatting>
  <conditionalFormatting sqref="B55">
    <cfRule type="cellIs" dxfId="24617" priority="13523" stopIfTrue="1" operator="equal">
      <formula>"Towel"</formula>
    </cfRule>
    <cfRule type="cellIs" dxfId="24616" priority="13524" stopIfTrue="1" operator="equal">
      <formula>"Napkin Hs"</formula>
    </cfRule>
  </conditionalFormatting>
  <conditionalFormatting sqref="B55">
    <cfRule type="cellIs" dxfId="24615" priority="13521" stopIfTrue="1" operator="equal">
      <formula>"Towel"</formula>
    </cfRule>
    <cfRule type="cellIs" dxfId="24614" priority="13522" stopIfTrue="1" operator="equal">
      <formula>"Napkin Hs"</formula>
    </cfRule>
  </conditionalFormatting>
  <conditionalFormatting sqref="B55">
    <cfRule type="cellIs" dxfId="24613" priority="13519" stopIfTrue="1" operator="equal">
      <formula>"Towel"</formula>
    </cfRule>
    <cfRule type="cellIs" dxfId="24612" priority="13520" stopIfTrue="1" operator="equal">
      <formula>"Napkin Hs"</formula>
    </cfRule>
  </conditionalFormatting>
  <conditionalFormatting sqref="B55">
    <cfRule type="cellIs" dxfId="24611" priority="13517" stopIfTrue="1" operator="equal">
      <formula>"Towel"</formula>
    </cfRule>
    <cfRule type="cellIs" dxfId="24610" priority="13518" stopIfTrue="1" operator="equal">
      <formula>"Napkin Hs"</formula>
    </cfRule>
  </conditionalFormatting>
  <conditionalFormatting sqref="B55">
    <cfRule type="cellIs" dxfId="24609" priority="13513" stopIfTrue="1" operator="equal">
      <formula>"Towel"</formula>
    </cfRule>
    <cfRule type="cellIs" dxfId="24608" priority="13514" stopIfTrue="1" operator="equal">
      <formula>"Napkin Hs"</formula>
    </cfRule>
    <cfRule type="cellIs" dxfId="24607" priority="13515" stopIfTrue="1" operator="equal">
      <formula>"Towel"</formula>
    </cfRule>
    <cfRule type="cellIs" dxfId="24606" priority="13516" stopIfTrue="1" operator="equal">
      <formula>"Napkin Hs"</formula>
    </cfRule>
  </conditionalFormatting>
  <conditionalFormatting sqref="B55">
    <cfRule type="cellIs" dxfId="24605" priority="13511" stopIfTrue="1" operator="equal">
      <formula>"Towel"</formula>
    </cfRule>
    <cfRule type="cellIs" dxfId="24604" priority="13512" stopIfTrue="1" operator="equal">
      <formula>"Napkin Hs"</formula>
    </cfRule>
  </conditionalFormatting>
  <conditionalFormatting sqref="B55">
    <cfRule type="cellIs" dxfId="24603" priority="13509" stopIfTrue="1" operator="equal">
      <formula>"Towel"</formula>
    </cfRule>
    <cfRule type="cellIs" dxfId="24602" priority="13510" stopIfTrue="1" operator="equal">
      <formula>"Napkin Hs"</formula>
    </cfRule>
  </conditionalFormatting>
  <conditionalFormatting sqref="B55">
    <cfRule type="cellIs" dxfId="24601" priority="13507" stopIfTrue="1" operator="equal">
      <formula>"Towel"</formula>
    </cfRule>
    <cfRule type="cellIs" dxfId="24600" priority="13508" stopIfTrue="1" operator="equal">
      <formula>"Napkin Hs"</formula>
    </cfRule>
  </conditionalFormatting>
  <conditionalFormatting sqref="B55">
    <cfRule type="cellIs" dxfId="24599" priority="13505" stopIfTrue="1" operator="equal">
      <formula>"Towel"</formula>
    </cfRule>
    <cfRule type="cellIs" dxfId="24598" priority="13506" stopIfTrue="1" operator="equal">
      <formula>"Napkin Hs"</formula>
    </cfRule>
  </conditionalFormatting>
  <conditionalFormatting sqref="B55">
    <cfRule type="cellIs" dxfId="24597" priority="13503" stopIfTrue="1" operator="equal">
      <formula>"Towel"</formula>
    </cfRule>
    <cfRule type="cellIs" dxfId="24596" priority="13504" stopIfTrue="1" operator="equal">
      <formula>"Napkin Hs"</formula>
    </cfRule>
  </conditionalFormatting>
  <conditionalFormatting sqref="B55:C55">
    <cfRule type="cellIs" dxfId="24595" priority="13489" stopIfTrue="1" operator="equal">
      <formula>"Towel"</formula>
    </cfRule>
    <cfRule type="cellIs" dxfId="24594" priority="13490" stopIfTrue="1" operator="equal">
      <formula>"Napkin Hs"</formula>
    </cfRule>
    <cfRule type="cellIs" dxfId="24593" priority="13495" stopIfTrue="1" operator="equal">
      <formula>"Towel"</formula>
    </cfRule>
    <cfRule type="cellIs" dxfId="24592" priority="13496" stopIfTrue="1" operator="equal">
      <formula>"Napkin Hs"</formula>
    </cfRule>
    <cfRule type="cellIs" dxfId="24591" priority="13501" stopIfTrue="1" operator="equal">
      <formula>"Towel"</formula>
    </cfRule>
    <cfRule type="cellIs" dxfId="24590" priority="13502" stopIfTrue="1" operator="equal">
      <formula>"Napkin Hs"</formula>
    </cfRule>
  </conditionalFormatting>
  <conditionalFormatting sqref="C55">
    <cfRule type="cellIs" dxfId="24589" priority="13483" stopIfTrue="1" operator="equal">
      <formula>"Towel"</formula>
    </cfRule>
    <cfRule type="cellIs" dxfId="24588" priority="13484" stopIfTrue="1" operator="equal">
      <formula>"Napkin Hs"</formula>
    </cfRule>
    <cfRule type="cellIs" dxfId="24587" priority="13485" stopIfTrue="1" operator="equal">
      <formula>"Towel"</formula>
    </cfRule>
    <cfRule type="cellIs" dxfId="24586" priority="13486" stopIfTrue="1" operator="equal">
      <formula>"Napkin Hs"</formula>
    </cfRule>
    <cfRule type="cellIs" dxfId="24585" priority="13493" stopIfTrue="1" operator="equal">
      <formula>"Towel"</formula>
    </cfRule>
    <cfRule type="cellIs" dxfId="24584" priority="13494" stopIfTrue="1" operator="equal">
      <formula>"Napkin Hs"</formula>
    </cfRule>
    <cfRule type="cellIs" dxfId="24583" priority="13497" stopIfTrue="1" operator="equal">
      <formula>"Towel"</formula>
    </cfRule>
    <cfRule type="cellIs" dxfId="24582" priority="13498" stopIfTrue="1" operator="equal">
      <formula>"Napkin Hs"</formula>
    </cfRule>
  </conditionalFormatting>
  <conditionalFormatting sqref="C55">
    <cfRule type="cellIs" dxfId="24581" priority="13487" stopIfTrue="1" operator="equal">
      <formula>"Towel"</formula>
    </cfRule>
    <cfRule type="cellIs" dxfId="24580" priority="13488" stopIfTrue="1" operator="equal">
      <formula>"Napkin Hs"</formula>
    </cfRule>
    <cfRule type="cellIs" dxfId="24579" priority="13491" stopIfTrue="1" operator="equal">
      <formula>"Towel"</formula>
    </cfRule>
    <cfRule type="cellIs" dxfId="24578" priority="13492" stopIfTrue="1" operator="equal">
      <formula>"Napkin Hs"</formula>
    </cfRule>
    <cfRule type="cellIs" dxfId="24577" priority="13499" stopIfTrue="1" operator="equal">
      <formula>"Towel"</formula>
    </cfRule>
    <cfRule type="cellIs" dxfId="24576" priority="13500" stopIfTrue="1" operator="equal">
      <formula>"Napkin Hs"</formula>
    </cfRule>
  </conditionalFormatting>
  <conditionalFormatting sqref="B55:C55">
    <cfRule type="cellIs" dxfId="24575" priority="13481" stopIfTrue="1" operator="equal">
      <formula>"Towel"</formula>
    </cfRule>
    <cfRule type="cellIs" dxfId="24574" priority="13482" stopIfTrue="1" operator="equal">
      <formula>"Napkin Hs"</formula>
    </cfRule>
  </conditionalFormatting>
  <conditionalFormatting sqref="B55:C55">
    <cfRule type="cellIs" dxfId="24573" priority="13473" stopIfTrue="1" operator="equal">
      <formula>"Towel"</formula>
    </cfRule>
    <cfRule type="cellIs" dxfId="24572" priority="13474" stopIfTrue="1" operator="equal">
      <formula>"Napkin Hs"</formula>
    </cfRule>
    <cfRule type="cellIs" dxfId="24571" priority="13479" stopIfTrue="1" operator="equal">
      <formula>"Towel"</formula>
    </cfRule>
    <cfRule type="cellIs" dxfId="24570" priority="13480" stopIfTrue="1" operator="equal">
      <formula>"Napkin Hs"</formula>
    </cfRule>
  </conditionalFormatting>
  <conditionalFormatting sqref="C55">
    <cfRule type="cellIs" dxfId="24569" priority="13469" stopIfTrue="1" operator="equal">
      <formula>"Towel"</formula>
    </cfRule>
    <cfRule type="cellIs" dxfId="24568" priority="13470" stopIfTrue="1" operator="equal">
      <formula>"Napkin Hs"</formula>
    </cfRule>
  </conditionalFormatting>
  <conditionalFormatting sqref="C55">
    <cfRule type="cellIs" dxfId="24567" priority="13467" stopIfTrue="1" operator="equal">
      <formula>"Towel"</formula>
    </cfRule>
    <cfRule type="cellIs" dxfId="24566" priority="13468" stopIfTrue="1" operator="equal">
      <formula>"Napkin Hs"</formula>
    </cfRule>
    <cfRule type="cellIs" dxfId="24565" priority="13477" stopIfTrue="1" operator="equal">
      <formula>"Towel"</formula>
    </cfRule>
    <cfRule type="cellIs" dxfId="24564" priority="13478" stopIfTrue="1" operator="equal">
      <formula>"Napkin Hs"</formula>
    </cfRule>
  </conditionalFormatting>
  <conditionalFormatting sqref="C55">
    <cfRule type="cellIs" dxfId="24563" priority="13471" stopIfTrue="1" operator="equal">
      <formula>"Towel"</formula>
    </cfRule>
    <cfRule type="cellIs" dxfId="24562" priority="13472" stopIfTrue="1" operator="equal">
      <formula>"Napkin Hs"</formula>
    </cfRule>
    <cfRule type="cellIs" dxfId="24561" priority="13475" stopIfTrue="1" operator="equal">
      <formula>"Towel"</formula>
    </cfRule>
    <cfRule type="cellIs" dxfId="24560" priority="13476" stopIfTrue="1" operator="equal">
      <formula>"Napkin Hs"</formula>
    </cfRule>
  </conditionalFormatting>
  <conditionalFormatting sqref="C55">
    <cfRule type="cellIs" dxfId="24559" priority="13466" stopIfTrue="1" operator="equal">
      <formula>"Napkin Hs"</formula>
    </cfRule>
  </conditionalFormatting>
  <conditionalFormatting sqref="C55">
    <cfRule type="cellIs" dxfId="24558" priority="13465" stopIfTrue="1" operator="equal">
      <formula>"Towel"</formula>
    </cfRule>
  </conditionalFormatting>
  <conditionalFormatting sqref="C55">
    <cfRule type="cellIs" dxfId="24557" priority="13461" stopIfTrue="1" operator="equal">
      <formula>"Towel"</formula>
    </cfRule>
    <cfRule type="cellIs" dxfId="24556" priority="13462" stopIfTrue="1" operator="equal">
      <formula>"Napkin Hs"</formula>
    </cfRule>
    <cfRule type="cellIs" dxfId="24555" priority="13463" stopIfTrue="1" operator="equal">
      <formula>"Towel"</formula>
    </cfRule>
    <cfRule type="cellIs" dxfId="24554" priority="13464" stopIfTrue="1" operator="equal">
      <formula>"Napkin Hs"</formula>
    </cfRule>
  </conditionalFormatting>
  <conditionalFormatting sqref="B55:C55">
    <cfRule type="cellIs" dxfId="24553" priority="13459" stopIfTrue="1" operator="equal">
      <formula>"Towel"</formula>
    </cfRule>
    <cfRule type="cellIs" dxfId="24552" priority="13460" stopIfTrue="1" operator="equal">
      <formula>"Napkin Hs"</formula>
    </cfRule>
  </conditionalFormatting>
  <conditionalFormatting sqref="C55">
    <cfRule type="cellIs" dxfId="24551" priority="13455" stopIfTrue="1" operator="equal">
      <formula>"Towel"</formula>
    </cfRule>
    <cfRule type="cellIs" dxfId="24550" priority="13456" stopIfTrue="1" operator="equal">
      <formula>"Napkin Hs"</formula>
    </cfRule>
  </conditionalFormatting>
  <conditionalFormatting sqref="C55">
    <cfRule type="cellIs" dxfId="24549" priority="13457" stopIfTrue="1" operator="equal">
      <formula>"Towel"</formula>
    </cfRule>
    <cfRule type="cellIs" dxfId="24548" priority="13458" stopIfTrue="1" operator="equal">
      <formula>"Napkin Hs"</formula>
    </cfRule>
  </conditionalFormatting>
  <conditionalFormatting sqref="B55:C55">
    <cfRule type="cellIs" dxfId="24547" priority="13453" stopIfTrue="1" operator="equal">
      <formula>"Towel"</formula>
    </cfRule>
    <cfRule type="cellIs" dxfId="24546" priority="13454" stopIfTrue="1" operator="equal">
      <formula>"Napkin Hs"</formula>
    </cfRule>
  </conditionalFormatting>
  <conditionalFormatting sqref="C55">
    <cfRule type="cellIs" dxfId="24545" priority="13449" stopIfTrue="1" operator="equal">
      <formula>"Towel"</formula>
    </cfRule>
    <cfRule type="cellIs" dxfId="24544" priority="13450" stopIfTrue="1" operator="equal">
      <formula>"Napkin Hs"</formula>
    </cfRule>
  </conditionalFormatting>
  <conditionalFormatting sqref="C55">
    <cfRule type="cellIs" dxfId="24543" priority="13451" stopIfTrue="1" operator="equal">
      <formula>"Towel"</formula>
    </cfRule>
    <cfRule type="cellIs" dxfId="24542" priority="13452" stopIfTrue="1" operator="equal">
      <formula>"Napkin Hs"</formula>
    </cfRule>
  </conditionalFormatting>
  <conditionalFormatting sqref="B55:C55">
    <cfRule type="cellIs" dxfId="24541" priority="13447" stopIfTrue="1" operator="equal">
      <formula>"Towel"</formula>
    </cfRule>
    <cfRule type="cellIs" dxfId="24540" priority="13448" stopIfTrue="1" operator="equal">
      <formula>"Napkin Hs"</formula>
    </cfRule>
  </conditionalFormatting>
  <conditionalFormatting sqref="C55">
    <cfRule type="cellIs" dxfId="24539" priority="13443" stopIfTrue="1" operator="equal">
      <formula>"Towel"</formula>
    </cfRule>
    <cfRule type="cellIs" dxfId="24538" priority="13444" stopIfTrue="1" operator="equal">
      <formula>"Napkin Hs"</formula>
    </cfRule>
  </conditionalFormatting>
  <conditionalFormatting sqref="C55">
    <cfRule type="cellIs" dxfId="24537" priority="13445" stopIfTrue="1" operator="equal">
      <formula>"Towel"</formula>
    </cfRule>
    <cfRule type="cellIs" dxfId="24536" priority="13446" stopIfTrue="1" operator="equal">
      <formula>"Napkin Hs"</formula>
    </cfRule>
  </conditionalFormatting>
  <conditionalFormatting sqref="B55:C55">
    <cfRule type="cellIs" dxfId="24535" priority="13441" stopIfTrue="1" operator="equal">
      <formula>"Towel"</formula>
    </cfRule>
    <cfRule type="cellIs" dxfId="24534" priority="13442" stopIfTrue="1" operator="equal">
      <formula>"Napkin Hs"</formula>
    </cfRule>
  </conditionalFormatting>
  <conditionalFormatting sqref="C55">
    <cfRule type="cellIs" dxfId="24533" priority="13439" stopIfTrue="1" operator="equal">
      <formula>"Towel"</formula>
    </cfRule>
    <cfRule type="cellIs" dxfId="24532" priority="13440" stopIfTrue="1" operator="equal">
      <formula>"Napkin Hs"</formula>
    </cfRule>
  </conditionalFormatting>
  <conditionalFormatting sqref="C55">
    <cfRule type="cellIs" dxfId="24531" priority="13437" stopIfTrue="1" operator="equal">
      <formula>"Towel"</formula>
    </cfRule>
    <cfRule type="cellIs" dxfId="24530" priority="13438" stopIfTrue="1" operator="equal">
      <formula>"Napkin Hs"</formula>
    </cfRule>
  </conditionalFormatting>
  <conditionalFormatting sqref="B55:C55">
    <cfRule type="cellIs" dxfId="24529" priority="13435" stopIfTrue="1" operator="equal">
      <formula>"Towel"</formula>
    </cfRule>
    <cfRule type="cellIs" dxfId="24528" priority="13436" stopIfTrue="1" operator="equal">
      <formula>"Napkin Hs"</formula>
    </cfRule>
  </conditionalFormatting>
  <conditionalFormatting sqref="C55">
    <cfRule type="cellIs" dxfId="24527" priority="13434" stopIfTrue="1" operator="equal">
      <formula>"Napkin Hs"</formula>
    </cfRule>
  </conditionalFormatting>
  <conditionalFormatting sqref="C55">
    <cfRule type="cellIs" dxfId="24526" priority="13431" stopIfTrue="1" operator="equal">
      <formula>"Towel"</formula>
    </cfRule>
    <cfRule type="cellIs" dxfId="24525" priority="13432" stopIfTrue="1" operator="equal">
      <formula>"Napkin Hs"</formula>
    </cfRule>
  </conditionalFormatting>
  <conditionalFormatting sqref="C55">
    <cfRule type="cellIs" dxfId="24524" priority="13433" stopIfTrue="1" operator="equal">
      <formula>"Towel"</formula>
    </cfRule>
  </conditionalFormatting>
  <conditionalFormatting sqref="B62:C62">
    <cfRule type="cellIs" dxfId="24523" priority="13399" stopIfTrue="1" operator="equal">
      <formula>"Towel"</formula>
    </cfRule>
    <cfRule type="cellIs" dxfId="24522" priority="13400" stopIfTrue="1" operator="equal">
      <formula>"Napkin Hs"</formula>
    </cfRule>
    <cfRule type="cellIs" dxfId="24521" priority="13405" stopIfTrue="1" operator="equal">
      <formula>"Towel"</formula>
    </cfRule>
    <cfRule type="cellIs" dxfId="24520" priority="13406" stopIfTrue="1" operator="equal">
      <formula>"Napkin Hs"</formula>
    </cfRule>
    <cfRule type="cellIs" dxfId="24519" priority="13411" stopIfTrue="1" operator="equal">
      <formula>"Towel"</formula>
    </cfRule>
    <cfRule type="cellIs" dxfId="24518" priority="13412" stopIfTrue="1" operator="equal">
      <formula>"Napkin Hs"</formula>
    </cfRule>
    <cfRule type="cellIs" dxfId="24517" priority="13417" stopIfTrue="1" operator="equal">
      <formula>"Towel"</formula>
    </cfRule>
    <cfRule type="cellIs" dxfId="24516" priority="13418" stopIfTrue="1" operator="equal">
      <formula>"Napkin Hs"</formula>
    </cfRule>
    <cfRule type="cellIs" dxfId="24515" priority="13423" stopIfTrue="1" operator="equal">
      <formula>"Towel"</formula>
    </cfRule>
    <cfRule type="cellIs" dxfId="24514" priority="13424" stopIfTrue="1" operator="equal">
      <formula>"Napkin Hs"</formula>
    </cfRule>
  </conditionalFormatting>
  <conditionalFormatting sqref="B62:C62">
    <cfRule type="cellIs" dxfId="24513" priority="13429" stopIfTrue="1" operator="equal">
      <formula>"Towel"</formula>
    </cfRule>
    <cfRule type="cellIs" dxfId="24512" priority="13430" stopIfTrue="1" operator="equal">
      <formula>"Napkin Hs"</formula>
    </cfRule>
  </conditionalFormatting>
  <conditionalFormatting sqref="C62">
    <cfRule type="cellIs" dxfId="24511" priority="13395" stopIfTrue="1" operator="equal">
      <formula>"Towel"</formula>
    </cfRule>
    <cfRule type="cellIs" dxfId="24510" priority="13396" stopIfTrue="1" operator="equal">
      <formula>"Napkin Hs"</formula>
    </cfRule>
  </conditionalFormatting>
  <conditionalFormatting sqref="C62">
    <cfRule type="cellIs" dxfId="24509" priority="13421" stopIfTrue="1" operator="equal">
      <formula>"Towel"</formula>
    </cfRule>
    <cfRule type="cellIs" dxfId="24508" priority="13422" stopIfTrue="1" operator="equal">
      <formula>"Napkin Hs"</formula>
    </cfRule>
    <cfRule type="cellIs" dxfId="24507" priority="13425" stopIfTrue="1" operator="equal">
      <formula>"Towel"</formula>
    </cfRule>
    <cfRule type="cellIs" dxfId="24506" priority="13426" stopIfTrue="1" operator="equal">
      <formula>"Napkin Hs"</formula>
    </cfRule>
  </conditionalFormatting>
  <conditionalFormatting sqref="C62">
    <cfRule type="cellIs" dxfId="24505" priority="13397" stopIfTrue="1" operator="equal">
      <formula>"Towel"</formula>
    </cfRule>
    <cfRule type="cellIs" dxfId="24504" priority="13398" stopIfTrue="1" operator="equal">
      <formula>"Napkin Hs"</formula>
    </cfRule>
    <cfRule type="cellIs" dxfId="24503" priority="13409" stopIfTrue="1" operator="equal">
      <formula>"Towel"</formula>
    </cfRule>
    <cfRule type="cellIs" dxfId="24502" priority="13410" stopIfTrue="1" operator="equal">
      <formula>"Napkin Hs"</formula>
    </cfRule>
    <cfRule type="cellIs" dxfId="24501" priority="13413" stopIfTrue="1" operator="equal">
      <formula>"Towel"</formula>
    </cfRule>
    <cfRule type="cellIs" dxfId="24500" priority="13414" stopIfTrue="1" operator="equal">
      <formula>"Napkin Hs"</formula>
    </cfRule>
  </conditionalFormatting>
  <conditionalFormatting sqref="C62">
    <cfRule type="cellIs" dxfId="24499" priority="13401" stopIfTrue="1" operator="equal">
      <formula>"Towel"</formula>
    </cfRule>
    <cfRule type="cellIs" dxfId="24498" priority="13402" stopIfTrue="1" operator="equal">
      <formula>"Napkin Hs"</formula>
    </cfRule>
    <cfRule type="cellIs" dxfId="24497" priority="13403" stopIfTrue="1" operator="equal">
      <formula>"Towel"</formula>
    </cfRule>
    <cfRule type="cellIs" dxfId="24496" priority="13404" stopIfTrue="1" operator="equal">
      <formula>"Napkin Hs"</formula>
    </cfRule>
    <cfRule type="cellIs" dxfId="24495" priority="13407" stopIfTrue="1" operator="equal">
      <formula>"Towel"</formula>
    </cfRule>
    <cfRule type="cellIs" dxfId="24494" priority="13408" stopIfTrue="1" operator="equal">
      <formula>"Napkin Hs"</formula>
    </cfRule>
    <cfRule type="cellIs" dxfId="24493" priority="13415" stopIfTrue="1" operator="equal">
      <formula>"Towel"</formula>
    </cfRule>
    <cfRule type="cellIs" dxfId="24492" priority="13416" stopIfTrue="1" operator="equal">
      <formula>"Napkin Hs"</formula>
    </cfRule>
    <cfRule type="cellIs" dxfId="24491" priority="13419" stopIfTrue="1" operator="equal">
      <formula>"Towel"</formula>
    </cfRule>
    <cfRule type="cellIs" dxfId="24490" priority="13420" stopIfTrue="1" operator="equal">
      <formula>"Napkin Hs"</formula>
    </cfRule>
  </conditionalFormatting>
  <conditionalFormatting sqref="C62">
    <cfRule type="cellIs" dxfId="24489" priority="13427" stopIfTrue="1" operator="equal">
      <formula>"Towel"</formula>
    </cfRule>
    <cfRule type="cellIs" dxfId="24488" priority="13428" stopIfTrue="1" operator="equal">
      <formula>"Napkin Hs"</formula>
    </cfRule>
  </conditionalFormatting>
  <conditionalFormatting sqref="B60:C60">
    <cfRule type="cellIs" dxfId="24487" priority="13305" stopIfTrue="1" operator="equal">
      <formula>"Towel"</formula>
    </cfRule>
    <cfRule type="cellIs" dxfId="24486" priority="13306" stopIfTrue="1" operator="equal">
      <formula>"Napkin Hs"</formula>
    </cfRule>
    <cfRule type="cellIs" dxfId="24485" priority="13311" stopIfTrue="1" operator="equal">
      <formula>"Towel"</formula>
    </cfRule>
    <cfRule type="cellIs" dxfId="24484" priority="13312" stopIfTrue="1" operator="equal">
      <formula>"Napkin Hs"</formula>
    </cfRule>
    <cfRule type="cellIs" dxfId="24483" priority="13317" stopIfTrue="1" operator="equal">
      <formula>"Towel"</formula>
    </cfRule>
    <cfRule type="cellIs" dxfId="24482" priority="13318" stopIfTrue="1" operator="equal">
      <formula>"Napkin Hs"</formula>
    </cfRule>
    <cfRule type="cellIs" dxfId="24481" priority="13323" stopIfTrue="1" operator="equal">
      <formula>"Towel"</formula>
    </cfRule>
    <cfRule type="cellIs" dxfId="24480" priority="13324" stopIfTrue="1" operator="equal">
      <formula>"Napkin Hs"</formula>
    </cfRule>
    <cfRule type="cellIs" dxfId="24479" priority="13329" stopIfTrue="1" operator="equal">
      <formula>"Towel"</formula>
    </cfRule>
    <cfRule type="cellIs" dxfId="24478" priority="13330" stopIfTrue="1" operator="equal">
      <formula>"Napkin Hs"</formula>
    </cfRule>
    <cfRule type="cellIs" dxfId="24477" priority="13335" stopIfTrue="1" operator="equal">
      <formula>"Towel"</formula>
    </cfRule>
    <cfRule type="cellIs" dxfId="24476" priority="13336" stopIfTrue="1" operator="equal">
      <formula>"Napkin Hs"</formula>
    </cfRule>
    <cfRule type="cellIs" dxfId="24475" priority="13341" stopIfTrue="1" operator="equal">
      <formula>"Towel"</formula>
    </cfRule>
    <cfRule type="cellIs" dxfId="24474" priority="13342" stopIfTrue="1" operator="equal">
      <formula>"Napkin Hs"</formula>
    </cfRule>
    <cfRule type="cellIs" dxfId="24473" priority="13347" stopIfTrue="1" operator="equal">
      <formula>"Towel"</formula>
    </cfRule>
    <cfRule type="cellIs" dxfId="24472" priority="13348" stopIfTrue="1" operator="equal">
      <formula>"Napkin Hs"</formula>
    </cfRule>
  </conditionalFormatting>
  <conditionalFormatting sqref="B61:C61">
    <cfRule type="cellIs" dxfId="24471" priority="13351" stopIfTrue="1" operator="equal">
      <formula>"Towel"</formula>
    </cfRule>
    <cfRule type="cellIs" dxfId="24470" priority="13352" stopIfTrue="1" operator="equal">
      <formula>"Napkin Hs"</formula>
    </cfRule>
    <cfRule type="cellIs" dxfId="24469" priority="13357" stopIfTrue="1" operator="equal">
      <formula>"Towel"</formula>
    </cfRule>
    <cfRule type="cellIs" dxfId="24468" priority="13358" stopIfTrue="1" operator="equal">
      <formula>"Napkin Hs"</formula>
    </cfRule>
    <cfRule type="cellIs" dxfId="24467" priority="13363" stopIfTrue="1" operator="equal">
      <formula>"Towel"</formula>
    </cfRule>
    <cfRule type="cellIs" dxfId="24466" priority="13364" stopIfTrue="1" operator="equal">
      <formula>"Napkin Hs"</formula>
    </cfRule>
    <cfRule type="cellIs" dxfId="24465" priority="13369" stopIfTrue="1" operator="equal">
      <formula>"Towel"</formula>
    </cfRule>
    <cfRule type="cellIs" dxfId="24464" priority="13370" stopIfTrue="1" operator="equal">
      <formula>"Napkin Hs"</formula>
    </cfRule>
    <cfRule type="cellIs" dxfId="24463" priority="13375" stopIfTrue="1" operator="equal">
      <formula>"Towel"</formula>
    </cfRule>
    <cfRule type="cellIs" dxfId="24462" priority="13376" stopIfTrue="1" operator="equal">
      <formula>"Napkin Hs"</formula>
    </cfRule>
    <cfRule type="cellIs" dxfId="24461" priority="13381" stopIfTrue="1" operator="equal">
      <formula>"Towel"</formula>
    </cfRule>
    <cfRule type="cellIs" dxfId="24460" priority="13382" stopIfTrue="1" operator="equal">
      <formula>"Napkin Hs"</formula>
    </cfRule>
    <cfRule type="cellIs" dxfId="24459" priority="13387" stopIfTrue="1" operator="equal">
      <formula>"Towel"</formula>
    </cfRule>
    <cfRule type="cellIs" dxfId="24458" priority="13388" stopIfTrue="1" operator="equal">
      <formula>"Napkin Hs"</formula>
    </cfRule>
    <cfRule type="cellIs" dxfId="24457" priority="13393" stopIfTrue="1" operator="equal">
      <formula>"Towel"</formula>
    </cfRule>
    <cfRule type="cellIs" dxfId="24456" priority="13394" stopIfTrue="1" operator="equal">
      <formula>"Napkin Hs"</formula>
    </cfRule>
  </conditionalFormatting>
  <conditionalFormatting sqref="C60">
    <cfRule type="cellIs" dxfId="24455" priority="13301" stopIfTrue="1" operator="equal">
      <formula>"Towel"</formula>
    </cfRule>
    <cfRule type="cellIs" dxfId="24454" priority="13302" stopIfTrue="1" operator="equal">
      <formula>"Napkin Hs"</formula>
    </cfRule>
    <cfRule type="cellIs" dxfId="24453" priority="13303" stopIfTrue="1" operator="equal">
      <formula>"Towel"</formula>
    </cfRule>
    <cfRule type="cellIs" dxfId="24452" priority="13304" stopIfTrue="1" operator="equal">
      <formula>"Napkin Hs"</formula>
    </cfRule>
    <cfRule type="cellIs" dxfId="24451" priority="13307" stopIfTrue="1" operator="equal">
      <formula>"Towel"</formula>
    </cfRule>
    <cfRule type="cellIs" dxfId="24450" priority="13308" stopIfTrue="1" operator="equal">
      <formula>"Napkin Hs"</formula>
    </cfRule>
    <cfRule type="cellIs" dxfId="24449" priority="13309" stopIfTrue="1" operator="equal">
      <formula>"Towel"</formula>
    </cfRule>
    <cfRule type="cellIs" dxfId="24448" priority="13310" stopIfTrue="1" operator="equal">
      <formula>"Napkin Hs"</formula>
    </cfRule>
    <cfRule type="cellIs" dxfId="24447" priority="13313" stopIfTrue="1" operator="equal">
      <formula>"Towel"</formula>
    </cfRule>
    <cfRule type="cellIs" dxfId="24446" priority="13314" stopIfTrue="1" operator="equal">
      <formula>"Napkin Hs"</formula>
    </cfRule>
    <cfRule type="cellIs" dxfId="24445" priority="13315" stopIfTrue="1" operator="equal">
      <formula>"Towel"</formula>
    </cfRule>
    <cfRule type="cellIs" dxfId="24444" priority="13316" stopIfTrue="1" operator="equal">
      <formula>"Napkin Hs"</formula>
    </cfRule>
    <cfRule type="cellIs" dxfId="24443" priority="13319" stopIfTrue="1" operator="equal">
      <formula>"Towel"</formula>
    </cfRule>
    <cfRule type="cellIs" dxfId="24442" priority="13320" stopIfTrue="1" operator="equal">
      <formula>"Napkin Hs"</formula>
    </cfRule>
    <cfRule type="cellIs" dxfId="24441" priority="13321" stopIfTrue="1" operator="equal">
      <formula>"Towel"</formula>
    </cfRule>
    <cfRule type="cellIs" dxfId="24440" priority="13322" stopIfTrue="1" operator="equal">
      <formula>"Napkin Hs"</formula>
    </cfRule>
    <cfRule type="cellIs" dxfId="24439" priority="13325" stopIfTrue="1" operator="equal">
      <formula>"Towel"</formula>
    </cfRule>
    <cfRule type="cellIs" dxfId="24438" priority="13326" stopIfTrue="1" operator="equal">
      <formula>"Napkin Hs"</formula>
    </cfRule>
    <cfRule type="cellIs" dxfId="24437" priority="13327" stopIfTrue="1" operator="equal">
      <formula>"Towel"</formula>
    </cfRule>
    <cfRule type="cellIs" dxfId="24436" priority="13328" stopIfTrue="1" operator="equal">
      <formula>"Napkin Hs"</formula>
    </cfRule>
    <cfRule type="cellIs" dxfId="24435" priority="13331" stopIfTrue="1" operator="equal">
      <formula>"Towel"</formula>
    </cfRule>
    <cfRule type="cellIs" dxfId="24434" priority="13332" stopIfTrue="1" operator="equal">
      <formula>"Napkin Hs"</formula>
    </cfRule>
    <cfRule type="cellIs" dxfId="24433" priority="13333" stopIfTrue="1" operator="equal">
      <formula>"Towel"</formula>
    </cfRule>
    <cfRule type="cellIs" dxfId="24432" priority="13334" stopIfTrue="1" operator="equal">
      <formula>"Napkin Hs"</formula>
    </cfRule>
    <cfRule type="cellIs" dxfId="24431" priority="13337" stopIfTrue="1" operator="equal">
      <formula>"Towel"</formula>
    </cfRule>
    <cfRule type="cellIs" dxfId="24430" priority="13338" stopIfTrue="1" operator="equal">
      <formula>"Napkin Hs"</formula>
    </cfRule>
    <cfRule type="cellIs" dxfId="24429" priority="13339" stopIfTrue="1" operator="equal">
      <formula>"Towel"</formula>
    </cfRule>
    <cfRule type="cellIs" dxfId="24428" priority="13340" stopIfTrue="1" operator="equal">
      <formula>"Napkin Hs"</formula>
    </cfRule>
    <cfRule type="cellIs" dxfId="24427" priority="13343" stopIfTrue="1" operator="equal">
      <formula>"Towel"</formula>
    </cfRule>
    <cfRule type="cellIs" dxfId="24426" priority="13344" stopIfTrue="1" operator="equal">
      <formula>"Napkin Hs"</formula>
    </cfRule>
  </conditionalFormatting>
  <conditionalFormatting sqref="C60:C61">
    <cfRule type="cellIs" dxfId="24425" priority="13345" stopIfTrue="1" operator="equal">
      <formula>"Towel"</formula>
    </cfRule>
    <cfRule type="cellIs" dxfId="24424" priority="13346" stopIfTrue="1" operator="equal">
      <formula>"Napkin Hs"</formula>
    </cfRule>
  </conditionalFormatting>
  <conditionalFormatting sqref="C61">
    <cfRule type="cellIs" dxfId="24423" priority="13349" stopIfTrue="1" operator="equal">
      <formula>"Towel"</formula>
    </cfRule>
    <cfRule type="cellIs" dxfId="24422" priority="13350" stopIfTrue="1" operator="equal">
      <formula>"Napkin Hs"</formula>
    </cfRule>
    <cfRule type="cellIs" dxfId="24421" priority="13353" stopIfTrue="1" operator="equal">
      <formula>"Towel"</formula>
    </cfRule>
    <cfRule type="cellIs" dxfId="24420" priority="13354" stopIfTrue="1" operator="equal">
      <formula>"Napkin Hs"</formula>
    </cfRule>
    <cfRule type="cellIs" dxfId="24419" priority="13355" stopIfTrue="1" operator="equal">
      <formula>"Towel"</formula>
    </cfRule>
    <cfRule type="cellIs" dxfId="24418" priority="13356" stopIfTrue="1" operator="equal">
      <formula>"Napkin Hs"</formula>
    </cfRule>
    <cfRule type="cellIs" dxfId="24417" priority="13359" stopIfTrue="1" operator="equal">
      <formula>"Towel"</formula>
    </cfRule>
    <cfRule type="cellIs" dxfId="24416" priority="13360" stopIfTrue="1" operator="equal">
      <formula>"Napkin Hs"</formula>
    </cfRule>
    <cfRule type="cellIs" dxfId="24415" priority="13361" stopIfTrue="1" operator="equal">
      <formula>"Towel"</formula>
    </cfRule>
    <cfRule type="cellIs" dxfId="24414" priority="13362" stopIfTrue="1" operator="equal">
      <formula>"Napkin Hs"</formula>
    </cfRule>
    <cfRule type="cellIs" dxfId="24413" priority="13365" stopIfTrue="1" operator="equal">
      <formula>"Towel"</formula>
    </cfRule>
    <cfRule type="cellIs" dxfId="24412" priority="13366" stopIfTrue="1" operator="equal">
      <formula>"Napkin Hs"</formula>
    </cfRule>
    <cfRule type="cellIs" dxfId="24411" priority="13367" stopIfTrue="1" operator="equal">
      <formula>"Towel"</formula>
    </cfRule>
    <cfRule type="cellIs" dxfId="24410" priority="13368" stopIfTrue="1" operator="equal">
      <formula>"Napkin Hs"</formula>
    </cfRule>
    <cfRule type="cellIs" dxfId="24409" priority="13371" stopIfTrue="1" operator="equal">
      <formula>"Towel"</formula>
    </cfRule>
    <cfRule type="cellIs" dxfId="24408" priority="13372" stopIfTrue="1" operator="equal">
      <formula>"Napkin Hs"</formula>
    </cfRule>
    <cfRule type="cellIs" dxfId="24407" priority="13373" stopIfTrue="1" operator="equal">
      <formula>"Towel"</formula>
    </cfRule>
    <cfRule type="cellIs" dxfId="24406" priority="13374" stopIfTrue="1" operator="equal">
      <formula>"Napkin Hs"</formula>
    </cfRule>
    <cfRule type="cellIs" dxfId="24405" priority="13377" stopIfTrue="1" operator="equal">
      <formula>"Towel"</formula>
    </cfRule>
    <cfRule type="cellIs" dxfId="24404" priority="13378" stopIfTrue="1" operator="equal">
      <formula>"Napkin Hs"</formula>
    </cfRule>
    <cfRule type="cellIs" dxfId="24403" priority="13379" stopIfTrue="1" operator="equal">
      <formula>"Towel"</formula>
    </cfRule>
    <cfRule type="cellIs" dxfId="24402" priority="13380" stopIfTrue="1" operator="equal">
      <formula>"Napkin Hs"</formula>
    </cfRule>
    <cfRule type="cellIs" dxfId="24401" priority="13383" stopIfTrue="1" operator="equal">
      <formula>"Towel"</formula>
    </cfRule>
    <cfRule type="cellIs" dxfId="24400" priority="13384" stopIfTrue="1" operator="equal">
      <formula>"Napkin Hs"</formula>
    </cfRule>
  </conditionalFormatting>
  <conditionalFormatting sqref="C61">
    <cfRule type="cellIs" dxfId="24399" priority="13385" stopIfTrue="1" operator="equal">
      <formula>"Towel"</formula>
    </cfRule>
    <cfRule type="cellIs" dxfId="24398" priority="13386" stopIfTrue="1" operator="equal">
      <formula>"Napkin Hs"</formula>
    </cfRule>
  </conditionalFormatting>
  <conditionalFormatting sqref="C61">
    <cfRule type="cellIs" dxfId="24397" priority="13389" stopIfTrue="1" operator="equal">
      <formula>"Towel"</formula>
    </cfRule>
    <cfRule type="cellIs" dxfId="24396" priority="13390" stopIfTrue="1" operator="equal">
      <formula>"Napkin Hs"</formula>
    </cfRule>
    <cfRule type="cellIs" dxfId="24395" priority="13391" stopIfTrue="1" operator="equal">
      <formula>"Towel"</formula>
    </cfRule>
    <cfRule type="cellIs" dxfId="24394" priority="13392" stopIfTrue="1" operator="equal">
      <formula>"Napkin Hs"</formula>
    </cfRule>
  </conditionalFormatting>
  <conditionalFormatting sqref="B60">
    <cfRule type="cellIs" dxfId="24393" priority="13295" stopIfTrue="1" operator="equal">
      <formula>"Towel"</formula>
    </cfRule>
    <cfRule type="cellIs" dxfId="24392" priority="13296" stopIfTrue="1" operator="equal">
      <formula>"Napkin Hs"</formula>
    </cfRule>
    <cfRule type="cellIs" dxfId="24391" priority="13297" stopIfTrue="1" operator="equal">
      <formula>"Towel"</formula>
    </cfRule>
    <cfRule type="cellIs" dxfId="24390" priority="13298" stopIfTrue="1" operator="equal">
      <formula>"Napkin Hs"</formula>
    </cfRule>
    <cfRule type="cellIs" dxfId="24389" priority="13299" stopIfTrue="1" operator="equal">
      <formula>"Towel"</formula>
    </cfRule>
    <cfRule type="cellIs" dxfId="24388" priority="13300" stopIfTrue="1" operator="equal">
      <formula>"Napkin Hs"</formula>
    </cfRule>
  </conditionalFormatting>
  <conditionalFormatting sqref="B60:C61">
    <cfRule type="cellIs" dxfId="24387" priority="13257" stopIfTrue="1" operator="equal">
      <formula>"Towel"</formula>
    </cfRule>
    <cfRule type="cellIs" dxfId="24386" priority="13258" stopIfTrue="1" operator="equal">
      <formula>"Napkin Hs"</formula>
    </cfRule>
    <cfRule type="cellIs" dxfId="24385" priority="13263" stopIfTrue="1" operator="equal">
      <formula>"Towel"</formula>
    </cfRule>
    <cfRule type="cellIs" dxfId="24384" priority="13264" stopIfTrue="1" operator="equal">
      <formula>"Napkin Hs"</formula>
    </cfRule>
    <cfRule type="cellIs" dxfId="24383" priority="13269" stopIfTrue="1" operator="equal">
      <formula>"Towel"</formula>
    </cfRule>
    <cfRule type="cellIs" dxfId="24382" priority="13270" stopIfTrue="1" operator="equal">
      <formula>"Napkin Hs"</formula>
    </cfRule>
    <cfRule type="cellIs" dxfId="24381" priority="13275" stopIfTrue="1" operator="equal">
      <formula>"Towel"</formula>
    </cfRule>
    <cfRule type="cellIs" dxfId="24380" priority="13276" stopIfTrue="1" operator="equal">
      <formula>"Napkin Hs"</formula>
    </cfRule>
    <cfRule type="cellIs" dxfId="24379" priority="13281" stopIfTrue="1" operator="equal">
      <formula>"Towel"</formula>
    </cfRule>
    <cfRule type="cellIs" dxfId="24378" priority="13282" stopIfTrue="1" operator="equal">
      <formula>"Napkin Hs"</formula>
    </cfRule>
    <cfRule type="cellIs" dxfId="24377" priority="13287" stopIfTrue="1" operator="equal">
      <formula>"Towel"</formula>
    </cfRule>
    <cfRule type="cellIs" dxfId="24376" priority="13288" stopIfTrue="1" operator="equal">
      <formula>"Napkin Hs"</formula>
    </cfRule>
    <cfRule type="cellIs" dxfId="24375" priority="13293" stopIfTrue="1" operator="equal">
      <formula>"Towel"</formula>
    </cfRule>
    <cfRule type="cellIs" dxfId="24374" priority="13294" stopIfTrue="1" operator="equal">
      <formula>"Napkin Hs"</formula>
    </cfRule>
  </conditionalFormatting>
  <conditionalFormatting sqref="C60:C61">
    <cfRule type="cellIs" dxfId="24373" priority="13253" stopIfTrue="1" operator="equal">
      <formula>"Towel"</formula>
    </cfRule>
    <cfRule type="cellIs" dxfId="24372" priority="13254" stopIfTrue="1" operator="equal">
      <formula>"Napkin Hs"</formula>
    </cfRule>
    <cfRule type="cellIs" dxfId="24371" priority="13255" stopIfTrue="1" operator="equal">
      <formula>"Towel"</formula>
    </cfRule>
    <cfRule type="cellIs" dxfId="24370" priority="13256" stopIfTrue="1" operator="equal">
      <formula>"Napkin Hs"</formula>
    </cfRule>
    <cfRule type="cellIs" dxfId="24369" priority="13259" stopIfTrue="1" operator="equal">
      <formula>"Towel"</formula>
    </cfRule>
    <cfRule type="cellIs" dxfId="24368" priority="13260" stopIfTrue="1" operator="equal">
      <formula>"Napkin Hs"</formula>
    </cfRule>
    <cfRule type="cellIs" dxfId="24367" priority="13261" stopIfTrue="1" operator="equal">
      <formula>"Towel"</formula>
    </cfRule>
    <cfRule type="cellIs" dxfId="24366" priority="13262" stopIfTrue="1" operator="equal">
      <formula>"Napkin Hs"</formula>
    </cfRule>
    <cfRule type="cellIs" dxfId="24365" priority="13265" stopIfTrue="1" operator="equal">
      <formula>"Towel"</formula>
    </cfRule>
    <cfRule type="cellIs" dxfId="24364" priority="13266" stopIfTrue="1" operator="equal">
      <formula>"Napkin Hs"</formula>
    </cfRule>
    <cfRule type="cellIs" dxfId="24363" priority="13267" stopIfTrue="1" operator="equal">
      <formula>"Towel"</formula>
    </cfRule>
    <cfRule type="cellIs" dxfId="24362" priority="13268" stopIfTrue="1" operator="equal">
      <formula>"Napkin Hs"</formula>
    </cfRule>
    <cfRule type="cellIs" dxfId="24361" priority="13271" stopIfTrue="1" operator="equal">
      <formula>"Towel"</formula>
    </cfRule>
    <cfRule type="cellIs" dxfId="24360" priority="13272" stopIfTrue="1" operator="equal">
      <formula>"Napkin Hs"</formula>
    </cfRule>
    <cfRule type="cellIs" dxfId="24359" priority="13273" stopIfTrue="1" operator="equal">
      <formula>"Towel"</formula>
    </cfRule>
    <cfRule type="cellIs" dxfId="24358" priority="13274" stopIfTrue="1" operator="equal">
      <formula>"Napkin Hs"</formula>
    </cfRule>
    <cfRule type="cellIs" dxfId="24357" priority="13277" stopIfTrue="1" operator="equal">
      <formula>"Towel"</formula>
    </cfRule>
    <cfRule type="cellIs" dxfId="24356" priority="13278" stopIfTrue="1" operator="equal">
      <formula>"Napkin Hs"</formula>
    </cfRule>
    <cfRule type="cellIs" dxfId="24355" priority="13279" stopIfTrue="1" operator="equal">
      <formula>"Towel"</formula>
    </cfRule>
    <cfRule type="cellIs" dxfId="24354" priority="13280" stopIfTrue="1" operator="equal">
      <formula>"Napkin Hs"</formula>
    </cfRule>
    <cfRule type="cellIs" dxfId="24353" priority="13283" stopIfTrue="1" operator="equal">
      <formula>"Towel"</formula>
    </cfRule>
    <cfRule type="cellIs" dxfId="24352" priority="13284" stopIfTrue="1" operator="equal">
      <formula>"Napkin Hs"</formula>
    </cfRule>
    <cfRule type="cellIs" dxfId="24351" priority="13285" stopIfTrue="1" operator="equal">
      <formula>"Towel"</formula>
    </cfRule>
    <cfRule type="cellIs" dxfId="24350" priority="13286" stopIfTrue="1" operator="equal">
      <formula>"Napkin Hs"</formula>
    </cfRule>
    <cfRule type="cellIs" dxfId="24349" priority="13289" stopIfTrue="1" operator="equal">
      <formula>"Towel"</formula>
    </cfRule>
    <cfRule type="cellIs" dxfId="24348" priority="13290" stopIfTrue="1" operator="equal">
      <formula>"Napkin Hs"</formula>
    </cfRule>
  </conditionalFormatting>
  <conditionalFormatting sqref="C60:C61">
    <cfRule type="cellIs" dxfId="24347" priority="13291" stopIfTrue="1" operator="equal">
      <formula>"Towel"</formula>
    </cfRule>
    <cfRule type="cellIs" dxfId="24346" priority="13292" stopIfTrue="1" operator="equal">
      <formula>"Napkin Hs"</formula>
    </cfRule>
  </conditionalFormatting>
  <conditionalFormatting sqref="B60:C60">
    <cfRule type="cellIs" dxfId="24345" priority="13251" stopIfTrue="1" operator="equal">
      <formula>"Towel"</formula>
    </cfRule>
    <cfRule type="cellIs" dxfId="24344" priority="13252" stopIfTrue="1" operator="equal">
      <formula>"Napkin Hs"</formula>
    </cfRule>
  </conditionalFormatting>
  <conditionalFormatting sqref="B60:C60">
    <cfRule type="cellIs" dxfId="24343" priority="13215" stopIfTrue="1" operator="equal">
      <formula>"Towel"</formula>
    </cfRule>
    <cfRule type="cellIs" dxfId="24342" priority="13216" stopIfTrue="1" operator="equal">
      <formula>"Napkin Hs"</formula>
    </cfRule>
    <cfRule type="cellIs" dxfId="24341" priority="13221" stopIfTrue="1" operator="equal">
      <formula>"Towel"</formula>
    </cfRule>
    <cfRule type="cellIs" dxfId="24340" priority="13222" stopIfTrue="1" operator="equal">
      <formula>"Napkin Hs"</formula>
    </cfRule>
    <cfRule type="cellIs" dxfId="24339" priority="13227" stopIfTrue="1" operator="equal">
      <formula>"Towel"</formula>
    </cfRule>
    <cfRule type="cellIs" dxfId="24338" priority="13228" stopIfTrue="1" operator="equal">
      <formula>"Napkin Hs"</formula>
    </cfRule>
    <cfRule type="cellIs" dxfId="24337" priority="13233" stopIfTrue="1" operator="equal">
      <formula>"Towel"</formula>
    </cfRule>
    <cfRule type="cellIs" dxfId="24336" priority="13234" stopIfTrue="1" operator="equal">
      <formula>"Napkin Hs"</formula>
    </cfRule>
    <cfRule type="cellIs" dxfId="24335" priority="13239" stopIfTrue="1" operator="equal">
      <formula>"Towel"</formula>
    </cfRule>
    <cfRule type="cellIs" dxfId="24334" priority="13240" stopIfTrue="1" operator="equal">
      <formula>"Napkin Hs"</formula>
    </cfRule>
    <cfRule type="cellIs" dxfId="24333" priority="13245" stopIfTrue="1" operator="equal">
      <formula>"Towel"</formula>
    </cfRule>
    <cfRule type="cellIs" dxfId="24332" priority="13246" stopIfTrue="1" operator="equal">
      <formula>"Napkin Hs"</formula>
    </cfRule>
  </conditionalFormatting>
  <conditionalFormatting sqref="B61:C61">
    <cfRule type="cellIs" dxfId="24331" priority="13175" stopIfTrue="1" operator="equal">
      <formula>"Towel"</formula>
    </cfRule>
    <cfRule type="cellIs" dxfId="24330" priority="13176" stopIfTrue="1" operator="equal">
      <formula>"Napkin Hs"</formula>
    </cfRule>
    <cfRule type="cellIs" dxfId="24329" priority="13181" stopIfTrue="1" operator="equal">
      <formula>"Towel"</formula>
    </cfRule>
    <cfRule type="cellIs" dxfId="24328" priority="13182" stopIfTrue="1" operator="equal">
      <formula>"Napkin Hs"</formula>
    </cfRule>
    <cfRule type="cellIs" dxfId="24327" priority="13187" stopIfTrue="1" operator="equal">
      <formula>"Towel"</formula>
    </cfRule>
    <cfRule type="cellIs" dxfId="24326" priority="13188" stopIfTrue="1" operator="equal">
      <formula>"Napkin Hs"</formula>
    </cfRule>
    <cfRule type="cellIs" dxfId="24325" priority="13193" stopIfTrue="1" operator="equal">
      <formula>"Towel"</formula>
    </cfRule>
    <cfRule type="cellIs" dxfId="24324" priority="13194" stopIfTrue="1" operator="equal">
      <formula>"Napkin Hs"</formula>
    </cfRule>
    <cfRule type="cellIs" dxfId="24323" priority="13199" stopIfTrue="1" operator="equal">
      <formula>"Towel"</formula>
    </cfRule>
    <cfRule type="cellIs" dxfId="24322" priority="13200" stopIfTrue="1" operator="equal">
      <formula>"Napkin Hs"</formula>
    </cfRule>
    <cfRule type="cellIs" dxfId="24321" priority="13205" stopIfTrue="1" operator="equal">
      <formula>"Towel"</formula>
    </cfRule>
    <cfRule type="cellIs" dxfId="24320" priority="13206" stopIfTrue="1" operator="equal">
      <formula>"Napkin Hs"</formula>
    </cfRule>
    <cfRule type="cellIs" dxfId="24319" priority="13211" stopIfTrue="1" operator="equal">
      <formula>"Towel"</formula>
    </cfRule>
    <cfRule type="cellIs" dxfId="24318" priority="13212" stopIfTrue="1" operator="equal">
      <formula>"Napkin Hs"</formula>
    </cfRule>
  </conditionalFormatting>
  <conditionalFormatting sqref="C60">
    <cfRule type="cellIs" dxfId="24317" priority="13250" stopIfTrue="1" operator="equal">
      <formula>"Napkin Hs"</formula>
    </cfRule>
  </conditionalFormatting>
  <conditionalFormatting sqref="C60">
    <cfRule type="cellIs" dxfId="24316" priority="13249" stopIfTrue="1" operator="equal">
      <formula>"Towel"</formula>
    </cfRule>
  </conditionalFormatting>
  <conditionalFormatting sqref="C60">
    <cfRule type="cellIs" dxfId="24315" priority="13243" stopIfTrue="1" operator="equal">
      <formula>"Towel"</formula>
    </cfRule>
    <cfRule type="cellIs" dxfId="24314" priority="13244" stopIfTrue="1" operator="equal">
      <formula>"Napkin Hs"</formula>
    </cfRule>
  </conditionalFormatting>
  <conditionalFormatting sqref="C60">
    <cfRule type="cellIs" dxfId="24313" priority="13241" stopIfTrue="1" operator="equal">
      <formula>"Towel"</formula>
    </cfRule>
    <cfRule type="cellIs" dxfId="24312" priority="13242" stopIfTrue="1" operator="equal">
      <formula>"Napkin Hs"</formula>
    </cfRule>
    <cfRule type="cellIs" dxfId="24311" priority="13247" stopIfTrue="1" operator="equal">
      <formula>"Towel"</formula>
    </cfRule>
    <cfRule type="cellIs" dxfId="24310" priority="13248" stopIfTrue="1" operator="equal">
      <formula>"Napkin Hs"</formula>
    </cfRule>
  </conditionalFormatting>
  <conditionalFormatting sqref="C60">
    <cfRule type="cellIs" dxfId="24309" priority="13213" stopIfTrue="1" operator="equal">
      <formula>"Towel"</formula>
    </cfRule>
    <cfRule type="cellIs" dxfId="24308" priority="13214" stopIfTrue="1" operator="equal">
      <formula>"Napkin Hs"</formula>
    </cfRule>
    <cfRule type="cellIs" dxfId="24307" priority="13217" stopIfTrue="1" operator="equal">
      <formula>"Towel"</formula>
    </cfRule>
    <cfRule type="cellIs" dxfId="24306" priority="13218" stopIfTrue="1" operator="equal">
      <formula>"Napkin Hs"</formula>
    </cfRule>
    <cfRule type="cellIs" dxfId="24305" priority="13219" stopIfTrue="1" operator="equal">
      <formula>"Towel"</formula>
    </cfRule>
    <cfRule type="cellIs" dxfId="24304" priority="13220" stopIfTrue="1" operator="equal">
      <formula>"Napkin Hs"</formula>
    </cfRule>
    <cfRule type="cellIs" dxfId="24303" priority="13223" stopIfTrue="1" operator="equal">
      <formula>"Towel"</formula>
    </cfRule>
    <cfRule type="cellIs" dxfId="24302" priority="13224" stopIfTrue="1" operator="equal">
      <formula>"Napkin Hs"</formula>
    </cfRule>
    <cfRule type="cellIs" dxfId="24301" priority="13225" stopIfTrue="1" operator="equal">
      <formula>"Towel"</formula>
    </cfRule>
    <cfRule type="cellIs" dxfId="24300" priority="13226" stopIfTrue="1" operator="equal">
      <formula>"Napkin Hs"</formula>
    </cfRule>
    <cfRule type="cellIs" dxfId="24299" priority="13229" stopIfTrue="1" operator="equal">
      <formula>"Towel"</formula>
    </cfRule>
    <cfRule type="cellIs" dxfId="24298" priority="13230" stopIfTrue="1" operator="equal">
      <formula>"Napkin Hs"</formula>
    </cfRule>
    <cfRule type="cellIs" dxfId="24297" priority="13231" stopIfTrue="1" operator="equal">
      <formula>"Towel"</formula>
    </cfRule>
    <cfRule type="cellIs" dxfId="24296" priority="13232" stopIfTrue="1" operator="equal">
      <formula>"Napkin Hs"</formula>
    </cfRule>
    <cfRule type="cellIs" dxfId="24295" priority="13235" stopIfTrue="1" operator="equal">
      <formula>"Towel"</formula>
    </cfRule>
    <cfRule type="cellIs" dxfId="24294" priority="13236" stopIfTrue="1" operator="equal">
      <formula>"Napkin Hs"</formula>
    </cfRule>
    <cfRule type="cellIs" dxfId="24293" priority="13237" stopIfTrue="1" operator="equal">
      <formula>"Towel"</formula>
    </cfRule>
    <cfRule type="cellIs" dxfId="24292" priority="13238" stopIfTrue="1" operator="equal">
      <formula>"Napkin Hs"</formula>
    </cfRule>
  </conditionalFormatting>
  <conditionalFormatting sqref="C60:C61">
    <cfRule type="cellIs" dxfId="24291" priority="13209" stopIfTrue="1" operator="equal">
      <formula>"Towel"</formula>
    </cfRule>
    <cfRule type="cellIs" dxfId="24290" priority="13210" stopIfTrue="1" operator="equal">
      <formula>"Napkin Hs"</formula>
    </cfRule>
  </conditionalFormatting>
  <conditionalFormatting sqref="C61">
    <cfRule type="cellIs" dxfId="24289" priority="13171" stopIfTrue="1" operator="equal">
      <formula>"Towel"</formula>
    </cfRule>
    <cfRule type="cellIs" dxfId="24288" priority="13172" stopIfTrue="1" operator="equal">
      <formula>"Napkin Hs"</formula>
    </cfRule>
    <cfRule type="cellIs" dxfId="24287" priority="13173" stopIfTrue="1" operator="equal">
      <formula>"Towel"</formula>
    </cfRule>
    <cfRule type="cellIs" dxfId="24286" priority="13174" stopIfTrue="1" operator="equal">
      <formula>"Napkin Hs"</formula>
    </cfRule>
    <cfRule type="cellIs" dxfId="24285" priority="13177" stopIfTrue="1" operator="equal">
      <formula>"Towel"</formula>
    </cfRule>
    <cfRule type="cellIs" dxfId="24284" priority="13178" stopIfTrue="1" operator="equal">
      <formula>"Napkin Hs"</formula>
    </cfRule>
    <cfRule type="cellIs" dxfId="24283" priority="13179" stopIfTrue="1" operator="equal">
      <formula>"Towel"</formula>
    </cfRule>
    <cfRule type="cellIs" dxfId="24282" priority="13180" stopIfTrue="1" operator="equal">
      <formula>"Napkin Hs"</formula>
    </cfRule>
    <cfRule type="cellIs" dxfId="24281" priority="13183" stopIfTrue="1" operator="equal">
      <formula>"Towel"</formula>
    </cfRule>
    <cfRule type="cellIs" dxfId="24280" priority="13184" stopIfTrue="1" operator="equal">
      <formula>"Napkin Hs"</formula>
    </cfRule>
    <cfRule type="cellIs" dxfId="24279" priority="13185" stopIfTrue="1" operator="equal">
      <formula>"Towel"</formula>
    </cfRule>
    <cfRule type="cellIs" dxfId="24278" priority="13186" stopIfTrue="1" operator="equal">
      <formula>"Napkin Hs"</formula>
    </cfRule>
    <cfRule type="cellIs" dxfId="24277" priority="13189" stopIfTrue="1" operator="equal">
      <formula>"Towel"</formula>
    </cfRule>
    <cfRule type="cellIs" dxfId="24276" priority="13190" stopIfTrue="1" operator="equal">
      <formula>"Napkin Hs"</formula>
    </cfRule>
    <cfRule type="cellIs" dxfId="24275" priority="13191" stopIfTrue="1" operator="equal">
      <formula>"Towel"</formula>
    </cfRule>
    <cfRule type="cellIs" dxfId="24274" priority="13192" stopIfTrue="1" operator="equal">
      <formula>"Napkin Hs"</formula>
    </cfRule>
    <cfRule type="cellIs" dxfId="24273" priority="13195" stopIfTrue="1" operator="equal">
      <formula>"Towel"</formula>
    </cfRule>
    <cfRule type="cellIs" dxfId="24272" priority="13196" stopIfTrue="1" operator="equal">
      <formula>"Napkin Hs"</formula>
    </cfRule>
    <cfRule type="cellIs" dxfId="24271" priority="13197" stopIfTrue="1" operator="equal">
      <formula>"Towel"</formula>
    </cfRule>
    <cfRule type="cellIs" dxfId="24270" priority="13198" stopIfTrue="1" operator="equal">
      <formula>"Napkin Hs"</formula>
    </cfRule>
    <cfRule type="cellIs" dxfId="24269" priority="13201" stopIfTrue="1" operator="equal">
      <formula>"Towel"</formula>
    </cfRule>
    <cfRule type="cellIs" dxfId="24268" priority="13202" stopIfTrue="1" operator="equal">
      <formula>"Napkin Hs"</formula>
    </cfRule>
    <cfRule type="cellIs" dxfId="24267" priority="13203" stopIfTrue="1" operator="equal">
      <formula>"Towel"</formula>
    </cfRule>
    <cfRule type="cellIs" dxfId="24266" priority="13204" stopIfTrue="1" operator="equal">
      <formula>"Napkin Hs"</formula>
    </cfRule>
    <cfRule type="cellIs" dxfId="24265" priority="13207" stopIfTrue="1" operator="equal">
      <formula>"Towel"</formula>
    </cfRule>
    <cfRule type="cellIs" dxfId="24264" priority="13208" stopIfTrue="1" operator="equal">
      <formula>"Napkin Hs"</formula>
    </cfRule>
  </conditionalFormatting>
  <conditionalFormatting sqref="C60">
    <cfRule type="cellIs" dxfId="24263" priority="13139" stopIfTrue="1" operator="equal">
      <formula>"Towel"</formula>
    </cfRule>
    <cfRule type="cellIs" dxfId="24262" priority="13140" stopIfTrue="1" operator="equal">
      <formula>"Napkin Hs"</formula>
    </cfRule>
    <cfRule type="cellIs" dxfId="24261" priority="13153" stopIfTrue="1" operator="equal">
      <formula>"Towel"</formula>
    </cfRule>
    <cfRule type="cellIs" dxfId="24260" priority="13154" stopIfTrue="1" operator="equal">
      <formula>"Napkin Hs"</formula>
    </cfRule>
    <cfRule type="cellIs" dxfId="24259" priority="13159" stopIfTrue="1" operator="equal">
      <formula>"Towel"</formula>
    </cfRule>
    <cfRule type="cellIs" dxfId="24258" priority="13160" stopIfTrue="1" operator="equal">
      <formula>"Napkin Hs"</formula>
    </cfRule>
    <cfRule type="cellIs" dxfId="24257" priority="13169" stopIfTrue="1" operator="equal">
      <formula>"Towel"</formula>
    </cfRule>
    <cfRule type="cellIs" dxfId="24256" priority="13170" stopIfTrue="1" operator="equal">
      <formula>"Napkin Hs"</formula>
    </cfRule>
  </conditionalFormatting>
  <conditionalFormatting sqref="B61:C61">
    <cfRule type="cellIs" dxfId="24255" priority="13143" stopIfTrue="1" operator="equal">
      <formula>"Towel"</formula>
    </cfRule>
    <cfRule type="cellIs" dxfId="24254" priority="13144" stopIfTrue="1" operator="equal">
      <formula>"Napkin Hs"</formula>
    </cfRule>
    <cfRule type="cellIs" dxfId="24253" priority="13149" stopIfTrue="1" operator="equal">
      <formula>"Towel"</formula>
    </cfRule>
    <cfRule type="cellIs" dxfId="24252" priority="13150" stopIfTrue="1" operator="equal">
      <formula>"Napkin Hs"</formula>
    </cfRule>
    <cfRule type="cellIs" dxfId="24251" priority="13165" stopIfTrue="1" operator="equal">
      <formula>"Towel"</formula>
    </cfRule>
    <cfRule type="cellIs" dxfId="24250" priority="13166" stopIfTrue="1" operator="equal">
      <formula>"Napkin Hs"</formula>
    </cfRule>
  </conditionalFormatting>
  <conditionalFormatting sqref="C60">
    <cfRule type="cellIs" dxfId="24249" priority="13157" stopIfTrue="1" operator="equal">
      <formula>"Towel"</formula>
    </cfRule>
    <cfRule type="cellIs" dxfId="24248" priority="13158" stopIfTrue="1" operator="equal">
      <formula>"Napkin Hs"</formula>
    </cfRule>
    <cfRule type="cellIs" dxfId="24247" priority="13167" stopIfTrue="1" operator="equal">
      <formula>"Towel"</formula>
    </cfRule>
    <cfRule type="cellIs" dxfId="24246" priority="13168" stopIfTrue="1" operator="equal">
      <formula>"Napkin Hs"</formula>
    </cfRule>
  </conditionalFormatting>
  <conditionalFormatting sqref="C60">
    <cfRule type="cellIs" dxfId="24245" priority="13135" stopIfTrue="1" operator="equal">
      <formula>"Towel"</formula>
    </cfRule>
    <cfRule type="cellIs" dxfId="24244" priority="13136" stopIfTrue="1" operator="equal">
      <formula>"Napkin Hs"</formula>
    </cfRule>
    <cfRule type="cellIs" dxfId="24243" priority="13151" stopIfTrue="1" operator="equal">
      <formula>"Towel"</formula>
    </cfRule>
    <cfRule type="cellIs" dxfId="24242" priority="13152" stopIfTrue="1" operator="equal">
      <formula>"Napkin Hs"</formula>
    </cfRule>
    <cfRule type="cellIs" dxfId="24241" priority="13155" stopIfTrue="1" operator="equal">
      <formula>"Towel"</formula>
    </cfRule>
    <cfRule type="cellIs" dxfId="24240" priority="13156" stopIfTrue="1" operator="equal">
      <formula>"Napkin Hs"</formula>
    </cfRule>
  </conditionalFormatting>
  <conditionalFormatting sqref="C60:C61">
    <cfRule type="cellIs" dxfId="24239" priority="13137" stopIfTrue="1" operator="equal">
      <formula>"Towel"</formula>
    </cfRule>
    <cfRule type="cellIs" dxfId="24238" priority="13138" stopIfTrue="1" operator="equal">
      <formula>"Napkin Hs"</formula>
    </cfRule>
    <cfRule type="cellIs" dxfId="24237" priority="13147" stopIfTrue="1" operator="equal">
      <formula>"Towel"</formula>
    </cfRule>
    <cfRule type="cellIs" dxfId="24236" priority="13148" stopIfTrue="1" operator="equal">
      <formula>"Napkin Hs"</formula>
    </cfRule>
    <cfRule type="cellIs" dxfId="24235" priority="13163" stopIfTrue="1" operator="equal">
      <formula>"Towel"</formula>
    </cfRule>
    <cfRule type="cellIs" dxfId="24234" priority="13164" stopIfTrue="1" operator="equal">
      <formula>"Napkin Hs"</formula>
    </cfRule>
  </conditionalFormatting>
  <conditionalFormatting sqref="C61">
    <cfRule type="cellIs" dxfId="24233" priority="13141" stopIfTrue="1" operator="equal">
      <formula>"Towel"</formula>
    </cfRule>
    <cfRule type="cellIs" dxfId="24232" priority="13142" stopIfTrue="1" operator="equal">
      <formula>"Napkin Hs"</formula>
    </cfRule>
    <cfRule type="cellIs" dxfId="24231" priority="13161" stopIfTrue="1" operator="equal">
      <formula>"Towel"</formula>
    </cfRule>
    <cfRule type="cellIs" dxfId="24230" priority="13162" stopIfTrue="1" operator="equal">
      <formula>"Napkin Hs"</formula>
    </cfRule>
  </conditionalFormatting>
  <conditionalFormatting sqref="C61">
    <cfRule type="cellIs" dxfId="24229" priority="13145" stopIfTrue="1" operator="equal">
      <formula>"Towel"</formula>
    </cfRule>
    <cfRule type="cellIs" dxfId="24228" priority="13146" stopIfTrue="1" operator="equal">
      <formula>"Napkin Hs"</formula>
    </cfRule>
  </conditionalFormatting>
  <conditionalFormatting sqref="B61:C61">
    <cfRule type="cellIs" dxfId="24227" priority="13133" stopIfTrue="1" operator="equal">
      <formula>"Towel"</formula>
    </cfRule>
    <cfRule type="cellIs" dxfId="24226" priority="13134" stopIfTrue="1" operator="equal">
      <formula>"Napkin Hs"</formula>
    </cfRule>
  </conditionalFormatting>
  <conditionalFormatting sqref="B61:C61">
    <cfRule type="cellIs" dxfId="24225" priority="13127" stopIfTrue="1" operator="equal">
      <formula>"Towel"</formula>
    </cfRule>
    <cfRule type="cellIs" dxfId="24224" priority="13128" stopIfTrue="1" operator="equal">
      <formula>"Napkin Hs"</formula>
    </cfRule>
  </conditionalFormatting>
  <conditionalFormatting sqref="C61">
    <cfRule type="cellIs" dxfId="24223" priority="13132" stopIfTrue="1" operator="equal">
      <formula>"Napkin Hs"</formula>
    </cfRule>
  </conditionalFormatting>
  <conditionalFormatting sqref="C61">
    <cfRule type="cellIs" dxfId="24222" priority="13129" stopIfTrue="1" operator="equal">
      <formula>"Towel"</formula>
    </cfRule>
    <cfRule type="cellIs" dxfId="24221" priority="13130" stopIfTrue="1" operator="equal">
      <formula>"Napkin Hs"</formula>
    </cfRule>
  </conditionalFormatting>
  <conditionalFormatting sqref="C61">
    <cfRule type="cellIs" dxfId="24220" priority="13123" stopIfTrue="1" operator="equal">
      <formula>"Towel"</formula>
    </cfRule>
    <cfRule type="cellIs" dxfId="24219" priority="13124" stopIfTrue="1" operator="equal">
      <formula>"Napkin Hs"</formula>
    </cfRule>
  </conditionalFormatting>
  <conditionalFormatting sqref="C61">
    <cfRule type="cellIs" dxfId="24218" priority="13125" stopIfTrue="1" operator="equal">
      <formula>"Towel"</formula>
    </cfRule>
    <cfRule type="cellIs" dxfId="24217" priority="13126" stopIfTrue="1" operator="equal">
      <formula>"Napkin Hs"</formula>
    </cfRule>
  </conditionalFormatting>
  <conditionalFormatting sqref="C61">
    <cfRule type="cellIs" dxfId="24216" priority="13131" stopIfTrue="1" operator="equal">
      <formula>"Towel"</formula>
    </cfRule>
  </conditionalFormatting>
  <conditionalFormatting sqref="B61:C61">
    <cfRule type="cellIs" dxfId="24215" priority="13121" stopIfTrue="1" operator="equal">
      <formula>"Towel"</formula>
    </cfRule>
    <cfRule type="cellIs" dxfId="24214" priority="13122" stopIfTrue="1" operator="equal">
      <formula>"Napkin Hs"</formula>
    </cfRule>
  </conditionalFormatting>
  <conditionalFormatting sqref="C61">
    <cfRule type="cellIs" dxfId="24213" priority="13117" stopIfTrue="1" operator="equal">
      <formula>"Towel"</formula>
    </cfRule>
    <cfRule type="cellIs" dxfId="24212" priority="13118" stopIfTrue="1" operator="equal">
      <formula>"Napkin Hs"</formula>
    </cfRule>
  </conditionalFormatting>
  <conditionalFormatting sqref="C61">
    <cfRule type="cellIs" dxfId="24211" priority="13119" stopIfTrue="1" operator="equal">
      <formula>"Towel"</formula>
    </cfRule>
    <cfRule type="cellIs" dxfId="24210" priority="13120" stopIfTrue="1" operator="equal">
      <formula>"Napkin Hs"</formula>
    </cfRule>
  </conditionalFormatting>
  <conditionalFormatting sqref="B61:C61">
    <cfRule type="cellIs" dxfId="24209" priority="13113" stopIfTrue="1" operator="equal">
      <formula>"Towel"</formula>
    </cfRule>
    <cfRule type="cellIs" dxfId="24208" priority="13114" stopIfTrue="1" operator="equal">
      <formula>"Napkin Hs"</formula>
    </cfRule>
  </conditionalFormatting>
  <conditionalFormatting sqref="C61">
    <cfRule type="cellIs" dxfId="24207" priority="13115" stopIfTrue="1" operator="equal">
      <formula>"Towel"</formula>
    </cfRule>
    <cfRule type="cellIs" dxfId="24206" priority="13116" stopIfTrue="1" operator="equal">
      <formula>"Napkin Hs"</formula>
    </cfRule>
  </conditionalFormatting>
  <conditionalFormatting sqref="C61">
    <cfRule type="cellIs" dxfId="24205" priority="13109" stopIfTrue="1" operator="equal">
      <formula>"Towel"</formula>
    </cfRule>
    <cfRule type="cellIs" dxfId="24204" priority="13110" stopIfTrue="1" operator="equal">
      <formula>"Napkin Hs"</formula>
    </cfRule>
  </conditionalFormatting>
  <conditionalFormatting sqref="C61">
    <cfRule type="cellIs" dxfId="24203" priority="13111" stopIfTrue="1" operator="equal">
      <formula>"Towel"</formula>
    </cfRule>
    <cfRule type="cellIs" dxfId="24202" priority="13112" stopIfTrue="1" operator="equal">
      <formula>"Napkin Hs"</formula>
    </cfRule>
  </conditionalFormatting>
  <conditionalFormatting sqref="B61:C61">
    <cfRule type="cellIs" dxfId="24201" priority="13107" stopIfTrue="1" operator="equal">
      <formula>"Towel"</formula>
    </cfRule>
    <cfRule type="cellIs" dxfId="24200" priority="13108" stopIfTrue="1" operator="equal">
      <formula>"Napkin Hs"</formula>
    </cfRule>
  </conditionalFormatting>
  <conditionalFormatting sqref="C61">
    <cfRule type="cellIs" dxfId="24199" priority="13106" stopIfTrue="1" operator="equal">
      <formula>"Napkin Hs"</formula>
    </cfRule>
  </conditionalFormatting>
  <conditionalFormatting sqref="C61">
    <cfRule type="cellIs" dxfId="24198" priority="13105" stopIfTrue="1" operator="equal">
      <formula>"Towel"</formula>
    </cfRule>
  </conditionalFormatting>
  <conditionalFormatting sqref="C60">
    <cfRule type="cellIs" dxfId="24197" priority="13103" stopIfTrue="1" operator="equal">
      <formula>"Towel"</formula>
    </cfRule>
    <cfRule type="cellIs" dxfId="24196" priority="13104" stopIfTrue="1" operator="equal">
      <formula>"Napkin Hs"</formula>
    </cfRule>
  </conditionalFormatting>
  <conditionalFormatting sqref="C60">
    <cfRule type="cellIs" dxfId="24195" priority="13099" stopIfTrue="1" operator="equal">
      <formula>"Towel"</formula>
    </cfRule>
    <cfRule type="cellIs" dxfId="24194" priority="13100" stopIfTrue="1" operator="equal">
      <formula>"Napkin Hs"</formula>
    </cfRule>
  </conditionalFormatting>
  <conditionalFormatting sqref="C60">
    <cfRule type="cellIs" dxfId="24193" priority="13101" stopIfTrue="1" operator="equal">
      <formula>"Towel"</formula>
    </cfRule>
    <cfRule type="cellIs" dxfId="24192" priority="13102" stopIfTrue="1" operator="equal">
      <formula>"Napkin Hs"</formula>
    </cfRule>
  </conditionalFormatting>
  <conditionalFormatting sqref="C60">
    <cfRule type="cellIs" dxfId="24191" priority="13097" stopIfTrue="1" operator="equal">
      <formula>"Towel"</formula>
    </cfRule>
    <cfRule type="cellIs" dxfId="24190" priority="13098" stopIfTrue="1" operator="equal">
      <formula>"Napkin Hs"</formula>
    </cfRule>
  </conditionalFormatting>
  <conditionalFormatting sqref="C60">
    <cfRule type="cellIs" dxfId="24189" priority="13093" stopIfTrue="1" operator="equal">
      <formula>"Towel"</formula>
    </cfRule>
    <cfRule type="cellIs" dxfId="24188" priority="13094" stopIfTrue="1" operator="equal">
      <formula>"Napkin Hs"</formula>
    </cfRule>
  </conditionalFormatting>
  <conditionalFormatting sqref="C60">
    <cfRule type="cellIs" dxfId="24187" priority="13095" stopIfTrue="1" operator="equal">
      <formula>"Towel"</formula>
    </cfRule>
    <cfRule type="cellIs" dxfId="24186" priority="13096" stopIfTrue="1" operator="equal">
      <formula>"Napkin Hs"</formula>
    </cfRule>
  </conditionalFormatting>
  <conditionalFormatting sqref="C60">
    <cfRule type="cellIs" dxfId="24185" priority="13091" stopIfTrue="1" operator="equal">
      <formula>"Towel"</formula>
    </cfRule>
    <cfRule type="cellIs" dxfId="24184" priority="13092" stopIfTrue="1" operator="equal">
      <formula>"Napkin Hs"</formula>
    </cfRule>
  </conditionalFormatting>
  <conditionalFormatting sqref="C60">
    <cfRule type="cellIs" dxfId="24183" priority="13087" stopIfTrue="1" operator="equal">
      <formula>"Towel"</formula>
    </cfRule>
    <cfRule type="cellIs" dxfId="24182" priority="13088" stopIfTrue="1" operator="equal">
      <formula>"Napkin Hs"</formula>
    </cfRule>
  </conditionalFormatting>
  <conditionalFormatting sqref="C60">
    <cfRule type="cellIs" dxfId="24181" priority="13089" stopIfTrue="1" operator="equal">
      <formula>"Towel"</formula>
    </cfRule>
    <cfRule type="cellIs" dxfId="24180" priority="13090" stopIfTrue="1" operator="equal">
      <formula>"Napkin Hs"</formula>
    </cfRule>
  </conditionalFormatting>
  <conditionalFormatting sqref="C60">
    <cfRule type="cellIs" dxfId="24179" priority="13085" stopIfTrue="1" operator="equal">
      <formula>"Towel"</formula>
    </cfRule>
    <cfRule type="cellIs" dxfId="24178" priority="13086" stopIfTrue="1" operator="equal">
      <formula>"Napkin Hs"</formula>
    </cfRule>
  </conditionalFormatting>
  <conditionalFormatting sqref="C60">
    <cfRule type="cellIs" dxfId="24177" priority="13083" stopIfTrue="1" operator="equal">
      <formula>"Towel"</formula>
    </cfRule>
    <cfRule type="cellIs" dxfId="24176" priority="13084" stopIfTrue="1" operator="equal">
      <formula>"Napkin Hs"</formula>
    </cfRule>
  </conditionalFormatting>
  <conditionalFormatting sqref="C60">
    <cfRule type="cellIs" dxfId="24175" priority="13081" stopIfTrue="1" operator="equal">
      <formula>"Towel"</formula>
    </cfRule>
    <cfRule type="cellIs" dxfId="24174" priority="13082" stopIfTrue="1" operator="equal">
      <formula>"Napkin Hs"</formula>
    </cfRule>
  </conditionalFormatting>
  <conditionalFormatting sqref="C60">
    <cfRule type="cellIs" dxfId="24173" priority="13079" stopIfTrue="1" operator="equal">
      <formula>"Towel"</formula>
    </cfRule>
    <cfRule type="cellIs" dxfId="24172" priority="13080" stopIfTrue="1" operator="equal">
      <formula>"Napkin Hs"</formula>
    </cfRule>
  </conditionalFormatting>
  <conditionalFormatting sqref="C60">
    <cfRule type="cellIs" dxfId="24171" priority="13078" stopIfTrue="1" operator="equal">
      <formula>"Napkin Hs"</formula>
    </cfRule>
  </conditionalFormatting>
  <conditionalFormatting sqref="C60">
    <cfRule type="cellIs" dxfId="24170" priority="13075" stopIfTrue="1" operator="equal">
      <formula>"Towel"</formula>
    </cfRule>
    <cfRule type="cellIs" dxfId="24169" priority="13076" stopIfTrue="1" operator="equal">
      <formula>"Napkin Hs"</formula>
    </cfRule>
  </conditionalFormatting>
  <conditionalFormatting sqref="C60">
    <cfRule type="cellIs" dxfId="24168" priority="13077" stopIfTrue="1" operator="equal">
      <formula>"Towel"</formula>
    </cfRule>
  </conditionalFormatting>
  <conditionalFormatting sqref="B60">
    <cfRule type="cellIs" dxfId="24167" priority="13073" stopIfTrue="1" operator="equal">
      <formula>"Towel"</formula>
    </cfRule>
    <cfRule type="cellIs" dxfId="24166" priority="13074" stopIfTrue="1" operator="equal">
      <formula>"Napkin Hs"</formula>
    </cfRule>
  </conditionalFormatting>
  <conditionalFormatting sqref="B60">
    <cfRule type="cellIs" dxfId="24165" priority="13071" stopIfTrue="1" operator="equal">
      <formula>"Towel"</formula>
    </cfRule>
    <cfRule type="cellIs" dxfId="24164" priority="13072" stopIfTrue="1" operator="equal">
      <formula>"Napkin Hs"</formula>
    </cfRule>
  </conditionalFormatting>
  <conditionalFormatting sqref="B60">
    <cfRule type="cellIs" dxfId="24163" priority="13069" stopIfTrue="1" operator="equal">
      <formula>"Towel"</formula>
    </cfRule>
    <cfRule type="cellIs" dxfId="24162" priority="13070" stopIfTrue="1" operator="equal">
      <formula>"Napkin Hs"</formula>
    </cfRule>
  </conditionalFormatting>
  <conditionalFormatting sqref="B60">
    <cfRule type="cellIs" dxfId="24161" priority="13067" stopIfTrue="1" operator="equal">
      <formula>"Towel"</formula>
    </cfRule>
    <cfRule type="cellIs" dxfId="24160" priority="13068" stopIfTrue="1" operator="equal">
      <formula>"Napkin Hs"</formula>
    </cfRule>
  </conditionalFormatting>
  <conditionalFormatting sqref="B60">
    <cfRule type="cellIs" dxfId="24159" priority="13065" stopIfTrue="1" operator="equal">
      <formula>"Towel"</formula>
    </cfRule>
    <cfRule type="cellIs" dxfId="24158" priority="13066" stopIfTrue="1" operator="equal">
      <formula>"Napkin Hs"</formula>
    </cfRule>
  </conditionalFormatting>
  <conditionalFormatting sqref="B60">
    <cfRule type="cellIs" dxfId="24157" priority="13063" stopIfTrue="1" operator="equal">
      <formula>"Towel"</formula>
    </cfRule>
    <cfRule type="cellIs" dxfId="24156" priority="13064" stopIfTrue="1" operator="equal">
      <formula>"Napkin Hs"</formula>
    </cfRule>
  </conditionalFormatting>
  <conditionalFormatting sqref="B60">
    <cfRule type="cellIs" dxfId="24155" priority="13059" stopIfTrue="1" operator="equal">
      <formula>"Towel"</formula>
    </cfRule>
    <cfRule type="cellIs" dxfId="24154" priority="13060" stopIfTrue="1" operator="equal">
      <formula>"Napkin Hs"</formula>
    </cfRule>
    <cfRule type="cellIs" dxfId="24153" priority="13061" stopIfTrue="1" operator="equal">
      <formula>"Towel"</formula>
    </cfRule>
    <cfRule type="cellIs" dxfId="24152" priority="13062" stopIfTrue="1" operator="equal">
      <formula>"Napkin Hs"</formula>
    </cfRule>
  </conditionalFormatting>
  <conditionalFormatting sqref="B60">
    <cfRule type="cellIs" dxfId="24151" priority="13057" stopIfTrue="1" operator="equal">
      <formula>"Towel"</formula>
    </cfRule>
    <cfRule type="cellIs" dxfId="24150" priority="13058" stopIfTrue="1" operator="equal">
      <formula>"Napkin Hs"</formula>
    </cfRule>
  </conditionalFormatting>
  <conditionalFormatting sqref="B60">
    <cfRule type="cellIs" dxfId="24149" priority="13055" stopIfTrue="1" operator="equal">
      <formula>"Towel"</formula>
    </cfRule>
    <cfRule type="cellIs" dxfId="24148" priority="13056" stopIfTrue="1" operator="equal">
      <formula>"Napkin Hs"</formula>
    </cfRule>
  </conditionalFormatting>
  <conditionalFormatting sqref="B60">
    <cfRule type="cellIs" dxfId="24147" priority="13053" stopIfTrue="1" operator="equal">
      <formula>"Towel"</formula>
    </cfRule>
    <cfRule type="cellIs" dxfId="24146" priority="13054" stopIfTrue="1" operator="equal">
      <formula>"Napkin Hs"</formula>
    </cfRule>
  </conditionalFormatting>
  <conditionalFormatting sqref="B60">
    <cfRule type="cellIs" dxfId="24145" priority="13051" stopIfTrue="1" operator="equal">
      <formula>"Towel"</formula>
    </cfRule>
    <cfRule type="cellIs" dxfId="24144" priority="13052" stopIfTrue="1" operator="equal">
      <formula>"Napkin Hs"</formula>
    </cfRule>
  </conditionalFormatting>
  <conditionalFormatting sqref="B60">
    <cfRule type="cellIs" dxfId="24143" priority="13049" stopIfTrue="1" operator="equal">
      <formula>"Towel"</formula>
    </cfRule>
    <cfRule type="cellIs" dxfId="24142" priority="13050" stopIfTrue="1" operator="equal">
      <formula>"Napkin Hs"</formula>
    </cfRule>
  </conditionalFormatting>
  <conditionalFormatting sqref="B60:C60">
    <cfRule type="cellIs" dxfId="24141" priority="13035" stopIfTrue="1" operator="equal">
      <formula>"Towel"</formula>
    </cfRule>
    <cfRule type="cellIs" dxfId="24140" priority="13036" stopIfTrue="1" operator="equal">
      <formula>"Napkin Hs"</formula>
    </cfRule>
    <cfRule type="cellIs" dxfId="24139" priority="13041" stopIfTrue="1" operator="equal">
      <formula>"Towel"</formula>
    </cfRule>
    <cfRule type="cellIs" dxfId="24138" priority="13042" stopIfTrue="1" operator="equal">
      <formula>"Napkin Hs"</formula>
    </cfRule>
    <cfRule type="cellIs" dxfId="24137" priority="13047" stopIfTrue="1" operator="equal">
      <formula>"Towel"</formula>
    </cfRule>
    <cfRule type="cellIs" dxfId="24136" priority="13048" stopIfTrue="1" operator="equal">
      <formula>"Napkin Hs"</formula>
    </cfRule>
  </conditionalFormatting>
  <conditionalFormatting sqref="C60">
    <cfRule type="cellIs" dxfId="24135" priority="13029" stopIfTrue="1" operator="equal">
      <formula>"Towel"</formula>
    </cfRule>
    <cfRule type="cellIs" dxfId="24134" priority="13030" stopIfTrue="1" operator="equal">
      <formula>"Napkin Hs"</formula>
    </cfRule>
    <cfRule type="cellIs" dxfId="24133" priority="13031" stopIfTrue="1" operator="equal">
      <formula>"Towel"</formula>
    </cfRule>
    <cfRule type="cellIs" dxfId="24132" priority="13032" stopIfTrue="1" operator="equal">
      <formula>"Napkin Hs"</formula>
    </cfRule>
    <cfRule type="cellIs" dxfId="24131" priority="13039" stopIfTrue="1" operator="equal">
      <formula>"Towel"</formula>
    </cfRule>
    <cfRule type="cellIs" dxfId="24130" priority="13040" stopIfTrue="1" operator="equal">
      <formula>"Napkin Hs"</formula>
    </cfRule>
    <cfRule type="cellIs" dxfId="24129" priority="13043" stopIfTrue="1" operator="equal">
      <formula>"Towel"</formula>
    </cfRule>
    <cfRule type="cellIs" dxfId="24128" priority="13044" stopIfTrue="1" operator="equal">
      <formula>"Napkin Hs"</formula>
    </cfRule>
  </conditionalFormatting>
  <conditionalFormatting sqref="C60">
    <cfRule type="cellIs" dxfId="24127" priority="13033" stopIfTrue="1" operator="equal">
      <formula>"Towel"</formula>
    </cfRule>
    <cfRule type="cellIs" dxfId="24126" priority="13034" stopIfTrue="1" operator="equal">
      <formula>"Napkin Hs"</formula>
    </cfRule>
    <cfRule type="cellIs" dxfId="24125" priority="13037" stopIfTrue="1" operator="equal">
      <formula>"Towel"</formula>
    </cfRule>
    <cfRule type="cellIs" dxfId="24124" priority="13038" stopIfTrue="1" operator="equal">
      <formula>"Napkin Hs"</formula>
    </cfRule>
    <cfRule type="cellIs" dxfId="24123" priority="13045" stopIfTrue="1" operator="equal">
      <formula>"Towel"</formula>
    </cfRule>
    <cfRule type="cellIs" dxfId="24122" priority="13046" stopIfTrue="1" operator="equal">
      <formula>"Napkin Hs"</formula>
    </cfRule>
  </conditionalFormatting>
  <conditionalFormatting sqref="B60:C60">
    <cfRule type="cellIs" dxfId="24121" priority="13027" stopIfTrue="1" operator="equal">
      <formula>"Towel"</formula>
    </cfRule>
    <cfRule type="cellIs" dxfId="24120" priority="13028" stopIfTrue="1" operator="equal">
      <formula>"Napkin Hs"</formula>
    </cfRule>
  </conditionalFormatting>
  <conditionalFormatting sqref="B60:C60">
    <cfRule type="cellIs" dxfId="24119" priority="13019" stopIfTrue="1" operator="equal">
      <formula>"Towel"</formula>
    </cfRule>
    <cfRule type="cellIs" dxfId="24118" priority="13020" stopIfTrue="1" operator="equal">
      <formula>"Napkin Hs"</formula>
    </cfRule>
    <cfRule type="cellIs" dxfId="24117" priority="13025" stopIfTrue="1" operator="equal">
      <formula>"Towel"</formula>
    </cfRule>
    <cfRule type="cellIs" dxfId="24116" priority="13026" stopIfTrue="1" operator="equal">
      <formula>"Napkin Hs"</formula>
    </cfRule>
  </conditionalFormatting>
  <conditionalFormatting sqref="C60">
    <cfRule type="cellIs" dxfId="24115" priority="13015" stopIfTrue="1" operator="equal">
      <formula>"Towel"</formula>
    </cfRule>
    <cfRule type="cellIs" dxfId="24114" priority="13016" stopIfTrue="1" operator="equal">
      <formula>"Napkin Hs"</formula>
    </cfRule>
  </conditionalFormatting>
  <conditionalFormatting sqref="C60">
    <cfRule type="cellIs" dxfId="24113" priority="13013" stopIfTrue="1" operator="equal">
      <formula>"Towel"</formula>
    </cfRule>
    <cfRule type="cellIs" dxfId="24112" priority="13014" stopIfTrue="1" operator="equal">
      <formula>"Napkin Hs"</formula>
    </cfRule>
    <cfRule type="cellIs" dxfId="24111" priority="13023" stopIfTrue="1" operator="equal">
      <formula>"Towel"</formula>
    </cfRule>
    <cfRule type="cellIs" dxfId="24110" priority="13024" stopIfTrue="1" operator="equal">
      <formula>"Napkin Hs"</formula>
    </cfRule>
  </conditionalFormatting>
  <conditionalFormatting sqref="C60">
    <cfRule type="cellIs" dxfId="24109" priority="13017" stopIfTrue="1" operator="equal">
      <formula>"Towel"</formula>
    </cfRule>
    <cfRule type="cellIs" dxfId="24108" priority="13018" stopIfTrue="1" operator="equal">
      <formula>"Napkin Hs"</formula>
    </cfRule>
    <cfRule type="cellIs" dxfId="24107" priority="13021" stopIfTrue="1" operator="equal">
      <formula>"Towel"</formula>
    </cfRule>
    <cfRule type="cellIs" dxfId="24106" priority="13022" stopIfTrue="1" operator="equal">
      <formula>"Napkin Hs"</formula>
    </cfRule>
  </conditionalFormatting>
  <conditionalFormatting sqref="C60">
    <cfRule type="cellIs" dxfId="24105" priority="13012" stopIfTrue="1" operator="equal">
      <formula>"Napkin Hs"</formula>
    </cfRule>
  </conditionalFormatting>
  <conditionalFormatting sqref="C60">
    <cfRule type="cellIs" dxfId="24104" priority="13011" stopIfTrue="1" operator="equal">
      <formula>"Towel"</formula>
    </cfRule>
  </conditionalFormatting>
  <conditionalFormatting sqref="C60">
    <cfRule type="cellIs" dxfId="24103" priority="13007" stopIfTrue="1" operator="equal">
      <formula>"Towel"</formula>
    </cfRule>
    <cfRule type="cellIs" dxfId="24102" priority="13008" stopIfTrue="1" operator="equal">
      <formula>"Napkin Hs"</formula>
    </cfRule>
    <cfRule type="cellIs" dxfId="24101" priority="13009" stopIfTrue="1" operator="equal">
      <formula>"Towel"</formula>
    </cfRule>
    <cfRule type="cellIs" dxfId="24100" priority="13010" stopIfTrue="1" operator="equal">
      <formula>"Napkin Hs"</formula>
    </cfRule>
  </conditionalFormatting>
  <conditionalFormatting sqref="B60:C60">
    <cfRule type="cellIs" dxfId="24099" priority="13005" stopIfTrue="1" operator="equal">
      <formula>"Towel"</formula>
    </cfRule>
    <cfRule type="cellIs" dxfId="24098" priority="13006" stopIfTrue="1" operator="equal">
      <formula>"Napkin Hs"</formula>
    </cfRule>
  </conditionalFormatting>
  <conditionalFormatting sqref="C60">
    <cfRule type="cellIs" dxfId="24097" priority="13001" stopIfTrue="1" operator="equal">
      <formula>"Towel"</formula>
    </cfRule>
    <cfRule type="cellIs" dxfId="24096" priority="13002" stopIfTrue="1" operator="equal">
      <formula>"Napkin Hs"</formula>
    </cfRule>
  </conditionalFormatting>
  <conditionalFormatting sqref="C60">
    <cfRule type="cellIs" dxfId="24095" priority="13003" stopIfTrue="1" operator="equal">
      <formula>"Towel"</formula>
    </cfRule>
    <cfRule type="cellIs" dxfId="24094" priority="13004" stopIfTrue="1" operator="equal">
      <formula>"Napkin Hs"</formula>
    </cfRule>
  </conditionalFormatting>
  <conditionalFormatting sqref="B60:C60">
    <cfRule type="cellIs" dxfId="24093" priority="12999" stopIfTrue="1" operator="equal">
      <formula>"Towel"</formula>
    </cfRule>
    <cfRule type="cellIs" dxfId="24092" priority="13000" stopIfTrue="1" operator="equal">
      <formula>"Napkin Hs"</formula>
    </cfRule>
  </conditionalFormatting>
  <conditionalFormatting sqref="C60">
    <cfRule type="cellIs" dxfId="24091" priority="12995" stopIfTrue="1" operator="equal">
      <formula>"Towel"</formula>
    </cfRule>
    <cfRule type="cellIs" dxfId="24090" priority="12996" stopIfTrue="1" operator="equal">
      <formula>"Napkin Hs"</formula>
    </cfRule>
  </conditionalFormatting>
  <conditionalFormatting sqref="C60">
    <cfRule type="cellIs" dxfId="24089" priority="12997" stopIfTrue="1" operator="equal">
      <formula>"Towel"</formula>
    </cfRule>
    <cfRule type="cellIs" dxfId="24088" priority="12998" stopIfTrue="1" operator="equal">
      <formula>"Napkin Hs"</formula>
    </cfRule>
  </conditionalFormatting>
  <conditionalFormatting sqref="B60:C60">
    <cfRule type="cellIs" dxfId="24087" priority="12993" stopIfTrue="1" operator="equal">
      <formula>"Towel"</formula>
    </cfRule>
    <cfRule type="cellIs" dxfId="24086" priority="12994" stopIfTrue="1" operator="equal">
      <formula>"Napkin Hs"</formula>
    </cfRule>
  </conditionalFormatting>
  <conditionalFormatting sqref="C60">
    <cfRule type="cellIs" dxfId="24085" priority="12989" stopIfTrue="1" operator="equal">
      <formula>"Towel"</formula>
    </cfRule>
    <cfRule type="cellIs" dxfId="24084" priority="12990" stopIfTrue="1" operator="equal">
      <formula>"Napkin Hs"</formula>
    </cfRule>
  </conditionalFormatting>
  <conditionalFormatting sqref="C60">
    <cfRule type="cellIs" dxfId="24083" priority="12991" stopIfTrue="1" operator="equal">
      <formula>"Towel"</formula>
    </cfRule>
    <cfRule type="cellIs" dxfId="24082" priority="12992" stopIfTrue="1" operator="equal">
      <formula>"Napkin Hs"</formula>
    </cfRule>
  </conditionalFormatting>
  <conditionalFormatting sqref="B60:C60">
    <cfRule type="cellIs" dxfId="24081" priority="12987" stopIfTrue="1" operator="equal">
      <formula>"Towel"</formula>
    </cfRule>
    <cfRule type="cellIs" dxfId="24080" priority="12988" stopIfTrue="1" operator="equal">
      <formula>"Napkin Hs"</formula>
    </cfRule>
  </conditionalFormatting>
  <conditionalFormatting sqref="C60">
    <cfRule type="cellIs" dxfId="24079" priority="12985" stopIfTrue="1" operator="equal">
      <formula>"Towel"</formula>
    </cfRule>
    <cfRule type="cellIs" dxfId="24078" priority="12986" stopIfTrue="1" operator="equal">
      <formula>"Napkin Hs"</formula>
    </cfRule>
  </conditionalFormatting>
  <conditionalFormatting sqref="C60">
    <cfRule type="cellIs" dxfId="24077" priority="12983" stopIfTrue="1" operator="equal">
      <formula>"Towel"</formula>
    </cfRule>
    <cfRule type="cellIs" dxfId="24076" priority="12984" stopIfTrue="1" operator="equal">
      <formula>"Napkin Hs"</formula>
    </cfRule>
  </conditionalFormatting>
  <conditionalFormatting sqref="B60:C60">
    <cfRule type="cellIs" dxfId="24075" priority="12981" stopIfTrue="1" operator="equal">
      <formula>"Towel"</formula>
    </cfRule>
    <cfRule type="cellIs" dxfId="24074" priority="12982" stopIfTrue="1" operator="equal">
      <formula>"Napkin Hs"</formula>
    </cfRule>
  </conditionalFormatting>
  <conditionalFormatting sqref="C60">
    <cfRule type="cellIs" dxfId="24073" priority="12980" stopIfTrue="1" operator="equal">
      <formula>"Napkin Hs"</formula>
    </cfRule>
  </conditionalFormatting>
  <conditionalFormatting sqref="C60">
    <cfRule type="cellIs" dxfId="24072" priority="12977" stopIfTrue="1" operator="equal">
      <formula>"Towel"</formula>
    </cfRule>
    <cfRule type="cellIs" dxfId="24071" priority="12978" stopIfTrue="1" operator="equal">
      <formula>"Napkin Hs"</formula>
    </cfRule>
  </conditionalFormatting>
  <conditionalFormatting sqref="C60">
    <cfRule type="cellIs" dxfId="24070" priority="12979" stopIfTrue="1" operator="equal">
      <formula>"Towel"</formula>
    </cfRule>
  </conditionalFormatting>
  <conditionalFormatting sqref="B59:C59">
    <cfRule type="cellIs" dxfId="24069" priority="12643" stopIfTrue="1" operator="equal">
      <formula>"Towel"</formula>
    </cfRule>
    <cfRule type="cellIs" dxfId="24068" priority="12644" stopIfTrue="1" operator="equal">
      <formula>"Napkin Hs"</formula>
    </cfRule>
    <cfRule type="cellIs" dxfId="24067" priority="12649" stopIfTrue="1" operator="equal">
      <formula>"Towel"</formula>
    </cfRule>
    <cfRule type="cellIs" dxfId="24066" priority="12650" stopIfTrue="1" operator="equal">
      <formula>"Napkin Hs"</formula>
    </cfRule>
    <cfRule type="cellIs" dxfId="24065" priority="12655" stopIfTrue="1" operator="equal">
      <formula>"Towel"</formula>
    </cfRule>
    <cfRule type="cellIs" dxfId="24064" priority="12656" stopIfTrue="1" operator="equal">
      <formula>"Napkin Hs"</formula>
    </cfRule>
    <cfRule type="cellIs" dxfId="24063" priority="12661" stopIfTrue="1" operator="equal">
      <formula>"Towel"</formula>
    </cfRule>
    <cfRule type="cellIs" dxfId="24062" priority="12662" stopIfTrue="1" operator="equal">
      <formula>"Napkin Hs"</formula>
    </cfRule>
    <cfRule type="cellIs" dxfId="24061" priority="12667" stopIfTrue="1" operator="equal">
      <formula>"Towel"</formula>
    </cfRule>
    <cfRule type="cellIs" dxfId="24060" priority="12668" stopIfTrue="1" operator="equal">
      <formula>"Napkin Hs"</formula>
    </cfRule>
    <cfRule type="cellIs" dxfId="24059" priority="12673" stopIfTrue="1" operator="equal">
      <formula>"Towel"</formula>
    </cfRule>
    <cfRule type="cellIs" dxfId="24058" priority="12674" stopIfTrue="1" operator="equal">
      <formula>"Napkin Hs"</formula>
    </cfRule>
    <cfRule type="cellIs" dxfId="24057" priority="12679" stopIfTrue="1" operator="equal">
      <formula>"Towel"</formula>
    </cfRule>
    <cfRule type="cellIs" dxfId="24056" priority="12680" stopIfTrue="1" operator="equal">
      <formula>"Napkin Hs"</formula>
    </cfRule>
    <cfRule type="cellIs" dxfId="24055" priority="12685" stopIfTrue="1" operator="equal">
      <formula>"Towel"</formula>
    </cfRule>
    <cfRule type="cellIs" dxfId="24054" priority="12686" stopIfTrue="1" operator="equal">
      <formula>"Napkin Hs"</formula>
    </cfRule>
  </conditionalFormatting>
  <conditionalFormatting sqref="C59">
    <cfRule type="cellIs" dxfId="24053" priority="12639" stopIfTrue="1" operator="equal">
      <formula>"Towel"</formula>
    </cfRule>
    <cfRule type="cellIs" dxfId="24052" priority="12640" stopIfTrue="1" operator="equal">
      <formula>"Napkin Hs"</formula>
    </cfRule>
    <cfRule type="cellIs" dxfId="24051" priority="12641" stopIfTrue="1" operator="equal">
      <formula>"Towel"</formula>
    </cfRule>
    <cfRule type="cellIs" dxfId="24050" priority="12642" stopIfTrue="1" operator="equal">
      <formula>"Napkin Hs"</formula>
    </cfRule>
    <cfRule type="cellIs" dxfId="24049" priority="12645" stopIfTrue="1" operator="equal">
      <formula>"Towel"</formula>
    </cfRule>
    <cfRule type="cellIs" dxfId="24048" priority="12646" stopIfTrue="1" operator="equal">
      <formula>"Napkin Hs"</formula>
    </cfRule>
    <cfRule type="cellIs" dxfId="24047" priority="12647" stopIfTrue="1" operator="equal">
      <formula>"Towel"</formula>
    </cfRule>
    <cfRule type="cellIs" dxfId="24046" priority="12648" stopIfTrue="1" operator="equal">
      <formula>"Napkin Hs"</formula>
    </cfRule>
    <cfRule type="cellIs" dxfId="24045" priority="12651" stopIfTrue="1" operator="equal">
      <formula>"Towel"</formula>
    </cfRule>
    <cfRule type="cellIs" dxfId="24044" priority="12652" stopIfTrue="1" operator="equal">
      <formula>"Napkin Hs"</formula>
    </cfRule>
    <cfRule type="cellIs" dxfId="24043" priority="12653" stopIfTrue="1" operator="equal">
      <formula>"Towel"</formula>
    </cfRule>
    <cfRule type="cellIs" dxfId="24042" priority="12654" stopIfTrue="1" operator="equal">
      <formula>"Napkin Hs"</formula>
    </cfRule>
    <cfRule type="cellIs" dxfId="24041" priority="12657" stopIfTrue="1" operator="equal">
      <formula>"Towel"</formula>
    </cfRule>
    <cfRule type="cellIs" dxfId="24040" priority="12658" stopIfTrue="1" operator="equal">
      <formula>"Napkin Hs"</formula>
    </cfRule>
    <cfRule type="cellIs" dxfId="24039" priority="12659" stopIfTrue="1" operator="equal">
      <formula>"Towel"</formula>
    </cfRule>
    <cfRule type="cellIs" dxfId="24038" priority="12660" stopIfTrue="1" operator="equal">
      <formula>"Napkin Hs"</formula>
    </cfRule>
    <cfRule type="cellIs" dxfId="24037" priority="12663" stopIfTrue="1" operator="equal">
      <formula>"Towel"</formula>
    </cfRule>
    <cfRule type="cellIs" dxfId="24036" priority="12664" stopIfTrue="1" operator="equal">
      <formula>"Napkin Hs"</formula>
    </cfRule>
    <cfRule type="cellIs" dxfId="24035" priority="12665" stopIfTrue="1" operator="equal">
      <formula>"Towel"</formula>
    </cfRule>
    <cfRule type="cellIs" dxfId="24034" priority="12666" stopIfTrue="1" operator="equal">
      <formula>"Napkin Hs"</formula>
    </cfRule>
    <cfRule type="cellIs" dxfId="24033" priority="12669" stopIfTrue="1" operator="equal">
      <formula>"Towel"</formula>
    </cfRule>
    <cfRule type="cellIs" dxfId="24032" priority="12670" stopIfTrue="1" operator="equal">
      <formula>"Napkin Hs"</formula>
    </cfRule>
    <cfRule type="cellIs" dxfId="24031" priority="12671" stopIfTrue="1" operator="equal">
      <formula>"Towel"</formula>
    </cfRule>
    <cfRule type="cellIs" dxfId="24030" priority="12672" stopIfTrue="1" operator="equal">
      <formula>"Napkin Hs"</formula>
    </cfRule>
    <cfRule type="cellIs" dxfId="24029" priority="12675" stopIfTrue="1" operator="equal">
      <formula>"Towel"</formula>
    </cfRule>
    <cfRule type="cellIs" dxfId="24028" priority="12676" stopIfTrue="1" operator="equal">
      <formula>"Napkin Hs"</formula>
    </cfRule>
    <cfRule type="cellIs" dxfId="24027" priority="12677" stopIfTrue="1" operator="equal">
      <formula>"Towel"</formula>
    </cfRule>
    <cfRule type="cellIs" dxfId="24026" priority="12678" stopIfTrue="1" operator="equal">
      <formula>"Napkin Hs"</formula>
    </cfRule>
    <cfRule type="cellIs" dxfId="24025" priority="12681" stopIfTrue="1" operator="equal">
      <formula>"Towel"</formula>
    </cfRule>
    <cfRule type="cellIs" dxfId="24024" priority="12682" stopIfTrue="1" operator="equal">
      <formula>"Napkin Hs"</formula>
    </cfRule>
  </conditionalFormatting>
  <conditionalFormatting sqref="C59">
    <cfRule type="cellIs" dxfId="24023" priority="12683" stopIfTrue="1" operator="equal">
      <formula>"Towel"</formula>
    </cfRule>
    <cfRule type="cellIs" dxfId="24022" priority="12684" stopIfTrue="1" operator="equal">
      <formula>"Napkin Hs"</formula>
    </cfRule>
  </conditionalFormatting>
  <conditionalFormatting sqref="B59">
    <cfRule type="cellIs" dxfId="24021" priority="12633" stopIfTrue="1" operator="equal">
      <formula>"Towel"</formula>
    </cfRule>
    <cfRule type="cellIs" dxfId="24020" priority="12634" stopIfTrue="1" operator="equal">
      <formula>"Napkin Hs"</formula>
    </cfRule>
    <cfRule type="cellIs" dxfId="24019" priority="12635" stopIfTrue="1" operator="equal">
      <formula>"Towel"</formula>
    </cfRule>
    <cfRule type="cellIs" dxfId="24018" priority="12636" stopIfTrue="1" operator="equal">
      <formula>"Napkin Hs"</formula>
    </cfRule>
    <cfRule type="cellIs" dxfId="24017" priority="12637" stopIfTrue="1" operator="equal">
      <formula>"Towel"</formula>
    </cfRule>
    <cfRule type="cellIs" dxfId="24016" priority="12638" stopIfTrue="1" operator="equal">
      <formula>"Napkin Hs"</formula>
    </cfRule>
  </conditionalFormatting>
  <conditionalFormatting sqref="B59:C59">
    <cfRule type="cellIs" dxfId="24015" priority="12595" stopIfTrue="1" operator="equal">
      <formula>"Towel"</formula>
    </cfRule>
    <cfRule type="cellIs" dxfId="24014" priority="12596" stopIfTrue="1" operator="equal">
      <formula>"Napkin Hs"</formula>
    </cfRule>
    <cfRule type="cellIs" dxfId="24013" priority="12601" stopIfTrue="1" operator="equal">
      <formula>"Towel"</formula>
    </cfRule>
    <cfRule type="cellIs" dxfId="24012" priority="12602" stopIfTrue="1" operator="equal">
      <formula>"Napkin Hs"</formula>
    </cfRule>
    <cfRule type="cellIs" dxfId="24011" priority="12607" stopIfTrue="1" operator="equal">
      <formula>"Towel"</formula>
    </cfRule>
    <cfRule type="cellIs" dxfId="24010" priority="12608" stopIfTrue="1" operator="equal">
      <formula>"Napkin Hs"</formula>
    </cfRule>
    <cfRule type="cellIs" dxfId="24009" priority="12613" stopIfTrue="1" operator="equal">
      <formula>"Towel"</formula>
    </cfRule>
    <cfRule type="cellIs" dxfId="24008" priority="12614" stopIfTrue="1" operator="equal">
      <formula>"Napkin Hs"</formula>
    </cfRule>
    <cfRule type="cellIs" dxfId="24007" priority="12619" stopIfTrue="1" operator="equal">
      <formula>"Towel"</formula>
    </cfRule>
    <cfRule type="cellIs" dxfId="24006" priority="12620" stopIfTrue="1" operator="equal">
      <formula>"Napkin Hs"</formula>
    </cfRule>
    <cfRule type="cellIs" dxfId="24005" priority="12625" stopIfTrue="1" operator="equal">
      <formula>"Towel"</formula>
    </cfRule>
    <cfRule type="cellIs" dxfId="24004" priority="12626" stopIfTrue="1" operator="equal">
      <formula>"Napkin Hs"</formula>
    </cfRule>
    <cfRule type="cellIs" dxfId="24003" priority="12631" stopIfTrue="1" operator="equal">
      <formula>"Towel"</formula>
    </cfRule>
    <cfRule type="cellIs" dxfId="24002" priority="12632" stopIfTrue="1" operator="equal">
      <formula>"Napkin Hs"</formula>
    </cfRule>
  </conditionalFormatting>
  <conditionalFormatting sqref="C59">
    <cfRule type="cellIs" dxfId="24001" priority="12591" stopIfTrue="1" operator="equal">
      <formula>"Towel"</formula>
    </cfRule>
    <cfRule type="cellIs" dxfId="24000" priority="12592" stopIfTrue="1" operator="equal">
      <formula>"Napkin Hs"</formula>
    </cfRule>
    <cfRule type="cellIs" dxfId="23999" priority="12593" stopIfTrue="1" operator="equal">
      <formula>"Towel"</formula>
    </cfRule>
    <cfRule type="cellIs" dxfId="23998" priority="12594" stopIfTrue="1" operator="equal">
      <formula>"Napkin Hs"</formula>
    </cfRule>
    <cfRule type="cellIs" dxfId="23997" priority="12597" stopIfTrue="1" operator="equal">
      <formula>"Towel"</formula>
    </cfRule>
    <cfRule type="cellIs" dxfId="23996" priority="12598" stopIfTrue="1" operator="equal">
      <formula>"Napkin Hs"</formula>
    </cfRule>
    <cfRule type="cellIs" dxfId="23995" priority="12599" stopIfTrue="1" operator="equal">
      <formula>"Towel"</formula>
    </cfRule>
    <cfRule type="cellIs" dxfId="23994" priority="12600" stopIfTrue="1" operator="equal">
      <formula>"Napkin Hs"</formula>
    </cfRule>
    <cfRule type="cellIs" dxfId="23993" priority="12603" stopIfTrue="1" operator="equal">
      <formula>"Towel"</formula>
    </cfRule>
    <cfRule type="cellIs" dxfId="23992" priority="12604" stopIfTrue="1" operator="equal">
      <formula>"Napkin Hs"</formula>
    </cfRule>
    <cfRule type="cellIs" dxfId="23991" priority="12605" stopIfTrue="1" operator="equal">
      <formula>"Towel"</formula>
    </cfRule>
    <cfRule type="cellIs" dxfId="23990" priority="12606" stopIfTrue="1" operator="equal">
      <formula>"Napkin Hs"</formula>
    </cfRule>
    <cfRule type="cellIs" dxfId="23989" priority="12609" stopIfTrue="1" operator="equal">
      <formula>"Towel"</formula>
    </cfRule>
    <cfRule type="cellIs" dxfId="23988" priority="12610" stopIfTrue="1" operator="equal">
      <formula>"Napkin Hs"</formula>
    </cfRule>
    <cfRule type="cellIs" dxfId="23987" priority="12611" stopIfTrue="1" operator="equal">
      <formula>"Towel"</formula>
    </cfRule>
    <cfRule type="cellIs" dxfId="23986" priority="12612" stopIfTrue="1" operator="equal">
      <formula>"Napkin Hs"</formula>
    </cfRule>
    <cfRule type="cellIs" dxfId="23985" priority="12615" stopIfTrue="1" operator="equal">
      <formula>"Towel"</formula>
    </cfRule>
    <cfRule type="cellIs" dxfId="23984" priority="12616" stopIfTrue="1" operator="equal">
      <formula>"Napkin Hs"</formula>
    </cfRule>
    <cfRule type="cellIs" dxfId="23983" priority="12617" stopIfTrue="1" operator="equal">
      <formula>"Towel"</formula>
    </cfRule>
    <cfRule type="cellIs" dxfId="23982" priority="12618" stopIfTrue="1" operator="equal">
      <formula>"Napkin Hs"</formula>
    </cfRule>
    <cfRule type="cellIs" dxfId="23981" priority="12621" stopIfTrue="1" operator="equal">
      <formula>"Towel"</formula>
    </cfRule>
    <cfRule type="cellIs" dxfId="23980" priority="12622" stopIfTrue="1" operator="equal">
      <formula>"Napkin Hs"</formula>
    </cfRule>
    <cfRule type="cellIs" dxfId="23979" priority="12623" stopIfTrue="1" operator="equal">
      <formula>"Towel"</formula>
    </cfRule>
    <cfRule type="cellIs" dxfId="23978" priority="12624" stopIfTrue="1" operator="equal">
      <formula>"Napkin Hs"</formula>
    </cfRule>
    <cfRule type="cellIs" dxfId="23977" priority="12627" stopIfTrue="1" operator="equal">
      <formula>"Towel"</formula>
    </cfRule>
    <cfRule type="cellIs" dxfId="23976" priority="12628" stopIfTrue="1" operator="equal">
      <formula>"Napkin Hs"</formula>
    </cfRule>
  </conditionalFormatting>
  <conditionalFormatting sqref="C59">
    <cfRule type="cellIs" dxfId="23975" priority="12629" stopIfTrue="1" operator="equal">
      <formula>"Towel"</formula>
    </cfRule>
    <cfRule type="cellIs" dxfId="23974" priority="12630" stopIfTrue="1" operator="equal">
      <formula>"Napkin Hs"</formula>
    </cfRule>
  </conditionalFormatting>
  <conditionalFormatting sqref="B59:C59">
    <cfRule type="cellIs" dxfId="23973" priority="12589" stopIfTrue="1" operator="equal">
      <formula>"Towel"</formula>
    </cfRule>
    <cfRule type="cellIs" dxfId="23972" priority="12590" stopIfTrue="1" operator="equal">
      <formula>"Napkin Hs"</formula>
    </cfRule>
  </conditionalFormatting>
  <conditionalFormatting sqref="B59:C59">
    <cfRule type="cellIs" dxfId="23971" priority="12553" stopIfTrue="1" operator="equal">
      <formula>"Towel"</formula>
    </cfRule>
    <cfRule type="cellIs" dxfId="23970" priority="12554" stopIfTrue="1" operator="equal">
      <formula>"Napkin Hs"</formula>
    </cfRule>
    <cfRule type="cellIs" dxfId="23969" priority="12559" stopIfTrue="1" operator="equal">
      <formula>"Towel"</formula>
    </cfRule>
    <cfRule type="cellIs" dxfId="23968" priority="12560" stopIfTrue="1" operator="equal">
      <formula>"Napkin Hs"</formula>
    </cfRule>
    <cfRule type="cellIs" dxfId="23967" priority="12565" stopIfTrue="1" operator="equal">
      <formula>"Towel"</formula>
    </cfRule>
    <cfRule type="cellIs" dxfId="23966" priority="12566" stopIfTrue="1" operator="equal">
      <formula>"Napkin Hs"</formula>
    </cfRule>
    <cfRule type="cellIs" dxfId="23965" priority="12571" stopIfTrue="1" operator="equal">
      <formula>"Towel"</formula>
    </cfRule>
    <cfRule type="cellIs" dxfId="23964" priority="12572" stopIfTrue="1" operator="equal">
      <formula>"Napkin Hs"</formula>
    </cfRule>
    <cfRule type="cellIs" dxfId="23963" priority="12577" stopIfTrue="1" operator="equal">
      <formula>"Towel"</formula>
    </cfRule>
    <cfRule type="cellIs" dxfId="23962" priority="12578" stopIfTrue="1" operator="equal">
      <formula>"Napkin Hs"</formula>
    </cfRule>
    <cfRule type="cellIs" dxfId="23961" priority="12583" stopIfTrue="1" operator="equal">
      <formula>"Towel"</formula>
    </cfRule>
    <cfRule type="cellIs" dxfId="23960" priority="12584" stopIfTrue="1" operator="equal">
      <formula>"Napkin Hs"</formula>
    </cfRule>
  </conditionalFormatting>
  <conditionalFormatting sqref="C59">
    <cfRule type="cellIs" dxfId="23959" priority="12588" stopIfTrue="1" operator="equal">
      <formula>"Napkin Hs"</formula>
    </cfRule>
  </conditionalFormatting>
  <conditionalFormatting sqref="C59">
    <cfRule type="cellIs" dxfId="23958" priority="12587" stopIfTrue="1" operator="equal">
      <formula>"Towel"</formula>
    </cfRule>
  </conditionalFormatting>
  <conditionalFormatting sqref="C59">
    <cfRule type="cellIs" dxfId="23957" priority="12581" stopIfTrue="1" operator="equal">
      <formula>"Towel"</formula>
    </cfRule>
    <cfRule type="cellIs" dxfId="23956" priority="12582" stopIfTrue="1" operator="equal">
      <formula>"Napkin Hs"</formula>
    </cfRule>
  </conditionalFormatting>
  <conditionalFormatting sqref="C59">
    <cfRule type="cellIs" dxfId="23955" priority="12579" stopIfTrue="1" operator="equal">
      <formula>"Towel"</formula>
    </cfRule>
    <cfRule type="cellIs" dxfId="23954" priority="12580" stopIfTrue="1" operator="equal">
      <formula>"Napkin Hs"</formula>
    </cfRule>
    <cfRule type="cellIs" dxfId="23953" priority="12585" stopIfTrue="1" operator="equal">
      <formula>"Towel"</formula>
    </cfRule>
    <cfRule type="cellIs" dxfId="23952" priority="12586" stopIfTrue="1" operator="equal">
      <formula>"Napkin Hs"</formula>
    </cfRule>
  </conditionalFormatting>
  <conditionalFormatting sqref="C59">
    <cfRule type="cellIs" dxfId="23951" priority="12551" stopIfTrue="1" operator="equal">
      <formula>"Towel"</formula>
    </cfRule>
    <cfRule type="cellIs" dxfId="23950" priority="12552" stopIfTrue="1" operator="equal">
      <formula>"Napkin Hs"</formula>
    </cfRule>
    <cfRule type="cellIs" dxfId="23949" priority="12555" stopIfTrue="1" operator="equal">
      <formula>"Towel"</formula>
    </cfRule>
    <cfRule type="cellIs" dxfId="23948" priority="12556" stopIfTrue="1" operator="equal">
      <formula>"Napkin Hs"</formula>
    </cfRule>
    <cfRule type="cellIs" dxfId="23947" priority="12557" stopIfTrue="1" operator="equal">
      <formula>"Towel"</formula>
    </cfRule>
    <cfRule type="cellIs" dxfId="23946" priority="12558" stopIfTrue="1" operator="equal">
      <formula>"Napkin Hs"</formula>
    </cfRule>
    <cfRule type="cellIs" dxfId="23945" priority="12561" stopIfTrue="1" operator="equal">
      <formula>"Towel"</formula>
    </cfRule>
    <cfRule type="cellIs" dxfId="23944" priority="12562" stopIfTrue="1" operator="equal">
      <formula>"Napkin Hs"</formula>
    </cfRule>
    <cfRule type="cellIs" dxfId="23943" priority="12563" stopIfTrue="1" operator="equal">
      <formula>"Towel"</formula>
    </cfRule>
    <cfRule type="cellIs" dxfId="23942" priority="12564" stopIfTrue="1" operator="equal">
      <formula>"Napkin Hs"</formula>
    </cfRule>
    <cfRule type="cellIs" dxfId="23941" priority="12567" stopIfTrue="1" operator="equal">
      <formula>"Towel"</formula>
    </cfRule>
    <cfRule type="cellIs" dxfId="23940" priority="12568" stopIfTrue="1" operator="equal">
      <formula>"Napkin Hs"</formula>
    </cfRule>
    <cfRule type="cellIs" dxfId="23939" priority="12569" stopIfTrue="1" operator="equal">
      <formula>"Towel"</formula>
    </cfRule>
    <cfRule type="cellIs" dxfId="23938" priority="12570" stopIfTrue="1" operator="equal">
      <formula>"Napkin Hs"</formula>
    </cfRule>
    <cfRule type="cellIs" dxfId="23937" priority="12573" stopIfTrue="1" operator="equal">
      <formula>"Towel"</formula>
    </cfRule>
    <cfRule type="cellIs" dxfId="23936" priority="12574" stopIfTrue="1" operator="equal">
      <formula>"Napkin Hs"</formula>
    </cfRule>
    <cfRule type="cellIs" dxfId="23935" priority="12575" stopIfTrue="1" operator="equal">
      <formula>"Towel"</formula>
    </cfRule>
    <cfRule type="cellIs" dxfId="23934" priority="12576" stopIfTrue="1" operator="equal">
      <formula>"Napkin Hs"</formula>
    </cfRule>
  </conditionalFormatting>
  <conditionalFormatting sqref="C59">
    <cfRule type="cellIs" dxfId="23933" priority="12549" stopIfTrue="1" operator="equal">
      <formula>"Towel"</formula>
    </cfRule>
    <cfRule type="cellIs" dxfId="23932" priority="12550" stopIfTrue="1" operator="equal">
      <formula>"Napkin Hs"</formula>
    </cfRule>
  </conditionalFormatting>
  <conditionalFormatting sqref="C59">
    <cfRule type="cellIs" dxfId="23931" priority="12529" stopIfTrue="1" operator="equal">
      <formula>"Towel"</formula>
    </cfRule>
    <cfRule type="cellIs" dxfId="23930" priority="12530" stopIfTrue="1" operator="equal">
      <formula>"Napkin Hs"</formula>
    </cfRule>
    <cfRule type="cellIs" dxfId="23929" priority="12535" stopIfTrue="1" operator="equal">
      <formula>"Towel"</formula>
    </cfRule>
    <cfRule type="cellIs" dxfId="23928" priority="12536" stopIfTrue="1" operator="equal">
      <formula>"Napkin Hs"</formula>
    </cfRule>
    <cfRule type="cellIs" dxfId="23927" priority="12541" stopIfTrue="1" operator="equal">
      <formula>"Towel"</formula>
    </cfRule>
    <cfRule type="cellIs" dxfId="23926" priority="12542" stopIfTrue="1" operator="equal">
      <formula>"Napkin Hs"</formula>
    </cfRule>
    <cfRule type="cellIs" dxfId="23925" priority="12547" stopIfTrue="1" operator="equal">
      <formula>"Towel"</formula>
    </cfRule>
    <cfRule type="cellIs" dxfId="23924" priority="12548" stopIfTrue="1" operator="equal">
      <formula>"Napkin Hs"</formula>
    </cfRule>
  </conditionalFormatting>
  <conditionalFormatting sqref="C59">
    <cfRule type="cellIs" dxfId="23923" priority="12539" stopIfTrue="1" operator="equal">
      <formula>"Towel"</formula>
    </cfRule>
    <cfRule type="cellIs" dxfId="23922" priority="12540" stopIfTrue="1" operator="equal">
      <formula>"Napkin Hs"</formula>
    </cfRule>
    <cfRule type="cellIs" dxfId="23921" priority="12545" stopIfTrue="1" operator="equal">
      <formula>"Towel"</formula>
    </cfRule>
    <cfRule type="cellIs" dxfId="23920" priority="12546" stopIfTrue="1" operator="equal">
      <formula>"Napkin Hs"</formula>
    </cfRule>
  </conditionalFormatting>
  <conditionalFormatting sqref="C59">
    <cfRule type="cellIs" dxfId="23919" priority="12525" stopIfTrue="1" operator="equal">
      <formula>"Towel"</formula>
    </cfRule>
    <cfRule type="cellIs" dxfId="23918" priority="12526" stopIfTrue="1" operator="equal">
      <formula>"Napkin Hs"</formula>
    </cfRule>
    <cfRule type="cellIs" dxfId="23917" priority="12533" stopIfTrue="1" operator="equal">
      <formula>"Towel"</formula>
    </cfRule>
    <cfRule type="cellIs" dxfId="23916" priority="12534" stopIfTrue="1" operator="equal">
      <formula>"Napkin Hs"</formula>
    </cfRule>
    <cfRule type="cellIs" dxfId="23915" priority="12537" stopIfTrue="1" operator="equal">
      <formula>"Towel"</formula>
    </cfRule>
    <cfRule type="cellIs" dxfId="23914" priority="12538" stopIfTrue="1" operator="equal">
      <formula>"Napkin Hs"</formula>
    </cfRule>
  </conditionalFormatting>
  <conditionalFormatting sqref="C59">
    <cfRule type="cellIs" dxfId="23913" priority="12527" stopIfTrue="1" operator="equal">
      <formula>"Towel"</formula>
    </cfRule>
    <cfRule type="cellIs" dxfId="23912" priority="12528" stopIfTrue="1" operator="equal">
      <formula>"Napkin Hs"</formula>
    </cfRule>
    <cfRule type="cellIs" dxfId="23911" priority="12531" stopIfTrue="1" operator="equal">
      <formula>"Towel"</formula>
    </cfRule>
    <cfRule type="cellIs" dxfId="23910" priority="12532" stopIfTrue="1" operator="equal">
      <formula>"Napkin Hs"</formula>
    </cfRule>
    <cfRule type="cellIs" dxfId="23909" priority="12543" stopIfTrue="1" operator="equal">
      <formula>"Towel"</formula>
    </cfRule>
    <cfRule type="cellIs" dxfId="23908" priority="12544" stopIfTrue="1" operator="equal">
      <formula>"Napkin Hs"</formula>
    </cfRule>
  </conditionalFormatting>
  <conditionalFormatting sqref="C59">
    <cfRule type="cellIs" dxfId="23907" priority="12523" stopIfTrue="1" operator="equal">
      <formula>"Towel"</formula>
    </cfRule>
    <cfRule type="cellIs" dxfId="23906" priority="12524" stopIfTrue="1" operator="equal">
      <formula>"Napkin Hs"</formula>
    </cfRule>
  </conditionalFormatting>
  <conditionalFormatting sqref="C59">
    <cfRule type="cellIs" dxfId="23905" priority="12519" stopIfTrue="1" operator="equal">
      <formula>"Towel"</formula>
    </cfRule>
    <cfRule type="cellIs" dxfId="23904" priority="12520" stopIfTrue="1" operator="equal">
      <formula>"Napkin Hs"</formula>
    </cfRule>
  </conditionalFormatting>
  <conditionalFormatting sqref="C59">
    <cfRule type="cellIs" dxfId="23903" priority="12521" stopIfTrue="1" operator="equal">
      <formula>"Towel"</formula>
    </cfRule>
    <cfRule type="cellIs" dxfId="23902" priority="12522" stopIfTrue="1" operator="equal">
      <formula>"Napkin Hs"</formula>
    </cfRule>
  </conditionalFormatting>
  <conditionalFormatting sqref="C59">
    <cfRule type="cellIs" dxfId="23901" priority="12517" stopIfTrue="1" operator="equal">
      <formula>"Towel"</formula>
    </cfRule>
    <cfRule type="cellIs" dxfId="23900" priority="12518" stopIfTrue="1" operator="equal">
      <formula>"Napkin Hs"</formula>
    </cfRule>
  </conditionalFormatting>
  <conditionalFormatting sqref="C59">
    <cfRule type="cellIs" dxfId="23899" priority="12513" stopIfTrue="1" operator="equal">
      <formula>"Towel"</formula>
    </cfRule>
    <cfRule type="cellIs" dxfId="23898" priority="12514" stopIfTrue="1" operator="equal">
      <formula>"Napkin Hs"</formula>
    </cfRule>
  </conditionalFormatting>
  <conditionalFormatting sqref="C59">
    <cfRule type="cellIs" dxfId="23897" priority="12515" stopIfTrue="1" operator="equal">
      <formula>"Towel"</formula>
    </cfRule>
    <cfRule type="cellIs" dxfId="23896" priority="12516" stopIfTrue="1" operator="equal">
      <formula>"Napkin Hs"</formula>
    </cfRule>
  </conditionalFormatting>
  <conditionalFormatting sqref="C59">
    <cfRule type="cellIs" dxfId="23895" priority="12511" stopIfTrue="1" operator="equal">
      <formula>"Towel"</formula>
    </cfRule>
    <cfRule type="cellIs" dxfId="23894" priority="12512" stopIfTrue="1" operator="equal">
      <formula>"Napkin Hs"</formula>
    </cfRule>
  </conditionalFormatting>
  <conditionalFormatting sqref="C59">
    <cfRule type="cellIs" dxfId="23893" priority="12507" stopIfTrue="1" operator="equal">
      <formula>"Towel"</formula>
    </cfRule>
    <cfRule type="cellIs" dxfId="23892" priority="12508" stopIfTrue="1" operator="equal">
      <formula>"Napkin Hs"</formula>
    </cfRule>
  </conditionalFormatting>
  <conditionalFormatting sqref="C59">
    <cfRule type="cellIs" dxfId="23891" priority="12509" stopIfTrue="1" operator="equal">
      <formula>"Towel"</formula>
    </cfRule>
    <cfRule type="cellIs" dxfId="23890" priority="12510" stopIfTrue="1" operator="equal">
      <formula>"Napkin Hs"</formula>
    </cfRule>
  </conditionalFormatting>
  <conditionalFormatting sqref="C59">
    <cfRule type="cellIs" dxfId="23889" priority="12505" stopIfTrue="1" operator="equal">
      <formula>"Towel"</formula>
    </cfRule>
    <cfRule type="cellIs" dxfId="23888" priority="12506" stopIfTrue="1" operator="equal">
      <formula>"Napkin Hs"</formula>
    </cfRule>
  </conditionalFormatting>
  <conditionalFormatting sqref="C59">
    <cfRule type="cellIs" dxfId="23887" priority="12503" stopIfTrue="1" operator="equal">
      <formula>"Towel"</formula>
    </cfRule>
    <cfRule type="cellIs" dxfId="23886" priority="12504" stopIfTrue="1" operator="equal">
      <formula>"Napkin Hs"</formula>
    </cfRule>
  </conditionalFormatting>
  <conditionalFormatting sqref="C59">
    <cfRule type="cellIs" dxfId="23885" priority="12501" stopIfTrue="1" operator="equal">
      <formula>"Towel"</formula>
    </cfRule>
    <cfRule type="cellIs" dxfId="23884" priority="12502" stopIfTrue="1" operator="equal">
      <formula>"Napkin Hs"</formula>
    </cfRule>
  </conditionalFormatting>
  <conditionalFormatting sqref="C59">
    <cfRule type="cellIs" dxfId="23883" priority="12499" stopIfTrue="1" operator="equal">
      <formula>"Towel"</formula>
    </cfRule>
    <cfRule type="cellIs" dxfId="23882" priority="12500" stopIfTrue="1" operator="equal">
      <formula>"Napkin Hs"</formula>
    </cfRule>
  </conditionalFormatting>
  <conditionalFormatting sqref="C59">
    <cfRule type="cellIs" dxfId="23881" priority="12498" stopIfTrue="1" operator="equal">
      <formula>"Napkin Hs"</formula>
    </cfRule>
  </conditionalFormatting>
  <conditionalFormatting sqref="C59">
    <cfRule type="cellIs" dxfId="23880" priority="12495" stopIfTrue="1" operator="equal">
      <formula>"Towel"</formula>
    </cfRule>
    <cfRule type="cellIs" dxfId="23879" priority="12496" stopIfTrue="1" operator="equal">
      <formula>"Napkin Hs"</formula>
    </cfRule>
  </conditionalFormatting>
  <conditionalFormatting sqref="C59">
    <cfRule type="cellIs" dxfId="23878" priority="12497" stopIfTrue="1" operator="equal">
      <formula>"Towel"</formula>
    </cfRule>
  </conditionalFormatting>
  <conditionalFormatting sqref="B59">
    <cfRule type="cellIs" dxfId="23877" priority="12493" stopIfTrue="1" operator="equal">
      <formula>"Towel"</formula>
    </cfRule>
    <cfRule type="cellIs" dxfId="23876" priority="12494" stopIfTrue="1" operator="equal">
      <formula>"Napkin Hs"</formula>
    </cfRule>
  </conditionalFormatting>
  <conditionalFormatting sqref="B59">
    <cfRule type="cellIs" dxfId="23875" priority="12491" stopIfTrue="1" operator="equal">
      <formula>"Towel"</formula>
    </cfRule>
    <cfRule type="cellIs" dxfId="23874" priority="12492" stopIfTrue="1" operator="equal">
      <formula>"Napkin Hs"</formula>
    </cfRule>
  </conditionalFormatting>
  <conditionalFormatting sqref="B59">
    <cfRule type="cellIs" dxfId="23873" priority="12489" stopIfTrue="1" operator="equal">
      <formula>"Towel"</formula>
    </cfRule>
    <cfRule type="cellIs" dxfId="23872" priority="12490" stopIfTrue="1" operator="equal">
      <formula>"Napkin Hs"</formula>
    </cfRule>
  </conditionalFormatting>
  <conditionalFormatting sqref="B59">
    <cfRule type="cellIs" dxfId="23871" priority="12487" stopIfTrue="1" operator="equal">
      <formula>"Towel"</formula>
    </cfRule>
    <cfRule type="cellIs" dxfId="23870" priority="12488" stopIfTrue="1" operator="equal">
      <formula>"Napkin Hs"</formula>
    </cfRule>
  </conditionalFormatting>
  <conditionalFormatting sqref="B59">
    <cfRule type="cellIs" dxfId="23869" priority="12485" stopIfTrue="1" operator="equal">
      <formula>"Towel"</formula>
    </cfRule>
    <cfRule type="cellIs" dxfId="23868" priority="12486" stopIfTrue="1" operator="equal">
      <formula>"Napkin Hs"</formula>
    </cfRule>
  </conditionalFormatting>
  <conditionalFormatting sqref="B59">
    <cfRule type="cellIs" dxfId="23867" priority="12483" stopIfTrue="1" operator="equal">
      <formula>"Towel"</formula>
    </cfRule>
    <cfRule type="cellIs" dxfId="23866" priority="12484" stopIfTrue="1" operator="equal">
      <formula>"Napkin Hs"</formula>
    </cfRule>
  </conditionalFormatting>
  <conditionalFormatting sqref="B59">
    <cfRule type="cellIs" dxfId="23865" priority="12479" stopIfTrue="1" operator="equal">
      <formula>"Towel"</formula>
    </cfRule>
    <cfRule type="cellIs" dxfId="23864" priority="12480" stopIfTrue="1" operator="equal">
      <formula>"Napkin Hs"</formula>
    </cfRule>
    <cfRule type="cellIs" dxfId="23863" priority="12481" stopIfTrue="1" operator="equal">
      <formula>"Towel"</formula>
    </cfRule>
    <cfRule type="cellIs" dxfId="23862" priority="12482" stopIfTrue="1" operator="equal">
      <formula>"Napkin Hs"</formula>
    </cfRule>
  </conditionalFormatting>
  <conditionalFormatting sqref="B59">
    <cfRule type="cellIs" dxfId="23861" priority="12477" stopIfTrue="1" operator="equal">
      <formula>"Towel"</formula>
    </cfRule>
    <cfRule type="cellIs" dxfId="23860" priority="12478" stopIfTrue="1" operator="equal">
      <formula>"Napkin Hs"</formula>
    </cfRule>
  </conditionalFormatting>
  <conditionalFormatting sqref="B59">
    <cfRule type="cellIs" dxfId="23859" priority="12475" stopIfTrue="1" operator="equal">
      <formula>"Towel"</formula>
    </cfRule>
    <cfRule type="cellIs" dxfId="23858" priority="12476" stopIfTrue="1" operator="equal">
      <formula>"Napkin Hs"</formula>
    </cfRule>
  </conditionalFormatting>
  <conditionalFormatting sqref="B59">
    <cfRule type="cellIs" dxfId="23857" priority="12473" stopIfTrue="1" operator="equal">
      <formula>"Towel"</formula>
    </cfRule>
    <cfRule type="cellIs" dxfId="23856" priority="12474" stopIfTrue="1" operator="equal">
      <formula>"Napkin Hs"</formula>
    </cfRule>
  </conditionalFormatting>
  <conditionalFormatting sqref="B59">
    <cfRule type="cellIs" dxfId="23855" priority="12471" stopIfTrue="1" operator="equal">
      <formula>"Towel"</formula>
    </cfRule>
    <cfRule type="cellIs" dxfId="23854" priority="12472" stopIfTrue="1" operator="equal">
      <formula>"Napkin Hs"</formula>
    </cfRule>
  </conditionalFormatting>
  <conditionalFormatting sqref="B59">
    <cfRule type="cellIs" dxfId="23853" priority="12469" stopIfTrue="1" operator="equal">
      <formula>"Towel"</formula>
    </cfRule>
    <cfRule type="cellIs" dxfId="23852" priority="12470" stopIfTrue="1" operator="equal">
      <formula>"Napkin Hs"</formula>
    </cfRule>
  </conditionalFormatting>
  <conditionalFormatting sqref="B59:C59">
    <cfRule type="cellIs" dxfId="23851" priority="12455" stopIfTrue="1" operator="equal">
      <formula>"Towel"</formula>
    </cfRule>
    <cfRule type="cellIs" dxfId="23850" priority="12456" stopIfTrue="1" operator="equal">
      <formula>"Napkin Hs"</formula>
    </cfRule>
    <cfRule type="cellIs" dxfId="23849" priority="12461" stopIfTrue="1" operator="equal">
      <formula>"Towel"</formula>
    </cfRule>
    <cfRule type="cellIs" dxfId="23848" priority="12462" stopIfTrue="1" operator="equal">
      <formula>"Napkin Hs"</formula>
    </cfRule>
    <cfRule type="cellIs" dxfId="23847" priority="12467" stopIfTrue="1" operator="equal">
      <formula>"Towel"</formula>
    </cfRule>
    <cfRule type="cellIs" dxfId="23846" priority="12468" stopIfTrue="1" operator="equal">
      <formula>"Napkin Hs"</formula>
    </cfRule>
  </conditionalFormatting>
  <conditionalFormatting sqref="C59">
    <cfRule type="cellIs" dxfId="23845" priority="12449" stopIfTrue="1" operator="equal">
      <formula>"Towel"</formula>
    </cfRule>
    <cfRule type="cellIs" dxfId="23844" priority="12450" stopIfTrue="1" operator="equal">
      <formula>"Napkin Hs"</formula>
    </cfRule>
    <cfRule type="cellIs" dxfId="23843" priority="12451" stopIfTrue="1" operator="equal">
      <formula>"Towel"</formula>
    </cfRule>
    <cfRule type="cellIs" dxfId="23842" priority="12452" stopIfTrue="1" operator="equal">
      <formula>"Napkin Hs"</formula>
    </cfRule>
    <cfRule type="cellIs" dxfId="23841" priority="12459" stopIfTrue="1" operator="equal">
      <formula>"Towel"</formula>
    </cfRule>
    <cfRule type="cellIs" dxfId="23840" priority="12460" stopIfTrue="1" operator="equal">
      <formula>"Napkin Hs"</formula>
    </cfRule>
    <cfRule type="cellIs" dxfId="23839" priority="12463" stopIfTrue="1" operator="equal">
      <formula>"Towel"</formula>
    </cfRule>
    <cfRule type="cellIs" dxfId="23838" priority="12464" stopIfTrue="1" operator="equal">
      <formula>"Napkin Hs"</formula>
    </cfRule>
  </conditionalFormatting>
  <conditionalFormatting sqref="C59">
    <cfRule type="cellIs" dxfId="23837" priority="12453" stopIfTrue="1" operator="equal">
      <formula>"Towel"</formula>
    </cfRule>
    <cfRule type="cellIs" dxfId="23836" priority="12454" stopIfTrue="1" operator="equal">
      <formula>"Napkin Hs"</formula>
    </cfRule>
    <cfRule type="cellIs" dxfId="23835" priority="12457" stopIfTrue="1" operator="equal">
      <formula>"Towel"</formula>
    </cfRule>
    <cfRule type="cellIs" dxfId="23834" priority="12458" stopIfTrue="1" operator="equal">
      <formula>"Napkin Hs"</formula>
    </cfRule>
    <cfRule type="cellIs" dxfId="23833" priority="12465" stopIfTrue="1" operator="equal">
      <formula>"Towel"</formula>
    </cfRule>
    <cfRule type="cellIs" dxfId="23832" priority="12466" stopIfTrue="1" operator="equal">
      <formula>"Napkin Hs"</formula>
    </cfRule>
  </conditionalFormatting>
  <conditionalFormatting sqref="B59:C59">
    <cfRule type="cellIs" dxfId="23831" priority="12447" stopIfTrue="1" operator="equal">
      <formula>"Towel"</formula>
    </cfRule>
    <cfRule type="cellIs" dxfId="23830" priority="12448" stopIfTrue="1" operator="equal">
      <formula>"Napkin Hs"</formula>
    </cfRule>
  </conditionalFormatting>
  <conditionalFormatting sqref="B59:C59">
    <cfRule type="cellIs" dxfId="23829" priority="12439" stopIfTrue="1" operator="equal">
      <formula>"Towel"</formula>
    </cfRule>
    <cfRule type="cellIs" dxfId="23828" priority="12440" stopIfTrue="1" operator="equal">
      <formula>"Napkin Hs"</formula>
    </cfRule>
    <cfRule type="cellIs" dxfId="23827" priority="12445" stopIfTrue="1" operator="equal">
      <formula>"Towel"</formula>
    </cfRule>
    <cfRule type="cellIs" dxfId="23826" priority="12446" stopIfTrue="1" operator="equal">
      <formula>"Napkin Hs"</formula>
    </cfRule>
  </conditionalFormatting>
  <conditionalFormatting sqref="C59">
    <cfRule type="cellIs" dxfId="23825" priority="12435" stopIfTrue="1" operator="equal">
      <formula>"Towel"</formula>
    </cfRule>
    <cfRule type="cellIs" dxfId="23824" priority="12436" stopIfTrue="1" operator="equal">
      <formula>"Napkin Hs"</formula>
    </cfRule>
  </conditionalFormatting>
  <conditionalFormatting sqref="C59">
    <cfRule type="cellIs" dxfId="23823" priority="12433" stopIfTrue="1" operator="equal">
      <formula>"Towel"</formula>
    </cfRule>
    <cfRule type="cellIs" dxfId="23822" priority="12434" stopIfTrue="1" operator="equal">
      <formula>"Napkin Hs"</formula>
    </cfRule>
    <cfRule type="cellIs" dxfId="23821" priority="12443" stopIfTrue="1" operator="equal">
      <formula>"Towel"</formula>
    </cfRule>
    <cfRule type="cellIs" dxfId="23820" priority="12444" stopIfTrue="1" operator="equal">
      <formula>"Napkin Hs"</formula>
    </cfRule>
  </conditionalFormatting>
  <conditionalFormatting sqref="C59">
    <cfRule type="cellIs" dxfId="23819" priority="12437" stopIfTrue="1" operator="equal">
      <formula>"Towel"</formula>
    </cfRule>
    <cfRule type="cellIs" dxfId="23818" priority="12438" stopIfTrue="1" operator="equal">
      <formula>"Napkin Hs"</formula>
    </cfRule>
    <cfRule type="cellIs" dxfId="23817" priority="12441" stopIfTrue="1" operator="equal">
      <formula>"Towel"</formula>
    </cfRule>
    <cfRule type="cellIs" dxfId="23816" priority="12442" stopIfTrue="1" operator="equal">
      <formula>"Napkin Hs"</formula>
    </cfRule>
  </conditionalFormatting>
  <conditionalFormatting sqref="C59">
    <cfRule type="cellIs" dxfId="23815" priority="12432" stopIfTrue="1" operator="equal">
      <formula>"Napkin Hs"</formula>
    </cfRule>
  </conditionalFormatting>
  <conditionalFormatting sqref="C59">
    <cfRule type="cellIs" dxfId="23814" priority="12431" stopIfTrue="1" operator="equal">
      <formula>"Towel"</formula>
    </cfRule>
  </conditionalFormatting>
  <conditionalFormatting sqref="C59">
    <cfRule type="cellIs" dxfId="23813" priority="12427" stopIfTrue="1" operator="equal">
      <formula>"Towel"</formula>
    </cfRule>
    <cfRule type="cellIs" dxfId="23812" priority="12428" stopIfTrue="1" operator="equal">
      <formula>"Napkin Hs"</formula>
    </cfRule>
    <cfRule type="cellIs" dxfId="23811" priority="12429" stopIfTrue="1" operator="equal">
      <formula>"Towel"</formula>
    </cfRule>
    <cfRule type="cellIs" dxfId="23810" priority="12430" stopIfTrue="1" operator="equal">
      <formula>"Napkin Hs"</formula>
    </cfRule>
  </conditionalFormatting>
  <conditionalFormatting sqref="B59:C59">
    <cfRule type="cellIs" dxfId="23809" priority="12425" stopIfTrue="1" operator="equal">
      <formula>"Towel"</formula>
    </cfRule>
    <cfRule type="cellIs" dxfId="23808" priority="12426" stopIfTrue="1" operator="equal">
      <formula>"Napkin Hs"</formula>
    </cfRule>
  </conditionalFormatting>
  <conditionalFormatting sqref="C59">
    <cfRule type="cellIs" dxfId="23807" priority="12421" stopIfTrue="1" operator="equal">
      <formula>"Towel"</formula>
    </cfRule>
    <cfRule type="cellIs" dxfId="23806" priority="12422" stopIfTrue="1" operator="equal">
      <formula>"Napkin Hs"</formula>
    </cfRule>
  </conditionalFormatting>
  <conditionalFormatting sqref="C59">
    <cfRule type="cellIs" dxfId="23805" priority="12423" stopIfTrue="1" operator="equal">
      <formula>"Towel"</formula>
    </cfRule>
    <cfRule type="cellIs" dxfId="23804" priority="12424" stopIfTrue="1" operator="equal">
      <formula>"Napkin Hs"</formula>
    </cfRule>
  </conditionalFormatting>
  <conditionalFormatting sqref="B59:C59">
    <cfRule type="cellIs" dxfId="23803" priority="12419" stopIfTrue="1" operator="equal">
      <formula>"Towel"</formula>
    </cfRule>
    <cfRule type="cellIs" dxfId="23802" priority="12420" stopIfTrue="1" operator="equal">
      <formula>"Napkin Hs"</formula>
    </cfRule>
  </conditionalFormatting>
  <conditionalFormatting sqref="C59">
    <cfRule type="cellIs" dxfId="23801" priority="12415" stopIfTrue="1" operator="equal">
      <formula>"Towel"</formula>
    </cfRule>
    <cfRule type="cellIs" dxfId="23800" priority="12416" stopIfTrue="1" operator="equal">
      <formula>"Napkin Hs"</formula>
    </cfRule>
  </conditionalFormatting>
  <conditionalFormatting sqref="C59">
    <cfRule type="cellIs" dxfId="23799" priority="12417" stopIfTrue="1" operator="equal">
      <formula>"Towel"</formula>
    </cfRule>
    <cfRule type="cellIs" dxfId="23798" priority="12418" stopIfTrue="1" operator="equal">
      <formula>"Napkin Hs"</formula>
    </cfRule>
  </conditionalFormatting>
  <conditionalFormatting sqref="B59:C59">
    <cfRule type="cellIs" dxfId="23797" priority="12413" stopIfTrue="1" operator="equal">
      <formula>"Towel"</formula>
    </cfRule>
    <cfRule type="cellIs" dxfId="23796" priority="12414" stopIfTrue="1" operator="equal">
      <formula>"Napkin Hs"</formula>
    </cfRule>
  </conditionalFormatting>
  <conditionalFormatting sqref="C59">
    <cfRule type="cellIs" dxfId="23795" priority="12409" stopIfTrue="1" operator="equal">
      <formula>"Towel"</formula>
    </cfRule>
    <cfRule type="cellIs" dxfId="23794" priority="12410" stopIfTrue="1" operator="equal">
      <formula>"Napkin Hs"</formula>
    </cfRule>
  </conditionalFormatting>
  <conditionalFormatting sqref="C59">
    <cfRule type="cellIs" dxfId="23793" priority="12411" stopIfTrue="1" operator="equal">
      <formula>"Towel"</formula>
    </cfRule>
    <cfRule type="cellIs" dxfId="23792" priority="12412" stopIfTrue="1" operator="equal">
      <formula>"Napkin Hs"</formula>
    </cfRule>
  </conditionalFormatting>
  <conditionalFormatting sqref="B59:C59">
    <cfRule type="cellIs" dxfId="23791" priority="12407" stopIfTrue="1" operator="equal">
      <formula>"Towel"</formula>
    </cfRule>
    <cfRule type="cellIs" dxfId="23790" priority="12408" stopIfTrue="1" operator="equal">
      <formula>"Napkin Hs"</formula>
    </cfRule>
  </conditionalFormatting>
  <conditionalFormatting sqref="C59">
    <cfRule type="cellIs" dxfId="23789" priority="12405" stopIfTrue="1" operator="equal">
      <formula>"Towel"</formula>
    </cfRule>
    <cfRule type="cellIs" dxfId="23788" priority="12406" stopIfTrue="1" operator="equal">
      <formula>"Napkin Hs"</formula>
    </cfRule>
  </conditionalFormatting>
  <conditionalFormatting sqref="C59">
    <cfRule type="cellIs" dxfId="23787" priority="12403" stopIfTrue="1" operator="equal">
      <formula>"Towel"</formula>
    </cfRule>
    <cfRule type="cellIs" dxfId="23786" priority="12404" stopIfTrue="1" operator="equal">
      <formula>"Napkin Hs"</formula>
    </cfRule>
  </conditionalFormatting>
  <conditionalFormatting sqref="B59:C59">
    <cfRule type="cellIs" dxfId="23785" priority="12401" stopIfTrue="1" operator="equal">
      <formula>"Towel"</formula>
    </cfRule>
    <cfRule type="cellIs" dxfId="23784" priority="12402" stopIfTrue="1" operator="equal">
      <formula>"Napkin Hs"</formula>
    </cfRule>
  </conditionalFormatting>
  <conditionalFormatting sqref="C59">
    <cfRule type="cellIs" dxfId="23783" priority="12400" stopIfTrue="1" operator="equal">
      <formula>"Napkin Hs"</formula>
    </cfRule>
  </conditionalFormatting>
  <conditionalFormatting sqref="C59">
    <cfRule type="cellIs" dxfId="23782" priority="12397" stopIfTrue="1" operator="equal">
      <formula>"Towel"</formula>
    </cfRule>
    <cfRule type="cellIs" dxfId="23781" priority="12398" stopIfTrue="1" operator="equal">
      <formula>"Napkin Hs"</formula>
    </cfRule>
  </conditionalFormatting>
  <conditionalFormatting sqref="C59">
    <cfRule type="cellIs" dxfId="23780" priority="12399" stopIfTrue="1" operator="equal">
      <formula>"Towel"</formula>
    </cfRule>
  </conditionalFormatting>
  <conditionalFormatting sqref="B58:C58">
    <cfRule type="cellIs" dxfId="23779" priority="12395" stopIfTrue="1" operator="equal">
      <formula>"Towel"</formula>
    </cfRule>
    <cfRule type="cellIs" dxfId="23778" priority="12396" stopIfTrue="1" operator="equal">
      <formula>"Napkin Hs"</formula>
    </cfRule>
  </conditionalFormatting>
  <conditionalFormatting sqref="B58:C58">
    <cfRule type="cellIs" dxfId="23777" priority="12371" stopIfTrue="1" operator="equal">
      <formula>"Towel"</formula>
    </cfRule>
    <cfRule type="cellIs" dxfId="23776" priority="12372" stopIfTrue="1" operator="equal">
      <formula>"Napkin Hs"</formula>
    </cfRule>
    <cfRule type="cellIs" dxfId="23775" priority="12377" stopIfTrue="1" operator="equal">
      <formula>"Towel"</formula>
    </cfRule>
    <cfRule type="cellIs" dxfId="23774" priority="12378" stopIfTrue="1" operator="equal">
      <formula>"Napkin Hs"</formula>
    </cfRule>
    <cfRule type="cellIs" dxfId="23773" priority="12383" stopIfTrue="1" operator="equal">
      <formula>"Towel"</formula>
    </cfRule>
    <cfRule type="cellIs" dxfId="23772" priority="12384" stopIfTrue="1" operator="equal">
      <formula>"Napkin Hs"</formula>
    </cfRule>
    <cfRule type="cellIs" dxfId="23771" priority="12389" stopIfTrue="1" operator="equal">
      <formula>"Towel"</formula>
    </cfRule>
    <cfRule type="cellIs" dxfId="23770" priority="12390" stopIfTrue="1" operator="equal">
      <formula>"Napkin Hs"</formula>
    </cfRule>
  </conditionalFormatting>
  <conditionalFormatting sqref="C58">
    <cfRule type="cellIs" dxfId="23769" priority="12385" stopIfTrue="1" operator="equal">
      <formula>"Towel"</formula>
    </cfRule>
    <cfRule type="cellIs" dxfId="23768" priority="12386" stopIfTrue="1" operator="equal">
      <formula>"Napkin Hs"</formula>
    </cfRule>
    <cfRule type="cellIs" dxfId="23767" priority="12391" stopIfTrue="1" operator="equal">
      <formula>"Towel"</formula>
    </cfRule>
    <cfRule type="cellIs" dxfId="23766" priority="12392" stopIfTrue="1" operator="equal">
      <formula>"Napkin Hs"</formula>
    </cfRule>
  </conditionalFormatting>
  <conditionalFormatting sqref="C58">
    <cfRule type="cellIs" dxfId="23765" priority="12365" stopIfTrue="1" operator="equal">
      <formula>"Towel"</formula>
    </cfRule>
    <cfRule type="cellIs" dxfId="23764" priority="12366" stopIfTrue="1" operator="equal">
      <formula>"Napkin Hs"</formula>
    </cfRule>
    <cfRule type="cellIs" dxfId="23763" priority="12367" stopIfTrue="1" operator="equal">
      <formula>"Towel"</formula>
    </cfRule>
    <cfRule type="cellIs" dxfId="23762" priority="12368" stopIfTrue="1" operator="equal">
      <formula>"Napkin Hs"</formula>
    </cfRule>
    <cfRule type="cellIs" dxfId="23761" priority="12375" stopIfTrue="1" operator="equal">
      <formula>"Towel"</formula>
    </cfRule>
    <cfRule type="cellIs" dxfId="23760" priority="12376" stopIfTrue="1" operator="equal">
      <formula>"Napkin Hs"</formula>
    </cfRule>
    <cfRule type="cellIs" dxfId="23759" priority="12379" stopIfTrue="1" operator="equal">
      <formula>"Towel"</formula>
    </cfRule>
    <cfRule type="cellIs" dxfId="23758" priority="12380" stopIfTrue="1" operator="equal">
      <formula>"Napkin Hs"</formula>
    </cfRule>
    <cfRule type="cellIs" dxfId="23757" priority="12381" stopIfTrue="1" operator="equal">
      <formula>"Towel"</formula>
    </cfRule>
    <cfRule type="cellIs" dxfId="23756" priority="12382" stopIfTrue="1" operator="equal">
      <formula>"Napkin Hs"</formula>
    </cfRule>
  </conditionalFormatting>
  <conditionalFormatting sqref="C58">
    <cfRule type="cellIs" dxfId="23755" priority="12393" stopIfTrue="1" operator="equal">
      <formula>"Towel"</formula>
    </cfRule>
    <cfRule type="cellIs" dxfId="23754" priority="12394" stopIfTrue="1" operator="equal">
      <formula>"Napkin Hs"</formula>
    </cfRule>
  </conditionalFormatting>
  <conditionalFormatting sqref="C58">
    <cfRule type="cellIs" dxfId="23753" priority="12369" stopIfTrue="1" operator="equal">
      <formula>"Towel"</formula>
    </cfRule>
    <cfRule type="cellIs" dxfId="23752" priority="12370" stopIfTrue="1" operator="equal">
      <formula>"Napkin Hs"</formula>
    </cfRule>
    <cfRule type="cellIs" dxfId="23751" priority="12373" stopIfTrue="1" operator="equal">
      <formula>"Towel"</formula>
    </cfRule>
    <cfRule type="cellIs" dxfId="23750" priority="12374" stopIfTrue="1" operator="equal">
      <formula>"Napkin Hs"</formula>
    </cfRule>
    <cfRule type="cellIs" dxfId="23749" priority="12387" stopIfTrue="1" operator="equal">
      <formula>"Towel"</formula>
    </cfRule>
    <cfRule type="cellIs" dxfId="23748" priority="12388" stopIfTrue="1" operator="equal">
      <formula>"Napkin Hs"</formula>
    </cfRule>
  </conditionalFormatting>
  <conditionalFormatting sqref="B58:C58">
    <cfRule type="cellIs" dxfId="23747" priority="12321" stopIfTrue="1" operator="equal">
      <formula>"Towel"</formula>
    </cfRule>
    <cfRule type="cellIs" dxfId="23746" priority="12322" stopIfTrue="1" operator="equal">
      <formula>"Napkin Hs"</formula>
    </cfRule>
    <cfRule type="cellIs" dxfId="23745" priority="12327" stopIfTrue="1" operator="equal">
      <formula>"Towel"</formula>
    </cfRule>
    <cfRule type="cellIs" dxfId="23744" priority="12328" stopIfTrue="1" operator="equal">
      <formula>"Napkin Hs"</formula>
    </cfRule>
    <cfRule type="cellIs" dxfId="23743" priority="12333" stopIfTrue="1" operator="equal">
      <formula>"Towel"</formula>
    </cfRule>
    <cfRule type="cellIs" dxfId="23742" priority="12334" stopIfTrue="1" operator="equal">
      <formula>"Napkin Hs"</formula>
    </cfRule>
    <cfRule type="cellIs" dxfId="23741" priority="12339" stopIfTrue="1" operator="equal">
      <formula>"Towel"</formula>
    </cfRule>
    <cfRule type="cellIs" dxfId="23740" priority="12340" stopIfTrue="1" operator="equal">
      <formula>"Napkin Hs"</formula>
    </cfRule>
    <cfRule type="cellIs" dxfId="23739" priority="12345" stopIfTrue="1" operator="equal">
      <formula>"Towel"</formula>
    </cfRule>
    <cfRule type="cellIs" dxfId="23738" priority="12346" stopIfTrue="1" operator="equal">
      <formula>"Napkin Hs"</formula>
    </cfRule>
    <cfRule type="cellIs" dxfId="23737" priority="12351" stopIfTrue="1" operator="equal">
      <formula>"Towel"</formula>
    </cfRule>
    <cfRule type="cellIs" dxfId="23736" priority="12352" stopIfTrue="1" operator="equal">
      <formula>"Napkin Hs"</formula>
    </cfRule>
    <cfRule type="cellIs" dxfId="23735" priority="12357" stopIfTrue="1" operator="equal">
      <formula>"Towel"</formula>
    </cfRule>
    <cfRule type="cellIs" dxfId="23734" priority="12358" stopIfTrue="1" operator="equal">
      <formula>"Napkin Hs"</formula>
    </cfRule>
    <cfRule type="cellIs" dxfId="23733" priority="12363" stopIfTrue="1" operator="equal">
      <formula>"Towel"</formula>
    </cfRule>
    <cfRule type="cellIs" dxfId="23732" priority="12364" stopIfTrue="1" operator="equal">
      <formula>"Napkin Hs"</formula>
    </cfRule>
  </conditionalFormatting>
  <conditionalFormatting sqref="C58">
    <cfRule type="cellIs" dxfId="23731" priority="12317" stopIfTrue="1" operator="equal">
      <formula>"Towel"</formula>
    </cfRule>
    <cfRule type="cellIs" dxfId="23730" priority="12318" stopIfTrue="1" operator="equal">
      <formula>"Napkin Hs"</formula>
    </cfRule>
    <cfRule type="cellIs" dxfId="23729" priority="12319" stopIfTrue="1" operator="equal">
      <formula>"Towel"</formula>
    </cfRule>
    <cfRule type="cellIs" dxfId="23728" priority="12320" stopIfTrue="1" operator="equal">
      <formula>"Napkin Hs"</formula>
    </cfRule>
    <cfRule type="cellIs" dxfId="23727" priority="12323" stopIfTrue="1" operator="equal">
      <formula>"Towel"</formula>
    </cfRule>
    <cfRule type="cellIs" dxfId="23726" priority="12324" stopIfTrue="1" operator="equal">
      <formula>"Napkin Hs"</formula>
    </cfRule>
    <cfRule type="cellIs" dxfId="23725" priority="12325" stopIfTrue="1" operator="equal">
      <formula>"Towel"</formula>
    </cfRule>
    <cfRule type="cellIs" dxfId="23724" priority="12326" stopIfTrue="1" operator="equal">
      <formula>"Napkin Hs"</formula>
    </cfRule>
    <cfRule type="cellIs" dxfId="23723" priority="12329" stopIfTrue="1" operator="equal">
      <formula>"Towel"</formula>
    </cfRule>
    <cfRule type="cellIs" dxfId="23722" priority="12330" stopIfTrue="1" operator="equal">
      <formula>"Napkin Hs"</formula>
    </cfRule>
    <cfRule type="cellIs" dxfId="23721" priority="12331" stopIfTrue="1" operator="equal">
      <formula>"Towel"</formula>
    </cfRule>
    <cfRule type="cellIs" dxfId="23720" priority="12332" stopIfTrue="1" operator="equal">
      <formula>"Napkin Hs"</formula>
    </cfRule>
    <cfRule type="cellIs" dxfId="23719" priority="12335" stopIfTrue="1" operator="equal">
      <formula>"Towel"</formula>
    </cfRule>
    <cfRule type="cellIs" dxfId="23718" priority="12336" stopIfTrue="1" operator="equal">
      <formula>"Napkin Hs"</formula>
    </cfRule>
    <cfRule type="cellIs" dxfId="23717" priority="12337" stopIfTrue="1" operator="equal">
      <formula>"Towel"</formula>
    </cfRule>
    <cfRule type="cellIs" dxfId="23716" priority="12338" stopIfTrue="1" operator="equal">
      <formula>"Napkin Hs"</formula>
    </cfRule>
    <cfRule type="cellIs" dxfId="23715" priority="12341" stopIfTrue="1" operator="equal">
      <formula>"Towel"</formula>
    </cfRule>
    <cfRule type="cellIs" dxfId="23714" priority="12342" stopIfTrue="1" operator="equal">
      <formula>"Napkin Hs"</formula>
    </cfRule>
    <cfRule type="cellIs" dxfId="23713" priority="12343" stopIfTrue="1" operator="equal">
      <formula>"Towel"</formula>
    </cfRule>
    <cfRule type="cellIs" dxfId="23712" priority="12344" stopIfTrue="1" operator="equal">
      <formula>"Napkin Hs"</formula>
    </cfRule>
    <cfRule type="cellIs" dxfId="23711" priority="12347" stopIfTrue="1" operator="equal">
      <formula>"Towel"</formula>
    </cfRule>
    <cfRule type="cellIs" dxfId="23710" priority="12348" stopIfTrue="1" operator="equal">
      <formula>"Napkin Hs"</formula>
    </cfRule>
    <cfRule type="cellIs" dxfId="23709" priority="12349" stopIfTrue="1" operator="equal">
      <formula>"Towel"</formula>
    </cfRule>
    <cfRule type="cellIs" dxfId="23708" priority="12350" stopIfTrue="1" operator="equal">
      <formula>"Napkin Hs"</formula>
    </cfRule>
    <cfRule type="cellIs" dxfId="23707" priority="12353" stopIfTrue="1" operator="equal">
      <formula>"Towel"</formula>
    </cfRule>
    <cfRule type="cellIs" dxfId="23706" priority="12354" stopIfTrue="1" operator="equal">
      <formula>"Napkin Hs"</formula>
    </cfRule>
    <cfRule type="cellIs" dxfId="23705" priority="12355" stopIfTrue="1" operator="equal">
      <formula>"Towel"</formula>
    </cfRule>
    <cfRule type="cellIs" dxfId="23704" priority="12356" stopIfTrue="1" operator="equal">
      <formula>"Napkin Hs"</formula>
    </cfRule>
    <cfRule type="cellIs" dxfId="23703" priority="12359" stopIfTrue="1" operator="equal">
      <formula>"Towel"</formula>
    </cfRule>
    <cfRule type="cellIs" dxfId="23702" priority="12360" stopIfTrue="1" operator="equal">
      <formula>"Napkin Hs"</formula>
    </cfRule>
  </conditionalFormatting>
  <conditionalFormatting sqref="C58">
    <cfRule type="cellIs" dxfId="23701" priority="12361" stopIfTrue="1" operator="equal">
      <formula>"Towel"</formula>
    </cfRule>
    <cfRule type="cellIs" dxfId="23700" priority="12362" stopIfTrue="1" operator="equal">
      <formula>"Napkin Hs"</formula>
    </cfRule>
  </conditionalFormatting>
  <conditionalFormatting sqref="B58">
    <cfRule type="cellIs" dxfId="23699" priority="12311" stopIfTrue="1" operator="equal">
      <formula>"Towel"</formula>
    </cfRule>
    <cfRule type="cellIs" dxfId="23698" priority="12312" stopIfTrue="1" operator="equal">
      <formula>"Napkin Hs"</formula>
    </cfRule>
    <cfRule type="cellIs" dxfId="23697" priority="12313" stopIfTrue="1" operator="equal">
      <formula>"Towel"</formula>
    </cfRule>
    <cfRule type="cellIs" dxfId="23696" priority="12314" stopIfTrue="1" operator="equal">
      <formula>"Napkin Hs"</formula>
    </cfRule>
    <cfRule type="cellIs" dxfId="23695" priority="12315" stopIfTrue="1" operator="equal">
      <formula>"Towel"</formula>
    </cfRule>
    <cfRule type="cellIs" dxfId="23694" priority="12316" stopIfTrue="1" operator="equal">
      <formula>"Napkin Hs"</formula>
    </cfRule>
  </conditionalFormatting>
  <conditionalFormatting sqref="B58:C58">
    <cfRule type="cellIs" dxfId="23693" priority="12273" stopIfTrue="1" operator="equal">
      <formula>"Towel"</formula>
    </cfRule>
    <cfRule type="cellIs" dxfId="23692" priority="12274" stopIfTrue="1" operator="equal">
      <formula>"Napkin Hs"</formula>
    </cfRule>
    <cfRule type="cellIs" dxfId="23691" priority="12279" stopIfTrue="1" operator="equal">
      <formula>"Towel"</formula>
    </cfRule>
    <cfRule type="cellIs" dxfId="23690" priority="12280" stopIfTrue="1" operator="equal">
      <formula>"Napkin Hs"</formula>
    </cfRule>
    <cfRule type="cellIs" dxfId="23689" priority="12285" stopIfTrue="1" operator="equal">
      <formula>"Towel"</formula>
    </cfRule>
    <cfRule type="cellIs" dxfId="23688" priority="12286" stopIfTrue="1" operator="equal">
      <formula>"Napkin Hs"</formula>
    </cfRule>
    <cfRule type="cellIs" dxfId="23687" priority="12291" stopIfTrue="1" operator="equal">
      <formula>"Towel"</formula>
    </cfRule>
    <cfRule type="cellIs" dxfId="23686" priority="12292" stopIfTrue="1" operator="equal">
      <formula>"Napkin Hs"</formula>
    </cfRule>
    <cfRule type="cellIs" dxfId="23685" priority="12297" stopIfTrue="1" operator="equal">
      <formula>"Towel"</formula>
    </cfRule>
    <cfRule type="cellIs" dxfId="23684" priority="12298" stopIfTrue="1" operator="equal">
      <formula>"Napkin Hs"</formula>
    </cfRule>
    <cfRule type="cellIs" dxfId="23683" priority="12303" stopIfTrue="1" operator="equal">
      <formula>"Towel"</formula>
    </cfRule>
    <cfRule type="cellIs" dxfId="23682" priority="12304" stopIfTrue="1" operator="equal">
      <formula>"Napkin Hs"</formula>
    </cfRule>
    <cfRule type="cellIs" dxfId="23681" priority="12309" stopIfTrue="1" operator="equal">
      <formula>"Towel"</formula>
    </cfRule>
    <cfRule type="cellIs" dxfId="23680" priority="12310" stopIfTrue="1" operator="equal">
      <formula>"Napkin Hs"</formula>
    </cfRule>
  </conditionalFormatting>
  <conditionalFormatting sqref="C58">
    <cfRule type="cellIs" dxfId="23679" priority="12269" stopIfTrue="1" operator="equal">
      <formula>"Towel"</formula>
    </cfRule>
    <cfRule type="cellIs" dxfId="23678" priority="12270" stopIfTrue="1" operator="equal">
      <formula>"Napkin Hs"</formula>
    </cfRule>
    <cfRule type="cellIs" dxfId="23677" priority="12271" stopIfTrue="1" operator="equal">
      <formula>"Towel"</formula>
    </cfRule>
    <cfRule type="cellIs" dxfId="23676" priority="12272" stopIfTrue="1" operator="equal">
      <formula>"Napkin Hs"</formula>
    </cfRule>
    <cfRule type="cellIs" dxfId="23675" priority="12275" stopIfTrue="1" operator="equal">
      <formula>"Towel"</formula>
    </cfRule>
    <cfRule type="cellIs" dxfId="23674" priority="12276" stopIfTrue="1" operator="equal">
      <formula>"Napkin Hs"</formula>
    </cfRule>
    <cfRule type="cellIs" dxfId="23673" priority="12277" stopIfTrue="1" operator="equal">
      <formula>"Towel"</formula>
    </cfRule>
    <cfRule type="cellIs" dxfId="23672" priority="12278" stopIfTrue="1" operator="equal">
      <formula>"Napkin Hs"</formula>
    </cfRule>
    <cfRule type="cellIs" dxfId="23671" priority="12281" stopIfTrue="1" operator="equal">
      <formula>"Towel"</formula>
    </cfRule>
    <cfRule type="cellIs" dxfId="23670" priority="12282" stopIfTrue="1" operator="equal">
      <formula>"Napkin Hs"</formula>
    </cfRule>
    <cfRule type="cellIs" dxfId="23669" priority="12283" stopIfTrue="1" operator="equal">
      <formula>"Towel"</formula>
    </cfRule>
    <cfRule type="cellIs" dxfId="23668" priority="12284" stopIfTrue="1" operator="equal">
      <formula>"Napkin Hs"</formula>
    </cfRule>
    <cfRule type="cellIs" dxfId="23667" priority="12287" stopIfTrue="1" operator="equal">
      <formula>"Towel"</formula>
    </cfRule>
    <cfRule type="cellIs" dxfId="23666" priority="12288" stopIfTrue="1" operator="equal">
      <formula>"Napkin Hs"</formula>
    </cfRule>
    <cfRule type="cellIs" dxfId="23665" priority="12289" stopIfTrue="1" operator="equal">
      <formula>"Towel"</formula>
    </cfRule>
    <cfRule type="cellIs" dxfId="23664" priority="12290" stopIfTrue="1" operator="equal">
      <formula>"Napkin Hs"</formula>
    </cfRule>
    <cfRule type="cellIs" dxfId="23663" priority="12293" stopIfTrue="1" operator="equal">
      <formula>"Towel"</formula>
    </cfRule>
    <cfRule type="cellIs" dxfId="23662" priority="12294" stopIfTrue="1" operator="equal">
      <formula>"Napkin Hs"</formula>
    </cfRule>
    <cfRule type="cellIs" dxfId="23661" priority="12295" stopIfTrue="1" operator="equal">
      <formula>"Towel"</formula>
    </cfRule>
    <cfRule type="cellIs" dxfId="23660" priority="12296" stopIfTrue="1" operator="equal">
      <formula>"Napkin Hs"</formula>
    </cfRule>
    <cfRule type="cellIs" dxfId="23659" priority="12299" stopIfTrue="1" operator="equal">
      <formula>"Towel"</formula>
    </cfRule>
    <cfRule type="cellIs" dxfId="23658" priority="12300" stopIfTrue="1" operator="equal">
      <formula>"Napkin Hs"</formula>
    </cfRule>
    <cfRule type="cellIs" dxfId="23657" priority="12301" stopIfTrue="1" operator="equal">
      <formula>"Towel"</formula>
    </cfRule>
    <cfRule type="cellIs" dxfId="23656" priority="12302" stopIfTrue="1" operator="equal">
      <formula>"Napkin Hs"</formula>
    </cfRule>
    <cfRule type="cellIs" dxfId="23655" priority="12305" stopIfTrue="1" operator="equal">
      <formula>"Towel"</formula>
    </cfRule>
    <cfRule type="cellIs" dxfId="23654" priority="12306" stopIfTrue="1" operator="equal">
      <formula>"Napkin Hs"</formula>
    </cfRule>
  </conditionalFormatting>
  <conditionalFormatting sqref="C58">
    <cfRule type="cellIs" dxfId="23653" priority="12307" stopIfTrue="1" operator="equal">
      <formula>"Towel"</formula>
    </cfRule>
    <cfRule type="cellIs" dxfId="23652" priority="12308" stopIfTrue="1" operator="equal">
      <formula>"Napkin Hs"</formula>
    </cfRule>
  </conditionalFormatting>
  <conditionalFormatting sqref="B58:C58">
    <cfRule type="cellIs" dxfId="23651" priority="12267" stopIfTrue="1" operator="equal">
      <formula>"Towel"</formula>
    </cfRule>
    <cfRule type="cellIs" dxfId="23650" priority="12268" stopIfTrue="1" operator="equal">
      <formula>"Napkin Hs"</formula>
    </cfRule>
  </conditionalFormatting>
  <conditionalFormatting sqref="B58:C58">
    <cfRule type="cellIs" dxfId="23649" priority="12231" stopIfTrue="1" operator="equal">
      <formula>"Towel"</formula>
    </cfRule>
    <cfRule type="cellIs" dxfId="23648" priority="12232" stopIfTrue="1" operator="equal">
      <formula>"Napkin Hs"</formula>
    </cfRule>
    <cfRule type="cellIs" dxfId="23647" priority="12237" stopIfTrue="1" operator="equal">
      <formula>"Towel"</formula>
    </cfRule>
    <cfRule type="cellIs" dxfId="23646" priority="12238" stopIfTrue="1" operator="equal">
      <formula>"Napkin Hs"</formula>
    </cfRule>
    <cfRule type="cellIs" dxfId="23645" priority="12243" stopIfTrue="1" operator="equal">
      <formula>"Towel"</formula>
    </cfRule>
    <cfRule type="cellIs" dxfId="23644" priority="12244" stopIfTrue="1" operator="equal">
      <formula>"Napkin Hs"</formula>
    </cfRule>
    <cfRule type="cellIs" dxfId="23643" priority="12249" stopIfTrue="1" operator="equal">
      <formula>"Towel"</formula>
    </cfRule>
    <cfRule type="cellIs" dxfId="23642" priority="12250" stopIfTrue="1" operator="equal">
      <formula>"Napkin Hs"</formula>
    </cfRule>
    <cfRule type="cellIs" dxfId="23641" priority="12255" stopIfTrue="1" operator="equal">
      <formula>"Towel"</formula>
    </cfRule>
    <cfRule type="cellIs" dxfId="23640" priority="12256" stopIfTrue="1" operator="equal">
      <formula>"Napkin Hs"</formula>
    </cfRule>
    <cfRule type="cellIs" dxfId="23639" priority="12261" stopIfTrue="1" operator="equal">
      <formula>"Towel"</formula>
    </cfRule>
    <cfRule type="cellIs" dxfId="23638" priority="12262" stopIfTrue="1" operator="equal">
      <formula>"Napkin Hs"</formula>
    </cfRule>
  </conditionalFormatting>
  <conditionalFormatting sqref="C58">
    <cfRule type="cellIs" dxfId="23637" priority="12266" stopIfTrue="1" operator="equal">
      <formula>"Napkin Hs"</formula>
    </cfRule>
  </conditionalFormatting>
  <conditionalFormatting sqref="C58">
    <cfRule type="cellIs" dxfId="23636" priority="12265" stopIfTrue="1" operator="equal">
      <formula>"Towel"</formula>
    </cfRule>
  </conditionalFormatting>
  <conditionalFormatting sqref="C58">
    <cfRule type="cellIs" dxfId="23635" priority="12259" stopIfTrue="1" operator="equal">
      <formula>"Towel"</formula>
    </cfRule>
    <cfRule type="cellIs" dxfId="23634" priority="12260" stopIfTrue="1" operator="equal">
      <formula>"Napkin Hs"</formula>
    </cfRule>
  </conditionalFormatting>
  <conditionalFormatting sqref="C58">
    <cfRule type="cellIs" dxfId="23633" priority="12257" stopIfTrue="1" operator="equal">
      <formula>"Towel"</formula>
    </cfRule>
    <cfRule type="cellIs" dxfId="23632" priority="12258" stopIfTrue="1" operator="equal">
      <formula>"Napkin Hs"</formula>
    </cfRule>
    <cfRule type="cellIs" dxfId="23631" priority="12263" stopIfTrue="1" operator="equal">
      <formula>"Towel"</formula>
    </cfRule>
    <cfRule type="cellIs" dxfId="23630" priority="12264" stopIfTrue="1" operator="equal">
      <formula>"Napkin Hs"</formula>
    </cfRule>
  </conditionalFormatting>
  <conditionalFormatting sqref="C58">
    <cfRule type="cellIs" dxfId="23629" priority="12229" stopIfTrue="1" operator="equal">
      <formula>"Towel"</formula>
    </cfRule>
    <cfRule type="cellIs" dxfId="23628" priority="12230" stopIfTrue="1" operator="equal">
      <formula>"Napkin Hs"</formula>
    </cfRule>
    <cfRule type="cellIs" dxfId="23627" priority="12233" stopIfTrue="1" operator="equal">
      <formula>"Towel"</formula>
    </cfRule>
    <cfRule type="cellIs" dxfId="23626" priority="12234" stopIfTrue="1" operator="equal">
      <formula>"Napkin Hs"</formula>
    </cfRule>
    <cfRule type="cellIs" dxfId="23625" priority="12235" stopIfTrue="1" operator="equal">
      <formula>"Towel"</formula>
    </cfRule>
    <cfRule type="cellIs" dxfId="23624" priority="12236" stopIfTrue="1" operator="equal">
      <formula>"Napkin Hs"</formula>
    </cfRule>
    <cfRule type="cellIs" dxfId="23623" priority="12239" stopIfTrue="1" operator="equal">
      <formula>"Towel"</formula>
    </cfRule>
    <cfRule type="cellIs" dxfId="23622" priority="12240" stopIfTrue="1" operator="equal">
      <formula>"Napkin Hs"</formula>
    </cfRule>
    <cfRule type="cellIs" dxfId="23621" priority="12241" stopIfTrue="1" operator="equal">
      <formula>"Towel"</formula>
    </cfRule>
    <cfRule type="cellIs" dxfId="23620" priority="12242" stopIfTrue="1" operator="equal">
      <formula>"Napkin Hs"</formula>
    </cfRule>
    <cfRule type="cellIs" dxfId="23619" priority="12245" stopIfTrue="1" operator="equal">
      <formula>"Towel"</formula>
    </cfRule>
    <cfRule type="cellIs" dxfId="23618" priority="12246" stopIfTrue="1" operator="equal">
      <formula>"Napkin Hs"</formula>
    </cfRule>
    <cfRule type="cellIs" dxfId="23617" priority="12247" stopIfTrue="1" operator="equal">
      <formula>"Towel"</formula>
    </cfRule>
    <cfRule type="cellIs" dxfId="23616" priority="12248" stopIfTrue="1" operator="equal">
      <formula>"Napkin Hs"</formula>
    </cfRule>
    <cfRule type="cellIs" dxfId="23615" priority="12251" stopIfTrue="1" operator="equal">
      <formula>"Towel"</formula>
    </cfRule>
    <cfRule type="cellIs" dxfId="23614" priority="12252" stopIfTrue="1" operator="equal">
      <formula>"Napkin Hs"</formula>
    </cfRule>
    <cfRule type="cellIs" dxfId="23613" priority="12253" stopIfTrue="1" operator="equal">
      <formula>"Towel"</formula>
    </cfRule>
    <cfRule type="cellIs" dxfId="23612" priority="12254" stopIfTrue="1" operator="equal">
      <formula>"Napkin Hs"</formula>
    </cfRule>
  </conditionalFormatting>
  <conditionalFormatting sqref="C58">
    <cfRule type="cellIs" dxfId="23611" priority="12227" stopIfTrue="1" operator="equal">
      <formula>"Towel"</formula>
    </cfRule>
    <cfRule type="cellIs" dxfId="23610" priority="12228" stopIfTrue="1" operator="equal">
      <formula>"Napkin Hs"</formula>
    </cfRule>
  </conditionalFormatting>
  <conditionalFormatting sqref="C58">
    <cfRule type="cellIs" dxfId="23609" priority="12207" stopIfTrue="1" operator="equal">
      <formula>"Towel"</formula>
    </cfRule>
    <cfRule type="cellIs" dxfId="23608" priority="12208" stopIfTrue="1" operator="equal">
      <formula>"Napkin Hs"</formula>
    </cfRule>
    <cfRule type="cellIs" dxfId="23607" priority="12213" stopIfTrue="1" operator="equal">
      <formula>"Towel"</formula>
    </cfRule>
    <cfRule type="cellIs" dxfId="23606" priority="12214" stopIfTrue="1" operator="equal">
      <formula>"Napkin Hs"</formula>
    </cfRule>
    <cfRule type="cellIs" dxfId="23605" priority="12219" stopIfTrue="1" operator="equal">
      <formula>"Towel"</formula>
    </cfRule>
    <cfRule type="cellIs" dxfId="23604" priority="12220" stopIfTrue="1" operator="equal">
      <formula>"Napkin Hs"</formula>
    </cfRule>
    <cfRule type="cellIs" dxfId="23603" priority="12225" stopIfTrue="1" operator="equal">
      <formula>"Towel"</formula>
    </cfRule>
    <cfRule type="cellIs" dxfId="23602" priority="12226" stopIfTrue="1" operator="equal">
      <formula>"Napkin Hs"</formula>
    </cfRule>
  </conditionalFormatting>
  <conditionalFormatting sqref="C58">
    <cfRule type="cellIs" dxfId="23601" priority="12217" stopIfTrue="1" operator="equal">
      <formula>"Towel"</formula>
    </cfRule>
    <cfRule type="cellIs" dxfId="23600" priority="12218" stopIfTrue="1" operator="equal">
      <formula>"Napkin Hs"</formula>
    </cfRule>
    <cfRule type="cellIs" dxfId="23599" priority="12223" stopIfTrue="1" operator="equal">
      <formula>"Towel"</formula>
    </cfRule>
    <cfRule type="cellIs" dxfId="23598" priority="12224" stopIfTrue="1" operator="equal">
      <formula>"Napkin Hs"</formula>
    </cfRule>
  </conditionalFormatting>
  <conditionalFormatting sqref="C58">
    <cfRule type="cellIs" dxfId="23597" priority="12203" stopIfTrue="1" operator="equal">
      <formula>"Towel"</formula>
    </cfRule>
    <cfRule type="cellIs" dxfId="23596" priority="12204" stopIfTrue="1" operator="equal">
      <formula>"Napkin Hs"</formula>
    </cfRule>
    <cfRule type="cellIs" dxfId="23595" priority="12211" stopIfTrue="1" operator="equal">
      <formula>"Towel"</formula>
    </cfRule>
    <cfRule type="cellIs" dxfId="23594" priority="12212" stopIfTrue="1" operator="equal">
      <formula>"Napkin Hs"</formula>
    </cfRule>
    <cfRule type="cellIs" dxfId="23593" priority="12215" stopIfTrue="1" operator="equal">
      <formula>"Towel"</formula>
    </cfRule>
    <cfRule type="cellIs" dxfId="23592" priority="12216" stopIfTrue="1" operator="equal">
      <formula>"Napkin Hs"</formula>
    </cfRule>
  </conditionalFormatting>
  <conditionalFormatting sqref="C58">
    <cfRule type="cellIs" dxfId="23591" priority="12205" stopIfTrue="1" operator="equal">
      <formula>"Towel"</formula>
    </cfRule>
    <cfRule type="cellIs" dxfId="23590" priority="12206" stopIfTrue="1" operator="equal">
      <formula>"Napkin Hs"</formula>
    </cfRule>
    <cfRule type="cellIs" dxfId="23589" priority="12209" stopIfTrue="1" operator="equal">
      <formula>"Towel"</formula>
    </cfRule>
    <cfRule type="cellIs" dxfId="23588" priority="12210" stopIfTrue="1" operator="equal">
      <formula>"Napkin Hs"</formula>
    </cfRule>
    <cfRule type="cellIs" dxfId="23587" priority="12221" stopIfTrue="1" operator="equal">
      <formula>"Towel"</formula>
    </cfRule>
    <cfRule type="cellIs" dxfId="23586" priority="12222" stopIfTrue="1" operator="equal">
      <formula>"Napkin Hs"</formula>
    </cfRule>
  </conditionalFormatting>
  <conditionalFormatting sqref="C58">
    <cfRule type="cellIs" dxfId="23585" priority="12201" stopIfTrue="1" operator="equal">
      <formula>"Towel"</formula>
    </cfRule>
    <cfRule type="cellIs" dxfId="23584" priority="12202" stopIfTrue="1" operator="equal">
      <formula>"Napkin Hs"</formula>
    </cfRule>
  </conditionalFormatting>
  <conditionalFormatting sqref="C58">
    <cfRule type="cellIs" dxfId="23583" priority="12197" stopIfTrue="1" operator="equal">
      <formula>"Towel"</formula>
    </cfRule>
    <cfRule type="cellIs" dxfId="23582" priority="12198" stopIfTrue="1" operator="equal">
      <formula>"Napkin Hs"</formula>
    </cfRule>
  </conditionalFormatting>
  <conditionalFormatting sqref="C58">
    <cfRule type="cellIs" dxfId="23581" priority="12199" stopIfTrue="1" operator="equal">
      <formula>"Towel"</formula>
    </cfRule>
    <cfRule type="cellIs" dxfId="23580" priority="12200" stopIfTrue="1" operator="equal">
      <formula>"Napkin Hs"</formula>
    </cfRule>
  </conditionalFormatting>
  <conditionalFormatting sqref="C58">
    <cfRule type="cellIs" dxfId="23579" priority="12195" stopIfTrue="1" operator="equal">
      <formula>"Towel"</formula>
    </cfRule>
    <cfRule type="cellIs" dxfId="23578" priority="12196" stopIfTrue="1" operator="equal">
      <formula>"Napkin Hs"</formula>
    </cfRule>
  </conditionalFormatting>
  <conditionalFormatting sqref="C58">
    <cfRule type="cellIs" dxfId="23577" priority="12191" stopIfTrue="1" operator="equal">
      <formula>"Towel"</formula>
    </cfRule>
    <cfRule type="cellIs" dxfId="23576" priority="12192" stopIfTrue="1" operator="equal">
      <formula>"Napkin Hs"</formula>
    </cfRule>
  </conditionalFormatting>
  <conditionalFormatting sqref="C58">
    <cfRule type="cellIs" dxfId="23575" priority="12193" stopIfTrue="1" operator="equal">
      <formula>"Towel"</formula>
    </cfRule>
    <cfRule type="cellIs" dxfId="23574" priority="12194" stopIfTrue="1" operator="equal">
      <formula>"Napkin Hs"</formula>
    </cfRule>
  </conditionalFormatting>
  <conditionalFormatting sqref="C58">
    <cfRule type="cellIs" dxfId="23573" priority="12189" stopIfTrue="1" operator="equal">
      <formula>"Towel"</formula>
    </cfRule>
    <cfRule type="cellIs" dxfId="23572" priority="12190" stopIfTrue="1" operator="equal">
      <formula>"Napkin Hs"</formula>
    </cfRule>
  </conditionalFormatting>
  <conditionalFormatting sqref="C58">
    <cfRule type="cellIs" dxfId="23571" priority="12185" stopIfTrue="1" operator="equal">
      <formula>"Towel"</formula>
    </cfRule>
    <cfRule type="cellIs" dxfId="23570" priority="12186" stopIfTrue="1" operator="equal">
      <formula>"Napkin Hs"</formula>
    </cfRule>
  </conditionalFormatting>
  <conditionalFormatting sqref="C58">
    <cfRule type="cellIs" dxfId="23569" priority="12187" stopIfTrue="1" operator="equal">
      <formula>"Towel"</formula>
    </cfRule>
    <cfRule type="cellIs" dxfId="23568" priority="12188" stopIfTrue="1" operator="equal">
      <formula>"Napkin Hs"</formula>
    </cfRule>
  </conditionalFormatting>
  <conditionalFormatting sqref="C58">
    <cfRule type="cellIs" dxfId="23567" priority="12183" stopIfTrue="1" operator="equal">
      <formula>"Towel"</formula>
    </cfRule>
    <cfRule type="cellIs" dxfId="23566" priority="12184" stopIfTrue="1" operator="equal">
      <formula>"Napkin Hs"</formula>
    </cfRule>
  </conditionalFormatting>
  <conditionalFormatting sqref="C58">
    <cfRule type="cellIs" dxfId="23565" priority="12181" stopIfTrue="1" operator="equal">
      <formula>"Towel"</formula>
    </cfRule>
    <cfRule type="cellIs" dxfId="23564" priority="12182" stopIfTrue="1" operator="equal">
      <formula>"Napkin Hs"</formula>
    </cfRule>
  </conditionalFormatting>
  <conditionalFormatting sqref="C58">
    <cfRule type="cellIs" dxfId="23563" priority="12179" stopIfTrue="1" operator="equal">
      <formula>"Towel"</formula>
    </cfRule>
    <cfRule type="cellIs" dxfId="23562" priority="12180" stopIfTrue="1" operator="equal">
      <formula>"Napkin Hs"</formula>
    </cfRule>
  </conditionalFormatting>
  <conditionalFormatting sqref="C58">
    <cfRule type="cellIs" dxfId="23561" priority="12177" stopIfTrue="1" operator="equal">
      <formula>"Towel"</formula>
    </cfRule>
    <cfRule type="cellIs" dxfId="23560" priority="12178" stopIfTrue="1" operator="equal">
      <formula>"Napkin Hs"</formula>
    </cfRule>
  </conditionalFormatting>
  <conditionalFormatting sqref="C58">
    <cfRule type="cellIs" dxfId="23559" priority="12176" stopIfTrue="1" operator="equal">
      <formula>"Napkin Hs"</formula>
    </cfRule>
  </conditionalFormatting>
  <conditionalFormatting sqref="C58">
    <cfRule type="cellIs" dxfId="23558" priority="12173" stopIfTrue="1" operator="equal">
      <formula>"Towel"</formula>
    </cfRule>
    <cfRule type="cellIs" dxfId="23557" priority="12174" stopIfTrue="1" operator="equal">
      <formula>"Napkin Hs"</formula>
    </cfRule>
  </conditionalFormatting>
  <conditionalFormatting sqref="C58">
    <cfRule type="cellIs" dxfId="23556" priority="12175" stopIfTrue="1" operator="equal">
      <formula>"Towel"</formula>
    </cfRule>
  </conditionalFormatting>
  <conditionalFormatting sqref="B58">
    <cfRule type="cellIs" dxfId="23555" priority="12171" stopIfTrue="1" operator="equal">
      <formula>"Towel"</formula>
    </cfRule>
    <cfRule type="cellIs" dxfId="23554" priority="12172" stopIfTrue="1" operator="equal">
      <formula>"Napkin Hs"</formula>
    </cfRule>
  </conditionalFormatting>
  <conditionalFormatting sqref="B58">
    <cfRule type="cellIs" dxfId="23553" priority="12169" stopIfTrue="1" operator="equal">
      <formula>"Towel"</formula>
    </cfRule>
    <cfRule type="cellIs" dxfId="23552" priority="12170" stopIfTrue="1" operator="equal">
      <formula>"Napkin Hs"</formula>
    </cfRule>
  </conditionalFormatting>
  <conditionalFormatting sqref="B58">
    <cfRule type="cellIs" dxfId="23551" priority="12167" stopIfTrue="1" operator="equal">
      <formula>"Towel"</formula>
    </cfRule>
    <cfRule type="cellIs" dxfId="23550" priority="12168" stopIfTrue="1" operator="equal">
      <formula>"Napkin Hs"</formula>
    </cfRule>
  </conditionalFormatting>
  <conditionalFormatting sqref="B58">
    <cfRule type="cellIs" dxfId="23549" priority="12165" stopIfTrue="1" operator="equal">
      <formula>"Towel"</formula>
    </cfRule>
    <cfRule type="cellIs" dxfId="23548" priority="12166" stopIfTrue="1" operator="equal">
      <formula>"Napkin Hs"</formula>
    </cfRule>
  </conditionalFormatting>
  <conditionalFormatting sqref="B58">
    <cfRule type="cellIs" dxfId="23547" priority="12163" stopIfTrue="1" operator="equal">
      <formula>"Towel"</formula>
    </cfRule>
    <cfRule type="cellIs" dxfId="23546" priority="12164" stopIfTrue="1" operator="equal">
      <formula>"Napkin Hs"</formula>
    </cfRule>
  </conditionalFormatting>
  <conditionalFormatting sqref="B58">
    <cfRule type="cellIs" dxfId="23545" priority="12161" stopIfTrue="1" operator="equal">
      <formula>"Towel"</formula>
    </cfRule>
    <cfRule type="cellIs" dxfId="23544" priority="12162" stopIfTrue="1" operator="equal">
      <formula>"Napkin Hs"</formula>
    </cfRule>
  </conditionalFormatting>
  <conditionalFormatting sqref="B58">
    <cfRule type="cellIs" dxfId="23543" priority="12157" stopIfTrue="1" operator="equal">
      <formula>"Towel"</formula>
    </cfRule>
    <cfRule type="cellIs" dxfId="23542" priority="12158" stopIfTrue="1" operator="equal">
      <formula>"Napkin Hs"</formula>
    </cfRule>
    <cfRule type="cellIs" dxfId="23541" priority="12159" stopIfTrue="1" operator="equal">
      <formula>"Towel"</formula>
    </cfRule>
    <cfRule type="cellIs" dxfId="23540" priority="12160" stopIfTrue="1" operator="equal">
      <formula>"Napkin Hs"</formula>
    </cfRule>
  </conditionalFormatting>
  <conditionalFormatting sqref="B58">
    <cfRule type="cellIs" dxfId="23539" priority="12155" stopIfTrue="1" operator="equal">
      <formula>"Towel"</formula>
    </cfRule>
    <cfRule type="cellIs" dxfId="23538" priority="12156" stopIfTrue="1" operator="equal">
      <formula>"Napkin Hs"</formula>
    </cfRule>
  </conditionalFormatting>
  <conditionalFormatting sqref="B58">
    <cfRule type="cellIs" dxfId="23537" priority="12153" stopIfTrue="1" operator="equal">
      <formula>"Towel"</formula>
    </cfRule>
    <cfRule type="cellIs" dxfId="23536" priority="12154" stopIfTrue="1" operator="equal">
      <formula>"Napkin Hs"</formula>
    </cfRule>
  </conditionalFormatting>
  <conditionalFormatting sqref="B58">
    <cfRule type="cellIs" dxfId="23535" priority="12151" stopIfTrue="1" operator="equal">
      <formula>"Towel"</formula>
    </cfRule>
    <cfRule type="cellIs" dxfId="23534" priority="12152" stopIfTrue="1" operator="equal">
      <formula>"Napkin Hs"</formula>
    </cfRule>
  </conditionalFormatting>
  <conditionalFormatting sqref="B58">
    <cfRule type="cellIs" dxfId="23533" priority="12149" stopIfTrue="1" operator="equal">
      <formula>"Towel"</formula>
    </cfRule>
    <cfRule type="cellIs" dxfId="23532" priority="12150" stopIfTrue="1" operator="equal">
      <formula>"Napkin Hs"</formula>
    </cfRule>
  </conditionalFormatting>
  <conditionalFormatting sqref="B58">
    <cfRule type="cellIs" dxfId="23531" priority="12147" stopIfTrue="1" operator="equal">
      <formula>"Towel"</formula>
    </cfRule>
    <cfRule type="cellIs" dxfId="23530" priority="12148" stopIfTrue="1" operator="equal">
      <formula>"Napkin Hs"</formula>
    </cfRule>
  </conditionalFormatting>
  <conditionalFormatting sqref="B58:C58">
    <cfRule type="cellIs" dxfId="23529" priority="12133" stopIfTrue="1" operator="equal">
      <formula>"Towel"</formula>
    </cfRule>
    <cfRule type="cellIs" dxfId="23528" priority="12134" stopIfTrue="1" operator="equal">
      <formula>"Napkin Hs"</formula>
    </cfRule>
    <cfRule type="cellIs" dxfId="23527" priority="12139" stopIfTrue="1" operator="equal">
      <formula>"Towel"</formula>
    </cfRule>
    <cfRule type="cellIs" dxfId="23526" priority="12140" stopIfTrue="1" operator="equal">
      <formula>"Napkin Hs"</formula>
    </cfRule>
    <cfRule type="cellIs" dxfId="23525" priority="12145" stopIfTrue="1" operator="equal">
      <formula>"Towel"</formula>
    </cfRule>
    <cfRule type="cellIs" dxfId="23524" priority="12146" stopIfTrue="1" operator="equal">
      <formula>"Napkin Hs"</formula>
    </cfRule>
  </conditionalFormatting>
  <conditionalFormatting sqref="C58">
    <cfRule type="cellIs" dxfId="23523" priority="12127" stopIfTrue="1" operator="equal">
      <formula>"Towel"</formula>
    </cfRule>
    <cfRule type="cellIs" dxfId="23522" priority="12128" stopIfTrue="1" operator="equal">
      <formula>"Napkin Hs"</formula>
    </cfRule>
    <cfRule type="cellIs" dxfId="23521" priority="12129" stopIfTrue="1" operator="equal">
      <formula>"Towel"</formula>
    </cfRule>
    <cfRule type="cellIs" dxfId="23520" priority="12130" stopIfTrue="1" operator="equal">
      <formula>"Napkin Hs"</formula>
    </cfRule>
    <cfRule type="cellIs" dxfId="23519" priority="12137" stopIfTrue="1" operator="equal">
      <formula>"Towel"</formula>
    </cfRule>
    <cfRule type="cellIs" dxfId="23518" priority="12138" stopIfTrue="1" operator="equal">
      <formula>"Napkin Hs"</formula>
    </cfRule>
    <cfRule type="cellIs" dxfId="23517" priority="12141" stopIfTrue="1" operator="equal">
      <formula>"Towel"</formula>
    </cfRule>
    <cfRule type="cellIs" dxfId="23516" priority="12142" stopIfTrue="1" operator="equal">
      <formula>"Napkin Hs"</formula>
    </cfRule>
  </conditionalFormatting>
  <conditionalFormatting sqref="C58">
    <cfRule type="cellIs" dxfId="23515" priority="12131" stopIfTrue="1" operator="equal">
      <formula>"Towel"</formula>
    </cfRule>
    <cfRule type="cellIs" dxfId="23514" priority="12132" stopIfTrue="1" operator="equal">
      <formula>"Napkin Hs"</formula>
    </cfRule>
    <cfRule type="cellIs" dxfId="23513" priority="12135" stopIfTrue="1" operator="equal">
      <formula>"Towel"</formula>
    </cfRule>
    <cfRule type="cellIs" dxfId="23512" priority="12136" stopIfTrue="1" operator="equal">
      <formula>"Napkin Hs"</formula>
    </cfRule>
    <cfRule type="cellIs" dxfId="23511" priority="12143" stopIfTrue="1" operator="equal">
      <formula>"Towel"</formula>
    </cfRule>
    <cfRule type="cellIs" dxfId="23510" priority="12144" stopIfTrue="1" operator="equal">
      <formula>"Napkin Hs"</formula>
    </cfRule>
  </conditionalFormatting>
  <conditionalFormatting sqref="B58:C58">
    <cfRule type="cellIs" dxfId="23509" priority="12125" stopIfTrue="1" operator="equal">
      <formula>"Towel"</formula>
    </cfRule>
    <cfRule type="cellIs" dxfId="23508" priority="12126" stopIfTrue="1" operator="equal">
      <formula>"Napkin Hs"</formula>
    </cfRule>
  </conditionalFormatting>
  <conditionalFormatting sqref="B58:C58">
    <cfRule type="cellIs" dxfId="23507" priority="12117" stopIfTrue="1" operator="equal">
      <formula>"Towel"</formula>
    </cfRule>
    <cfRule type="cellIs" dxfId="23506" priority="12118" stopIfTrue="1" operator="equal">
      <formula>"Napkin Hs"</formula>
    </cfRule>
    <cfRule type="cellIs" dxfId="23505" priority="12123" stopIfTrue="1" operator="equal">
      <formula>"Towel"</formula>
    </cfRule>
    <cfRule type="cellIs" dxfId="23504" priority="12124" stopIfTrue="1" operator="equal">
      <formula>"Napkin Hs"</formula>
    </cfRule>
  </conditionalFormatting>
  <conditionalFormatting sqref="C58">
    <cfRule type="cellIs" dxfId="23503" priority="12113" stopIfTrue="1" operator="equal">
      <formula>"Towel"</formula>
    </cfRule>
    <cfRule type="cellIs" dxfId="23502" priority="12114" stopIfTrue="1" operator="equal">
      <formula>"Napkin Hs"</formula>
    </cfRule>
  </conditionalFormatting>
  <conditionalFormatting sqref="C58">
    <cfRule type="cellIs" dxfId="23501" priority="12111" stopIfTrue="1" operator="equal">
      <formula>"Towel"</formula>
    </cfRule>
    <cfRule type="cellIs" dxfId="23500" priority="12112" stopIfTrue="1" operator="equal">
      <formula>"Napkin Hs"</formula>
    </cfRule>
    <cfRule type="cellIs" dxfId="23499" priority="12121" stopIfTrue="1" operator="equal">
      <formula>"Towel"</formula>
    </cfRule>
    <cfRule type="cellIs" dxfId="23498" priority="12122" stopIfTrue="1" operator="equal">
      <formula>"Napkin Hs"</formula>
    </cfRule>
  </conditionalFormatting>
  <conditionalFormatting sqref="C58">
    <cfRule type="cellIs" dxfId="23497" priority="12115" stopIfTrue="1" operator="equal">
      <formula>"Towel"</formula>
    </cfRule>
    <cfRule type="cellIs" dxfId="23496" priority="12116" stopIfTrue="1" operator="equal">
      <formula>"Napkin Hs"</formula>
    </cfRule>
    <cfRule type="cellIs" dxfId="23495" priority="12119" stopIfTrue="1" operator="equal">
      <formula>"Towel"</formula>
    </cfRule>
    <cfRule type="cellIs" dxfId="23494" priority="12120" stopIfTrue="1" operator="equal">
      <formula>"Napkin Hs"</formula>
    </cfRule>
  </conditionalFormatting>
  <conditionalFormatting sqref="C58">
    <cfRule type="cellIs" dxfId="23493" priority="12110" stopIfTrue="1" operator="equal">
      <formula>"Napkin Hs"</formula>
    </cfRule>
  </conditionalFormatting>
  <conditionalFormatting sqref="C58">
    <cfRule type="cellIs" dxfId="23492" priority="12109" stopIfTrue="1" operator="equal">
      <formula>"Towel"</formula>
    </cfRule>
  </conditionalFormatting>
  <conditionalFormatting sqref="C58">
    <cfRule type="cellIs" dxfId="23491" priority="12105" stopIfTrue="1" operator="equal">
      <formula>"Towel"</formula>
    </cfRule>
    <cfRule type="cellIs" dxfId="23490" priority="12106" stopIfTrue="1" operator="equal">
      <formula>"Napkin Hs"</formula>
    </cfRule>
    <cfRule type="cellIs" dxfId="23489" priority="12107" stopIfTrue="1" operator="equal">
      <formula>"Towel"</formula>
    </cfRule>
    <cfRule type="cellIs" dxfId="23488" priority="12108" stopIfTrue="1" operator="equal">
      <formula>"Napkin Hs"</formula>
    </cfRule>
  </conditionalFormatting>
  <conditionalFormatting sqref="B58:C58">
    <cfRule type="cellIs" dxfId="23487" priority="12103" stopIfTrue="1" operator="equal">
      <formula>"Towel"</formula>
    </cfRule>
    <cfRule type="cellIs" dxfId="23486" priority="12104" stopIfTrue="1" operator="equal">
      <formula>"Napkin Hs"</formula>
    </cfRule>
  </conditionalFormatting>
  <conditionalFormatting sqref="C58">
    <cfRule type="cellIs" dxfId="23485" priority="12099" stopIfTrue="1" operator="equal">
      <formula>"Towel"</formula>
    </cfRule>
    <cfRule type="cellIs" dxfId="23484" priority="12100" stopIfTrue="1" operator="equal">
      <formula>"Napkin Hs"</formula>
    </cfRule>
  </conditionalFormatting>
  <conditionalFormatting sqref="C58">
    <cfRule type="cellIs" dxfId="23483" priority="12101" stopIfTrue="1" operator="equal">
      <formula>"Towel"</formula>
    </cfRule>
    <cfRule type="cellIs" dxfId="23482" priority="12102" stopIfTrue="1" operator="equal">
      <formula>"Napkin Hs"</formula>
    </cfRule>
  </conditionalFormatting>
  <conditionalFormatting sqref="B58:C58">
    <cfRule type="cellIs" dxfId="23481" priority="12097" stopIfTrue="1" operator="equal">
      <formula>"Towel"</formula>
    </cfRule>
    <cfRule type="cellIs" dxfId="23480" priority="12098" stopIfTrue="1" operator="equal">
      <formula>"Napkin Hs"</formula>
    </cfRule>
  </conditionalFormatting>
  <conditionalFormatting sqref="C58">
    <cfRule type="cellIs" dxfId="23479" priority="12093" stopIfTrue="1" operator="equal">
      <formula>"Towel"</formula>
    </cfRule>
    <cfRule type="cellIs" dxfId="23478" priority="12094" stopIfTrue="1" operator="equal">
      <formula>"Napkin Hs"</formula>
    </cfRule>
  </conditionalFormatting>
  <conditionalFormatting sqref="C58">
    <cfRule type="cellIs" dxfId="23477" priority="12095" stopIfTrue="1" operator="equal">
      <formula>"Towel"</formula>
    </cfRule>
    <cfRule type="cellIs" dxfId="23476" priority="12096" stopIfTrue="1" operator="equal">
      <formula>"Napkin Hs"</formula>
    </cfRule>
  </conditionalFormatting>
  <conditionalFormatting sqref="B58:C58">
    <cfRule type="cellIs" dxfId="23475" priority="12091" stopIfTrue="1" operator="equal">
      <formula>"Towel"</formula>
    </cfRule>
    <cfRule type="cellIs" dxfId="23474" priority="12092" stopIfTrue="1" operator="equal">
      <formula>"Napkin Hs"</formula>
    </cfRule>
  </conditionalFormatting>
  <conditionalFormatting sqref="C58">
    <cfRule type="cellIs" dxfId="23473" priority="12087" stopIfTrue="1" operator="equal">
      <formula>"Towel"</formula>
    </cfRule>
    <cfRule type="cellIs" dxfId="23472" priority="12088" stopIfTrue="1" operator="equal">
      <formula>"Napkin Hs"</formula>
    </cfRule>
  </conditionalFormatting>
  <conditionalFormatting sqref="C58">
    <cfRule type="cellIs" dxfId="23471" priority="12089" stopIfTrue="1" operator="equal">
      <formula>"Towel"</formula>
    </cfRule>
    <cfRule type="cellIs" dxfId="23470" priority="12090" stopIfTrue="1" operator="equal">
      <formula>"Napkin Hs"</formula>
    </cfRule>
  </conditionalFormatting>
  <conditionalFormatting sqref="B58:C58">
    <cfRule type="cellIs" dxfId="23469" priority="12085" stopIfTrue="1" operator="equal">
      <formula>"Towel"</formula>
    </cfRule>
    <cfRule type="cellIs" dxfId="23468" priority="12086" stopIfTrue="1" operator="equal">
      <formula>"Napkin Hs"</formula>
    </cfRule>
  </conditionalFormatting>
  <conditionalFormatting sqref="C58">
    <cfRule type="cellIs" dxfId="23467" priority="12083" stopIfTrue="1" operator="equal">
      <formula>"Towel"</formula>
    </cfRule>
    <cfRule type="cellIs" dxfId="23466" priority="12084" stopIfTrue="1" operator="equal">
      <formula>"Napkin Hs"</formula>
    </cfRule>
  </conditionalFormatting>
  <conditionalFormatting sqref="C58">
    <cfRule type="cellIs" dxfId="23465" priority="12081" stopIfTrue="1" operator="equal">
      <formula>"Towel"</formula>
    </cfRule>
    <cfRule type="cellIs" dxfId="23464" priority="12082" stopIfTrue="1" operator="equal">
      <formula>"Napkin Hs"</formula>
    </cfRule>
  </conditionalFormatting>
  <conditionalFormatting sqref="B58:C58">
    <cfRule type="cellIs" dxfId="23463" priority="12079" stopIfTrue="1" operator="equal">
      <formula>"Towel"</formula>
    </cfRule>
    <cfRule type="cellIs" dxfId="23462" priority="12080" stopIfTrue="1" operator="equal">
      <formula>"Napkin Hs"</formula>
    </cfRule>
  </conditionalFormatting>
  <conditionalFormatting sqref="C58">
    <cfRule type="cellIs" dxfId="23461" priority="12078" stopIfTrue="1" operator="equal">
      <formula>"Napkin Hs"</formula>
    </cfRule>
  </conditionalFormatting>
  <conditionalFormatting sqref="C58">
    <cfRule type="cellIs" dxfId="23460" priority="12075" stopIfTrue="1" operator="equal">
      <formula>"Towel"</formula>
    </cfRule>
    <cfRule type="cellIs" dxfId="23459" priority="12076" stopIfTrue="1" operator="equal">
      <formula>"Napkin Hs"</formula>
    </cfRule>
  </conditionalFormatting>
  <conditionalFormatting sqref="C58">
    <cfRule type="cellIs" dxfId="23458" priority="12077" stopIfTrue="1" operator="equal">
      <formula>"Towel"</formula>
    </cfRule>
  </conditionalFormatting>
  <conditionalFormatting sqref="B64:C64">
    <cfRule type="cellIs" dxfId="23457" priority="12069" stopIfTrue="1" operator="equal">
      <formula>"Towel"</formula>
    </cfRule>
    <cfRule type="cellIs" dxfId="23456" priority="12070" stopIfTrue="1" operator="equal">
      <formula>"Napkin Hs"</formula>
    </cfRule>
  </conditionalFormatting>
  <conditionalFormatting sqref="B64:C64">
    <cfRule type="cellIs" dxfId="23455" priority="12045" stopIfTrue="1" operator="equal">
      <formula>"Towel"</formula>
    </cfRule>
    <cfRule type="cellIs" dxfId="23454" priority="12046" stopIfTrue="1" operator="equal">
      <formula>"Napkin Hs"</formula>
    </cfRule>
    <cfRule type="cellIs" dxfId="23453" priority="12051" stopIfTrue="1" operator="equal">
      <formula>"Towel"</formula>
    </cfRule>
    <cfRule type="cellIs" dxfId="23452" priority="12052" stopIfTrue="1" operator="equal">
      <formula>"Napkin Hs"</formula>
    </cfRule>
    <cfRule type="cellIs" dxfId="23451" priority="12057" stopIfTrue="1" operator="equal">
      <formula>"Towel"</formula>
    </cfRule>
    <cfRule type="cellIs" dxfId="23450" priority="12058" stopIfTrue="1" operator="equal">
      <formula>"Napkin Hs"</formula>
    </cfRule>
    <cfRule type="cellIs" dxfId="23449" priority="12063" stopIfTrue="1" operator="equal">
      <formula>"Towel"</formula>
    </cfRule>
    <cfRule type="cellIs" dxfId="23448" priority="12064" stopIfTrue="1" operator="equal">
      <formula>"Napkin Hs"</formula>
    </cfRule>
  </conditionalFormatting>
  <conditionalFormatting sqref="B65:C66">
    <cfRule type="cellIs" dxfId="23447" priority="12073" stopIfTrue="1" operator="equal">
      <formula>"Towel"</formula>
    </cfRule>
    <cfRule type="cellIs" dxfId="23446" priority="12074" stopIfTrue="1" operator="equal">
      <formula>"Napkin Hs"</formula>
    </cfRule>
  </conditionalFormatting>
  <conditionalFormatting sqref="C64">
    <cfRule type="cellIs" dxfId="23445" priority="12059" stopIfTrue="1" operator="equal">
      <formula>"Towel"</formula>
    </cfRule>
    <cfRule type="cellIs" dxfId="23444" priority="12060" stopIfTrue="1" operator="equal">
      <formula>"Napkin Hs"</formula>
    </cfRule>
    <cfRule type="cellIs" dxfId="23443" priority="12065" stopIfTrue="1" operator="equal">
      <formula>"Towel"</formula>
    </cfRule>
    <cfRule type="cellIs" dxfId="23442" priority="12066" stopIfTrue="1" operator="equal">
      <formula>"Napkin Hs"</formula>
    </cfRule>
  </conditionalFormatting>
  <conditionalFormatting sqref="C64">
    <cfRule type="cellIs" dxfId="23441" priority="12039" stopIfTrue="1" operator="equal">
      <formula>"Towel"</formula>
    </cfRule>
    <cfRule type="cellIs" dxfId="23440" priority="12040" stopIfTrue="1" operator="equal">
      <formula>"Napkin Hs"</formula>
    </cfRule>
    <cfRule type="cellIs" dxfId="23439" priority="12041" stopIfTrue="1" operator="equal">
      <formula>"Towel"</formula>
    </cfRule>
    <cfRule type="cellIs" dxfId="23438" priority="12042" stopIfTrue="1" operator="equal">
      <formula>"Napkin Hs"</formula>
    </cfRule>
    <cfRule type="cellIs" dxfId="23437" priority="12049" stopIfTrue="1" operator="equal">
      <formula>"Towel"</formula>
    </cfRule>
    <cfRule type="cellIs" dxfId="23436" priority="12050" stopIfTrue="1" operator="equal">
      <formula>"Napkin Hs"</formula>
    </cfRule>
    <cfRule type="cellIs" dxfId="23435" priority="12053" stopIfTrue="1" operator="equal">
      <formula>"Towel"</formula>
    </cfRule>
    <cfRule type="cellIs" dxfId="23434" priority="12054" stopIfTrue="1" operator="equal">
      <formula>"Napkin Hs"</formula>
    </cfRule>
    <cfRule type="cellIs" dxfId="23433" priority="12055" stopIfTrue="1" operator="equal">
      <formula>"Towel"</formula>
    </cfRule>
    <cfRule type="cellIs" dxfId="23432" priority="12056" stopIfTrue="1" operator="equal">
      <formula>"Napkin Hs"</formula>
    </cfRule>
  </conditionalFormatting>
  <conditionalFormatting sqref="C64:C66">
    <cfRule type="cellIs" dxfId="23431" priority="12067" stopIfTrue="1" operator="equal">
      <formula>"Towel"</formula>
    </cfRule>
    <cfRule type="cellIs" dxfId="23430" priority="12068" stopIfTrue="1" operator="equal">
      <formula>"Napkin Hs"</formula>
    </cfRule>
  </conditionalFormatting>
  <conditionalFormatting sqref="C64">
    <cfRule type="cellIs" dxfId="23429" priority="12043" stopIfTrue="1" operator="equal">
      <formula>"Towel"</formula>
    </cfRule>
    <cfRule type="cellIs" dxfId="23428" priority="12044" stopIfTrue="1" operator="equal">
      <formula>"Napkin Hs"</formula>
    </cfRule>
    <cfRule type="cellIs" dxfId="23427" priority="12047" stopIfTrue="1" operator="equal">
      <formula>"Towel"</formula>
    </cfRule>
    <cfRule type="cellIs" dxfId="23426" priority="12048" stopIfTrue="1" operator="equal">
      <formula>"Napkin Hs"</formula>
    </cfRule>
    <cfRule type="cellIs" dxfId="23425" priority="12061" stopIfTrue="1" operator="equal">
      <formula>"Towel"</formula>
    </cfRule>
    <cfRule type="cellIs" dxfId="23424" priority="12062" stopIfTrue="1" operator="equal">
      <formula>"Napkin Hs"</formula>
    </cfRule>
  </conditionalFormatting>
  <conditionalFormatting sqref="C65:C66">
    <cfRule type="cellIs" dxfId="23423" priority="12071" stopIfTrue="1" operator="equal">
      <formula>"Towel"</formula>
    </cfRule>
    <cfRule type="cellIs" dxfId="23422" priority="12072" stopIfTrue="1" operator="equal">
      <formula>"Napkin Hs"</formula>
    </cfRule>
  </conditionalFormatting>
  <conditionalFormatting sqref="B65:C65">
    <cfRule type="cellIs" dxfId="23421" priority="11949" stopIfTrue="1" operator="equal">
      <formula>"Towel"</formula>
    </cfRule>
    <cfRule type="cellIs" dxfId="23420" priority="11950" stopIfTrue="1" operator="equal">
      <formula>"Napkin Hs"</formula>
    </cfRule>
    <cfRule type="cellIs" dxfId="23419" priority="11955" stopIfTrue="1" operator="equal">
      <formula>"Towel"</formula>
    </cfRule>
    <cfRule type="cellIs" dxfId="23418" priority="11956" stopIfTrue="1" operator="equal">
      <formula>"Napkin Hs"</formula>
    </cfRule>
    <cfRule type="cellIs" dxfId="23417" priority="11961" stopIfTrue="1" operator="equal">
      <formula>"Towel"</formula>
    </cfRule>
    <cfRule type="cellIs" dxfId="23416" priority="11962" stopIfTrue="1" operator="equal">
      <formula>"Napkin Hs"</formula>
    </cfRule>
    <cfRule type="cellIs" dxfId="23415" priority="11967" stopIfTrue="1" operator="equal">
      <formula>"Towel"</formula>
    </cfRule>
    <cfRule type="cellIs" dxfId="23414" priority="11968" stopIfTrue="1" operator="equal">
      <formula>"Napkin Hs"</formula>
    </cfRule>
    <cfRule type="cellIs" dxfId="23413" priority="11973" stopIfTrue="1" operator="equal">
      <formula>"Towel"</formula>
    </cfRule>
    <cfRule type="cellIs" dxfId="23412" priority="11974" stopIfTrue="1" operator="equal">
      <formula>"Napkin Hs"</formula>
    </cfRule>
    <cfRule type="cellIs" dxfId="23411" priority="11979" stopIfTrue="1" operator="equal">
      <formula>"Towel"</formula>
    </cfRule>
    <cfRule type="cellIs" dxfId="23410" priority="11980" stopIfTrue="1" operator="equal">
      <formula>"Napkin Hs"</formula>
    </cfRule>
    <cfRule type="cellIs" dxfId="23409" priority="11985" stopIfTrue="1" operator="equal">
      <formula>"Towel"</formula>
    </cfRule>
    <cfRule type="cellIs" dxfId="23408" priority="11986" stopIfTrue="1" operator="equal">
      <formula>"Napkin Hs"</formula>
    </cfRule>
    <cfRule type="cellIs" dxfId="23407" priority="11991" stopIfTrue="1" operator="equal">
      <formula>"Towel"</formula>
    </cfRule>
    <cfRule type="cellIs" dxfId="23406" priority="11992" stopIfTrue="1" operator="equal">
      <formula>"Napkin Hs"</formula>
    </cfRule>
  </conditionalFormatting>
  <conditionalFormatting sqref="B66:C66">
    <cfRule type="cellIs" dxfId="23405" priority="11995" stopIfTrue="1" operator="equal">
      <formula>"Towel"</formula>
    </cfRule>
    <cfRule type="cellIs" dxfId="23404" priority="11996" stopIfTrue="1" operator="equal">
      <formula>"Napkin Hs"</formula>
    </cfRule>
    <cfRule type="cellIs" dxfId="23403" priority="12001" stopIfTrue="1" operator="equal">
      <formula>"Towel"</formula>
    </cfRule>
    <cfRule type="cellIs" dxfId="23402" priority="12002" stopIfTrue="1" operator="equal">
      <formula>"Napkin Hs"</formula>
    </cfRule>
    <cfRule type="cellIs" dxfId="23401" priority="12007" stopIfTrue="1" operator="equal">
      <formula>"Towel"</formula>
    </cfRule>
    <cfRule type="cellIs" dxfId="23400" priority="12008" stopIfTrue="1" operator="equal">
      <formula>"Napkin Hs"</formula>
    </cfRule>
    <cfRule type="cellIs" dxfId="23399" priority="12013" stopIfTrue="1" operator="equal">
      <formula>"Towel"</formula>
    </cfRule>
    <cfRule type="cellIs" dxfId="23398" priority="12014" stopIfTrue="1" operator="equal">
      <formula>"Napkin Hs"</formula>
    </cfRule>
    <cfRule type="cellIs" dxfId="23397" priority="12019" stopIfTrue="1" operator="equal">
      <formula>"Towel"</formula>
    </cfRule>
    <cfRule type="cellIs" dxfId="23396" priority="12020" stopIfTrue="1" operator="equal">
      <formula>"Napkin Hs"</formula>
    </cfRule>
    <cfRule type="cellIs" dxfId="23395" priority="12025" stopIfTrue="1" operator="equal">
      <formula>"Towel"</formula>
    </cfRule>
    <cfRule type="cellIs" dxfId="23394" priority="12026" stopIfTrue="1" operator="equal">
      <formula>"Napkin Hs"</formula>
    </cfRule>
    <cfRule type="cellIs" dxfId="23393" priority="12031" stopIfTrue="1" operator="equal">
      <formula>"Towel"</formula>
    </cfRule>
    <cfRule type="cellIs" dxfId="23392" priority="12032" stopIfTrue="1" operator="equal">
      <formula>"Napkin Hs"</formula>
    </cfRule>
    <cfRule type="cellIs" dxfId="23391" priority="12037" stopIfTrue="1" operator="equal">
      <formula>"Towel"</formula>
    </cfRule>
    <cfRule type="cellIs" dxfId="23390" priority="12038" stopIfTrue="1" operator="equal">
      <formula>"Napkin Hs"</formula>
    </cfRule>
  </conditionalFormatting>
  <conditionalFormatting sqref="C65">
    <cfRule type="cellIs" dxfId="23389" priority="11945" stopIfTrue="1" operator="equal">
      <formula>"Towel"</formula>
    </cfRule>
    <cfRule type="cellIs" dxfId="23388" priority="11946" stopIfTrue="1" operator="equal">
      <formula>"Napkin Hs"</formula>
    </cfRule>
    <cfRule type="cellIs" dxfId="23387" priority="11947" stopIfTrue="1" operator="equal">
      <formula>"Towel"</formula>
    </cfRule>
    <cfRule type="cellIs" dxfId="23386" priority="11948" stopIfTrue="1" operator="equal">
      <formula>"Napkin Hs"</formula>
    </cfRule>
    <cfRule type="cellIs" dxfId="23385" priority="11951" stopIfTrue="1" operator="equal">
      <formula>"Towel"</formula>
    </cfRule>
    <cfRule type="cellIs" dxfId="23384" priority="11952" stopIfTrue="1" operator="equal">
      <formula>"Napkin Hs"</formula>
    </cfRule>
    <cfRule type="cellIs" dxfId="23383" priority="11953" stopIfTrue="1" operator="equal">
      <formula>"Towel"</formula>
    </cfRule>
    <cfRule type="cellIs" dxfId="23382" priority="11954" stopIfTrue="1" operator="equal">
      <formula>"Napkin Hs"</formula>
    </cfRule>
    <cfRule type="cellIs" dxfId="23381" priority="11957" stopIfTrue="1" operator="equal">
      <formula>"Towel"</formula>
    </cfRule>
    <cfRule type="cellIs" dxfId="23380" priority="11958" stopIfTrue="1" operator="equal">
      <formula>"Napkin Hs"</formula>
    </cfRule>
    <cfRule type="cellIs" dxfId="23379" priority="11959" stopIfTrue="1" operator="equal">
      <formula>"Towel"</formula>
    </cfRule>
    <cfRule type="cellIs" dxfId="23378" priority="11960" stopIfTrue="1" operator="equal">
      <formula>"Napkin Hs"</formula>
    </cfRule>
    <cfRule type="cellIs" dxfId="23377" priority="11963" stopIfTrue="1" operator="equal">
      <formula>"Towel"</formula>
    </cfRule>
    <cfRule type="cellIs" dxfId="23376" priority="11964" stopIfTrue="1" operator="equal">
      <formula>"Napkin Hs"</formula>
    </cfRule>
    <cfRule type="cellIs" dxfId="23375" priority="11965" stopIfTrue="1" operator="equal">
      <formula>"Towel"</formula>
    </cfRule>
    <cfRule type="cellIs" dxfId="23374" priority="11966" stopIfTrue="1" operator="equal">
      <formula>"Napkin Hs"</formula>
    </cfRule>
    <cfRule type="cellIs" dxfId="23373" priority="11969" stopIfTrue="1" operator="equal">
      <formula>"Towel"</formula>
    </cfRule>
    <cfRule type="cellIs" dxfId="23372" priority="11970" stopIfTrue="1" operator="equal">
      <formula>"Napkin Hs"</formula>
    </cfRule>
    <cfRule type="cellIs" dxfId="23371" priority="11971" stopIfTrue="1" operator="equal">
      <formula>"Towel"</formula>
    </cfRule>
    <cfRule type="cellIs" dxfId="23370" priority="11972" stopIfTrue="1" operator="equal">
      <formula>"Napkin Hs"</formula>
    </cfRule>
    <cfRule type="cellIs" dxfId="23369" priority="11975" stopIfTrue="1" operator="equal">
      <formula>"Towel"</formula>
    </cfRule>
    <cfRule type="cellIs" dxfId="23368" priority="11976" stopIfTrue="1" operator="equal">
      <formula>"Napkin Hs"</formula>
    </cfRule>
    <cfRule type="cellIs" dxfId="23367" priority="11977" stopIfTrue="1" operator="equal">
      <formula>"Towel"</formula>
    </cfRule>
    <cfRule type="cellIs" dxfId="23366" priority="11978" stopIfTrue="1" operator="equal">
      <formula>"Napkin Hs"</formula>
    </cfRule>
    <cfRule type="cellIs" dxfId="23365" priority="11981" stopIfTrue="1" operator="equal">
      <formula>"Towel"</formula>
    </cfRule>
    <cfRule type="cellIs" dxfId="23364" priority="11982" stopIfTrue="1" operator="equal">
      <formula>"Napkin Hs"</formula>
    </cfRule>
    <cfRule type="cellIs" dxfId="23363" priority="11983" stopIfTrue="1" operator="equal">
      <formula>"Towel"</formula>
    </cfRule>
    <cfRule type="cellIs" dxfId="23362" priority="11984" stopIfTrue="1" operator="equal">
      <formula>"Napkin Hs"</formula>
    </cfRule>
    <cfRule type="cellIs" dxfId="23361" priority="11987" stopIfTrue="1" operator="equal">
      <formula>"Towel"</formula>
    </cfRule>
    <cfRule type="cellIs" dxfId="23360" priority="11988" stopIfTrue="1" operator="equal">
      <formula>"Napkin Hs"</formula>
    </cfRule>
  </conditionalFormatting>
  <conditionalFormatting sqref="C65:C66">
    <cfRule type="cellIs" dxfId="23359" priority="11989" stopIfTrue="1" operator="equal">
      <formula>"Towel"</formula>
    </cfRule>
    <cfRule type="cellIs" dxfId="23358" priority="11990" stopIfTrue="1" operator="equal">
      <formula>"Napkin Hs"</formula>
    </cfRule>
  </conditionalFormatting>
  <conditionalFormatting sqref="C66">
    <cfRule type="cellIs" dxfId="23357" priority="11993" stopIfTrue="1" operator="equal">
      <formula>"Towel"</formula>
    </cfRule>
    <cfRule type="cellIs" dxfId="23356" priority="11994" stopIfTrue="1" operator="equal">
      <formula>"Napkin Hs"</formula>
    </cfRule>
    <cfRule type="cellIs" dxfId="23355" priority="11997" stopIfTrue="1" operator="equal">
      <formula>"Towel"</formula>
    </cfRule>
    <cfRule type="cellIs" dxfId="23354" priority="11998" stopIfTrue="1" operator="equal">
      <formula>"Napkin Hs"</formula>
    </cfRule>
    <cfRule type="cellIs" dxfId="23353" priority="11999" stopIfTrue="1" operator="equal">
      <formula>"Towel"</formula>
    </cfRule>
    <cfRule type="cellIs" dxfId="23352" priority="12000" stopIfTrue="1" operator="equal">
      <formula>"Napkin Hs"</formula>
    </cfRule>
    <cfRule type="cellIs" dxfId="23351" priority="12003" stopIfTrue="1" operator="equal">
      <formula>"Towel"</formula>
    </cfRule>
    <cfRule type="cellIs" dxfId="23350" priority="12004" stopIfTrue="1" operator="equal">
      <formula>"Napkin Hs"</formula>
    </cfRule>
    <cfRule type="cellIs" dxfId="23349" priority="12005" stopIfTrue="1" operator="equal">
      <formula>"Towel"</formula>
    </cfRule>
    <cfRule type="cellIs" dxfId="23348" priority="12006" stopIfTrue="1" operator="equal">
      <formula>"Napkin Hs"</formula>
    </cfRule>
    <cfRule type="cellIs" dxfId="23347" priority="12009" stopIfTrue="1" operator="equal">
      <formula>"Towel"</formula>
    </cfRule>
    <cfRule type="cellIs" dxfId="23346" priority="12010" stopIfTrue="1" operator="equal">
      <formula>"Napkin Hs"</formula>
    </cfRule>
    <cfRule type="cellIs" dxfId="23345" priority="12011" stopIfTrue="1" operator="equal">
      <formula>"Towel"</formula>
    </cfRule>
    <cfRule type="cellIs" dxfId="23344" priority="12012" stopIfTrue="1" operator="equal">
      <formula>"Napkin Hs"</formula>
    </cfRule>
    <cfRule type="cellIs" dxfId="23343" priority="12015" stopIfTrue="1" operator="equal">
      <formula>"Towel"</formula>
    </cfRule>
    <cfRule type="cellIs" dxfId="23342" priority="12016" stopIfTrue="1" operator="equal">
      <formula>"Napkin Hs"</formula>
    </cfRule>
    <cfRule type="cellIs" dxfId="23341" priority="12017" stopIfTrue="1" operator="equal">
      <formula>"Towel"</formula>
    </cfRule>
    <cfRule type="cellIs" dxfId="23340" priority="12018" stopIfTrue="1" operator="equal">
      <formula>"Napkin Hs"</formula>
    </cfRule>
    <cfRule type="cellIs" dxfId="23339" priority="12021" stopIfTrue="1" operator="equal">
      <formula>"Towel"</formula>
    </cfRule>
    <cfRule type="cellIs" dxfId="23338" priority="12022" stopIfTrue="1" operator="equal">
      <formula>"Napkin Hs"</formula>
    </cfRule>
    <cfRule type="cellIs" dxfId="23337" priority="12023" stopIfTrue="1" operator="equal">
      <formula>"Towel"</formula>
    </cfRule>
    <cfRule type="cellIs" dxfId="23336" priority="12024" stopIfTrue="1" operator="equal">
      <formula>"Napkin Hs"</formula>
    </cfRule>
    <cfRule type="cellIs" dxfId="23335" priority="12027" stopIfTrue="1" operator="equal">
      <formula>"Towel"</formula>
    </cfRule>
    <cfRule type="cellIs" dxfId="23334" priority="12028" stopIfTrue="1" operator="equal">
      <formula>"Napkin Hs"</formula>
    </cfRule>
  </conditionalFormatting>
  <conditionalFormatting sqref="C66">
    <cfRule type="cellIs" dxfId="23333" priority="12029" stopIfTrue="1" operator="equal">
      <formula>"Towel"</formula>
    </cfRule>
    <cfRule type="cellIs" dxfId="23332" priority="12030" stopIfTrue="1" operator="equal">
      <formula>"Napkin Hs"</formula>
    </cfRule>
  </conditionalFormatting>
  <conditionalFormatting sqref="C66">
    <cfRule type="cellIs" dxfId="23331" priority="12033" stopIfTrue="1" operator="equal">
      <formula>"Towel"</formula>
    </cfRule>
    <cfRule type="cellIs" dxfId="23330" priority="12034" stopIfTrue="1" operator="equal">
      <formula>"Napkin Hs"</formula>
    </cfRule>
    <cfRule type="cellIs" dxfId="23329" priority="12035" stopIfTrue="1" operator="equal">
      <formula>"Towel"</formula>
    </cfRule>
    <cfRule type="cellIs" dxfId="23328" priority="12036" stopIfTrue="1" operator="equal">
      <formula>"Napkin Hs"</formula>
    </cfRule>
  </conditionalFormatting>
  <conditionalFormatting sqref="B65">
    <cfRule type="cellIs" dxfId="23327" priority="11939" stopIfTrue="1" operator="equal">
      <formula>"Towel"</formula>
    </cfRule>
    <cfRule type="cellIs" dxfId="23326" priority="11940" stopIfTrue="1" operator="equal">
      <formula>"Napkin Hs"</formula>
    </cfRule>
    <cfRule type="cellIs" dxfId="23325" priority="11941" stopIfTrue="1" operator="equal">
      <formula>"Towel"</formula>
    </cfRule>
    <cfRule type="cellIs" dxfId="23324" priority="11942" stopIfTrue="1" operator="equal">
      <formula>"Napkin Hs"</formula>
    </cfRule>
    <cfRule type="cellIs" dxfId="23323" priority="11943" stopIfTrue="1" operator="equal">
      <formula>"Towel"</formula>
    </cfRule>
    <cfRule type="cellIs" dxfId="23322" priority="11944" stopIfTrue="1" operator="equal">
      <formula>"Napkin Hs"</formula>
    </cfRule>
  </conditionalFormatting>
  <conditionalFormatting sqref="B65:C66">
    <cfRule type="cellIs" dxfId="23321" priority="11901" stopIfTrue="1" operator="equal">
      <formula>"Towel"</formula>
    </cfRule>
    <cfRule type="cellIs" dxfId="23320" priority="11902" stopIfTrue="1" operator="equal">
      <formula>"Napkin Hs"</formula>
    </cfRule>
    <cfRule type="cellIs" dxfId="23319" priority="11907" stopIfTrue="1" operator="equal">
      <formula>"Towel"</formula>
    </cfRule>
    <cfRule type="cellIs" dxfId="23318" priority="11908" stopIfTrue="1" operator="equal">
      <formula>"Napkin Hs"</formula>
    </cfRule>
    <cfRule type="cellIs" dxfId="23317" priority="11913" stopIfTrue="1" operator="equal">
      <formula>"Towel"</formula>
    </cfRule>
    <cfRule type="cellIs" dxfId="23316" priority="11914" stopIfTrue="1" operator="equal">
      <formula>"Napkin Hs"</formula>
    </cfRule>
    <cfRule type="cellIs" dxfId="23315" priority="11919" stopIfTrue="1" operator="equal">
      <formula>"Towel"</formula>
    </cfRule>
    <cfRule type="cellIs" dxfId="23314" priority="11920" stopIfTrue="1" operator="equal">
      <formula>"Napkin Hs"</formula>
    </cfRule>
    <cfRule type="cellIs" dxfId="23313" priority="11925" stopIfTrue="1" operator="equal">
      <formula>"Towel"</formula>
    </cfRule>
    <cfRule type="cellIs" dxfId="23312" priority="11926" stopIfTrue="1" operator="equal">
      <formula>"Napkin Hs"</formula>
    </cfRule>
    <cfRule type="cellIs" dxfId="23311" priority="11931" stopIfTrue="1" operator="equal">
      <formula>"Towel"</formula>
    </cfRule>
    <cfRule type="cellIs" dxfId="23310" priority="11932" stopIfTrue="1" operator="equal">
      <formula>"Napkin Hs"</formula>
    </cfRule>
    <cfRule type="cellIs" dxfId="23309" priority="11937" stopIfTrue="1" operator="equal">
      <formula>"Towel"</formula>
    </cfRule>
    <cfRule type="cellIs" dxfId="23308" priority="11938" stopIfTrue="1" operator="equal">
      <formula>"Napkin Hs"</formula>
    </cfRule>
  </conditionalFormatting>
  <conditionalFormatting sqref="C65:C66">
    <cfRule type="cellIs" dxfId="23307" priority="11897" stopIfTrue="1" operator="equal">
      <formula>"Towel"</formula>
    </cfRule>
    <cfRule type="cellIs" dxfId="23306" priority="11898" stopIfTrue="1" operator="equal">
      <formula>"Napkin Hs"</formula>
    </cfRule>
    <cfRule type="cellIs" dxfId="23305" priority="11899" stopIfTrue="1" operator="equal">
      <formula>"Towel"</formula>
    </cfRule>
    <cfRule type="cellIs" dxfId="23304" priority="11900" stopIfTrue="1" operator="equal">
      <formula>"Napkin Hs"</formula>
    </cfRule>
    <cfRule type="cellIs" dxfId="23303" priority="11903" stopIfTrue="1" operator="equal">
      <formula>"Towel"</formula>
    </cfRule>
    <cfRule type="cellIs" dxfId="23302" priority="11904" stopIfTrue="1" operator="equal">
      <formula>"Napkin Hs"</formula>
    </cfRule>
    <cfRule type="cellIs" dxfId="23301" priority="11905" stopIfTrue="1" operator="equal">
      <formula>"Towel"</formula>
    </cfRule>
    <cfRule type="cellIs" dxfId="23300" priority="11906" stopIfTrue="1" operator="equal">
      <formula>"Napkin Hs"</formula>
    </cfRule>
    <cfRule type="cellIs" dxfId="23299" priority="11909" stopIfTrue="1" operator="equal">
      <formula>"Towel"</formula>
    </cfRule>
    <cfRule type="cellIs" dxfId="23298" priority="11910" stopIfTrue="1" operator="equal">
      <formula>"Napkin Hs"</formula>
    </cfRule>
    <cfRule type="cellIs" dxfId="23297" priority="11911" stopIfTrue="1" operator="equal">
      <formula>"Towel"</formula>
    </cfRule>
    <cfRule type="cellIs" dxfId="23296" priority="11912" stopIfTrue="1" operator="equal">
      <formula>"Napkin Hs"</formula>
    </cfRule>
    <cfRule type="cellIs" dxfId="23295" priority="11915" stopIfTrue="1" operator="equal">
      <formula>"Towel"</formula>
    </cfRule>
    <cfRule type="cellIs" dxfId="23294" priority="11916" stopIfTrue="1" operator="equal">
      <formula>"Napkin Hs"</formula>
    </cfRule>
    <cfRule type="cellIs" dxfId="23293" priority="11917" stopIfTrue="1" operator="equal">
      <formula>"Towel"</formula>
    </cfRule>
    <cfRule type="cellIs" dxfId="23292" priority="11918" stopIfTrue="1" operator="equal">
      <formula>"Napkin Hs"</formula>
    </cfRule>
    <cfRule type="cellIs" dxfId="23291" priority="11921" stopIfTrue="1" operator="equal">
      <formula>"Towel"</formula>
    </cfRule>
    <cfRule type="cellIs" dxfId="23290" priority="11922" stopIfTrue="1" operator="equal">
      <formula>"Napkin Hs"</formula>
    </cfRule>
    <cfRule type="cellIs" dxfId="23289" priority="11923" stopIfTrue="1" operator="equal">
      <formula>"Towel"</formula>
    </cfRule>
    <cfRule type="cellIs" dxfId="23288" priority="11924" stopIfTrue="1" operator="equal">
      <formula>"Napkin Hs"</formula>
    </cfRule>
    <cfRule type="cellIs" dxfId="23287" priority="11927" stopIfTrue="1" operator="equal">
      <formula>"Towel"</formula>
    </cfRule>
    <cfRule type="cellIs" dxfId="23286" priority="11928" stopIfTrue="1" operator="equal">
      <formula>"Napkin Hs"</formula>
    </cfRule>
    <cfRule type="cellIs" dxfId="23285" priority="11929" stopIfTrue="1" operator="equal">
      <formula>"Towel"</formula>
    </cfRule>
    <cfRule type="cellIs" dxfId="23284" priority="11930" stopIfTrue="1" operator="equal">
      <formula>"Napkin Hs"</formula>
    </cfRule>
    <cfRule type="cellIs" dxfId="23283" priority="11933" stopIfTrue="1" operator="equal">
      <formula>"Towel"</formula>
    </cfRule>
    <cfRule type="cellIs" dxfId="23282" priority="11934" stopIfTrue="1" operator="equal">
      <formula>"Napkin Hs"</formula>
    </cfRule>
  </conditionalFormatting>
  <conditionalFormatting sqref="C65:C66">
    <cfRule type="cellIs" dxfId="23281" priority="11935" stopIfTrue="1" operator="equal">
      <formula>"Towel"</formula>
    </cfRule>
    <cfRule type="cellIs" dxfId="23280" priority="11936" stopIfTrue="1" operator="equal">
      <formula>"Napkin Hs"</formula>
    </cfRule>
  </conditionalFormatting>
  <conditionalFormatting sqref="B65:C65">
    <cfRule type="cellIs" dxfId="23279" priority="11895" stopIfTrue="1" operator="equal">
      <formula>"Towel"</formula>
    </cfRule>
    <cfRule type="cellIs" dxfId="23278" priority="11896" stopIfTrue="1" operator="equal">
      <formula>"Napkin Hs"</formula>
    </cfRule>
  </conditionalFormatting>
  <conditionalFormatting sqref="B65:C65">
    <cfRule type="cellIs" dxfId="23277" priority="11859" stopIfTrue="1" operator="equal">
      <formula>"Towel"</formula>
    </cfRule>
    <cfRule type="cellIs" dxfId="23276" priority="11860" stopIfTrue="1" operator="equal">
      <formula>"Napkin Hs"</formula>
    </cfRule>
    <cfRule type="cellIs" dxfId="23275" priority="11865" stopIfTrue="1" operator="equal">
      <formula>"Towel"</formula>
    </cfRule>
    <cfRule type="cellIs" dxfId="23274" priority="11866" stopIfTrue="1" operator="equal">
      <formula>"Napkin Hs"</formula>
    </cfRule>
    <cfRule type="cellIs" dxfId="23273" priority="11871" stopIfTrue="1" operator="equal">
      <formula>"Towel"</formula>
    </cfRule>
    <cfRule type="cellIs" dxfId="23272" priority="11872" stopIfTrue="1" operator="equal">
      <formula>"Napkin Hs"</formula>
    </cfRule>
    <cfRule type="cellIs" dxfId="23271" priority="11877" stopIfTrue="1" operator="equal">
      <formula>"Towel"</formula>
    </cfRule>
    <cfRule type="cellIs" dxfId="23270" priority="11878" stopIfTrue="1" operator="equal">
      <formula>"Napkin Hs"</formula>
    </cfRule>
    <cfRule type="cellIs" dxfId="23269" priority="11883" stopIfTrue="1" operator="equal">
      <formula>"Towel"</formula>
    </cfRule>
    <cfRule type="cellIs" dxfId="23268" priority="11884" stopIfTrue="1" operator="equal">
      <formula>"Napkin Hs"</formula>
    </cfRule>
    <cfRule type="cellIs" dxfId="23267" priority="11889" stopIfTrue="1" operator="equal">
      <formula>"Towel"</formula>
    </cfRule>
    <cfRule type="cellIs" dxfId="23266" priority="11890" stopIfTrue="1" operator="equal">
      <formula>"Napkin Hs"</formula>
    </cfRule>
  </conditionalFormatting>
  <conditionalFormatting sqref="B66:C66">
    <cfRule type="cellIs" dxfId="23265" priority="11819" stopIfTrue="1" operator="equal">
      <formula>"Towel"</formula>
    </cfRule>
    <cfRule type="cellIs" dxfId="23264" priority="11820" stopIfTrue="1" operator="equal">
      <formula>"Napkin Hs"</formula>
    </cfRule>
    <cfRule type="cellIs" dxfId="23263" priority="11825" stopIfTrue="1" operator="equal">
      <formula>"Towel"</formula>
    </cfRule>
    <cfRule type="cellIs" dxfId="23262" priority="11826" stopIfTrue="1" operator="equal">
      <formula>"Napkin Hs"</formula>
    </cfRule>
    <cfRule type="cellIs" dxfId="23261" priority="11831" stopIfTrue="1" operator="equal">
      <formula>"Towel"</formula>
    </cfRule>
    <cfRule type="cellIs" dxfId="23260" priority="11832" stopIfTrue="1" operator="equal">
      <formula>"Napkin Hs"</formula>
    </cfRule>
    <cfRule type="cellIs" dxfId="23259" priority="11837" stopIfTrue="1" operator="equal">
      <formula>"Towel"</formula>
    </cfRule>
    <cfRule type="cellIs" dxfId="23258" priority="11838" stopIfTrue="1" operator="equal">
      <formula>"Napkin Hs"</formula>
    </cfRule>
    <cfRule type="cellIs" dxfId="23257" priority="11843" stopIfTrue="1" operator="equal">
      <formula>"Towel"</formula>
    </cfRule>
    <cfRule type="cellIs" dxfId="23256" priority="11844" stopIfTrue="1" operator="equal">
      <formula>"Napkin Hs"</formula>
    </cfRule>
    <cfRule type="cellIs" dxfId="23255" priority="11849" stopIfTrue="1" operator="equal">
      <formula>"Towel"</formula>
    </cfRule>
    <cfRule type="cellIs" dxfId="23254" priority="11850" stopIfTrue="1" operator="equal">
      <formula>"Napkin Hs"</formula>
    </cfRule>
    <cfRule type="cellIs" dxfId="23253" priority="11855" stopIfTrue="1" operator="equal">
      <formula>"Towel"</formula>
    </cfRule>
    <cfRule type="cellIs" dxfId="23252" priority="11856" stopIfTrue="1" operator="equal">
      <formula>"Napkin Hs"</formula>
    </cfRule>
  </conditionalFormatting>
  <conditionalFormatting sqref="C65">
    <cfRule type="cellIs" dxfId="23251" priority="11894" stopIfTrue="1" operator="equal">
      <formula>"Napkin Hs"</formula>
    </cfRule>
  </conditionalFormatting>
  <conditionalFormatting sqref="C65">
    <cfRule type="cellIs" dxfId="23250" priority="11893" stopIfTrue="1" operator="equal">
      <formula>"Towel"</formula>
    </cfRule>
  </conditionalFormatting>
  <conditionalFormatting sqref="C65">
    <cfRule type="cellIs" dxfId="23249" priority="11887" stopIfTrue="1" operator="equal">
      <formula>"Towel"</formula>
    </cfRule>
    <cfRule type="cellIs" dxfId="23248" priority="11888" stopIfTrue="1" operator="equal">
      <formula>"Napkin Hs"</formula>
    </cfRule>
  </conditionalFormatting>
  <conditionalFormatting sqref="C65">
    <cfRule type="cellIs" dxfId="23247" priority="11885" stopIfTrue="1" operator="equal">
      <formula>"Towel"</formula>
    </cfRule>
    <cfRule type="cellIs" dxfId="23246" priority="11886" stopIfTrue="1" operator="equal">
      <formula>"Napkin Hs"</formula>
    </cfRule>
    <cfRule type="cellIs" dxfId="23245" priority="11891" stopIfTrue="1" operator="equal">
      <formula>"Towel"</formula>
    </cfRule>
    <cfRule type="cellIs" dxfId="23244" priority="11892" stopIfTrue="1" operator="equal">
      <formula>"Napkin Hs"</formula>
    </cfRule>
  </conditionalFormatting>
  <conditionalFormatting sqref="C65">
    <cfRule type="cellIs" dxfId="23243" priority="11857" stopIfTrue="1" operator="equal">
      <formula>"Towel"</formula>
    </cfRule>
    <cfRule type="cellIs" dxfId="23242" priority="11858" stopIfTrue="1" operator="equal">
      <formula>"Napkin Hs"</formula>
    </cfRule>
    <cfRule type="cellIs" dxfId="23241" priority="11861" stopIfTrue="1" operator="equal">
      <formula>"Towel"</formula>
    </cfRule>
    <cfRule type="cellIs" dxfId="23240" priority="11862" stopIfTrue="1" operator="equal">
      <formula>"Napkin Hs"</formula>
    </cfRule>
    <cfRule type="cellIs" dxfId="23239" priority="11863" stopIfTrue="1" operator="equal">
      <formula>"Towel"</formula>
    </cfRule>
    <cfRule type="cellIs" dxfId="23238" priority="11864" stopIfTrue="1" operator="equal">
      <formula>"Napkin Hs"</formula>
    </cfRule>
    <cfRule type="cellIs" dxfId="23237" priority="11867" stopIfTrue="1" operator="equal">
      <formula>"Towel"</formula>
    </cfRule>
    <cfRule type="cellIs" dxfId="23236" priority="11868" stopIfTrue="1" operator="equal">
      <formula>"Napkin Hs"</formula>
    </cfRule>
    <cfRule type="cellIs" dxfId="23235" priority="11869" stopIfTrue="1" operator="equal">
      <formula>"Towel"</formula>
    </cfRule>
    <cfRule type="cellIs" dxfId="23234" priority="11870" stopIfTrue="1" operator="equal">
      <formula>"Napkin Hs"</formula>
    </cfRule>
    <cfRule type="cellIs" dxfId="23233" priority="11873" stopIfTrue="1" operator="equal">
      <formula>"Towel"</formula>
    </cfRule>
    <cfRule type="cellIs" dxfId="23232" priority="11874" stopIfTrue="1" operator="equal">
      <formula>"Napkin Hs"</formula>
    </cfRule>
    <cfRule type="cellIs" dxfId="23231" priority="11875" stopIfTrue="1" operator="equal">
      <formula>"Towel"</formula>
    </cfRule>
    <cfRule type="cellIs" dxfId="23230" priority="11876" stopIfTrue="1" operator="equal">
      <formula>"Napkin Hs"</formula>
    </cfRule>
    <cfRule type="cellIs" dxfId="23229" priority="11879" stopIfTrue="1" operator="equal">
      <formula>"Towel"</formula>
    </cfRule>
    <cfRule type="cellIs" dxfId="23228" priority="11880" stopIfTrue="1" operator="equal">
      <formula>"Napkin Hs"</formula>
    </cfRule>
    <cfRule type="cellIs" dxfId="23227" priority="11881" stopIfTrue="1" operator="equal">
      <formula>"Towel"</formula>
    </cfRule>
    <cfRule type="cellIs" dxfId="23226" priority="11882" stopIfTrue="1" operator="equal">
      <formula>"Napkin Hs"</formula>
    </cfRule>
  </conditionalFormatting>
  <conditionalFormatting sqref="C65:C66">
    <cfRule type="cellIs" dxfId="23225" priority="11853" stopIfTrue="1" operator="equal">
      <formula>"Towel"</formula>
    </cfRule>
    <cfRule type="cellIs" dxfId="23224" priority="11854" stopIfTrue="1" operator="equal">
      <formula>"Napkin Hs"</formula>
    </cfRule>
  </conditionalFormatting>
  <conditionalFormatting sqref="C66">
    <cfRule type="cellIs" dxfId="23223" priority="11815" stopIfTrue="1" operator="equal">
      <formula>"Towel"</formula>
    </cfRule>
    <cfRule type="cellIs" dxfId="23222" priority="11816" stopIfTrue="1" operator="equal">
      <formula>"Napkin Hs"</formula>
    </cfRule>
    <cfRule type="cellIs" dxfId="23221" priority="11817" stopIfTrue="1" operator="equal">
      <formula>"Towel"</formula>
    </cfRule>
    <cfRule type="cellIs" dxfId="23220" priority="11818" stopIfTrue="1" operator="equal">
      <formula>"Napkin Hs"</formula>
    </cfRule>
    <cfRule type="cellIs" dxfId="23219" priority="11821" stopIfTrue="1" operator="equal">
      <formula>"Towel"</formula>
    </cfRule>
    <cfRule type="cellIs" dxfId="23218" priority="11822" stopIfTrue="1" operator="equal">
      <formula>"Napkin Hs"</formula>
    </cfRule>
    <cfRule type="cellIs" dxfId="23217" priority="11823" stopIfTrue="1" operator="equal">
      <formula>"Towel"</formula>
    </cfRule>
    <cfRule type="cellIs" dxfId="23216" priority="11824" stopIfTrue="1" operator="equal">
      <formula>"Napkin Hs"</formula>
    </cfRule>
    <cfRule type="cellIs" dxfId="23215" priority="11827" stopIfTrue="1" operator="equal">
      <formula>"Towel"</formula>
    </cfRule>
    <cfRule type="cellIs" dxfId="23214" priority="11828" stopIfTrue="1" operator="equal">
      <formula>"Napkin Hs"</formula>
    </cfRule>
    <cfRule type="cellIs" dxfId="23213" priority="11829" stopIfTrue="1" operator="equal">
      <formula>"Towel"</formula>
    </cfRule>
    <cfRule type="cellIs" dxfId="23212" priority="11830" stopIfTrue="1" operator="equal">
      <formula>"Napkin Hs"</formula>
    </cfRule>
    <cfRule type="cellIs" dxfId="23211" priority="11833" stopIfTrue="1" operator="equal">
      <formula>"Towel"</formula>
    </cfRule>
    <cfRule type="cellIs" dxfId="23210" priority="11834" stopIfTrue="1" operator="equal">
      <formula>"Napkin Hs"</formula>
    </cfRule>
    <cfRule type="cellIs" dxfId="23209" priority="11835" stopIfTrue="1" operator="equal">
      <formula>"Towel"</formula>
    </cfRule>
    <cfRule type="cellIs" dxfId="23208" priority="11836" stopIfTrue="1" operator="equal">
      <formula>"Napkin Hs"</formula>
    </cfRule>
    <cfRule type="cellIs" dxfId="23207" priority="11839" stopIfTrue="1" operator="equal">
      <formula>"Towel"</formula>
    </cfRule>
    <cfRule type="cellIs" dxfId="23206" priority="11840" stopIfTrue="1" operator="equal">
      <formula>"Napkin Hs"</formula>
    </cfRule>
    <cfRule type="cellIs" dxfId="23205" priority="11841" stopIfTrue="1" operator="equal">
      <formula>"Towel"</formula>
    </cfRule>
    <cfRule type="cellIs" dxfId="23204" priority="11842" stopIfTrue="1" operator="equal">
      <formula>"Napkin Hs"</formula>
    </cfRule>
    <cfRule type="cellIs" dxfId="23203" priority="11845" stopIfTrue="1" operator="equal">
      <formula>"Towel"</formula>
    </cfRule>
    <cfRule type="cellIs" dxfId="23202" priority="11846" stopIfTrue="1" operator="equal">
      <formula>"Napkin Hs"</formula>
    </cfRule>
    <cfRule type="cellIs" dxfId="23201" priority="11847" stopIfTrue="1" operator="equal">
      <formula>"Towel"</formula>
    </cfRule>
    <cfRule type="cellIs" dxfId="23200" priority="11848" stopIfTrue="1" operator="equal">
      <formula>"Napkin Hs"</formula>
    </cfRule>
    <cfRule type="cellIs" dxfId="23199" priority="11851" stopIfTrue="1" operator="equal">
      <formula>"Towel"</formula>
    </cfRule>
    <cfRule type="cellIs" dxfId="23198" priority="11852" stopIfTrue="1" operator="equal">
      <formula>"Napkin Hs"</formula>
    </cfRule>
  </conditionalFormatting>
  <conditionalFormatting sqref="C65">
    <cfRule type="cellIs" dxfId="23197" priority="11783" stopIfTrue="1" operator="equal">
      <formula>"Towel"</formula>
    </cfRule>
    <cfRule type="cellIs" dxfId="23196" priority="11784" stopIfTrue="1" operator="equal">
      <formula>"Napkin Hs"</formula>
    </cfRule>
    <cfRule type="cellIs" dxfId="23195" priority="11797" stopIfTrue="1" operator="equal">
      <formula>"Towel"</formula>
    </cfRule>
    <cfRule type="cellIs" dxfId="23194" priority="11798" stopIfTrue="1" operator="equal">
      <formula>"Napkin Hs"</formula>
    </cfRule>
    <cfRule type="cellIs" dxfId="23193" priority="11803" stopIfTrue="1" operator="equal">
      <formula>"Towel"</formula>
    </cfRule>
    <cfRule type="cellIs" dxfId="23192" priority="11804" stopIfTrue="1" operator="equal">
      <formula>"Napkin Hs"</formula>
    </cfRule>
    <cfRule type="cellIs" dxfId="23191" priority="11813" stopIfTrue="1" operator="equal">
      <formula>"Towel"</formula>
    </cfRule>
    <cfRule type="cellIs" dxfId="23190" priority="11814" stopIfTrue="1" operator="equal">
      <formula>"Napkin Hs"</formula>
    </cfRule>
  </conditionalFormatting>
  <conditionalFormatting sqref="B66:C66">
    <cfRule type="cellIs" dxfId="23189" priority="11787" stopIfTrue="1" operator="equal">
      <formula>"Towel"</formula>
    </cfRule>
    <cfRule type="cellIs" dxfId="23188" priority="11788" stopIfTrue="1" operator="equal">
      <formula>"Napkin Hs"</formula>
    </cfRule>
    <cfRule type="cellIs" dxfId="23187" priority="11793" stopIfTrue="1" operator="equal">
      <formula>"Towel"</formula>
    </cfRule>
    <cfRule type="cellIs" dxfId="23186" priority="11794" stopIfTrue="1" operator="equal">
      <formula>"Napkin Hs"</formula>
    </cfRule>
    <cfRule type="cellIs" dxfId="23185" priority="11809" stopIfTrue="1" operator="equal">
      <formula>"Towel"</formula>
    </cfRule>
    <cfRule type="cellIs" dxfId="23184" priority="11810" stopIfTrue="1" operator="equal">
      <formula>"Napkin Hs"</formula>
    </cfRule>
  </conditionalFormatting>
  <conditionalFormatting sqref="C65">
    <cfRule type="cellIs" dxfId="23183" priority="11801" stopIfTrue="1" operator="equal">
      <formula>"Towel"</formula>
    </cfRule>
    <cfRule type="cellIs" dxfId="23182" priority="11802" stopIfTrue="1" operator="equal">
      <formula>"Napkin Hs"</formula>
    </cfRule>
    <cfRule type="cellIs" dxfId="23181" priority="11811" stopIfTrue="1" operator="equal">
      <formula>"Towel"</formula>
    </cfRule>
    <cfRule type="cellIs" dxfId="23180" priority="11812" stopIfTrue="1" operator="equal">
      <formula>"Napkin Hs"</formula>
    </cfRule>
  </conditionalFormatting>
  <conditionalFormatting sqref="C65">
    <cfRule type="cellIs" dxfId="23179" priority="11779" stopIfTrue="1" operator="equal">
      <formula>"Towel"</formula>
    </cfRule>
    <cfRule type="cellIs" dxfId="23178" priority="11780" stopIfTrue="1" operator="equal">
      <formula>"Napkin Hs"</formula>
    </cfRule>
    <cfRule type="cellIs" dxfId="23177" priority="11795" stopIfTrue="1" operator="equal">
      <formula>"Towel"</formula>
    </cfRule>
    <cfRule type="cellIs" dxfId="23176" priority="11796" stopIfTrue="1" operator="equal">
      <formula>"Napkin Hs"</formula>
    </cfRule>
    <cfRule type="cellIs" dxfId="23175" priority="11799" stopIfTrue="1" operator="equal">
      <formula>"Towel"</formula>
    </cfRule>
    <cfRule type="cellIs" dxfId="23174" priority="11800" stopIfTrue="1" operator="equal">
      <formula>"Napkin Hs"</formula>
    </cfRule>
  </conditionalFormatting>
  <conditionalFormatting sqref="C65:C66">
    <cfRule type="cellIs" dxfId="23173" priority="11781" stopIfTrue="1" operator="equal">
      <formula>"Towel"</formula>
    </cfRule>
    <cfRule type="cellIs" dxfId="23172" priority="11782" stopIfTrue="1" operator="equal">
      <formula>"Napkin Hs"</formula>
    </cfRule>
    <cfRule type="cellIs" dxfId="23171" priority="11791" stopIfTrue="1" operator="equal">
      <formula>"Towel"</formula>
    </cfRule>
    <cfRule type="cellIs" dxfId="23170" priority="11792" stopIfTrue="1" operator="equal">
      <formula>"Napkin Hs"</formula>
    </cfRule>
    <cfRule type="cellIs" dxfId="23169" priority="11807" stopIfTrue="1" operator="equal">
      <formula>"Towel"</formula>
    </cfRule>
    <cfRule type="cellIs" dxfId="23168" priority="11808" stopIfTrue="1" operator="equal">
      <formula>"Napkin Hs"</formula>
    </cfRule>
  </conditionalFormatting>
  <conditionalFormatting sqref="C66">
    <cfRule type="cellIs" dxfId="23167" priority="11785" stopIfTrue="1" operator="equal">
      <formula>"Towel"</formula>
    </cfRule>
    <cfRule type="cellIs" dxfId="23166" priority="11786" stopIfTrue="1" operator="equal">
      <formula>"Napkin Hs"</formula>
    </cfRule>
    <cfRule type="cellIs" dxfId="23165" priority="11805" stopIfTrue="1" operator="equal">
      <formula>"Towel"</formula>
    </cfRule>
    <cfRule type="cellIs" dxfId="23164" priority="11806" stopIfTrue="1" operator="equal">
      <formula>"Napkin Hs"</formula>
    </cfRule>
  </conditionalFormatting>
  <conditionalFormatting sqref="C66">
    <cfRule type="cellIs" dxfId="23163" priority="11789" stopIfTrue="1" operator="equal">
      <formula>"Towel"</formula>
    </cfRule>
    <cfRule type="cellIs" dxfId="23162" priority="11790" stopIfTrue="1" operator="equal">
      <formula>"Napkin Hs"</formula>
    </cfRule>
  </conditionalFormatting>
  <conditionalFormatting sqref="B66:C66">
    <cfRule type="cellIs" dxfId="23161" priority="11777" stopIfTrue="1" operator="equal">
      <formula>"Towel"</formula>
    </cfRule>
    <cfRule type="cellIs" dxfId="23160" priority="11778" stopIfTrue="1" operator="equal">
      <formula>"Napkin Hs"</formula>
    </cfRule>
  </conditionalFormatting>
  <conditionalFormatting sqref="B66:C66">
    <cfRule type="cellIs" dxfId="23159" priority="11771" stopIfTrue="1" operator="equal">
      <formula>"Towel"</formula>
    </cfRule>
    <cfRule type="cellIs" dxfId="23158" priority="11772" stopIfTrue="1" operator="equal">
      <formula>"Napkin Hs"</formula>
    </cfRule>
  </conditionalFormatting>
  <conditionalFormatting sqref="C66">
    <cfRule type="cellIs" dxfId="23157" priority="11776" stopIfTrue="1" operator="equal">
      <formula>"Napkin Hs"</formula>
    </cfRule>
  </conditionalFormatting>
  <conditionalFormatting sqref="C66">
    <cfRule type="cellIs" dxfId="23156" priority="11773" stopIfTrue="1" operator="equal">
      <formula>"Towel"</formula>
    </cfRule>
    <cfRule type="cellIs" dxfId="23155" priority="11774" stopIfTrue="1" operator="equal">
      <formula>"Napkin Hs"</formula>
    </cfRule>
  </conditionalFormatting>
  <conditionalFormatting sqref="C66">
    <cfRule type="cellIs" dxfId="23154" priority="11767" stopIfTrue="1" operator="equal">
      <formula>"Towel"</formula>
    </cfRule>
    <cfRule type="cellIs" dxfId="23153" priority="11768" stopIfTrue="1" operator="equal">
      <formula>"Napkin Hs"</formula>
    </cfRule>
  </conditionalFormatting>
  <conditionalFormatting sqref="C66">
    <cfRule type="cellIs" dxfId="23152" priority="11769" stopIfTrue="1" operator="equal">
      <formula>"Towel"</formula>
    </cfRule>
    <cfRule type="cellIs" dxfId="23151" priority="11770" stopIfTrue="1" operator="equal">
      <formula>"Napkin Hs"</formula>
    </cfRule>
  </conditionalFormatting>
  <conditionalFormatting sqref="C66">
    <cfRule type="cellIs" dxfId="23150" priority="11775" stopIfTrue="1" operator="equal">
      <formula>"Towel"</formula>
    </cfRule>
  </conditionalFormatting>
  <conditionalFormatting sqref="B66:C66">
    <cfRule type="cellIs" dxfId="23149" priority="11765" stopIfTrue="1" operator="equal">
      <formula>"Towel"</formula>
    </cfRule>
    <cfRule type="cellIs" dxfId="23148" priority="11766" stopIfTrue="1" operator="equal">
      <formula>"Napkin Hs"</formula>
    </cfRule>
  </conditionalFormatting>
  <conditionalFormatting sqref="C66">
    <cfRule type="cellIs" dxfId="23147" priority="11761" stopIfTrue="1" operator="equal">
      <formula>"Towel"</formula>
    </cfRule>
    <cfRule type="cellIs" dxfId="23146" priority="11762" stopIfTrue="1" operator="equal">
      <formula>"Napkin Hs"</formula>
    </cfRule>
  </conditionalFormatting>
  <conditionalFormatting sqref="C66">
    <cfRule type="cellIs" dxfId="23145" priority="11763" stopIfTrue="1" operator="equal">
      <formula>"Towel"</formula>
    </cfRule>
    <cfRule type="cellIs" dxfId="23144" priority="11764" stopIfTrue="1" operator="equal">
      <formula>"Napkin Hs"</formula>
    </cfRule>
  </conditionalFormatting>
  <conditionalFormatting sqref="B66:C66">
    <cfRule type="cellIs" dxfId="23143" priority="11757" stopIfTrue="1" operator="equal">
      <formula>"Towel"</formula>
    </cfRule>
    <cfRule type="cellIs" dxfId="23142" priority="11758" stopIfTrue="1" operator="equal">
      <formula>"Napkin Hs"</formula>
    </cfRule>
  </conditionalFormatting>
  <conditionalFormatting sqref="C66">
    <cfRule type="cellIs" dxfId="23141" priority="11759" stopIfTrue="1" operator="equal">
      <formula>"Towel"</formula>
    </cfRule>
    <cfRule type="cellIs" dxfId="23140" priority="11760" stopIfTrue="1" operator="equal">
      <formula>"Napkin Hs"</formula>
    </cfRule>
  </conditionalFormatting>
  <conditionalFormatting sqref="C66">
    <cfRule type="cellIs" dxfId="23139" priority="11753" stopIfTrue="1" operator="equal">
      <formula>"Towel"</formula>
    </cfRule>
    <cfRule type="cellIs" dxfId="23138" priority="11754" stopIfTrue="1" operator="equal">
      <formula>"Napkin Hs"</formula>
    </cfRule>
  </conditionalFormatting>
  <conditionalFormatting sqref="C66">
    <cfRule type="cellIs" dxfId="23137" priority="11755" stopIfTrue="1" operator="equal">
      <formula>"Towel"</formula>
    </cfRule>
    <cfRule type="cellIs" dxfId="23136" priority="11756" stopIfTrue="1" operator="equal">
      <formula>"Napkin Hs"</formula>
    </cfRule>
  </conditionalFormatting>
  <conditionalFormatting sqref="B66:C66">
    <cfRule type="cellIs" dxfId="23135" priority="11751" stopIfTrue="1" operator="equal">
      <formula>"Towel"</formula>
    </cfRule>
    <cfRule type="cellIs" dxfId="23134" priority="11752" stopIfTrue="1" operator="equal">
      <formula>"Napkin Hs"</formula>
    </cfRule>
  </conditionalFormatting>
  <conditionalFormatting sqref="C66">
    <cfRule type="cellIs" dxfId="23133" priority="11750" stopIfTrue="1" operator="equal">
      <formula>"Napkin Hs"</formula>
    </cfRule>
  </conditionalFormatting>
  <conditionalFormatting sqref="C66">
    <cfRule type="cellIs" dxfId="23132" priority="11749" stopIfTrue="1" operator="equal">
      <formula>"Towel"</formula>
    </cfRule>
  </conditionalFormatting>
  <conditionalFormatting sqref="C65">
    <cfRule type="cellIs" dxfId="23131" priority="11747" stopIfTrue="1" operator="equal">
      <formula>"Towel"</formula>
    </cfRule>
    <cfRule type="cellIs" dxfId="23130" priority="11748" stopIfTrue="1" operator="equal">
      <formula>"Napkin Hs"</formula>
    </cfRule>
  </conditionalFormatting>
  <conditionalFormatting sqref="C65">
    <cfRule type="cellIs" dxfId="23129" priority="11743" stopIfTrue="1" operator="equal">
      <formula>"Towel"</formula>
    </cfRule>
    <cfRule type="cellIs" dxfId="23128" priority="11744" stopIfTrue="1" operator="equal">
      <formula>"Napkin Hs"</formula>
    </cfRule>
  </conditionalFormatting>
  <conditionalFormatting sqref="C65">
    <cfRule type="cellIs" dxfId="23127" priority="11745" stopIfTrue="1" operator="equal">
      <formula>"Towel"</formula>
    </cfRule>
    <cfRule type="cellIs" dxfId="23126" priority="11746" stopIfTrue="1" operator="equal">
      <formula>"Napkin Hs"</formula>
    </cfRule>
  </conditionalFormatting>
  <conditionalFormatting sqref="C65">
    <cfRule type="cellIs" dxfId="23125" priority="11741" stopIfTrue="1" operator="equal">
      <formula>"Towel"</formula>
    </cfRule>
    <cfRule type="cellIs" dxfId="23124" priority="11742" stopIfTrue="1" operator="equal">
      <formula>"Napkin Hs"</formula>
    </cfRule>
  </conditionalFormatting>
  <conditionalFormatting sqref="C65">
    <cfRule type="cellIs" dxfId="23123" priority="11737" stopIfTrue="1" operator="equal">
      <formula>"Towel"</formula>
    </cfRule>
    <cfRule type="cellIs" dxfId="23122" priority="11738" stopIfTrue="1" operator="equal">
      <formula>"Napkin Hs"</formula>
    </cfRule>
  </conditionalFormatting>
  <conditionalFormatting sqref="C65">
    <cfRule type="cellIs" dxfId="23121" priority="11739" stopIfTrue="1" operator="equal">
      <formula>"Towel"</formula>
    </cfRule>
    <cfRule type="cellIs" dxfId="23120" priority="11740" stopIfTrue="1" operator="equal">
      <formula>"Napkin Hs"</formula>
    </cfRule>
  </conditionalFormatting>
  <conditionalFormatting sqref="C65">
    <cfRule type="cellIs" dxfId="23119" priority="11735" stopIfTrue="1" operator="equal">
      <formula>"Towel"</formula>
    </cfRule>
    <cfRule type="cellIs" dxfId="23118" priority="11736" stopIfTrue="1" operator="equal">
      <formula>"Napkin Hs"</formula>
    </cfRule>
  </conditionalFormatting>
  <conditionalFormatting sqref="C65">
    <cfRule type="cellIs" dxfId="23117" priority="11731" stopIfTrue="1" operator="equal">
      <formula>"Towel"</formula>
    </cfRule>
    <cfRule type="cellIs" dxfId="23116" priority="11732" stopIfTrue="1" operator="equal">
      <formula>"Napkin Hs"</formula>
    </cfRule>
  </conditionalFormatting>
  <conditionalFormatting sqref="C65">
    <cfRule type="cellIs" dxfId="23115" priority="11733" stopIfTrue="1" operator="equal">
      <formula>"Towel"</formula>
    </cfRule>
    <cfRule type="cellIs" dxfId="23114" priority="11734" stopIfTrue="1" operator="equal">
      <formula>"Napkin Hs"</formula>
    </cfRule>
  </conditionalFormatting>
  <conditionalFormatting sqref="C65">
    <cfRule type="cellIs" dxfId="23113" priority="11729" stopIfTrue="1" operator="equal">
      <formula>"Towel"</formula>
    </cfRule>
    <cfRule type="cellIs" dxfId="23112" priority="11730" stopIfTrue="1" operator="equal">
      <formula>"Napkin Hs"</formula>
    </cfRule>
  </conditionalFormatting>
  <conditionalFormatting sqref="C65">
    <cfRule type="cellIs" dxfId="23111" priority="11727" stopIfTrue="1" operator="equal">
      <formula>"Towel"</formula>
    </cfRule>
    <cfRule type="cellIs" dxfId="23110" priority="11728" stopIfTrue="1" operator="equal">
      <formula>"Napkin Hs"</formula>
    </cfRule>
  </conditionalFormatting>
  <conditionalFormatting sqref="C65">
    <cfRule type="cellIs" dxfId="23109" priority="11725" stopIfTrue="1" operator="equal">
      <formula>"Towel"</formula>
    </cfRule>
    <cfRule type="cellIs" dxfId="23108" priority="11726" stopIfTrue="1" operator="equal">
      <formula>"Napkin Hs"</formula>
    </cfRule>
  </conditionalFormatting>
  <conditionalFormatting sqref="C65">
    <cfRule type="cellIs" dxfId="23107" priority="11723" stopIfTrue="1" operator="equal">
      <formula>"Towel"</formula>
    </cfRule>
    <cfRule type="cellIs" dxfId="23106" priority="11724" stopIfTrue="1" operator="equal">
      <formula>"Napkin Hs"</formula>
    </cfRule>
  </conditionalFormatting>
  <conditionalFormatting sqref="C65">
    <cfRule type="cellIs" dxfId="23105" priority="11722" stopIfTrue="1" operator="equal">
      <formula>"Napkin Hs"</formula>
    </cfRule>
  </conditionalFormatting>
  <conditionalFormatting sqref="C65">
    <cfRule type="cellIs" dxfId="23104" priority="11719" stopIfTrue="1" operator="equal">
      <formula>"Towel"</formula>
    </cfRule>
    <cfRule type="cellIs" dxfId="23103" priority="11720" stopIfTrue="1" operator="equal">
      <formula>"Napkin Hs"</formula>
    </cfRule>
  </conditionalFormatting>
  <conditionalFormatting sqref="C65">
    <cfRule type="cellIs" dxfId="23102" priority="11721" stopIfTrue="1" operator="equal">
      <formula>"Towel"</formula>
    </cfRule>
  </conditionalFormatting>
  <conditionalFormatting sqref="B65">
    <cfRule type="cellIs" dxfId="23101" priority="11717" stopIfTrue="1" operator="equal">
      <formula>"Towel"</formula>
    </cfRule>
    <cfRule type="cellIs" dxfId="23100" priority="11718" stopIfTrue="1" operator="equal">
      <formula>"Napkin Hs"</formula>
    </cfRule>
  </conditionalFormatting>
  <conditionalFormatting sqref="B65">
    <cfRule type="cellIs" dxfId="23099" priority="11715" stopIfTrue="1" operator="equal">
      <formula>"Towel"</formula>
    </cfRule>
    <cfRule type="cellIs" dxfId="23098" priority="11716" stopIfTrue="1" operator="equal">
      <formula>"Napkin Hs"</formula>
    </cfRule>
  </conditionalFormatting>
  <conditionalFormatting sqref="B65">
    <cfRule type="cellIs" dxfId="23097" priority="11713" stopIfTrue="1" operator="equal">
      <formula>"Towel"</formula>
    </cfRule>
    <cfRule type="cellIs" dxfId="23096" priority="11714" stopIfTrue="1" operator="equal">
      <formula>"Napkin Hs"</formula>
    </cfRule>
  </conditionalFormatting>
  <conditionalFormatting sqref="B65">
    <cfRule type="cellIs" dxfId="23095" priority="11711" stopIfTrue="1" operator="equal">
      <formula>"Towel"</formula>
    </cfRule>
    <cfRule type="cellIs" dxfId="23094" priority="11712" stopIfTrue="1" operator="equal">
      <formula>"Napkin Hs"</formula>
    </cfRule>
  </conditionalFormatting>
  <conditionalFormatting sqref="B65">
    <cfRule type="cellIs" dxfId="23093" priority="11709" stopIfTrue="1" operator="equal">
      <formula>"Towel"</formula>
    </cfRule>
    <cfRule type="cellIs" dxfId="23092" priority="11710" stopIfTrue="1" operator="equal">
      <formula>"Napkin Hs"</formula>
    </cfRule>
  </conditionalFormatting>
  <conditionalFormatting sqref="B65">
    <cfRule type="cellIs" dxfId="23091" priority="11707" stopIfTrue="1" operator="equal">
      <formula>"Towel"</formula>
    </cfRule>
    <cfRule type="cellIs" dxfId="23090" priority="11708" stopIfTrue="1" operator="equal">
      <formula>"Napkin Hs"</formula>
    </cfRule>
  </conditionalFormatting>
  <conditionalFormatting sqref="B65">
    <cfRule type="cellIs" dxfId="23089" priority="11703" stopIfTrue="1" operator="equal">
      <formula>"Towel"</formula>
    </cfRule>
    <cfRule type="cellIs" dxfId="23088" priority="11704" stopIfTrue="1" operator="equal">
      <formula>"Napkin Hs"</formula>
    </cfRule>
    <cfRule type="cellIs" dxfId="23087" priority="11705" stopIfTrue="1" operator="equal">
      <formula>"Towel"</formula>
    </cfRule>
    <cfRule type="cellIs" dxfId="23086" priority="11706" stopIfTrue="1" operator="equal">
      <formula>"Napkin Hs"</formula>
    </cfRule>
  </conditionalFormatting>
  <conditionalFormatting sqref="B65">
    <cfRule type="cellIs" dxfId="23085" priority="11701" stopIfTrue="1" operator="equal">
      <formula>"Towel"</formula>
    </cfRule>
    <cfRule type="cellIs" dxfId="23084" priority="11702" stopIfTrue="1" operator="equal">
      <formula>"Napkin Hs"</formula>
    </cfRule>
  </conditionalFormatting>
  <conditionalFormatting sqref="B65">
    <cfRule type="cellIs" dxfId="23083" priority="11699" stopIfTrue="1" operator="equal">
      <formula>"Towel"</formula>
    </cfRule>
    <cfRule type="cellIs" dxfId="23082" priority="11700" stopIfTrue="1" operator="equal">
      <formula>"Napkin Hs"</formula>
    </cfRule>
  </conditionalFormatting>
  <conditionalFormatting sqref="B65">
    <cfRule type="cellIs" dxfId="23081" priority="11697" stopIfTrue="1" operator="equal">
      <formula>"Towel"</formula>
    </cfRule>
    <cfRule type="cellIs" dxfId="23080" priority="11698" stopIfTrue="1" operator="equal">
      <formula>"Napkin Hs"</formula>
    </cfRule>
  </conditionalFormatting>
  <conditionalFormatting sqref="B65">
    <cfRule type="cellIs" dxfId="23079" priority="11695" stopIfTrue="1" operator="equal">
      <formula>"Towel"</formula>
    </cfRule>
    <cfRule type="cellIs" dxfId="23078" priority="11696" stopIfTrue="1" operator="equal">
      <formula>"Napkin Hs"</formula>
    </cfRule>
  </conditionalFormatting>
  <conditionalFormatting sqref="B65">
    <cfRule type="cellIs" dxfId="23077" priority="11693" stopIfTrue="1" operator="equal">
      <formula>"Towel"</formula>
    </cfRule>
    <cfRule type="cellIs" dxfId="23076" priority="11694" stopIfTrue="1" operator="equal">
      <formula>"Napkin Hs"</formula>
    </cfRule>
  </conditionalFormatting>
  <conditionalFormatting sqref="B65:C65">
    <cfRule type="cellIs" dxfId="23075" priority="11679" stopIfTrue="1" operator="equal">
      <formula>"Towel"</formula>
    </cfRule>
    <cfRule type="cellIs" dxfId="23074" priority="11680" stopIfTrue="1" operator="equal">
      <formula>"Napkin Hs"</formula>
    </cfRule>
    <cfRule type="cellIs" dxfId="23073" priority="11685" stopIfTrue="1" operator="equal">
      <formula>"Towel"</formula>
    </cfRule>
    <cfRule type="cellIs" dxfId="23072" priority="11686" stopIfTrue="1" operator="equal">
      <formula>"Napkin Hs"</formula>
    </cfRule>
    <cfRule type="cellIs" dxfId="23071" priority="11691" stopIfTrue="1" operator="equal">
      <formula>"Towel"</formula>
    </cfRule>
    <cfRule type="cellIs" dxfId="23070" priority="11692" stopIfTrue="1" operator="equal">
      <formula>"Napkin Hs"</formula>
    </cfRule>
  </conditionalFormatting>
  <conditionalFormatting sqref="C65">
    <cfRule type="cellIs" dxfId="23069" priority="11673" stopIfTrue="1" operator="equal">
      <formula>"Towel"</formula>
    </cfRule>
    <cfRule type="cellIs" dxfId="23068" priority="11674" stopIfTrue="1" operator="equal">
      <formula>"Napkin Hs"</formula>
    </cfRule>
    <cfRule type="cellIs" dxfId="23067" priority="11675" stopIfTrue="1" operator="equal">
      <formula>"Towel"</formula>
    </cfRule>
    <cfRule type="cellIs" dxfId="23066" priority="11676" stopIfTrue="1" operator="equal">
      <formula>"Napkin Hs"</formula>
    </cfRule>
    <cfRule type="cellIs" dxfId="23065" priority="11683" stopIfTrue="1" operator="equal">
      <formula>"Towel"</formula>
    </cfRule>
    <cfRule type="cellIs" dxfId="23064" priority="11684" stopIfTrue="1" operator="equal">
      <formula>"Napkin Hs"</formula>
    </cfRule>
    <cfRule type="cellIs" dxfId="23063" priority="11687" stopIfTrue="1" operator="equal">
      <formula>"Towel"</formula>
    </cfRule>
    <cfRule type="cellIs" dxfId="23062" priority="11688" stopIfTrue="1" operator="equal">
      <formula>"Napkin Hs"</formula>
    </cfRule>
  </conditionalFormatting>
  <conditionalFormatting sqref="C65">
    <cfRule type="cellIs" dxfId="23061" priority="11677" stopIfTrue="1" operator="equal">
      <formula>"Towel"</formula>
    </cfRule>
    <cfRule type="cellIs" dxfId="23060" priority="11678" stopIfTrue="1" operator="equal">
      <formula>"Napkin Hs"</formula>
    </cfRule>
    <cfRule type="cellIs" dxfId="23059" priority="11681" stopIfTrue="1" operator="equal">
      <formula>"Towel"</formula>
    </cfRule>
    <cfRule type="cellIs" dxfId="23058" priority="11682" stopIfTrue="1" operator="equal">
      <formula>"Napkin Hs"</formula>
    </cfRule>
    <cfRule type="cellIs" dxfId="23057" priority="11689" stopIfTrue="1" operator="equal">
      <formula>"Towel"</formula>
    </cfRule>
    <cfRule type="cellIs" dxfId="23056" priority="11690" stopIfTrue="1" operator="equal">
      <formula>"Napkin Hs"</formula>
    </cfRule>
  </conditionalFormatting>
  <conditionalFormatting sqref="B65:C65">
    <cfRule type="cellIs" dxfId="23055" priority="11671" stopIfTrue="1" operator="equal">
      <formula>"Towel"</formula>
    </cfRule>
    <cfRule type="cellIs" dxfId="23054" priority="11672" stopIfTrue="1" operator="equal">
      <formula>"Napkin Hs"</formula>
    </cfRule>
  </conditionalFormatting>
  <conditionalFormatting sqref="B65:C65">
    <cfRule type="cellIs" dxfId="23053" priority="11663" stopIfTrue="1" operator="equal">
      <formula>"Towel"</formula>
    </cfRule>
    <cfRule type="cellIs" dxfId="23052" priority="11664" stopIfTrue="1" operator="equal">
      <formula>"Napkin Hs"</formula>
    </cfRule>
    <cfRule type="cellIs" dxfId="23051" priority="11669" stopIfTrue="1" operator="equal">
      <formula>"Towel"</formula>
    </cfRule>
    <cfRule type="cellIs" dxfId="23050" priority="11670" stopIfTrue="1" operator="equal">
      <formula>"Napkin Hs"</formula>
    </cfRule>
  </conditionalFormatting>
  <conditionalFormatting sqref="C65">
    <cfRule type="cellIs" dxfId="23049" priority="11659" stopIfTrue="1" operator="equal">
      <formula>"Towel"</formula>
    </cfRule>
    <cfRule type="cellIs" dxfId="23048" priority="11660" stopIfTrue="1" operator="equal">
      <formula>"Napkin Hs"</formula>
    </cfRule>
  </conditionalFormatting>
  <conditionalFormatting sqref="C65">
    <cfRule type="cellIs" dxfId="23047" priority="11657" stopIfTrue="1" operator="equal">
      <formula>"Towel"</formula>
    </cfRule>
    <cfRule type="cellIs" dxfId="23046" priority="11658" stopIfTrue="1" operator="equal">
      <formula>"Napkin Hs"</formula>
    </cfRule>
    <cfRule type="cellIs" dxfId="23045" priority="11667" stopIfTrue="1" operator="equal">
      <formula>"Towel"</formula>
    </cfRule>
    <cfRule type="cellIs" dxfId="23044" priority="11668" stopIfTrue="1" operator="equal">
      <formula>"Napkin Hs"</formula>
    </cfRule>
  </conditionalFormatting>
  <conditionalFormatting sqref="C65">
    <cfRule type="cellIs" dxfId="23043" priority="11661" stopIfTrue="1" operator="equal">
      <formula>"Towel"</formula>
    </cfRule>
    <cfRule type="cellIs" dxfId="23042" priority="11662" stopIfTrue="1" operator="equal">
      <formula>"Napkin Hs"</formula>
    </cfRule>
    <cfRule type="cellIs" dxfId="23041" priority="11665" stopIfTrue="1" operator="equal">
      <formula>"Towel"</formula>
    </cfRule>
    <cfRule type="cellIs" dxfId="23040" priority="11666" stopIfTrue="1" operator="equal">
      <formula>"Napkin Hs"</formula>
    </cfRule>
  </conditionalFormatting>
  <conditionalFormatting sqref="C65">
    <cfRule type="cellIs" dxfId="23039" priority="11656" stopIfTrue="1" operator="equal">
      <formula>"Napkin Hs"</formula>
    </cfRule>
  </conditionalFormatting>
  <conditionalFormatting sqref="C65">
    <cfRule type="cellIs" dxfId="23038" priority="11655" stopIfTrue="1" operator="equal">
      <formula>"Towel"</formula>
    </cfRule>
  </conditionalFormatting>
  <conditionalFormatting sqref="C65">
    <cfRule type="cellIs" dxfId="23037" priority="11651" stopIfTrue="1" operator="equal">
      <formula>"Towel"</formula>
    </cfRule>
    <cfRule type="cellIs" dxfId="23036" priority="11652" stopIfTrue="1" operator="equal">
      <formula>"Napkin Hs"</formula>
    </cfRule>
    <cfRule type="cellIs" dxfId="23035" priority="11653" stopIfTrue="1" operator="equal">
      <formula>"Towel"</formula>
    </cfRule>
    <cfRule type="cellIs" dxfId="23034" priority="11654" stopIfTrue="1" operator="equal">
      <formula>"Napkin Hs"</formula>
    </cfRule>
  </conditionalFormatting>
  <conditionalFormatting sqref="B65:C65">
    <cfRule type="cellIs" dxfId="23033" priority="11649" stopIfTrue="1" operator="equal">
      <formula>"Towel"</formula>
    </cfRule>
    <cfRule type="cellIs" dxfId="23032" priority="11650" stopIfTrue="1" operator="equal">
      <formula>"Napkin Hs"</formula>
    </cfRule>
  </conditionalFormatting>
  <conditionalFormatting sqref="C65">
    <cfRule type="cellIs" dxfId="23031" priority="11645" stopIfTrue="1" operator="equal">
      <formula>"Towel"</formula>
    </cfRule>
    <cfRule type="cellIs" dxfId="23030" priority="11646" stopIfTrue="1" operator="equal">
      <formula>"Napkin Hs"</formula>
    </cfRule>
  </conditionalFormatting>
  <conditionalFormatting sqref="C65">
    <cfRule type="cellIs" dxfId="23029" priority="11647" stopIfTrue="1" operator="equal">
      <formula>"Towel"</formula>
    </cfRule>
    <cfRule type="cellIs" dxfId="23028" priority="11648" stopIfTrue="1" operator="equal">
      <formula>"Napkin Hs"</formula>
    </cfRule>
  </conditionalFormatting>
  <conditionalFormatting sqref="B65:C65">
    <cfRule type="cellIs" dxfId="23027" priority="11643" stopIfTrue="1" operator="equal">
      <formula>"Towel"</formula>
    </cfRule>
    <cfRule type="cellIs" dxfId="23026" priority="11644" stopIfTrue="1" operator="equal">
      <formula>"Napkin Hs"</formula>
    </cfRule>
  </conditionalFormatting>
  <conditionalFormatting sqref="C65">
    <cfRule type="cellIs" dxfId="23025" priority="11639" stopIfTrue="1" operator="equal">
      <formula>"Towel"</formula>
    </cfRule>
    <cfRule type="cellIs" dxfId="23024" priority="11640" stopIfTrue="1" operator="equal">
      <formula>"Napkin Hs"</formula>
    </cfRule>
  </conditionalFormatting>
  <conditionalFormatting sqref="C65">
    <cfRule type="cellIs" dxfId="23023" priority="11641" stopIfTrue="1" operator="equal">
      <formula>"Towel"</formula>
    </cfRule>
    <cfRule type="cellIs" dxfId="23022" priority="11642" stopIfTrue="1" operator="equal">
      <formula>"Napkin Hs"</formula>
    </cfRule>
  </conditionalFormatting>
  <conditionalFormatting sqref="B65:C65">
    <cfRule type="cellIs" dxfId="23021" priority="11637" stopIfTrue="1" operator="equal">
      <formula>"Towel"</formula>
    </cfRule>
    <cfRule type="cellIs" dxfId="23020" priority="11638" stopIfTrue="1" operator="equal">
      <formula>"Napkin Hs"</formula>
    </cfRule>
  </conditionalFormatting>
  <conditionalFormatting sqref="C65">
    <cfRule type="cellIs" dxfId="23019" priority="11633" stopIfTrue="1" operator="equal">
      <formula>"Towel"</formula>
    </cfRule>
    <cfRule type="cellIs" dxfId="23018" priority="11634" stopIfTrue="1" operator="equal">
      <formula>"Napkin Hs"</formula>
    </cfRule>
  </conditionalFormatting>
  <conditionalFormatting sqref="C65">
    <cfRule type="cellIs" dxfId="23017" priority="11635" stopIfTrue="1" operator="equal">
      <formula>"Towel"</formula>
    </cfRule>
    <cfRule type="cellIs" dxfId="23016" priority="11636" stopIfTrue="1" operator="equal">
      <formula>"Napkin Hs"</formula>
    </cfRule>
  </conditionalFormatting>
  <conditionalFormatting sqref="B65:C65">
    <cfRule type="cellIs" dxfId="23015" priority="11631" stopIfTrue="1" operator="equal">
      <formula>"Towel"</formula>
    </cfRule>
    <cfRule type="cellIs" dxfId="23014" priority="11632" stopIfTrue="1" operator="equal">
      <formula>"Napkin Hs"</formula>
    </cfRule>
  </conditionalFormatting>
  <conditionalFormatting sqref="C65">
    <cfRule type="cellIs" dxfId="23013" priority="11629" stopIfTrue="1" operator="equal">
      <formula>"Towel"</formula>
    </cfRule>
    <cfRule type="cellIs" dxfId="23012" priority="11630" stopIfTrue="1" operator="equal">
      <formula>"Napkin Hs"</formula>
    </cfRule>
  </conditionalFormatting>
  <conditionalFormatting sqref="C65">
    <cfRule type="cellIs" dxfId="23011" priority="11627" stopIfTrue="1" operator="equal">
      <formula>"Towel"</formula>
    </cfRule>
    <cfRule type="cellIs" dxfId="23010" priority="11628" stopIfTrue="1" operator="equal">
      <formula>"Napkin Hs"</formula>
    </cfRule>
  </conditionalFormatting>
  <conditionalFormatting sqref="B65:C65">
    <cfRule type="cellIs" dxfId="23009" priority="11625" stopIfTrue="1" operator="equal">
      <formula>"Towel"</formula>
    </cfRule>
    <cfRule type="cellIs" dxfId="23008" priority="11626" stopIfTrue="1" operator="equal">
      <formula>"Napkin Hs"</formula>
    </cfRule>
  </conditionalFormatting>
  <conditionalFormatting sqref="C65">
    <cfRule type="cellIs" dxfId="23007" priority="11624" stopIfTrue="1" operator="equal">
      <formula>"Napkin Hs"</formula>
    </cfRule>
  </conditionalFormatting>
  <conditionalFormatting sqref="C65">
    <cfRule type="cellIs" dxfId="23006" priority="11621" stopIfTrue="1" operator="equal">
      <formula>"Towel"</formula>
    </cfRule>
    <cfRule type="cellIs" dxfId="23005" priority="11622" stopIfTrue="1" operator="equal">
      <formula>"Napkin Hs"</formula>
    </cfRule>
  </conditionalFormatting>
  <conditionalFormatting sqref="C65">
    <cfRule type="cellIs" dxfId="23004" priority="11623" stopIfTrue="1" operator="equal">
      <formula>"Towel"</formula>
    </cfRule>
  </conditionalFormatting>
  <conditionalFormatting sqref="B64:C64">
    <cfRule type="cellIs" dxfId="23003" priority="11577" stopIfTrue="1" operator="equal">
      <formula>"Towel"</formula>
    </cfRule>
    <cfRule type="cellIs" dxfId="23002" priority="11578" stopIfTrue="1" operator="equal">
      <formula>"Napkin Hs"</formula>
    </cfRule>
    <cfRule type="cellIs" dxfId="23001" priority="11583" stopIfTrue="1" operator="equal">
      <formula>"Towel"</formula>
    </cfRule>
    <cfRule type="cellIs" dxfId="23000" priority="11584" stopIfTrue="1" operator="equal">
      <formula>"Napkin Hs"</formula>
    </cfRule>
    <cfRule type="cellIs" dxfId="22999" priority="11589" stopIfTrue="1" operator="equal">
      <formula>"Towel"</formula>
    </cfRule>
    <cfRule type="cellIs" dxfId="22998" priority="11590" stopIfTrue="1" operator="equal">
      <formula>"Napkin Hs"</formula>
    </cfRule>
    <cfRule type="cellIs" dxfId="22997" priority="11595" stopIfTrue="1" operator="equal">
      <formula>"Towel"</formula>
    </cfRule>
    <cfRule type="cellIs" dxfId="22996" priority="11596" stopIfTrue="1" operator="equal">
      <formula>"Napkin Hs"</formula>
    </cfRule>
    <cfRule type="cellIs" dxfId="22995" priority="11601" stopIfTrue="1" operator="equal">
      <formula>"Towel"</formula>
    </cfRule>
    <cfRule type="cellIs" dxfId="22994" priority="11602" stopIfTrue="1" operator="equal">
      <formula>"Napkin Hs"</formula>
    </cfRule>
    <cfRule type="cellIs" dxfId="22993" priority="11607" stopIfTrue="1" operator="equal">
      <formula>"Towel"</formula>
    </cfRule>
    <cfRule type="cellIs" dxfId="22992" priority="11608" stopIfTrue="1" operator="equal">
      <formula>"Napkin Hs"</formula>
    </cfRule>
    <cfRule type="cellIs" dxfId="22991" priority="11613" stopIfTrue="1" operator="equal">
      <formula>"Towel"</formula>
    </cfRule>
    <cfRule type="cellIs" dxfId="22990" priority="11614" stopIfTrue="1" operator="equal">
      <formula>"Napkin Hs"</formula>
    </cfRule>
    <cfRule type="cellIs" dxfId="22989" priority="11619" stopIfTrue="1" operator="equal">
      <formula>"Towel"</formula>
    </cfRule>
    <cfRule type="cellIs" dxfId="22988" priority="11620" stopIfTrue="1" operator="equal">
      <formula>"Napkin Hs"</formula>
    </cfRule>
  </conditionalFormatting>
  <conditionalFormatting sqref="C64">
    <cfRule type="cellIs" dxfId="22987" priority="11573" stopIfTrue="1" operator="equal">
      <formula>"Towel"</formula>
    </cfRule>
    <cfRule type="cellIs" dxfId="22986" priority="11574" stopIfTrue="1" operator="equal">
      <formula>"Napkin Hs"</formula>
    </cfRule>
    <cfRule type="cellIs" dxfId="22985" priority="11575" stopIfTrue="1" operator="equal">
      <formula>"Towel"</formula>
    </cfRule>
    <cfRule type="cellIs" dxfId="22984" priority="11576" stopIfTrue="1" operator="equal">
      <formula>"Napkin Hs"</formula>
    </cfRule>
    <cfRule type="cellIs" dxfId="22983" priority="11579" stopIfTrue="1" operator="equal">
      <formula>"Towel"</formula>
    </cfRule>
    <cfRule type="cellIs" dxfId="22982" priority="11580" stopIfTrue="1" operator="equal">
      <formula>"Napkin Hs"</formula>
    </cfRule>
    <cfRule type="cellIs" dxfId="22981" priority="11581" stopIfTrue="1" operator="equal">
      <formula>"Towel"</formula>
    </cfRule>
    <cfRule type="cellIs" dxfId="22980" priority="11582" stopIfTrue="1" operator="equal">
      <formula>"Napkin Hs"</formula>
    </cfRule>
    <cfRule type="cellIs" dxfId="22979" priority="11585" stopIfTrue="1" operator="equal">
      <formula>"Towel"</formula>
    </cfRule>
    <cfRule type="cellIs" dxfId="22978" priority="11586" stopIfTrue="1" operator="equal">
      <formula>"Napkin Hs"</formula>
    </cfRule>
    <cfRule type="cellIs" dxfId="22977" priority="11587" stopIfTrue="1" operator="equal">
      <formula>"Towel"</formula>
    </cfRule>
    <cfRule type="cellIs" dxfId="22976" priority="11588" stopIfTrue="1" operator="equal">
      <formula>"Napkin Hs"</formula>
    </cfRule>
    <cfRule type="cellIs" dxfId="22975" priority="11591" stopIfTrue="1" operator="equal">
      <formula>"Towel"</formula>
    </cfRule>
    <cfRule type="cellIs" dxfId="22974" priority="11592" stopIfTrue="1" operator="equal">
      <formula>"Napkin Hs"</formula>
    </cfRule>
    <cfRule type="cellIs" dxfId="22973" priority="11593" stopIfTrue="1" operator="equal">
      <formula>"Towel"</formula>
    </cfRule>
    <cfRule type="cellIs" dxfId="22972" priority="11594" stopIfTrue="1" operator="equal">
      <formula>"Napkin Hs"</formula>
    </cfRule>
    <cfRule type="cellIs" dxfId="22971" priority="11597" stopIfTrue="1" operator="equal">
      <formula>"Towel"</formula>
    </cfRule>
    <cfRule type="cellIs" dxfId="22970" priority="11598" stopIfTrue="1" operator="equal">
      <formula>"Napkin Hs"</formula>
    </cfRule>
    <cfRule type="cellIs" dxfId="22969" priority="11599" stopIfTrue="1" operator="equal">
      <formula>"Towel"</formula>
    </cfRule>
    <cfRule type="cellIs" dxfId="22968" priority="11600" stopIfTrue="1" operator="equal">
      <formula>"Napkin Hs"</formula>
    </cfRule>
    <cfRule type="cellIs" dxfId="22967" priority="11603" stopIfTrue="1" operator="equal">
      <formula>"Towel"</formula>
    </cfRule>
    <cfRule type="cellIs" dxfId="22966" priority="11604" stopIfTrue="1" operator="equal">
      <formula>"Napkin Hs"</formula>
    </cfRule>
    <cfRule type="cellIs" dxfId="22965" priority="11605" stopIfTrue="1" operator="equal">
      <formula>"Towel"</formula>
    </cfRule>
    <cfRule type="cellIs" dxfId="22964" priority="11606" stopIfTrue="1" operator="equal">
      <formula>"Napkin Hs"</formula>
    </cfRule>
    <cfRule type="cellIs" dxfId="22963" priority="11609" stopIfTrue="1" operator="equal">
      <formula>"Towel"</formula>
    </cfRule>
    <cfRule type="cellIs" dxfId="22962" priority="11610" stopIfTrue="1" operator="equal">
      <formula>"Napkin Hs"</formula>
    </cfRule>
    <cfRule type="cellIs" dxfId="22961" priority="11611" stopIfTrue="1" operator="equal">
      <formula>"Towel"</formula>
    </cfRule>
    <cfRule type="cellIs" dxfId="22960" priority="11612" stopIfTrue="1" operator="equal">
      <formula>"Napkin Hs"</formula>
    </cfRule>
    <cfRule type="cellIs" dxfId="22959" priority="11615" stopIfTrue="1" operator="equal">
      <formula>"Towel"</formula>
    </cfRule>
    <cfRule type="cellIs" dxfId="22958" priority="11616" stopIfTrue="1" operator="equal">
      <formula>"Napkin Hs"</formula>
    </cfRule>
  </conditionalFormatting>
  <conditionalFormatting sqref="C64">
    <cfRule type="cellIs" dxfId="22957" priority="11617" stopIfTrue="1" operator="equal">
      <formula>"Towel"</formula>
    </cfRule>
    <cfRule type="cellIs" dxfId="22956" priority="11618" stopIfTrue="1" operator="equal">
      <formula>"Napkin Hs"</formula>
    </cfRule>
  </conditionalFormatting>
  <conditionalFormatting sqref="B64">
    <cfRule type="cellIs" dxfId="22955" priority="11567" stopIfTrue="1" operator="equal">
      <formula>"Towel"</formula>
    </cfRule>
    <cfRule type="cellIs" dxfId="22954" priority="11568" stopIfTrue="1" operator="equal">
      <formula>"Napkin Hs"</formula>
    </cfRule>
    <cfRule type="cellIs" dxfId="22953" priority="11569" stopIfTrue="1" operator="equal">
      <formula>"Towel"</formula>
    </cfRule>
    <cfRule type="cellIs" dxfId="22952" priority="11570" stopIfTrue="1" operator="equal">
      <formula>"Napkin Hs"</formula>
    </cfRule>
    <cfRule type="cellIs" dxfId="22951" priority="11571" stopIfTrue="1" operator="equal">
      <formula>"Towel"</formula>
    </cfRule>
    <cfRule type="cellIs" dxfId="22950" priority="11572" stopIfTrue="1" operator="equal">
      <formula>"Napkin Hs"</formula>
    </cfRule>
  </conditionalFormatting>
  <conditionalFormatting sqref="B64:C64">
    <cfRule type="cellIs" dxfId="22949" priority="11529" stopIfTrue="1" operator="equal">
      <formula>"Towel"</formula>
    </cfRule>
    <cfRule type="cellIs" dxfId="22948" priority="11530" stopIfTrue="1" operator="equal">
      <formula>"Napkin Hs"</formula>
    </cfRule>
    <cfRule type="cellIs" dxfId="22947" priority="11535" stopIfTrue="1" operator="equal">
      <formula>"Towel"</formula>
    </cfRule>
    <cfRule type="cellIs" dxfId="22946" priority="11536" stopIfTrue="1" operator="equal">
      <formula>"Napkin Hs"</formula>
    </cfRule>
    <cfRule type="cellIs" dxfId="22945" priority="11541" stopIfTrue="1" operator="equal">
      <formula>"Towel"</formula>
    </cfRule>
    <cfRule type="cellIs" dxfId="22944" priority="11542" stopIfTrue="1" operator="equal">
      <formula>"Napkin Hs"</formula>
    </cfRule>
    <cfRule type="cellIs" dxfId="22943" priority="11547" stopIfTrue="1" operator="equal">
      <formula>"Towel"</formula>
    </cfRule>
    <cfRule type="cellIs" dxfId="22942" priority="11548" stopIfTrue="1" operator="equal">
      <formula>"Napkin Hs"</formula>
    </cfRule>
    <cfRule type="cellIs" dxfId="22941" priority="11553" stopIfTrue="1" operator="equal">
      <formula>"Towel"</formula>
    </cfRule>
    <cfRule type="cellIs" dxfId="22940" priority="11554" stopIfTrue="1" operator="equal">
      <formula>"Napkin Hs"</formula>
    </cfRule>
    <cfRule type="cellIs" dxfId="22939" priority="11559" stopIfTrue="1" operator="equal">
      <formula>"Towel"</formula>
    </cfRule>
    <cfRule type="cellIs" dxfId="22938" priority="11560" stopIfTrue="1" operator="equal">
      <formula>"Napkin Hs"</formula>
    </cfRule>
    <cfRule type="cellIs" dxfId="22937" priority="11565" stopIfTrue="1" operator="equal">
      <formula>"Towel"</formula>
    </cfRule>
    <cfRule type="cellIs" dxfId="22936" priority="11566" stopIfTrue="1" operator="equal">
      <formula>"Napkin Hs"</formula>
    </cfRule>
  </conditionalFormatting>
  <conditionalFormatting sqref="C64">
    <cfRule type="cellIs" dxfId="22935" priority="11525" stopIfTrue="1" operator="equal">
      <formula>"Towel"</formula>
    </cfRule>
    <cfRule type="cellIs" dxfId="22934" priority="11526" stopIfTrue="1" operator="equal">
      <formula>"Napkin Hs"</formula>
    </cfRule>
    <cfRule type="cellIs" dxfId="22933" priority="11527" stopIfTrue="1" operator="equal">
      <formula>"Towel"</formula>
    </cfRule>
    <cfRule type="cellIs" dxfId="22932" priority="11528" stopIfTrue="1" operator="equal">
      <formula>"Napkin Hs"</formula>
    </cfRule>
    <cfRule type="cellIs" dxfId="22931" priority="11531" stopIfTrue="1" operator="equal">
      <formula>"Towel"</formula>
    </cfRule>
    <cfRule type="cellIs" dxfId="22930" priority="11532" stopIfTrue="1" operator="equal">
      <formula>"Napkin Hs"</formula>
    </cfRule>
    <cfRule type="cellIs" dxfId="22929" priority="11533" stopIfTrue="1" operator="equal">
      <formula>"Towel"</formula>
    </cfRule>
    <cfRule type="cellIs" dxfId="22928" priority="11534" stopIfTrue="1" operator="equal">
      <formula>"Napkin Hs"</formula>
    </cfRule>
    <cfRule type="cellIs" dxfId="22927" priority="11537" stopIfTrue="1" operator="equal">
      <formula>"Towel"</formula>
    </cfRule>
    <cfRule type="cellIs" dxfId="22926" priority="11538" stopIfTrue="1" operator="equal">
      <formula>"Napkin Hs"</formula>
    </cfRule>
    <cfRule type="cellIs" dxfId="22925" priority="11539" stopIfTrue="1" operator="equal">
      <formula>"Towel"</formula>
    </cfRule>
    <cfRule type="cellIs" dxfId="22924" priority="11540" stopIfTrue="1" operator="equal">
      <formula>"Napkin Hs"</formula>
    </cfRule>
    <cfRule type="cellIs" dxfId="22923" priority="11543" stopIfTrue="1" operator="equal">
      <formula>"Towel"</formula>
    </cfRule>
    <cfRule type="cellIs" dxfId="22922" priority="11544" stopIfTrue="1" operator="equal">
      <formula>"Napkin Hs"</formula>
    </cfRule>
    <cfRule type="cellIs" dxfId="22921" priority="11545" stopIfTrue="1" operator="equal">
      <formula>"Towel"</formula>
    </cfRule>
    <cfRule type="cellIs" dxfId="22920" priority="11546" stopIfTrue="1" operator="equal">
      <formula>"Napkin Hs"</formula>
    </cfRule>
    <cfRule type="cellIs" dxfId="22919" priority="11549" stopIfTrue="1" operator="equal">
      <formula>"Towel"</formula>
    </cfRule>
    <cfRule type="cellIs" dxfId="22918" priority="11550" stopIfTrue="1" operator="equal">
      <formula>"Napkin Hs"</formula>
    </cfRule>
    <cfRule type="cellIs" dxfId="22917" priority="11551" stopIfTrue="1" operator="equal">
      <formula>"Towel"</formula>
    </cfRule>
    <cfRule type="cellIs" dxfId="22916" priority="11552" stopIfTrue="1" operator="equal">
      <formula>"Napkin Hs"</formula>
    </cfRule>
    <cfRule type="cellIs" dxfId="22915" priority="11555" stopIfTrue="1" operator="equal">
      <formula>"Towel"</formula>
    </cfRule>
    <cfRule type="cellIs" dxfId="22914" priority="11556" stopIfTrue="1" operator="equal">
      <formula>"Napkin Hs"</formula>
    </cfRule>
    <cfRule type="cellIs" dxfId="22913" priority="11557" stopIfTrue="1" operator="equal">
      <formula>"Towel"</formula>
    </cfRule>
    <cfRule type="cellIs" dxfId="22912" priority="11558" stopIfTrue="1" operator="equal">
      <formula>"Napkin Hs"</formula>
    </cfRule>
    <cfRule type="cellIs" dxfId="22911" priority="11561" stopIfTrue="1" operator="equal">
      <formula>"Towel"</formula>
    </cfRule>
    <cfRule type="cellIs" dxfId="22910" priority="11562" stopIfTrue="1" operator="equal">
      <formula>"Napkin Hs"</formula>
    </cfRule>
  </conditionalFormatting>
  <conditionalFormatting sqref="C64">
    <cfRule type="cellIs" dxfId="22909" priority="11563" stopIfTrue="1" operator="equal">
      <formula>"Towel"</formula>
    </cfRule>
    <cfRule type="cellIs" dxfId="22908" priority="11564" stopIfTrue="1" operator="equal">
      <formula>"Napkin Hs"</formula>
    </cfRule>
  </conditionalFormatting>
  <conditionalFormatting sqref="B64:C64">
    <cfRule type="cellIs" dxfId="22907" priority="11523" stopIfTrue="1" operator="equal">
      <formula>"Towel"</formula>
    </cfRule>
    <cfRule type="cellIs" dxfId="22906" priority="11524" stopIfTrue="1" operator="equal">
      <formula>"Napkin Hs"</formula>
    </cfRule>
  </conditionalFormatting>
  <conditionalFormatting sqref="B64:C64">
    <cfRule type="cellIs" dxfId="22905" priority="11487" stopIfTrue="1" operator="equal">
      <formula>"Towel"</formula>
    </cfRule>
    <cfRule type="cellIs" dxfId="22904" priority="11488" stopIfTrue="1" operator="equal">
      <formula>"Napkin Hs"</formula>
    </cfRule>
    <cfRule type="cellIs" dxfId="22903" priority="11493" stopIfTrue="1" operator="equal">
      <formula>"Towel"</formula>
    </cfRule>
    <cfRule type="cellIs" dxfId="22902" priority="11494" stopIfTrue="1" operator="equal">
      <formula>"Napkin Hs"</formula>
    </cfRule>
    <cfRule type="cellIs" dxfId="22901" priority="11499" stopIfTrue="1" operator="equal">
      <formula>"Towel"</formula>
    </cfRule>
    <cfRule type="cellIs" dxfId="22900" priority="11500" stopIfTrue="1" operator="equal">
      <formula>"Napkin Hs"</formula>
    </cfRule>
    <cfRule type="cellIs" dxfId="22899" priority="11505" stopIfTrue="1" operator="equal">
      <formula>"Towel"</formula>
    </cfRule>
    <cfRule type="cellIs" dxfId="22898" priority="11506" stopIfTrue="1" operator="equal">
      <formula>"Napkin Hs"</formula>
    </cfRule>
    <cfRule type="cellIs" dxfId="22897" priority="11511" stopIfTrue="1" operator="equal">
      <formula>"Towel"</formula>
    </cfRule>
    <cfRule type="cellIs" dxfId="22896" priority="11512" stopIfTrue="1" operator="equal">
      <formula>"Napkin Hs"</formula>
    </cfRule>
    <cfRule type="cellIs" dxfId="22895" priority="11517" stopIfTrue="1" operator="equal">
      <formula>"Towel"</formula>
    </cfRule>
    <cfRule type="cellIs" dxfId="22894" priority="11518" stopIfTrue="1" operator="equal">
      <formula>"Napkin Hs"</formula>
    </cfRule>
  </conditionalFormatting>
  <conditionalFormatting sqref="C64">
    <cfRule type="cellIs" dxfId="22893" priority="11522" stopIfTrue="1" operator="equal">
      <formula>"Napkin Hs"</formula>
    </cfRule>
  </conditionalFormatting>
  <conditionalFormatting sqref="C64">
    <cfRule type="cellIs" dxfId="22892" priority="11521" stopIfTrue="1" operator="equal">
      <formula>"Towel"</formula>
    </cfRule>
  </conditionalFormatting>
  <conditionalFormatting sqref="C64">
    <cfRule type="cellIs" dxfId="22891" priority="11515" stopIfTrue="1" operator="equal">
      <formula>"Towel"</formula>
    </cfRule>
    <cfRule type="cellIs" dxfId="22890" priority="11516" stopIfTrue="1" operator="equal">
      <formula>"Napkin Hs"</formula>
    </cfRule>
  </conditionalFormatting>
  <conditionalFormatting sqref="C64">
    <cfRule type="cellIs" dxfId="22889" priority="11513" stopIfTrue="1" operator="equal">
      <formula>"Towel"</formula>
    </cfRule>
    <cfRule type="cellIs" dxfId="22888" priority="11514" stopIfTrue="1" operator="equal">
      <formula>"Napkin Hs"</formula>
    </cfRule>
    <cfRule type="cellIs" dxfId="22887" priority="11519" stopIfTrue="1" operator="equal">
      <formula>"Towel"</formula>
    </cfRule>
    <cfRule type="cellIs" dxfId="22886" priority="11520" stopIfTrue="1" operator="equal">
      <formula>"Napkin Hs"</formula>
    </cfRule>
  </conditionalFormatting>
  <conditionalFormatting sqref="C64">
    <cfRule type="cellIs" dxfId="22885" priority="11485" stopIfTrue="1" operator="equal">
      <formula>"Towel"</formula>
    </cfRule>
    <cfRule type="cellIs" dxfId="22884" priority="11486" stopIfTrue="1" operator="equal">
      <formula>"Napkin Hs"</formula>
    </cfRule>
    <cfRule type="cellIs" dxfId="22883" priority="11489" stopIfTrue="1" operator="equal">
      <formula>"Towel"</formula>
    </cfRule>
    <cfRule type="cellIs" dxfId="22882" priority="11490" stopIfTrue="1" operator="equal">
      <formula>"Napkin Hs"</formula>
    </cfRule>
    <cfRule type="cellIs" dxfId="22881" priority="11491" stopIfTrue="1" operator="equal">
      <formula>"Towel"</formula>
    </cfRule>
    <cfRule type="cellIs" dxfId="22880" priority="11492" stopIfTrue="1" operator="equal">
      <formula>"Napkin Hs"</formula>
    </cfRule>
    <cfRule type="cellIs" dxfId="22879" priority="11495" stopIfTrue="1" operator="equal">
      <formula>"Towel"</formula>
    </cfRule>
    <cfRule type="cellIs" dxfId="22878" priority="11496" stopIfTrue="1" operator="equal">
      <formula>"Napkin Hs"</formula>
    </cfRule>
    <cfRule type="cellIs" dxfId="22877" priority="11497" stopIfTrue="1" operator="equal">
      <formula>"Towel"</formula>
    </cfRule>
    <cfRule type="cellIs" dxfId="22876" priority="11498" stopIfTrue="1" operator="equal">
      <formula>"Napkin Hs"</formula>
    </cfRule>
    <cfRule type="cellIs" dxfId="22875" priority="11501" stopIfTrue="1" operator="equal">
      <formula>"Towel"</formula>
    </cfRule>
    <cfRule type="cellIs" dxfId="22874" priority="11502" stopIfTrue="1" operator="equal">
      <formula>"Napkin Hs"</formula>
    </cfRule>
    <cfRule type="cellIs" dxfId="22873" priority="11503" stopIfTrue="1" operator="equal">
      <formula>"Towel"</formula>
    </cfRule>
    <cfRule type="cellIs" dxfId="22872" priority="11504" stopIfTrue="1" operator="equal">
      <formula>"Napkin Hs"</formula>
    </cfRule>
    <cfRule type="cellIs" dxfId="22871" priority="11507" stopIfTrue="1" operator="equal">
      <formula>"Towel"</formula>
    </cfRule>
    <cfRule type="cellIs" dxfId="22870" priority="11508" stopIfTrue="1" operator="equal">
      <formula>"Napkin Hs"</formula>
    </cfRule>
    <cfRule type="cellIs" dxfId="22869" priority="11509" stopIfTrue="1" operator="equal">
      <formula>"Towel"</formula>
    </cfRule>
    <cfRule type="cellIs" dxfId="22868" priority="11510" stopIfTrue="1" operator="equal">
      <formula>"Napkin Hs"</formula>
    </cfRule>
  </conditionalFormatting>
  <conditionalFormatting sqref="C64">
    <cfRule type="cellIs" dxfId="22867" priority="11483" stopIfTrue="1" operator="equal">
      <formula>"Towel"</formula>
    </cfRule>
    <cfRule type="cellIs" dxfId="22866" priority="11484" stopIfTrue="1" operator="equal">
      <formula>"Napkin Hs"</formula>
    </cfRule>
  </conditionalFormatting>
  <conditionalFormatting sqref="C64">
    <cfRule type="cellIs" dxfId="22865" priority="11463" stopIfTrue="1" operator="equal">
      <formula>"Towel"</formula>
    </cfRule>
    <cfRule type="cellIs" dxfId="22864" priority="11464" stopIfTrue="1" operator="equal">
      <formula>"Napkin Hs"</formula>
    </cfRule>
    <cfRule type="cellIs" dxfId="22863" priority="11469" stopIfTrue="1" operator="equal">
      <formula>"Towel"</formula>
    </cfRule>
    <cfRule type="cellIs" dxfId="22862" priority="11470" stopIfTrue="1" operator="equal">
      <formula>"Napkin Hs"</formula>
    </cfRule>
    <cfRule type="cellIs" dxfId="22861" priority="11475" stopIfTrue="1" operator="equal">
      <formula>"Towel"</formula>
    </cfRule>
    <cfRule type="cellIs" dxfId="22860" priority="11476" stopIfTrue="1" operator="equal">
      <formula>"Napkin Hs"</formula>
    </cfRule>
    <cfRule type="cellIs" dxfId="22859" priority="11481" stopIfTrue="1" operator="equal">
      <formula>"Towel"</formula>
    </cfRule>
    <cfRule type="cellIs" dxfId="22858" priority="11482" stopIfTrue="1" operator="equal">
      <formula>"Napkin Hs"</formula>
    </cfRule>
  </conditionalFormatting>
  <conditionalFormatting sqref="C64">
    <cfRule type="cellIs" dxfId="22857" priority="11473" stopIfTrue="1" operator="equal">
      <formula>"Towel"</formula>
    </cfRule>
    <cfRule type="cellIs" dxfId="22856" priority="11474" stopIfTrue="1" operator="equal">
      <formula>"Napkin Hs"</formula>
    </cfRule>
    <cfRule type="cellIs" dxfId="22855" priority="11479" stopIfTrue="1" operator="equal">
      <formula>"Towel"</formula>
    </cfRule>
    <cfRule type="cellIs" dxfId="22854" priority="11480" stopIfTrue="1" operator="equal">
      <formula>"Napkin Hs"</formula>
    </cfRule>
  </conditionalFormatting>
  <conditionalFormatting sqref="C64">
    <cfRule type="cellIs" dxfId="22853" priority="11459" stopIfTrue="1" operator="equal">
      <formula>"Towel"</formula>
    </cfRule>
    <cfRule type="cellIs" dxfId="22852" priority="11460" stopIfTrue="1" operator="equal">
      <formula>"Napkin Hs"</formula>
    </cfRule>
    <cfRule type="cellIs" dxfId="22851" priority="11467" stopIfTrue="1" operator="equal">
      <formula>"Towel"</formula>
    </cfRule>
    <cfRule type="cellIs" dxfId="22850" priority="11468" stopIfTrue="1" operator="equal">
      <formula>"Napkin Hs"</formula>
    </cfRule>
    <cfRule type="cellIs" dxfId="22849" priority="11471" stopIfTrue="1" operator="equal">
      <formula>"Towel"</formula>
    </cfRule>
    <cfRule type="cellIs" dxfId="22848" priority="11472" stopIfTrue="1" operator="equal">
      <formula>"Napkin Hs"</formula>
    </cfRule>
  </conditionalFormatting>
  <conditionalFormatting sqref="C64">
    <cfRule type="cellIs" dxfId="22847" priority="11461" stopIfTrue="1" operator="equal">
      <formula>"Towel"</formula>
    </cfRule>
    <cfRule type="cellIs" dxfId="22846" priority="11462" stopIfTrue="1" operator="equal">
      <formula>"Napkin Hs"</formula>
    </cfRule>
    <cfRule type="cellIs" dxfId="22845" priority="11465" stopIfTrue="1" operator="equal">
      <formula>"Towel"</formula>
    </cfRule>
    <cfRule type="cellIs" dxfId="22844" priority="11466" stopIfTrue="1" operator="equal">
      <formula>"Napkin Hs"</formula>
    </cfRule>
    <cfRule type="cellIs" dxfId="22843" priority="11477" stopIfTrue="1" operator="equal">
      <formula>"Towel"</formula>
    </cfRule>
    <cfRule type="cellIs" dxfId="22842" priority="11478" stopIfTrue="1" operator="equal">
      <formula>"Napkin Hs"</formula>
    </cfRule>
  </conditionalFormatting>
  <conditionalFormatting sqref="C64">
    <cfRule type="cellIs" dxfId="22841" priority="11457" stopIfTrue="1" operator="equal">
      <formula>"Towel"</formula>
    </cfRule>
    <cfRule type="cellIs" dxfId="22840" priority="11458" stopIfTrue="1" operator="equal">
      <formula>"Napkin Hs"</formula>
    </cfRule>
  </conditionalFormatting>
  <conditionalFormatting sqref="C64">
    <cfRule type="cellIs" dxfId="22839" priority="11453" stopIfTrue="1" operator="equal">
      <formula>"Towel"</formula>
    </cfRule>
    <cfRule type="cellIs" dxfId="22838" priority="11454" stopIfTrue="1" operator="equal">
      <formula>"Napkin Hs"</formula>
    </cfRule>
  </conditionalFormatting>
  <conditionalFormatting sqref="C64">
    <cfRule type="cellIs" dxfId="22837" priority="11455" stopIfTrue="1" operator="equal">
      <formula>"Towel"</formula>
    </cfRule>
    <cfRule type="cellIs" dxfId="22836" priority="11456" stopIfTrue="1" operator="equal">
      <formula>"Napkin Hs"</formula>
    </cfRule>
  </conditionalFormatting>
  <conditionalFormatting sqref="C64">
    <cfRule type="cellIs" dxfId="22835" priority="11451" stopIfTrue="1" operator="equal">
      <formula>"Towel"</formula>
    </cfRule>
    <cfRule type="cellIs" dxfId="22834" priority="11452" stopIfTrue="1" operator="equal">
      <formula>"Napkin Hs"</formula>
    </cfRule>
  </conditionalFormatting>
  <conditionalFormatting sqref="C64">
    <cfRule type="cellIs" dxfId="22833" priority="11447" stopIfTrue="1" operator="equal">
      <formula>"Towel"</formula>
    </cfRule>
    <cfRule type="cellIs" dxfId="22832" priority="11448" stopIfTrue="1" operator="equal">
      <formula>"Napkin Hs"</formula>
    </cfRule>
  </conditionalFormatting>
  <conditionalFormatting sqref="C64">
    <cfRule type="cellIs" dxfId="22831" priority="11449" stopIfTrue="1" operator="equal">
      <formula>"Towel"</formula>
    </cfRule>
    <cfRule type="cellIs" dxfId="22830" priority="11450" stopIfTrue="1" operator="equal">
      <formula>"Napkin Hs"</formula>
    </cfRule>
  </conditionalFormatting>
  <conditionalFormatting sqref="C64">
    <cfRule type="cellIs" dxfId="22829" priority="11445" stopIfTrue="1" operator="equal">
      <formula>"Towel"</formula>
    </cfRule>
    <cfRule type="cellIs" dxfId="22828" priority="11446" stopIfTrue="1" operator="equal">
      <formula>"Napkin Hs"</formula>
    </cfRule>
  </conditionalFormatting>
  <conditionalFormatting sqref="C64">
    <cfRule type="cellIs" dxfId="22827" priority="11441" stopIfTrue="1" operator="equal">
      <formula>"Towel"</formula>
    </cfRule>
    <cfRule type="cellIs" dxfId="22826" priority="11442" stopIfTrue="1" operator="equal">
      <formula>"Napkin Hs"</formula>
    </cfRule>
  </conditionalFormatting>
  <conditionalFormatting sqref="C64">
    <cfRule type="cellIs" dxfId="22825" priority="11443" stopIfTrue="1" operator="equal">
      <formula>"Towel"</formula>
    </cfRule>
    <cfRule type="cellIs" dxfId="22824" priority="11444" stopIfTrue="1" operator="equal">
      <formula>"Napkin Hs"</formula>
    </cfRule>
  </conditionalFormatting>
  <conditionalFormatting sqref="C64">
    <cfRule type="cellIs" dxfId="22823" priority="11439" stopIfTrue="1" operator="equal">
      <formula>"Towel"</formula>
    </cfRule>
    <cfRule type="cellIs" dxfId="22822" priority="11440" stopIfTrue="1" operator="equal">
      <formula>"Napkin Hs"</formula>
    </cfRule>
  </conditionalFormatting>
  <conditionalFormatting sqref="C64">
    <cfRule type="cellIs" dxfId="22821" priority="11437" stopIfTrue="1" operator="equal">
      <formula>"Towel"</formula>
    </cfRule>
    <cfRule type="cellIs" dxfId="22820" priority="11438" stopIfTrue="1" operator="equal">
      <formula>"Napkin Hs"</formula>
    </cfRule>
  </conditionalFormatting>
  <conditionalFormatting sqref="C64">
    <cfRule type="cellIs" dxfId="22819" priority="11435" stopIfTrue="1" operator="equal">
      <formula>"Towel"</formula>
    </cfRule>
    <cfRule type="cellIs" dxfId="22818" priority="11436" stopIfTrue="1" operator="equal">
      <formula>"Napkin Hs"</formula>
    </cfRule>
  </conditionalFormatting>
  <conditionalFormatting sqref="C64">
    <cfRule type="cellIs" dxfId="22817" priority="11433" stopIfTrue="1" operator="equal">
      <formula>"Towel"</formula>
    </cfRule>
    <cfRule type="cellIs" dxfId="22816" priority="11434" stopIfTrue="1" operator="equal">
      <formula>"Napkin Hs"</formula>
    </cfRule>
  </conditionalFormatting>
  <conditionalFormatting sqref="C64">
    <cfRule type="cellIs" dxfId="22815" priority="11432" stopIfTrue="1" operator="equal">
      <formula>"Napkin Hs"</formula>
    </cfRule>
  </conditionalFormatting>
  <conditionalFormatting sqref="C64">
    <cfRule type="cellIs" dxfId="22814" priority="11429" stopIfTrue="1" operator="equal">
      <formula>"Towel"</formula>
    </cfRule>
    <cfRule type="cellIs" dxfId="22813" priority="11430" stopIfTrue="1" operator="equal">
      <formula>"Napkin Hs"</formula>
    </cfRule>
  </conditionalFormatting>
  <conditionalFormatting sqref="C64">
    <cfRule type="cellIs" dxfId="22812" priority="11431" stopIfTrue="1" operator="equal">
      <formula>"Towel"</formula>
    </cfRule>
  </conditionalFormatting>
  <conditionalFormatting sqref="B64">
    <cfRule type="cellIs" dxfId="22811" priority="11427" stopIfTrue="1" operator="equal">
      <formula>"Towel"</formula>
    </cfRule>
    <cfRule type="cellIs" dxfId="22810" priority="11428" stopIfTrue="1" operator="equal">
      <formula>"Napkin Hs"</formula>
    </cfRule>
  </conditionalFormatting>
  <conditionalFormatting sqref="B64">
    <cfRule type="cellIs" dxfId="22809" priority="11425" stopIfTrue="1" operator="equal">
      <formula>"Towel"</formula>
    </cfRule>
    <cfRule type="cellIs" dxfId="22808" priority="11426" stopIfTrue="1" operator="equal">
      <formula>"Napkin Hs"</formula>
    </cfRule>
  </conditionalFormatting>
  <conditionalFormatting sqref="B64">
    <cfRule type="cellIs" dxfId="22807" priority="11423" stopIfTrue="1" operator="equal">
      <formula>"Towel"</formula>
    </cfRule>
    <cfRule type="cellIs" dxfId="22806" priority="11424" stopIfTrue="1" operator="equal">
      <formula>"Napkin Hs"</formula>
    </cfRule>
  </conditionalFormatting>
  <conditionalFormatting sqref="B64">
    <cfRule type="cellIs" dxfId="22805" priority="11421" stopIfTrue="1" operator="equal">
      <formula>"Towel"</formula>
    </cfRule>
    <cfRule type="cellIs" dxfId="22804" priority="11422" stopIfTrue="1" operator="equal">
      <formula>"Napkin Hs"</formula>
    </cfRule>
  </conditionalFormatting>
  <conditionalFormatting sqref="B64">
    <cfRule type="cellIs" dxfId="22803" priority="11419" stopIfTrue="1" operator="equal">
      <formula>"Towel"</formula>
    </cfRule>
    <cfRule type="cellIs" dxfId="22802" priority="11420" stopIfTrue="1" operator="equal">
      <formula>"Napkin Hs"</formula>
    </cfRule>
  </conditionalFormatting>
  <conditionalFormatting sqref="B64">
    <cfRule type="cellIs" dxfId="22801" priority="11417" stopIfTrue="1" operator="equal">
      <formula>"Towel"</formula>
    </cfRule>
    <cfRule type="cellIs" dxfId="22800" priority="11418" stopIfTrue="1" operator="equal">
      <formula>"Napkin Hs"</formula>
    </cfRule>
  </conditionalFormatting>
  <conditionalFormatting sqref="B64">
    <cfRule type="cellIs" dxfId="22799" priority="11413" stopIfTrue="1" operator="equal">
      <formula>"Towel"</formula>
    </cfRule>
    <cfRule type="cellIs" dxfId="22798" priority="11414" stopIfTrue="1" operator="equal">
      <formula>"Napkin Hs"</formula>
    </cfRule>
    <cfRule type="cellIs" dxfId="22797" priority="11415" stopIfTrue="1" operator="equal">
      <formula>"Towel"</formula>
    </cfRule>
    <cfRule type="cellIs" dxfId="22796" priority="11416" stopIfTrue="1" operator="equal">
      <formula>"Napkin Hs"</formula>
    </cfRule>
  </conditionalFormatting>
  <conditionalFormatting sqref="B64">
    <cfRule type="cellIs" dxfId="22795" priority="11411" stopIfTrue="1" operator="equal">
      <formula>"Towel"</formula>
    </cfRule>
    <cfRule type="cellIs" dxfId="22794" priority="11412" stopIfTrue="1" operator="equal">
      <formula>"Napkin Hs"</formula>
    </cfRule>
  </conditionalFormatting>
  <conditionalFormatting sqref="B64">
    <cfRule type="cellIs" dxfId="22793" priority="11409" stopIfTrue="1" operator="equal">
      <formula>"Towel"</formula>
    </cfRule>
    <cfRule type="cellIs" dxfId="22792" priority="11410" stopIfTrue="1" operator="equal">
      <formula>"Napkin Hs"</formula>
    </cfRule>
  </conditionalFormatting>
  <conditionalFormatting sqref="B64">
    <cfRule type="cellIs" dxfId="22791" priority="11407" stopIfTrue="1" operator="equal">
      <formula>"Towel"</formula>
    </cfRule>
    <cfRule type="cellIs" dxfId="22790" priority="11408" stopIfTrue="1" operator="equal">
      <formula>"Napkin Hs"</formula>
    </cfRule>
  </conditionalFormatting>
  <conditionalFormatting sqref="B64">
    <cfRule type="cellIs" dxfId="22789" priority="11405" stopIfTrue="1" operator="equal">
      <formula>"Towel"</formula>
    </cfRule>
    <cfRule type="cellIs" dxfId="22788" priority="11406" stopIfTrue="1" operator="equal">
      <formula>"Napkin Hs"</formula>
    </cfRule>
  </conditionalFormatting>
  <conditionalFormatting sqref="B64">
    <cfRule type="cellIs" dxfId="22787" priority="11403" stopIfTrue="1" operator="equal">
      <formula>"Towel"</formula>
    </cfRule>
    <cfRule type="cellIs" dxfId="22786" priority="11404" stopIfTrue="1" operator="equal">
      <formula>"Napkin Hs"</formula>
    </cfRule>
  </conditionalFormatting>
  <conditionalFormatting sqref="B64:C64">
    <cfRule type="cellIs" dxfId="22785" priority="11389" stopIfTrue="1" operator="equal">
      <formula>"Towel"</formula>
    </cfRule>
    <cfRule type="cellIs" dxfId="22784" priority="11390" stopIfTrue="1" operator="equal">
      <formula>"Napkin Hs"</formula>
    </cfRule>
    <cfRule type="cellIs" dxfId="22783" priority="11395" stopIfTrue="1" operator="equal">
      <formula>"Towel"</formula>
    </cfRule>
    <cfRule type="cellIs" dxfId="22782" priority="11396" stopIfTrue="1" operator="equal">
      <formula>"Napkin Hs"</formula>
    </cfRule>
    <cfRule type="cellIs" dxfId="22781" priority="11401" stopIfTrue="1" operator="equal">
      <formula>"Towel"</formula>
    </cfRule>
    <cfRule type="cellIs" dxfId="22780" priority="11402" stopIfTrue="1" operator="equal">
      <formula>"Napkin Hs"</formula>
    </cfRule>
  </conditionalFormatting>
  <conditionalFormatting sqref="C64">
    <cfRule type="cellIs" dxfId="22779" priority="11383" stopIfTrue="1" operator="equal">
      <formula>"Towel"</formula>
    </cfRule>
    <cfRule type="cellIs" dxfId="22778" priority="11384" stopIfTrue="1" operator="equal">
      <formula>"Napkin Hs"</formula>
    </cfRule>
    <cfRule type="cellIs" dxfId="22777" priority="11385" stopIfTrue="1" operator="equal">
      <formula>"Towel"</formula>
    </cfRule>
    <cfRule type="cellIs" dxfId="22776" priority="11386" stopIfTrue="1" operator="equal">
      <formula>"Napkin Hs"</formula>
    </cfRule>
    <cfRule type="cellIs" dxfId="22775" priority="11393" stopIfTrue="1" operator="equal">
      <formula>"Towel"</formula>
    </cfRule>
    <cfRule type="cellIs" dxfId="22774" priority="11394" stopIfTrue="1" operator="equal">
      <formula>"Napkin Hs"</formula>
    </cfRule>
    <cfRule type="cellIs" dxfId="22773" priority="11397" stopIfTrue="1" operator="equal">
      <formula>"Towel"</formula>
    </cfRule>
    <cfRule type="cellIs" dxfId="22772" priority="11398" stopIfTrue="1" operator="equal">
      <formula>"Napkin Hs"</formula>
    </cfRule>
  </conditionalFormatting>
  <conditionalFormatting sqref="C64">
    <cfRule type="cellIs" dxfId="22771" priority="11387" stopIfTrue="1" operator="equal">
      <formula>"Towel"</formula>
    </cfRule>
    <cfRule type="cellIs" dxfId="22770" priority="11388" stopIfTrue="1" operator="equal">
      <formula>"Napkin Hs"</formula>
    </cfRule>
    <cfRule type="cellIs" dxfId="22769" priority="11391" stopIfTrue="1" operator="equal">
      <formula>"Towel"</formula>
    </cfRule>
    <cfRule type="cellIs" dxfId="22768" priority="11392" stopIfTrue="1" operator="equal">
      <formula>"Napkin Hs"</formula>
    </cfRule>
    <cfRule type="cellIs" dxfId="22767" priority="11399" stopIfTrue="1" operator="equal">
      <formula>"Towel"</formula>
    </cfRule>
    <cfRule type="cellIs" dxfId="22766" priority="11400" stopIfTrue="1" operator="equal">
      <formula>"Napkin Hs"</formula>
    </cfRule>
  </conditionalFormatting>
  <conditionalFormatting sqref="B64:C64">
    <cfRule type="cellIs" dxfId="22765" priority="11381" stopIfTrue="1" operator="equal">
      <formula>"Towel"</formula>
    </cfRule>
    <cfRule type="cellIs" dxfId="22764" priority="11382" stopIfTrue="1" operator="equal">
      <formula>"Napkin Hs"</formula>
    </cfRule>
  </conditionalFormatting>
  <conditionalFormatting sqref="B64:C64">
    <cfRule type="cellIs" dxfId="22763" priority="11373" stopIfTrue="1" operator="equal">
      <formula>"Towel"</formula>
    </cfRule>
    <cfRule type="cellIs" dxfId="22762" priority="11374" stopIfTrue="1" operator="equal">
      <formula>"Napkin Hs"</formula>
    </cfRule>
    <cfRule type="cellIs" dxfId="22761" priority="11379" stopIfTrue="1" operator="equal">
      <formula>"Towel"</formula>
    </cfRule>
    <cfRule type="cellIs" dxfId="22760" priority="11380" stopIfTrue="1" operator="equal">
      <formula>"Napkin Hs"</formula>
    </cfRule>
  </conditionalFormatting>
  <conditionalFormatting sqref="C64">
    <cfRule type="cellIs" dxfId="22759" priority="11369" stopIfTrue="1" operator="equal">
      <formula>"Towel"</formula>
    </cfRule>
    <cfRule type="cellIs" dxfId="22758" priority="11370" stopIfTrue="1" operator="equal">
      <formula>"Napkin Hs"</formula>
    </cfRule>
  </conditionalFormatting>
  <conditionalFormatting sqref="C64">
    <cfRule type="cellIs" dxfId="22757" priority="11367" stopIfTrue="1" operator="equal">
      <formula>"Towel"</formula>
    </cfRule>
    <cfRule type="cellIs" dxfId="22756" priority="11368" stopIfTrue="1" operator="equal">
      <formula>"Napkin Hs"</formula>
    </cfRule>
    <cfRule type="cellIs" dxfId="22755" priority="11377" stopIfTrue="1" operator="equal">
      <formula>"Towel"</formula>
    </cfRule>
    <cfRule type="cellIs" dxfId="22754" priority="11378" stopIfTrue="1" operator="equal">
      <formula>"Napkin Hs"</formula>
    </cfRule>
  </conditionalFormatting>
  <conditionalFormatting sqref="C64">
    <cfRule type="cellIs" dxfId="22753" priority="11371" stopIfTrue="1" operator="equal">
      <formula>"Towel"</formula>
    </cfRule>
    <cfRule type="cellIs" dxfId="22752" priority="11372" stopIfTrue="1" operator="equal">
      <formula>"Napkin Hs"</formula>
    </cfRule>
    <cfRule type="cellIs" dxfId="22751" priority="11375" stopIfTrue="1" operator="equal">
      <formula>"Towel"</formula>
    </cfRule>
    <cfRule type="cellIs" dxfId="22750" priority="11376" stopIfTrue="1" operator="equal">
      <formula>"Napkin Hs"</formula>
    </cfRule>
  </conditionalFormatting>
  <conditionalFormatting sqref="C64">
    <cfRule type="cellIs" dxfId="22749" priority="11366" stopIfTrue="1" operator="equal">
      <formula>"Napkin Hs"</formula>
    </cfRule>
  </conditionalFormatting>
  <conditionalFormatting sqref="C64">
    <cfRule type="cellIs" dxfId="22748" priority="11365" stopIfTrue="1" operator="equal">
      <formula>"Towel"</formula>
    </cfRule>
  </conditionalFormatting>
  <conditionalFormatting sqref="C64">
    <cfRule type="cellIs" dxfId="22747" priority="11361" stopIfTrue="1" operator="equal">
      <formula>"Towel"</formula>
    </cfRule>
    <cfRule type="cellIs" dxfId="22746" priority="11362" stopIfTrue="1" operator="equal">
      <formula>"Napkin Hs"</formula>
    </cfRule>
    <cfRule type="cellIs" dxfId="22745" priority="11363" stopIfTrue="1" operator="equal">
      <formula>"Towel"</formula>
    </cfRule>
    <cfRule type="cellIs" dxfId="22744" priority="11364" stopIfTrue="1" operator="equal">
      <formula>"Napkin Hs"</formula>
    </cfRule>
  </conditionalFormatting>
  <conditionalFormatting sqref="B64:C64">
    <cfRule type="cellIs" dxfId="22743" priority="11359" stopIfTrue="1" operator="equal">
      <formula>"Towel"</formula>
    </cfRule>
    <cfRule type="cellIs" dxfId="22742" priority="11360" stopIfTrue="1" operator="equal">
      <formula>"Napkin Hs"</formula>
    </cfRule>
  </conditionalFormatting>
  <conditionalFormatting sqref="C64">
    <cfRule type="cellIs" dxfId="22741" priority="11355" stopIfTrue="1" operator="equal">
      <formula>"Towel"</formula>
    </cfRule>
    <cfRule type="cellIs" dxfId="22740" priority="11356" stopIfTrue="1" operator="equal">
      <formula>"Napkin Hs"</formula>
    </cfRule>
  </conditionalFormatting>
  <conditionalFormatting sqref="C64">
    <cfRule type="cellIs" dxfId="22739" priority="11357" stopIfTrue="1" operator="equal">
      <formula>"Towel"</formula>
    </cfRule>
    <cfRule type="cellIs" dxfId="22738" priority="11358" stopIfTrue="1" operator="equal">
      <formula>"Napkin Hs"</formula>
    </cfRule>
  </conditionalFormatting>
  <conditionalFormatting sqref="B64:C64">
    <cfRule type="cellIs" dxfId="22737" priority="11353" stopIfTrue="1" operator="equal">
      <formula>"Towel"</formula>
    </cfRule>
    <cfRule type="cellIs" dxfId="22736" priority="11354" stopIfTrue="1" operator="equal">
      <formula>"Napkin Hs"</formula>
    </cfRule>
  </conditionalFormatting>
  <conditionalFormatting sqref="C64">
    <cfRule type="cellIs" dxfId="22735" priority="11349" stopIfTrue="1" operator="equal">
      <formula>"Towel"</formula>
    </cfRule>
    <cfRule type="cellIs" dxfId="22734" priority="11350" stopIfTrue="1" operator="equal">
      <formula>"Napkin Hs"</formula>
    </cfRule>
  </conditionalFormatting>
  <conditionalFormatting sqref="C64">
    <cfRule type="cellIs" dxfId="22733" priority="11351" stopIfTrue="1" operator="equal">
      <formula>"Towel"</formula>
    </cfRule>
    <cfRule type="cellIs" dxfId="22732" priority="11352" stopIfTrue="1" operator="equal">
      <formula>"Napkin Hs"</formula>
    </cfRule>
  </conditionalFormatting>
  <conditionalFormatting sqref="B64:C64">
    <cfRule type="cellIs" dxfId="22731" priority="11347" stopIfTrue="1" operator="equal">
      <formula>"Towel"</formula>
    </cfRule>
    <cfRule type="cellIs" dxfId="22730" priority="11348" stopIfTrue="1" operator="equal">
      <formula>"Napkin Hs"</formula>
    </cfRule>
  </conditionalFormatting>
  <conditionalFormatting sqref="C64">
    <cfRule type="cellIs" dxfId="22729" priority="11343" stopIfTrue="1" operator="equal">
      <formula>"Towel"</formula>
    </cfRule>
    <cfRule type="cellIs" dxfId="22728" priority="11344" stopIfTrue="1" operator="equal">
      <formula>"Napkin Hs"</formula>
    </cfRule>
  </conditionalFormatting>
  <conditionalFormatting sqref="C64">
    <cfRule type="cellIs" dxfId="22727" priority="11345" stopIfTrue="1" operator="equal">
      <formula>"Towel"</formula>
    </cfRule>
    <cfRule type="cellIs" dxfId="22726" priority="11346" stopIfTrue="1" operator="equal">
      <formula>"Napkin Hs"</formula>
    </cfRule>
  </conditionalFormatting>
  <conditionalFormatting sqref="B64:C64">
    <cfRule type="cellIs" dxfId="22725" priority="11341" stopIfTrue="1" operator="equal">
      <formula>"Towel"</formula>
    </cfRule>
    <cfRule type="cellIs" dxfId="22724" priority="11342" stopIfTrue="1" operator="equal">
      <formula>"Napkin Hs"</formula>
    </cfRule>
  </conditionalFormatting>
  <conditionalFormatting sqref="C64">
    <cfRule type="cellIs" dxfId="22723" priority="11339" stopIfTrue="1" operator="equal">
      <formula>"Towel"</formula>
    </cfRule>
    <cfRule type="cellIs" dxfId="22722" priority="11340" stopIfTrue="1" operator="equal">
      <formula>"Napkin Hs"</formula>
    </cfRule>
  </conditionalFormatting>
  <conditionalFormatting sqref="C64">
    <cfRule type="cellIs" dxfId="22721" priority="11337" stopIfTrue="1" operator="equal">
      <formula>"Towel"</formula>
    </cfRule>
    <cfRule type="cellIs" dxfId="22720" priority="11338" stopIfTrue="1" operator="equal">
      <formula>"Napkin Hs"</formula>
    </cfRule>
  </conditionalFormatting>
  <conditionalFormatting sqref="B64:C64">
    <cfRule type="cellIs" dxfId="22719" priority="11335" stopIfTrue="1" operator="equal">
      <formula>"Towel"</formula>
    </cfRule>
    <cfRule type="cellIs" dxfId="22718" priority="11336" stopIfTrue="1" operator="equal">
      <formula>"Napkin Hs"</formula>
    </cfRule>
  </conditionalFormatting>
  <conditionalFormatting sqref="C64">
    <cfRule type="cellIs" dxfId="22717" priority="11334" stopIfTrue="1" operator="equal">
      <formula>"Napkin Hs"</formula>
    </cfRule>
  </conditionalFormatting>
  <conditionalFormatting sqref="C64">
    <cfRule type="cellIs" dxfId="22716" priority="11331" stopIfTrue="1" operator="equal">
      <formula>"Towel"</formula>
    </cfRule>
    <cfRule type="cellIs" dxfId="22715" priority="11332" stopIfTrue="1" operator="equal">
      <formula>"Napkin Hs"</formula>
    </cfRule>
  </conditionalFormatting>
  <conditionalFormatting sqref="C64">
    <cfRule type="cellIs" dxfId="22714" priority="11333" stopIfTrue="1" operator="equal">
      <formula>"Towel"</formula>
    </cfRule>
  </conditionalFormatting>
  <conditionalFormatting sqref="B63:C63">
    <cfRule type="cellIs" dxfId="22713" priority="11329" stopIfTrue="1" operator="equal">
      <formula>"Towel"</formula>
    </cfRule>
    <cfRule type="cellIs" dxfId="22712" priority="11330" stopIfTrue="1" operator="equal">
      <formula>"Napkin Hs"</formula>
    </cfRule>
  </conditionalFormatting>
  <conditionalFormatting sqref="B63:C63">
    <cfRule type="cellIs" dxfId="22711" priority="11305" stopIfTrue="1" operator="equal">
      <formula>"Towel"</formula>
    </cfRule>
    <cfRule type="cellIs" dxfId="22710" priority="11306" stopIfTrue="1" operator="equal">
      <formula>"Napkin Hs"</formula>
    </cfRule>
    <cfRule type="cellIs" dxfId="22709" priority="11311" stopIfTrue="1" operator="equal">
      <formula>"Towel"</formula>
    </cfRule>
    <cfRule type="cellIs" dxfId="22708" priority="11312" stopIfTrue="1" operator="equal">
      <formula>"Napkin Hs"</formula>
    </cfRule>
    <cfRule type="cellIs" dxfId="22707" priority="11317" stopIfTrue="1" operator="equal">
      <formula>"Towel"</formula>
    </cfRule>
    <cfRule type="cellIs" dxfId="22706" priority="11318" stopIfTrue="1" operator="equal">
      <formula>"Napkin Hs"</formula>
    </cfRule>
    <cfRule type="cellIs" dxfId="22705" priority="11323" stopIfTrue="1" operator="equal">
      <formula>"Towel"</formula>
    </cfRule>
    <cfRule type="cellIs" dxfId="22704" priority="11324" stopIfTrue="1" operator="equal">
      <formula>"Napkin Hs"</formula>
    </cfRule>
  </conditionalFormatting>
  <conditionalFormatting sqref="C63">
    <cfRule type="cellIs" dxfId="22703" priority="11319" stopIfTrue="1" operator="equal">
      <formula>"Towel"</formula>
    </cfRule>
    <cfRule type="cellIs" dxfId="22702" priority="11320" stopIfTrue="1" operator="equal">
      <formula>"Napkin Hs"</formula>
    </cfRule>
    <cfRule type="cellIs" dxfId="22701" priority="11325" stopIfTrue="1" operator="equal">
      <formula>"Towel"</formula>
    </cfRule>
    <cfRule type="cellIs" dxfId="22700" priority="11326" stopIfTrue="1" operator="equal">
      <formula>"Napkin Hs"</formula>
    </cfRule>
  </conditionalFormatting>
  <conditionalFormatting sqref="C63">
    <cfRule type="cellIs" dxfId="22699" priority="11299" stopIfTrue="1" operator="equal">
      <formula>"Towel"</formula>
    </cfRule>
    <cfRule type="cellIs" dxfId="22698" priority="11300" stopIfTrue="1" operator="equal">
      <formula>"Napkin Hs"</formula>
    </cfRule>
    <cfRule type="cellIs" dxfId="22697" priority="11301" stopIfTrue="1" operator="equal">
      <formula>"Towel"</formula>
    </cfRule>
    <cfRule type="cellIs" dxfId="22696" priority="11302" stopIfTrue="1" operator="equal">
      <formula>"Napkin Hs"</formula>
    </cfRule>
    <cfRule type="cellIs" dxfId="22695" priority="11309" stopIfTrue="1" operator="equal">
      <formula>"Towel"</formula>
    </cfRule>
    <cfRule type="cellIs" dxfId="22694" priority="11310" stopIfTrue="1" operator="equal">
      <formula>"Napkin Hs"</formula>
    </cfRule>
    <cfRule type="cellIs" dxfId="22693" priority="11313" stopIfTrue="1" operator="equal">
      <formula>"Towel"</formula>
    </cfRule>
    <cfRule type="cellIs" dxfId="22692" priority="11314" stopIfTrue="1" operator="equal">
      <formula>"Napkin Hs"</formula>
    </cfRule>
    <cfRule type="cellIs" dxfId="22691" priority="11315" stopIfTrue="1" operator="equal">
      <formula>"Towel"</formula>
    </cfRule>
    <cfRule type="cellIs" dxfId="22690" priority="11316" stopIfTrue="1" operator="equal">
      <formula>"Napkin Hs"</formula>
    </cfRule>
  </conditionalFormatting>
  <conditionalFormatting sqref="C63">
    <cfRule type="cellIs" dxfId="22689" priority="11327" stopIfTrue="1" operator="equal">
      <formula>"Towel"</formula>
    </cfRule>
    <cfRule type="cellIs" dxfId="22688" priority="11328" stopIfTrue="1" operator="equal">
      <formula>"Napkin Hs"</formula>
    </cfRule>
  </conditionalFormatting>
  <conditionalFormatting sqref="C63">
    <cfRule type="cellIs" dxfId="22687" priority="11303" stopIfTrue="1" operator="equal">
      <formula>"Towel"</formula>
    </cfRule>
    <cfRule type="cellIs" dxfId="22686" priority="11304" stopIfTrue="1" operator="equal">
      <formula>"Napkin Hs"</formula>
    </cfRule>
    <cfRule type="cellIs" dxfId="22685" priority="11307" stopIfTrue="1" operator="equal">
      <formula>"Towel"</formula>
    </cfRule>
    <cfRule type="cellIs" dxfId="22684" priority="11308" stopIfTrue="1" operator="equal">
      <formula>"Napkin Hs"</formula>
    </cfRule>
    <cfRule type="cellIs" dxfId="22683" priority="11321" stopIfTrue="1" operator="equal">
      <formula>"Towel"</formula>
    </cfRule>
    <cfRule type="cellIs" dxfId="22682" priority="11322" stopIfTrue="1" operator="equal">
      <formula>"Napkin Hs"</formula>
    </cfRule>
  </conditionalFormatting>
  <conditionalFormatting sqref="B63:C63">
    <cfRule type="cellIs" dxfId="22681" priority="11255" stopIfTrue="1" operator="equal">
      <formula>"Towel"</formula>
    </cfRule>
    <cfRule type="cellIs" dxfId="22680" priority="11256" stopIfTrue="1" operator="equal">
      <formula>"Napkin Hs"</formula>
    </cfRule>
    <cfRule type="cellIs" dxfId="22679" priority="11261" stopIfTrue="1" operator="equal">
      <formula>"Towel"</formula>
    </cfRule>
    <cfRule type="cellIs" dxfId="22678" priority="11262" stopIfTrue="1" operator="equal">
      <formula>"Napkin Hs"</formula>
    </cfRule>
    <cfRule type="cellIs" dxfId="22677" priority="11267" stopIfTrue="1" operator="equal">
      <formula>"Towel"</formula>
    </cfRule>
    <cfRule type="cellIs" dxfId="22676" priority="11268" stopIfTrue="1" operator="equal">
      <formula>"Napkin Hs"</formula>
    </cfRule>
    <cfRule type="cellIs" dxfId="22675" priority="11273" stopIfTrue="1" operator="equal">
      <formula>"Towel"</formula>
    </cfRule>
    <cfRule type="cellIs" dxfId="22674" priority="11274" stopIfTrue="1" operator="equal">
      <formula>"Napkin Hs"</formula>
    </cfRule>
    <cfRule type="cellIs" dxfId="22673" priority="11279" stopIfTrue="1" operator="equal">
      <formula>"Towel"</formula>
    </cfRule>
    <cfRule type="cellIs" dxfId="22672" priority="11280" stopIfTrue="1" operator="equal">
      <formula>"Napkin Hs"</formula>
    </cfRule>
    <cfRule type="cellIs" dxfId="22671" priority="11285" stopIfTrue="1" operator="equal">
      <formula>"Towel"</formula>
    </cfRule>
    <cfRule type="cellIs" dxfId="22670" priority="11286" stopIfTrue="1" operator="equal">
      <formula>"Napkin Hs"</formula>
    </cfRule>
    <cfRule type="cellIs" dxfId="22669" priority="11291" stopIfTrue="1" operator="equal">
      <formula>"Towel"</formula>
    </cfRule>
    <cfRule type="cellIs" dxfId="22668" priority="11292" stopIfTrue="1" operator="equal">
      <formula>"Napkin Hs"</formula>
    </cfRule>
    <cfRule type="cellIs" dxfId="22667" priority="11297" stopIfTrue="1" operator="equal">
      <formula>"Towel"</formula>
    </cfRule>
    <cfRule type="cellIs" dxfId="22666" priority="11298" stopIfTrue="1" operator="equal">
      <formula>"Napkin Hs"</formula>
    </cfRule>
  </conditionalFormatting>
  <conditionalFormatting sqref="C63">
    <cfRule type="cellIs" dxfId="22665" priority="11251" stopIfTrue="1" operator="equal">
      <formula>"Towel"</formula>
    </cfRule>
    <cfRule type="cellIs" dxfId="22664" priority="11252" stopIfTrue="1" operator="equal">
      <formula>"Napkin Hs"</formula>
    </cfRule>
    <cfRule type="cellIs" dxfId="22663" priority="11253" stopIfTrue="1" operator="equal">
      <formula>"Towel"</formula>
    </cfRule>
    <cfRule type="cellIs" dxfId="22662" priority="11254" stopIfTrue="1" operator="equal">
      <formula>"Napkin Hs"</formula>
    </cfRule>
    <cfRule type="cellIs" dxfId="22661" priority="11257" stopIfTrue="1" operator="equal">
      <formula>"Towel"</formula>
    </cfRule>
    <cfRule type="cellIs" dxfId="22660" priority="11258" stopIfTrue="1" operator="equal">
      <formula>"Napkin Hs"</formula>
    </cfRule>
    <cfRule type="cellIs" dxfId="22659" priority="11259" stopIfTrue="1" operator="equal">
      <formula>"Towel"</formula>
    </cfRule>
    <cfRule type="cellIs" dxfId="22658" priority="11260" stopIfTrue="1" operator="equal">
      <formula>"Napkin Hs"</formula>
    </cfRule>
    <cfRule type="cellIs" dxfId="22657" priority="11263" stopIfTrue="1" operator="equal">
      <formula>"Towel"</formula>
    </cfRule>
    <cfRule type="cellIs" dxfId="22656" priority="11264" stopIfTrue="1" operator="equal">
      <formula>"Napkin Hs"</formula>
    </cfRule>
    <cfRule type="cellIs" dxfId="22655" priority="11265" stopIfTrue="1" operator="equal">
      <formula>"Towel"</formula>
    </cfRule>
    <cfRule type="cellIs" dxfId="22654" priority="11266" stopIfTrue="1" operator="equal">
      <formula>"Napkin Hs"</formula>
    </cfRule>
    <cfRule type="cellIs" dxfId="22653" priority="11269" stopIfTrue="1" operator="equal">
      <formula>"Towel"</formula>
    </cfRule>
    <cfRule type="cellIs" dxfId="22652" priority="11270" stopIfTrue="1" operator="equal">
      <formula>"Napkin Hs"</formula>
    </cfRule>
    <cfRule type="cellIs" dxfId="22651" priority="11271" stopIfTrue="1" operator="equal">
      <formula>"Towel"</formula>
    </cfRule>
    <cfRule type="cellIs" dxfId="22650" priority="11272" stopIfTrue="1" operator="equal">
      <formula>"Napkin Hs"</formula>
    </cfRule>
    <cfRule type="cellIs" dxfId="22649" priority="11275" stopIfTrue="1" operator="equal">
      <formula>"Towel"</formula>
    </cfRule>
    <cfRule type="cellIs" dxfId="22648" priority="11276" stopIfTrue="1" operator="equal">
      <formula>"Napkin Hs"</formula>
    </cfRule>
    <cfRule type="cellIs" dxfId="22647" priority="11277" stopIfTrue="1" operator="equal">
      <formula>"Towel"</formula>
    </cfRule>
    <cfRule type="cellIs" dxfId="22646" priority="11278" stopIfTrue="1" operator="equal">
      <formula>"Napkin Hs"</formula>
    </cfRule>
    <cfRule type="cellIs" dxfId="22645" priority="11281" stopIfTrue="1" operator="equal">
      <formula>"Towel"</formula>
    </cfRule>
    <cfRule type="cellIs" dxfId="22644" priority="11282" stopIfTrue="1" operator="equal">
      <formula>"Napkin Hs"</formula>
    </cfRule>
    <cfRule type="cellIs" dxfId="22643" priority="11283" stopIfTrue="1" operator="equal">
      <formula>"Towel"</formula>
    </cfRule>
    <cfRule type="cellIs" dxfId="22642" priority="11284" stopIfTrue="1" operator="equal">
      <formula>"Napkin Hs"</formula>
    </cfRule>
    <cfRule type="cellIs" dxfId="22641" priority="11287" stopIfTrue="1" operator="equal">
      <formula>"Towel"</formula>
    </cfRule>
    <cfRule type="cellIs" dxfId="22640" priority="11288" stopIfTrue="1" operator="equal">
      <formula>"Napkin Hs"</formula>
    </cfRule>
    <cfRule type="cellIs" dxfId="22639" priority="11289" stopIfTrue="1" operator="equal">
      <formula>"Towel"</formula>
    </cfRule>
    <cfRule type="cellIs" dxfId="22638" priority="11290" stopIfTrue="1" operator="equal">
      <formula>"Napkin Hs"</formula>
    </cfRule>
    <cfRule type="cellIs" dxfId="22637" priority="11293" stopIfTrue="1" operator="equal">
      <formula>"Towel"</formula>
    </cfRule>
    <cfRule type="cellIs" dxfId="22636" priority="11294" stopIfTrue="1" operator="equal">
      <formula>"Napkin Hs"</formula>
    </cfRule>
  </conditionalFormatting>
  <conditionalFormatting sqref="C63">
    <cfRule type="cellIs" dxfId="22635" priority="11295" stopIfTrue="1" operator="equal">
      <formula>"Towel"</formula>
    </cfRule>
    <cfRule type="cellIs" dxfId="22634" priority="11296" stopIfTrue="1" operator="equal">
      <formula>"Napkin Hs"</formula>
    </cfRule>
  </conditionalFormatting>
  <conditionalFormatting sqref="B63">
    <cfRule type="cellIs" dxfId="22633" priority="11245" stopIfTrue="1" operator="equal">
      <formula>"Towel"</formula>
    </cfRule>
    <cfRule type="cellIs" dxfId="22632" priority="11246" stopIfTrue="1" operator="equal">
      <formula>"Napkin Hs"</formula>
    </cfRule>
    <cfRule type="cellIs" dxfId="22631" priority="11247" stopIfTrue="1" operator="equal">
      <formula>"Towel"</formula>
    </cfRule>
    <cfRule type="cellIs" dxfId="22630" priority="11248" stopIfTrue="1" operator="equal">
      <formula>"Napkin Hs"</formula>
    </cfRule>
    <cfRule type="cellIs" dxfId="22629" priority="11249" stopIfTrue="1" operator="equal">
      <formula>"Towel"</formula>
    </cfRule>
    <cfRule type="cellIs" dxfId="22628" priority="11250" stopIfTrue="1" operator="equal">
      <formula>"Napkin Hs"</formula>
    </cfRule>
  </conditionalFormatting>
  <conditionalFormatting sqref="B63:C63">
    <cfRule type="cellIs" dxfId="22627" priority="11207" stopIfTrue="1" operator="equal">
      <formula>"Towel"</formula>
    </cfRule>
    <cfRule type="cellIs" dxfId="22626" priority="11208" stopIfTrue="1" operator="equal">
      <formula>"Napkin Hs"</formula>
    </cfRule>
    <cfRule type="cellIs" dxfId="22625" priority="11213" stopIfTrue="1" operator="equal">
      <formula>"Towel"</formula>
    </cfRule>
    <cfRule type="cellIs" dxfId="22624" priority="11214" stopIfTrue="1" operator="equal">
      <formula>"Napkin Hs"</formula>
    </cfRule>
    <cfRule type="cellIs" dxfId="22623" priority="11219" stopIfTrue="1" operator="equal">
      <formula>"Towel"</formula>
    </cfRule>
    <cfRule type="cellIs" dxfId="22622" priority="11220" stopIfTrue="1" operator="equal">
      <formula>"Napkin Hs"</formula>
    </cfRule>
    <cfRule type="cellIs" dxfId="22621" priority="11225" stopIfTrue="1" operator="equal">
      <formula>"Towel"</formula>
    </cfRule>
    <cfRule type="cellIs" dxfId="22620" priority="11226" stopIfTrue="1" operator="equal">
      <formula>"Napkin Hs"</formula>
    </cfRule>
    <cfRule type="cellIs" dxfId="22619" priority="11231" stopIfTrue="1" operator="equal">
      <formula>"Towel"</formula>
    </cfRule>
    <cfRule type="cellIs" dxfId="22618" priority="11232" stopIfTrue="1" operator="equal">
      <formula>"Napkin Hs"</formula>
    </cfRule>
    <cfRule type="cellIs" dxfId="22617" priority="11237" stopIfTrue="1" operator="equal">
      <formula>"Towel"</formula>
    </cfRule>
    <cfRule type="cellIs" dxfId="22616" priority="11238" stopIfTrue="1" operator="equal">
      <formula>"Napkin Hs"</formula>
    </cfRule>
    <cfRule type="cellIs" dxfId="22615" priority="11243" stopIfTrue="1" operator="equal">
      <formula>"Towel"</formula>
    </cfRule>
    <cfRule type="cellIs" dxfId="22614" priority="11244" stopIfTrue="1" operator="equal">
      <formula>"Napkin Hs"</formula>
    </cfRule>
  </conditionalFormatting>
  <conditionalFormatting sqref="C63">
    <cfRule type="cellIs" dxfId="22613" priority="11203" stopIfTrue="1" operator="equal">
      <formula>"Towel"</formula>
    </cfRule>
    <cfRule type="cellIs" dxfId="22612" priority="11204" stopIfTrue="1" operator="equal">
      <formula>"Napkin Hs"</formula>
    </cfRule>
    <cfRule type="cellIs" dxfId="22611" priority="11205" stopIfTrue="1" operator="equal">
      <formula>"Towel"</formula>
    </cfRule>
    <cfRule type="cellIs" dxfId="22610" priority="11206" stopIfTrue="1" operator="equal">
      <formula>"Napkin Hs"</formula>
    </cfRule>
    <cfRule type="cellIs" dxfId="22609" priority="11209" stopIfTrue="1" operator="equal">
      <formula>"Towel"</formula>
    </cfRule>
    <cfRule type="cellIs" dxfId="22608" priority="11210" stopIfTrue="1" operator="equal">
      <formula>"Napkin Hs"</formula>
    </cfRule>
    <cfRule type="cellIs" dxfId="22607" priority="11211" stopIfTrue="1" operator="equal">
      <formula>"Towel"</formula>
    </cfRule>
    <cfRule type="cellIs" dxfId="22606" priority="11212" stopIfTrue="1" operator="equal">
      <formula>"Napkin Hs"</formula>
    </cfRule>
    <cfRule type="cellIs" dxfId="22605" priority="11215" stopIfTrue="1" operator="equal">
      <formula>"Towel"</formula>
    </cfRule>
    <cfRule type="cellIs" dxfId="22604" priority="11216" stopIfTrue="1" operator="equal">
      <formula>"Napkin Hs"</formula>
    </cfRule>
    <cfRule type="cellIs" dxfId="22603" priority="11217" stopIfTrue="1" operator="equal">
      <formula>"Towel"</formula>
    </cfRule>
    <cfRule type="cellIs" dxfId="22602" priority="11218" stopIfTrue="1" operator="equal">
      <formula>"Napkin Hs"</formula>
    </cfRule>
    <cfRule type="cellIs" dxfId="22601" priority="11221" stopIfTrue="1" operator="equal">
      <formula>"Towel"</formula>
    </cfRule>
    <cfRule type="cellIs" dxfId="22600" priority="11222" stopIfTrue="1" operator="equal">
      <formula>"Napkin Hs"</formula>
    </cfRule>
    <cfRule type="cellIs" dxfId="22599" priority="11223" stopIfTrue="1" operator="equal">
      <formula>"Towel"</formula>
    </cfRule>
    <cfRule type="cellIs" dxfId="22598" priority="11224" stopIfTrue="1" operator="equal">
      <formula>"Napkin Hs"</formula>
    </cfRule>
    <cfRule type="cellIs" dxfId="22597" priority="11227" stopIfTrue="1" operator="equal">
      <formula>"Towel"</formula>
    </cfRule>
    <cfRule type="cellIs" dxfId="22596" priority="11228" stopIfTrue="1" operator="equal">
      <formula>"Napkin Hs"</formula>
    </cfRule>
    <cfRule type="cellIs" dxfId="22595" priority="11229" stopIfTrue="1" operator="equal">
      <formula>"Towel"</formula>
    </cfRule>
    <cfRule type="cellIs" dxfId="22594" priority="11230" stopIfTrue="1" operator="equal">
      <formula>"Napkin Hs"</formula>
    </cfRule>
    <cfRule type="cellIs" dxfId="22593" priority="11233" stopIfTrue="1" operator="equal">
      <formula>"Towel"</formula>
    </cfRule>
    <cfRule type="cellIs" dxfId="22592" priority="11234" stopIfTrue="1" operator="equal">
      <formula>"Napkin Hs"</formula>
    </cfRule>
    <cfRule type="cellIs" dxfId="22591" priority="11235" stopIfTrue="1" operator="equal">
      <formula>"Towel"</formula>
    </cfRule>
    <cfRule type="cellIs" dxfId="22590" priority="11236" stopIfTrue="1" operator="equal">
      <formula>"Napkin Hs"</formula>
    </cfRule>
    <cfRule type="cellIs" dxfId="22589" priority="11239" stopIfTrue="1" operator="equal">
      <formula>"Towel"</formula>
    </cfRule>
    <cfRule type="cellIs" dxfId="22588" priority="11240" stopIfTrue="1" operator="equal">
      <formula>"Napkin Hs"</formula>
    </cfRule>
  </conditionalFormatting>
  <conditionalFormatting sqref="C63">
    <cfRule type="cellIs" dxfId="22587" priority="11241" stopIfTrue="1" operator="equal">
      <formula>"Towel"</formula>
    </cfRule>
    <cfRule type="cellIs" dxfId="22586" priority="11242" stopIfTrue="1" operator="equal">
      <formula>"Napkin Hs"</formula>
    </cfRule>
  </conditionalFormatting>
  <conditionalFormatting sqref="B63:C63">
    <cfRule type="cellIs" dxfId="22585" priority="11201" stopIfTrue="1" operator="equal">
      <formula>"Towel"</formula>
    </cfRule>
    <cfRule type="cellIs" dxfId="22584" priority="11202" stopIfTrue="1" operator="equal">
      <formula>"Napkin Hs"</formula>
    </cfRule>
  </conditionalFormatting>
  <conditionalFormatting sqref="B63:C63">
    <cfRule type="cellIs" dxfId="22583" priority="11165" stopIfTrue="1" operator="equal">
      <formula>"Towel"</formula>
    </cfRule>
    <cfRule type="cellIs" dxfId="22582" priority="11166" stopIfTrue="1" operator="equal">
      <formula>"Napkin Hs"</formula>
    </cfRule>
    <cfRule type="cellIs" dxfId="22581" priority="11171" stopIfTrue="1" operator="equal">
      <formula>"Towel"</formula>
    </cfRule>
    <cfRule type="cellIs" dxfId="22580" priority="11172" stopIfTrue="1" operator="equal">
      <formula>"Napkin Hs"</formula>
    </cfRule>
    <cfRule type="cellIs" dxfId="22579" priority="11177" stopIfTrue="1" operator="equal">
      <formula>"Towel"</formula>
    </cfRule>
    <cfRule type="cellIs" dxfId="22578" priority="11178" stopIfTrue="1" operator="equal">
      <formula>"Napkin Hs"</formula>
    </cfRule>
    <cfRule type="cellIs" dxfId="22577" priority="11183" stopIfTrue="1" operator="equal">
      <formula>"Towel"</formula>
    </cfRule>
    <cfRule type="cellIs" dxfId="22576" priority="11184" stopIfTrue="1" operator="equal">
      <formula>"Napkin Hs"</formula>
    </cfRule>
    <cfRule type="cellIs" dxfId="22575" priority="11189" stopIfTrue="1" operator="equal">
      <formula>"Towel"</formula>
    </cfRule>
    <cfRule type="cellIs" dxfId="22574" priority="11190" stopIfTrue="1" operator="equal">
      <formula>"Napkin Hs"</formula>
    </cfRule>
    <cfRule type="cellIs" dxfId="22573" priority="11195" stopIfTrue="1" operator="equal">
      <formula>"Towel"</formula>
    </cfRule>
    <cfRule type="cellIs" dxfId="22572" priority="11196" stopIfTrue="1" operator="equal">
      <formula>"Napkin Hs"</formula>
    </cfRule>
  </conditionalFormatting>
  <conditionalFormatting sqref="C63">
    <cfRule type="cellIs" dxfId="22571" priority="11200" stopIfTrue="1" operator="equal">
      <formula>"Napkin Hs"</formula>
    </cfRule>
  </conditionalFormatting>
  <conditionalFormatting sqref="C63">
    <cfRule type="cellIs" dxfId="22570" priority="11199" stopIfTrue="1" operator="equal">
      <formula>"Towel"</formula>
    </cfRule>
  </conditionalFormatting>
  <conditionalFormatting sqref="C63">
    <cfRule type="cellIs" dxfId="22569" priority="11193" stopIfTrue="1" operator="equal">
      <formula>"Towel"</formula>
    </cfRule>
    <cfRule type="cellIs" dxfId="22568" priority="11194" stopIfTrue="1" operator="equal">
      <formula>"Napkin Hs"</formula>
    </cfRule>
  </conditionalFormatting>
  <conditionalFormatting sqref="C63">
    <cfRule type="cellIs" dxfId="22567" priority="11191" stopIfTrue="1" operator="equal">
      <formula>"Towel"</formula>
    </cfRule>
    <cfRule type="cellIs" dxfId="22566" priority="11192" stopIfTrue="1" operator="equal">
      <formula>"Napkin Hs"</formula>
    </cfRule>
    <cfRule type="cellIs" dxfId="22565" priority="11197" stopIfTrue="1" operator="equal">
      <formula>"Towel"</formula>
    </cfRule>
    <cfRule type="cellIs" dxfId="22564" priority="11198" stopIfTrue="1" operator="equal">
      <formula>"Napkin Hs"</formula>
    </cfRule>
  </conditionalFormatting>
  <conditionalFormatting sqref="C63">
    <cfRule type="cellIs" dxfId="22563" priority="11163" stopIfTrue="1" operator="equal">
      <formula>"Towel"</formula>
    </cfRule>
    <cfRule type="cellIs" dxfId="22562" priority="11164" stopIfTrue="1" operator="equal">
      <formula>"Napkin Hs"</formula>
    </cfRule>
    <cfRule type="cellIs" dxfId="22561" priority="11167" stopIfTrue="1" operator="equal">
      <formula>"Towel"</formula>
    </cfRule>
    <cfRule type="cellIs" dxfId="22560" priority="11168" stopIfTrue="1" operator="equal">
      <formula>"Napkin Hs"</formula>
    </cfRule>
    <cfRule type="cellIs" dxfId="22559" priority="11169" stopIfTrue="1" operator="equal">
      <formula>"Towel"</formula>
    </cfRule>
    <cfRule type="cellIs" dxfId="22558" priority="11170" stopIfTrue="1" operator="equal">
      <formula>"Napkin Hs"</formula>
    </cfRule>
    <cfRule type="cellIs" dxfId="22557" priority="11173" stopIfTrue="1" operator="equal">
      <formula>"Towel"</formula>
    </cfRule>
    <cfRule type="cellIs" dxfId="22556" priority="11174" stopIfTrue="1" operator="equal">
      <formula>"Napkin Hs"</formula>
    </cfRule>
    <cfRule type="cellIs" dxfId="22555" priority="11175" stopIfTrue="1" operator="equal">
      <formula>"Towel"</formula>
    </cfRule>
    <cfRule type="cellIs" dxfId="22554" priority="11176" stopIfTrue="1" operator="equal">
      <formula>"Napkin Hs"</formula>
    </cfRule>
    <cfRule type="cellIs" dxfId="22553" priority="11179" stopIfTrue="1" operator="equal">
      <formula>"Towel"</formula>
    </cfRule>
    <cfRule type="cellIs" dxfId="22552" priority="11180" stopIfTrue="1" operator="equal">
      <formula>"Napkin Hs"</formula>
    </cfRule>
    <cfRule type="cellIs" dxfId="22551" priority="11181" stopIfTrue="1" operator="equal">
      <formula>"Towel"</formula>
    </cfRule>
    <cfRule type="cellIs" dxfId="22550" priority="11182" stopIfTrue="1" operator="equal">
      <formula>"Napkin Hs"</formula>
    </cfRule>
    <cfRule type="cellIs" dxfId="22549" priority="11185" stopIfTrue="1" operator="equal">
      <formula>"Towel"</formula>
    </cfRule>
    <cfRule type="cellIs" dxfId="22548" priority="11186" stopIfTrue="1" operator="equal">
      <formula>"Napkin Hs"</formula>
    </cfRule>
    <cfRule type="cellIs" dxfId="22547" priority="11187" stopIfTrue="1" operator="equal">
      <formula>"Towel"</formula>
    </cfRule>
    <cfRule type="cellIs" dxfId="22546" priority="11188" stopIfTrue="1" operator="equal">
      <formula>"Napkin Hs"</formula>
    </cfRule>
  </conditionalFormatting>
  <conditionalFormatting sqref="C63">
    <cfRule type="cellIs" dxfId="22545" priority="11161" stopIfTrue="1" operator="equal">
      <formula>"Towel"</formula>
    </cfRule>
    <cfRule type="cellIs" dxfId="22544" priority="11162" stopIfTrue="1" operator="equal">
      <formula>"Napkin Hs"</formula>
    </cfRule>
  </conditionalFormatting>
  <conditionalFormatting sqref="C63">
    <cfRule type="cellIs" dxfId="22543" priority="11141" stopIfTrue="1" operator="equal">
      <formula>"Towel"</formula>
    </cfRule>
    <cfRule type="cellIs" dxfId="22542" priority="11142" stopIfTrue="1" operator="equal">
      <formula>"Napkin Hs"</formula>
    </cfRule>
    <cfRule type="cellIs" dxfId="22541" priority="11147" stopIfTrue="1" operator="equal">
      <formula>"Towel"</formula>
    </cfRule>
    <cfRule type="cellIs" dxfId="22540" priority="11148" stopIfTrue="1" operator="equal">
      <formula>"Napkin Hs"</formula>
    </cfRule>
    <cfRule type="cellIs" dxfId="22539" priority="11153" stopIfTrue="1" operator="equal">
      <formula>"Towel"</formula>
    </cfRule>
    <cfRule type="cellIs" dxfId="22538" priority="11154" stopIfTrue="1" operator="equal">
      <formula>"Napkin Hs"</formula>
    </cfRule>
    <cfRule type="cellIs" dxfId="22537" priority="11159" stopIfTrue="1" operator="equal">
      <formula>"Towel"</formula>
    </cfRule>
    <cfRule type="cellIs" dxfId="22536" priority="11160" stopIfTrue="1" operator="equal">
      <formula>"Napkin Hs"</formula>
    </cfRule>
  </conditionalFormatting>
  <conditionalFormatting sqref="C63">
    <cfRule type="cellIs" dxfId="22535" priority="11151" stopIfTrue="1" operator="equal">
      <formula>"Towel"</formula>
    </cfRule>
    <cfRule type="cellIs" dxfId="22534" priority="11152" stopIfTrue="1" operator="equal">
      <formula>"Napkin Hs"</formula>
    </cfRule>
    <cfRule type="cellIs" dxfId="22533" priority="11157" stopIfTrue="1" operator="equal">
      <formula>"Towel"</formula>
    </cfRule>
    <cfRule type="cellIs" dxfId="22532" priority="11158" stopIfTrue="1" operator="equal">
      <formula>"Napkin Hs"</formula>
    </cfRule>
  </conditionalFormatting>
  <conditionalFormatting sqref="C63">
    <cfRule type="cellIs" dxfId="22531" priority="11137" stopIfTrue="1" operator="equal">
      <formula>"Towel"</formula>
    </cfRule>
    <cfRule type="cellIs" dxfId="22530" priority="11138" stopIfTrue="1" operator="equal">
      <formula>"Napkin Hs"</formula>
    </cfRule>
    <cfRule type="cellIs" dxfId="22529" priority="11145" stopIfTrue="1" operator="equal">
      <formula>"Towel"</formula>
    </cfRule>
    <cfRule type="cellIs" dxfId="22528" priority="11146" stopIfTrue="1" operator="equal">
      <formula>"Napkin Hs"</formula>
    </cfRule>
    <cfRule type="cellIs" dxfId="22527" priority="11149" stopIfTrue="1" operator="equal">
      <formula>"Towel"</formula>
    </cfRule>
    <cfRule type="cellIs" dxfId="22526" priority="11150" stopIfTrue="1" operator="equal">
      <formula>"Napkin Hs"</formula>
    </cfRule>
  </conditionalFormatting>
  <conditionalFormatting sqref="C63">
    <cfRule type="cellIs" dxfId="22525" priority="11139" stopIfTrue="1" operator="equal">
      <formula>"Towel"</formula>
    </cfRule>
    <cfRule type="cellIs" dxfId="22524" priority="11140" stopIfTrue="1" operator="equal">
      <formula>"Napkin Hs"</formula>
    </cfRule>
    <cfRule type="cellIs" dxfId="22523" priority="11143" stopIfTrue="1" operator="equal">
      <formula>"Towel"</formula>
    </cfRule>
    <cfRule type="cellIs" dxfId="22522" priority="11144" stopIfTrue="1" operator="equal">
      <formula>"Napkin Hs"</formula>
    </cfRule>
    <cfRule type="cellIs" dxfId="22521" priority="11155" stopIfTrue="1" operator="equal">
      <formula>"Towel"</formula>
    </cfRule>
    <cfRule type="cellIs" dxfId="22520" priority="11156" stopIfTrue="1" operator="equal">
      <formula>"Napkin Hs"</formula>
    </cfRule>
  </conditionalFormatting>
  <conditionalFormatting sqref="C63">
    <cfRule type="cellIs" dxfId="22519" priority="11135" stopIfTrue="1" operator="equal">
      <formula>"Towel"</formula>
    </cfRule>
    <cfRule type="cellIs" dxfId="22518" priority="11136" stopIfTrue="1" operator="equal">
      <formula>"Napkin Hs"</formula>
    </cfRule>
  </conditionalFormatting>
  <conditionalFormatting sqref="C63">
    <cfRule type="cellIs" dxfId="22517" priority="11131" stopIfTrue="1" operator="equal">
      <formula>"Towel"</formula>
    </cfRule>
    <cfRule type="cellIs" dxfId="22516" priority="11132" stopIfTrue="1" operator="equal">
      <formula>"Napkin Hs"</formula>
    </cfRule>
  </conditionalFormatting>
  <conditionalFormatting sqref="C63">
    <cfRule type="cellIs" dxfId="22515" priority="11133" stopIfTrue="1" operator="equal">
      <formula>"Towel"</formula>
    </cfRule>
    <cfRule type="cellIs" dxfId="22514" priority="11134" stopIfTrue="1" operator="equal">
      <formula>"Napkin Hs"</formula>
    </cfRule>
  </conditionalFormatting>
  <conditionalFormatting sqref="C63">
    <cfRule type="cellIs" dxfId="22513" priority="11129" stopIfTrue="1" operator="equal">
      <formula>"Towel"</formula>
    </cfRule>
    <cfRule type="cellIs" dxfId="22512" priority="11130" stopIfTrue="1" operator="equal">
      <formula>"Napkin Hs"</formula>
    </cfRule>
  </conditionalFormatting>
  <conditionalFormatting sqref="C63">
    <cfRule type="cellIs" dxfId="22511" priority="11125" stopIfTrue="1" operator="equal">
      <formula>"Towel"</formula>
    </cfRule>
    <cfRule type="cellIs" dxfId="22510" priority="11126" stopIfTrue="1" operator="equal">
      <formula>"Napkin Hs"</formula>
    </cfRule>
  </conditionalFormatting>
  <conditionalFormatting sqref="C63">
    <cfRule type="cellIs" dxfId="22509" priority="11127" stopIfTrue="1" operator="equal">
      <formula>"Towel"</formula>
    </cfRule>
    <cfRule type="cellIs" dxfId="22508" priority="11128" stopIfTrue="1" operator="equal">
      <formula>"Napkin Hs"</formula>
    </cfRule>
  </conditionalFormatting>
  <conditionalFormatting sqref="C63">
    <cfRule type="cellIs" dxfId="22507" priority="11123" stopIfTrue="1" operator="equal">
      <formula>"Towel"</formula>
    </cfRule>
    <cfRule type="cellIs" dxfId="22506" priority="11124" stopIfTrue="1" operator="equal">
      <formula>"Napkin Hs"</formula>
    </cfRule>
  </conditionalFormatting>
  <conditionalFormatting sqref="C63">
    <cfRule type="cellIs" dxfId="22505" priority="11119" stopIfTrue="1" operator="equal">
      <formula>"Towel"</formula>
    </cfRule>
    <cfRule type="cellIs" dxfId="22504" priority="11120" stopIfTrue="1" operator="equal">
      <formula>"Napkin Hs"</formula>
    </cfRule>
  </conditionalFormatting>
  <conditionalFormatting sqref="C63">
    <cfRule type="cellIs" dxfId="22503" priority="11121" stopIfTrue="1" operator="equal">
      <formula>"Towel"</formula>
    </cfRule>
    <cfRule type="cellIs" dxfId="22502" priority="11122" stopIfTrue="1" operator="equal">
      <formula>"Napkin Hs"</formula>
    </cfRule>
  </conditionalFormatting>
  <conditionalFormatting sqref="C63">
    <cfRule type="cellIs" dxfId="22501" priority="11117" stopIfTrue="1" operator="equal">
      <formula>"Towel"</formula>
    </cfRule>
    <cfRule type="cellIs" dxfId="22500" priority="11118" stopIfTrue="1" operator="equal">
      <formula>"Napkin Hs"</formula>
    </cfRule>
  </conditionalFormatting>
  <conditionalFormatting sqref="C63">
    <cfRule type="cellIs" dxfId="22499" priority="11115" stopIfTrue="1" operator="equal">
      <formula>"Towel"</formula>
    </cfRule>
    <cfRule type="cellIs" dxfId="22498" priority="11116" stopIfTrue="1" operator="equal">
      <formula>"Napkin Hs"</formula>
    </cfRule>
  </conditionalFormatting>
  <conditionalFormatting sqref="C63">
    <cfRule type="cellIs" dxfId="22497" priority="11113" stopIfTrue="1" operator="equal">
      <formula>"Towel"</formula>
    </cfRule>
    <cfRule type="cellIs" dxfId="22496" priority="11114" stopIfTrue="1" operator="equal">
      <formula>"Napkin Hs"</formula>
    </cfRule>
  </conditionalFormatting>
  <conditionalFormatting sqref="C63">
    <cfRule type="cellIs" dxfId="22495" priority="11111" stopIfTrue="1" operator="equal">
      <formula>"Towel"</formula>
    </cfRule>
    <cfRule type="cellIs" dxfId="22494" priority="11112" stopIfTrue="1" operator="equal">
      <formula>"Napkin Hs"</formula>
    </cfRule>
  </conditionalFormatting>
  <conditionalFormatting sqref="C63">
    <cfRule type="cellIs" dxfId="22493" priority="11110" stopIfTrue="1" operator="equal">
      <formula>"Napkin Hs"</formula>
    </cfRule>
  </conditionalFormatting>
  <conditionalFormatting sqref="C63">
    <cfRule type="cellIs" dxfId="22492" priority="11107" stopIfTrue="1" operator="equal">
      <formula>"Towel"</formula>
    </cfRule>
    <cfRule type="cellIs" dxfId="22491" priority="11108" stopIfTrue="1" operator="equal">
      <formula>"Napkin Hs"</formula>
    </cfRule>
  </conditionalFormatting>
  <conditionalFormatting sqref="C63">
    <cfRule type="cellIs" dxfId="22490" priority="11109" stopIfTrue="1" operator="equal">
      <formula>"Towel"</formula>
    </cfRule>
  </conditionalFormatting>
  <conditionalFormatting sqref="B63">
    <cfRule type="cellIs" dxfId="22489" priority="11105" stopIfTrue="1" operator="equal">
      <formula>"Towel"</formula>
    </cfRule>
    <cfRule type="cellIs" dxfId="22488" priority="11106" stopIfTrue="1" operator="equal">
      <formula>"Napkin Hs"</formula>
    </cfRule>
  </conditionalFormatting>
  <conditionalFormatting sqref="B63">
    <cfRule type="cellIs" dxfId="22487" priority="11103" stopIfTrue="1" operator="equal">
      <formula>"Towel"</formula>
    </cfRule>
    <cfRule type="cellIs" dxfId="22486" priority="11104" stopIfTrue="1" operator="equal">
      <formula>"Napkin Hs"</formula>
    </cfRule>
  </conditionalFormatting>
  <conditionalFormatting sqref="B63">
    <cfRule type="cellIs" dxfId="22485" priority="11101" stopIfTrue="1" operator="equal">
      <formula>"Towel"</formula>
    </cfRule>
    <cfRule type="cellIs" dxfId="22484" priority="11102" stopIfTrue="1" operator="equal">
      <formula>"Napkin Hs"</formula>
    </cfRule>
  </conditionalFormatting>
  <conditionalFormatting sqref="B63">
    <cfRule type="cellIs" dxfId="22483" priority="11099" stopIfTrue="1" operator="equal">
      <formula>"Towel"</formula>
    </cfRule>
    <cfRule type="cellIs" dxfId="22482" priority="11100" stopIfTrue="1" operator="equal">
      <formula>"Napkin Hs"</formula>
    </cfRule>
  </conditionalFormatting>
  <conditionalFormatting sqref="B63">
    <cfRule type="cellIs" dxfId="22481" priority="11097" stopIfTrue="1" operator="equal">
      <formula>"Towel"</formula>
    </cfRule>
    <cfRule type="cellIs" dxfId="22480" priority="11098" stopIfTrue="1" operator="equal">
      <formula>"Napkin Hs"</formula>
    </cfRule>
  </conditionalFormatting>
  <conditionalFormatting sqref="B63">
    <cfRule type="cellIs" dxfId="22479" priority="11095" stopIfTrue="1" operator="equal">
      <formula>"Towel"</formula>
    </cfRule>
    <cfRule type="cellIs" dxfId="22478" priority="11096" stopIfTrue="1" operator="equal">
      <formula>"Napkin Hs"</formula>
    </cfRule>
  </conditionalFormatting>
  <conditionalFormatting sqref="B63">
    <cfRule type="cellIs" dxfId="22477" priority="11091" stopIfTrue="1" operator="equal">
      <formula>"Towel"</formula>
    </cfRule>
    <cfRule type="cellIs" dxfId="22476" priority="11092" stopIfTrue="1" operator="equal">
      <formula>"Napkin Hs"</formula>
    </cfRule>
    <cfRule type="cellIs" dxfId="22475" priority="11093" stopIfTrue="1" operator="equal">
      <formula>"Towel"</formula>
    </cfRule>
    <cfRule type="cellIs" dxfId="22474" priority="11094" stopIfTrue="1" operator="equal">
      <formula>"Napkin Hs"</formula>
    </cfRule>
  </conditionalFormatting>
  <conditionalFormatting sqref="B63">
    <cfRule type="cellIs" dxfId="22473" priority="11089" stopIfTrue="1" operator="equal">
      <formula>"Towel"</formula>
    </cfRule>
    <cfRule type="cellIs" dxfId="22472" priority="11090" stopIfTrue="1" operator="equal">
      <formula>"Napkin Hs"</formula>
    </cfRule>
  </conditionalFormatting>
  <conditionalFormatting sqref="B63">
    <cfRule type="cellIs" dxfId="22471" priority="11087" stopIfTrue="1" operator="equal">
      <formula>"Towel"</formula>
    </cfRule>
    <cfRule type="cellIs" dxfId="22470" priority="11088" stopIfTrue="1" operator="equal">
      <formula>"Napkin Hs"</formula>
    </cfRule>
  </conditionalFormatting>
  <conditionalFormatting sqref="B63">
    <cfRule type="cellIs" dxfId="22469" priority="11085" stopIfTrue="1" operator="equal">
      <formula>"Towel"</formula>
    </cfRule>
    <cfRule type="cellIs" dxfId="22468" priority="11086" stopIfTrue="1" operator="equal">
      <formula>"Napkin Hs"</formula>
    </cfRule>
  </conditionalFormatting>
  <conditionalFormatting sqref="B63">
    <cfRule type="cellIs" dxfId="22467" priority="11083" stopIfTrue="1" operator="equal">
      <formula>"Towel"</formula>
    </cfRule>
    <cfRule type="cellIs" dxfId="22466" priority="11084" stopIfTrue="1" operator="equal">
      <formula>"Napkin Hs"</formula>
    </cfRule>
  </conditionalFormatting>
  <conditionalFormatting sqref="B63">
    <cfRule type="cellIs" dxfId="22465" priority="11081" stopIfTrue="1" operator="equal">
      <formula>"Towel"</formula>
    </cfRule>
    <cfRule type="cellIs" dxfId="22464" priority="11082" stopIfTrue="1" operator="equal">
      <formula>"Napkin Hs"</formula>
    </cfRule>
  </conditionalFormatting>
  <conditionalFormatting sqref="B63:C63">
    <cfRule type="cellIs" dxfId="22463" priority="11067" stopIfTrue="1" operator="equal">
      <formula>"Towel"</formula>
    </cfRule>
    <cfRule type="cellIs" dxfId="22462" priority="11068" stopIfTrue="1" operator="equal">
      <formula>"Napkin Hs"</formula>
    </cfRule>
    <cfRule type="cellIs" dxfId="22461" priority="11073" stopIfTrue="1" operator="equal">
      <formula>"Towel"</formula>
    </cfRule>
    <cfRule type="cellIs" dxfId="22460" priority="11074" stopIfTrue="1" operator="equal">
      <formula>"Napkin Hs"</formula>
    </cfRule>
    <cfRule type="cellIs" dxfId="22459" priority="11079" stopIfTrue="1" operator="equal">
      <formula>"Towel"</formula>
    </cfRule>
    <cfRule type="cellIs" dxfId="22458" priority="11080" stopIfTrue="1" operator="equal">
      <formula>"Napkin Hs"</formula>
    </cfRule>
  </conditionalFormatting>
  <conditionalFormatting sqref="C63">
    <cfRule type="cellIs" dxfId="22457" priority="11061" stopIfTrue="1" operator="equal">
      <formula>"Towel"</formula>
    </cfRule>
    <cfRule type="cellIs" dxfId="22456" priority="11062" stopIfTrue="1" operator="equal">
      <formula>"Napkin Hs"</formula>
    </cfRule>
    <cfRule type="cellIs" dxfId="22455" priority="11063" stopIfTrue="1" operator="equal">
      <formula>"Towel"</formula>
    </cfRule>
    <cfRule type="cellIs" dxfId="22454" priority="11064" stopIfTrue="1" operator="equal">
      <formula>"Napkin Hs"</formula>
    </cfRule>
    <cfRule type="cellIs" dxfId="22453" priority="11071" stopIfTrue="1" operator="equal">
      <formula>"Towel"</formula>
    </cfRule>
    <cfRule type="cellIs" dxfId="22452" priority="11072" stopIfTrue="1" operator="equal">
      <formula>"Napkin Hs"</formula>
    </cfRule>
    <cfRule type="cellIs" dxfId="22451" priority="11075" stopIfTrue="1" operator="equal">
      <formula>"Towel"</formula>
    </cfRule>
    <cfRule type="cellIs" dxfId="22450" priority="11076" stopIfTrue="1" operator="equal">
      <formula>"Napkin Hs"</formula>
    </cfRule>
  </conditionalFormatting>
  <conditionalFormatting sqref="C63">
    <cfRule type="cellIs" dxfId="22449" priority="11065" stopIfTrue="1" operator="equal">
      <formula>"Towel"</formula>
    </cfRule>
    <cfRule type="cellIs" dxfId="22448" priority="11066" stopIfTrue="1" operator="equal">
      <formula>"Napkin Hs"</formula>
    </cfRule>
    <cfRule type="cellIs" dxfId="22447" priority="11069" stopIfTrue="1" operator="equal">
      <formula>"Towel"</formula>
    </cfRule>
    <cfRule type="cellIs" dxfId="22446" priority="11070" stopIfTrue="1" operator="equal">
      <formula>"Napkin Hs"</formula>
    </cfRule>
    <cfRule type="cellIs" dxfId="22445" priority="11077" stopIfTrue="1" operator="equal">
      <formula>"Towel"</formula>
    </cfRule>
    <cfRule type="cellIs" dxfId="22444" priority="11078" stopIfTrue="1" operator="equal">
      <formula>"Napkin Hs"</formula>
    </cfRule>
  </conditionalFormatting>
  <conditionalFormatting sqref="B63:C63">
    <cfRule type="cellIs" dxfId="22443" priority="11059" stopIfTrue="1" operator="equal">
      <formula>"Towel"</formula>
    </cfRule>
    <cfRule type="cellIs" dxfId="22442" priority="11060" stopIfTrue="1" operator="equal">
      <formula>"Napkin Hs"</formula>
    </cfRule>
  </conditionalFormatting>
  <conditionalFormatting sqref="B63:C63">
    <cfRule type="cellIs" dxfId="22441" priority="11051" stopIfTrue="1" operator="equal">
      <formula>"Towel"</formula>
    </cfRule>
    <cfRule type="cellIs" dxfId="22440" priority="11052" stopIfTrue="1" operator="equal">
      <formula>"Napkin Hs"</formula>
    </cfRule>
    <cfRule type="cellIs" dxfId="22439" priority="11057" stopIfTrue="1" operator="equal">
      <formula>"Towel"</formula>
    </cfRule>
    <cfRule type="cellIs" dxfId="22438" priority="11058" stopIfTrue="1" operator="equal">
      <formula>"Napkin Hs"</formula>
    </cfRule>
  </conditionalFormatting>
  <conditionalFormatting sqref="C63">
    <cfRule type="cellIs" dxfId="22437" priority="11047" stopIfTrue="1" operator="equal">
      <formula>"Towel"</formula>
    </cfRule>
    <cfRule type="cellIs" dxfId="22436" priority="11048" stopIfTrue="1" operator="equal">
      <formula>"Napkin Hs"</formula>
    </cfRule>
  </conditionalFormatting>
  <conditionalFormatting sqref="C63">
    <cfRule type="cellIs" dxfId="22435" priority="11045" stopIfTrue="1" operator="equal">
      <formula>"Towel"</formula>
    </cfRule>
    <cfRule type="cellIs" dxfId="22434" priority="11046" stopIfTrue="1" operator="equal">
      <formula>"Napkin Hs"</formula>
    </cfRule>
    <cfRule type="cellIs" dxfId="22433" priority="11055" stopIfTrue="1" operator="equal">
      <formula>"Towel"</formula>
    </cfRule>
    <cfRule type="cellIs" dxfId="22432" priority="11056" stopIfTrue="1" operator="equal">
      <formula>"Napkin Hs"</formula>
    </cfRule>
  </conditionalFormatting>
  <conditionalFormatting sqref="C63">
    <cfRule type="cellIs" dxfId="22431" priority="11049" stopIfTrue="1" operator="equal">
      <formula>"Towel"</formula>
    </cfRule>
    <cfRule type="cellIs" dxfId="22430" priority="11050" stopIfTrue="1" operator="equal">
      <formula>"Napkin Hs"</formula>
    </cfRule>
    <cfRule type="cellIs" dxfId="22429" priority="11053" stopIfTrue="1" operator="equal">
      <formula>"Towel"</formula>
    </cfRule>
    <cfRule type="cellIs" dxfId="22428" priority="11054" stopIfTrue="1" operator="equal">
      <formula>"Napkin Hs"</formula>
    </cfRule>
  </conditionalFormatting>
  <conditionalFormatting sqref="C63">
    <cfRule type="cellIs" dxfId="22427" priority="11044" stopIfTrue="1" operator="equal">
      <formula>"Napkin Hs"</formula>
    </cfRule>
  </conditionalFormatting>
  <conditionalFormatting sqref="C63">
    <cfRule type="cellIs" dxfId="22426" priority="11043" stopIfTrue="1" operator="equal">
      <formula>"Towel"</formula>
    </cfRule>
  </conditionalFormatting>
  <conditionalFormatting sqref="C63">
    <cfRule type="cellIs" dxfId="22425" priority="11039" stopIfTrue="1" operator="equal">
      <formula>"Towel"</formula>
    </cfRule>
    <cfRule type="cellIs" dxfId="22424" priority="11040" stopIfTrue="1" operator="equal">
      <formula>"Napkin Hs"</formula>
    </cfRule>
    <cfRule type="cellIs" dxfId="22423" priority="11041" stopIfTrue="1" operator="equal">
      <formula>"Towel"</formula>
    </cfRule>
    <cfRule type="cellIs" dxfId="22422" priority="11042" stopIfTrue="1" operator="equal">
      <formula>"Napkin Hs"</formula>
    </cfRule>
  </conditionalFormatting>
  <conditionalFormatting sqref="B63:C63">
    <cfRule type="cellIs" dxfId="22421" priority="11037" stopIfTrue="1" operator="equal">
      <formula>"Towel"</formula>
    </cfRule>
    <cfRule type="cellIs" dxfId="22420" priority="11038" stopIfTrue="1" operator="equal">
      <formula>"Napkin Hs"</formula>
    </cfRule>
  </conditionalFormatting>
  <conditionalFormatting sqref="C63">
    <cfRule type="cellIs" dxfId="22419" priority="11033" stopIfTrue="1" operator="equal">
      <formula>"Towel"</formula>
    </cfRule>
    <cfRule type="cellIs" dxfId="22418" priority="11034" stopIfTrue="1" operator="equal">
      <formula>"Napkin Hs"</formula>
    </cfRule>
  </conditionalFormatting>
  <conditionalFormatting sqref="C63">
    <cfRule type="cellIs" dxfId="22417" priority="11035" stopIfTrue="1" operator="equal">
      <formula>"Towel"</formula>
    </cfRule>
    <cfRule type="cellIs" dxfId="22416" priority="11036" stopIfTrue="1" operator="equal">
      <formula>"Napkin Hs"</formula>
    </cfRule>
  </conditionalFormatting>
  <conditionalFormatting sqref="B63:C63">
    <cfRule type="cellIs" dxfId="22415" priority="11031" stopIfTrue="1" operator="equal">
      <formula>"Towel"</formula>
    </cfRule>
    <cfRule type="cellIs" dxfId="22414" priority="11032" stopIfTrue="1" operator="equal">
      <formula>"Napkin Hs"</formula>
    </cfRule>
  </conditionalFormatting>
  <conditionalFormatting sqref="C63">
    <cfRule type="cellIs" dxfId="22413" priority="11027" stopIfTrue="1" operator="equal">
      <formula>"Towel"</formula>
    </cfRule>
    <cfRule type="cellIs" dxfId="22412" priority="11028" stopIfTrue="1" operator="equal">
      <formula>"Napkin Hs"</formula>
    </cfRule>
  </conditionalFormatting>
  <conditionalFormatting sqref="C63">
    <cfRule type="cellIs" dxfId="22411" priority="11029" stopIfTrue="1" operator="equal">
      <formula>"Towel"</formula>
    </cfRule>
    <cfRule type="cellIs" dxfId="22410" priority="11030" stopIfTrue="1" operator="equal">
      <formula>"Napkin Hs"</formula>
    </cfRule>
  </conditionalFormatting>
  <conditionalFormatting sqref="B63:C63">
    <cfRule type="cellIs" dxfId="22409" priority="11025" stopIfTrue="1" operator="equal">
      <formula>"Towel"</formula>
    </cfRule>
    <cfRule type="cellIs" dxfId="22408" priority="11026" stopIfTrue="1" operator="equal">
      <formula>"Napkin Hs"</formula>
    </cfRule>
  </conditionalFormatting>
  <conditionalFormatting sqref="C63">
    <cfRule type="cellIs" dxfId="22407" priority="11021" stopIfTrue="1" operator="equal">
      <formula>"Towel"</formula>
    </cfRule>
    <cfRule type="cellIs" dxfId="22406" priority="11022" stopIfTrue="1" operator="equal">
      <formula>"Napkin Hs"</formula>
    </cfRule>
  </conditionalFormatting>
  <conditionalFormatting sqref="C63">
    <cfRule type="cellIs" dxfId="22405" priority="11023" stopIfTrue="1" operator="equal">
      <formula>"Towel"</formula>
    </cfRule>
    <cfRule type="cellIs" dxfId="22404" priority="11024" stopIfTrue="1" operator="equal">
      <formula>"Napkin Hs"</formula>
    </cfRule>
  </conditionalFormatting>
  <conditionalFormatting sqref="B63:C63">
    <cfRule type="cellIs" dxfId="22403" priority="11019" stopIfTrue="1" operator="equal">
      <formula>"Towel"</formula>
    </cfRule>
    <cfRule type="cellIs" dxfId="22402" priority="11020" stopIfTrue="1" operator="equal">
      <formula>"Napkin Hs"</formula>
    </cfRule>
  </conditionalFormatting>
  <conditionalFormatting sqref="C63">
    <cfRule type="cellIs" dxfId="22401" priority="11017" stopIfTrue="1" operator="equal">
      <formula>"Towel"</formula>
    </cfRule>
    <cfRule type="cellIs" dxfId="22400" priority="11018" stopIfTrue="1" operator="equal">
      <formula>"Napkin Hs"</formula>
    </cfRule>
  </conditionalFormatting>
  <conditionalFormatting sqref="C63">
    <cfRule type="cellIs" dxfId="22399" priority="11015" stopIfTrue="1" operator="equal">
      <formula>"Towel"</formula>
    </cfRule>
    <cfRule type="cellIs" dxfId="22398" priority="11016" stopIfTrue="1" operator="equal">
      <formula>"Napkin Hs"</formula>
    </cfRule>
  </conditionalFormatting>
  <conditionalFormatting sqref="B63:C63">
    <cfRule type="cellIs" dxfId="22397" priority="11013" stopIfTrue="1" operator="equal">
      <formula>"Towel"</formula>
    </cfRule>
    <cfRule type="cellIs" dxfId="22396" priority="11014" stopIfTrue="1" operator="equal">
      <formula>"Napkin Hs"</formula>
    </cfRule>
  </conditionalFormatting>
  <conditionalFormatting sqref="C63">
    <cfRule type="cellIs" dxfId="22395" priority="11012" stopIfTrue="1" operator="equal">
      <formula>"Napkin Hs"</formula>
    </cfRule>
  </conditionalFormatting>
  <conditionalFormatting sqref="C63">
    <cfRule type="cellIs" dxfId="22394" priority="11009" stopIfTrue="1" operator="equal">
      <formula>"Towel"</formula>
    </cfRule>
    <cfRule type="cellIs" dxfId="22393" priority="11010" stopIfTrue="1" operator="equal">
      <formula>"Napkin Hs"</formula>
    </cfRule>
  </conditionalFormatting>
  <conditionalFormatting sqref="C63">
    <cfRule type="cellIs" dxfId="22392" priority="11011" stopIfTrue="1" operator="equal">
      <formula>"Towel"</formula>
    </cfRule>
  </conditionalFormatting>
  <conditionalFormatting sqref="B71:C71">
    <cfRule type="cellIs" dxfId="22391" priority="10919" stopIfTrue="1" operator="equal">
      <formula>"Towel"</formula>
    </cfRule>
    <cfRule type="cellIs" dxfId="22390" priority="10920" stopIfTrue="1" operator="equal">
      <formula>"Napkin Hs"</formula>
    </cfRule>
    <cfRule type="cellIs" dxfId="22389" priority="10925" stopIfTrue="1" operator="equal">
      <formula>"Towel"</formula>
    </cfRule>
    <cfRule type="cellIs" dxfId="22388" priority="10926" stopIfTrue="1" operator="equal">
      <formula>"Napkin Hs"</formula>
    </cfRule>
    <cfRule type="cellIs" dxfId="22387" priority="10931" stopIfTrue="1" operator="equal">
      <formula>"Towel"</formula>
    </cfRule>
    <cfRule type="cellIs" dxfId="22386" priority="10932" stopIfTrue="1" operator="equal">
      <formula>"Napkin Hs"</formula>
    </cfRule>
    <cfRule type="cellIs" dxfId="22385" priority="10937" stopIfTrue="1" operator="equal">
      <formula>"Towel"</formula>
    </cfRule>
    <cfRule type="cellIs" dxfId="22384" priority="10938" stopIfTrue="1" operator="equal">
      <formula>"Napkin Hs"</formula>
    </cfRule>
    <cfRule type="cellIs" dxfId="22383" priority="10943" stopIfTrue="1" operator="equal">
      <formula>"Towel"</formula>
    </cfRule>
    <cfRule type="cellIs" dxfId="22382" priority="10944" stopIfTrue="1" operator="equal">
      <formula>"Napkin Hs"</formula>
    </cfRule>
    <cfRule type="cellIs" dxfId="22381" priority="10949" stopIfTrue="1" operator="equal">
      <formula>"Towel"</formula>
    </cfRule>
    <cfRule type="cellIs" dxfId="22380" priority="10950" stopIfTrue="1" operator="equal">
      <formula>"Napkin Hs"</formula>
    </cfRule>
    <cfRule type="cellIs" dxfId="22379" priority="10955" stopIfTrue="1" operator="equal">
      <formula>"Towel"</formula>
    </cfRule>
    <cfRule type="cellIs" dxfId="22378" priority="10956" stopIfTrue="1" operator="equal">
      <formula>"Napkin Hs"</formula>
    </cfRule>
    <cfRule type="cellIs" dxfId="22377" priority="10961" stopIfTrue="1" operator="equal">
      <formula>"Towel"</formula>
    </cfRule>
    <cfRule type="cellIs" dxfId="22376" priority="10962" stopIfTrue="1" operator="equal">
      <formula>"Napkin Hs"</formula>
    </cfRule>
  </conditionalFormatting>
  <conditionalFormatting sqref="B72:C72">
    <cfRule type="cellIs" dxfId="22375" priority="10965" stopIfTrue="1" operator="equal">
      <formula>"Towel"</formula>
    </cfRule>
    <cfRule type="cellIs" dxfId="22374" priority="10966" stopIfTrue="1" operator="equal">
      <formula>"Napkin Hs"</formula>
    </cfRule>
    <cfRule type="cellIs" dxfId="22373" priority="10971" stopIfTrue="1" operator="equal">
      <formula>"Towel"</formula>
    </cfRule>
    <cfRule type="cellIs" dxfId="22372" priority="10972" stopIfTrue="1" operator="equal">
      <formula>"Napkin Hs"</formula>
    </cfRule>
    <cfRule type="cellIs" dxfId="22371" priority="10977" stopIfTrue="1" operator="equal">
      <formula>"Towel"</formula>
    </cfRule>
    <cfRule type="cellIs" dxfId="22370" priority="10978" stopIfTrue="1" operator="equal">
      <formula>"Napkin Hs"</formula>
    </cfRule>
    <cfRule type="cellIs" dxfId="22369" priority="10983" stopIfTrue="1" operator="equal">
      <formula>"Towel"</formula>
    </cfRule>
    <cfRule type="cellIs" dxfId="22368" priority="10984" stopIfTrue="1" operator="equal">
      <formula>"Napkin Hs"</formula>
    </cfRule>
    <cfRule type="cellIs" dxfId="22367" priority="10989" stopIfTrue="1" operator="equal">
      <formula>"Towel"</formula>
    </cfRule>
    <cfRule type="cellIs" dxfId="22366" priority="10990" stopIfTrue="1" operator="equal">
      <formula>"Napkin Hs"</formula>
    </cfRule>
    <cfRule type="cellIs" dxfId="22365" priority="10995" stopIfTrue="1" operator="equal">
      <formula>"Towel"</formula>
    </cfRule>
    <cfRule type="cellIs" dxfId="22364" priority="10996" stopIfTrue="1" operator="equal">
      <formula>"Napkin Hs"</formula>
    </cfRule>
    <cfRule type="cellIs" dxfId="22363" priority="11001" stopIfTrue="1" operator="equal">
      <formula>"Towel"</formula>
    </cfRule>
    <cfRule type="cellIs" dxfId="22362" priority="11002" stopIfTrue="1" operator="equal">
      <formula>"Napkin Hs"</formula>
    </cfRule>
    <cfRule type="cellIs" dxfId="22361" priority="11007" stopIfTrue="1" operator="equal">
      <formula>"Towel"</formula>
    </cfRule>
    <cfRule type="cellIs" dxfId="22360" priority="11008" stopIfTrue="1" operator="equal">
      <formula>"Napkin Hs"</formula>
    </cfRule>
  </conditionalFormatting>
  <conditionalFormatting sqref="C71">
    <cfRule type="cellIs" dxfId="22359" priority="10915" stopIfTrue="1" operator="equal">
      <formula>"Towel"</formula>
    </cfRule>
    <cfRule type="cellIs" dxfId="22358" priority="10916" stopIfTrue="1" operator="equal">
      <formula>"Napkin Hs"</formula>
    </cfRule>
    <cfRule type="cellIs" dxfId="22357" priority="10917" stopIfTrue="1" operator="equal">
      <formula>"Towel"</formula>
    </cfRule>
    <cfRule type="cellIs" dxfId="22356" priority="10918" stopIfTrue="1" operator="equal">
      <formula>"Napkin Hs"</formula>
    </cfRule>
    <cfRule type="cellIs" dxfId="22355" priority="10921" stopIfTrue="1" operator="equal">
      <formula>"Towel"</formula>
    </cfRule>
    <cfRule type="cellIs" dxfId="22354" priority="10922" stopIfTrue="1" operator="equal">
      <formula>"Napkin Hs"</formula>
    </cfRule>
    <cfRule type="cellIs" dxfId="22353" priority="10923" stopIfTrue="1" operator="equal">
      <formula>"Towel"</formula>
    </cfRule>
    <cfRule type="cellIs" dxfId="22352" priority="10924" stopIfTrue="1" operator="equal">
      <formula>"Napkin Hs"</formula>
    </cfRule>
    <cfRule type="cellIs" dxfId="22351" priority="10927" stopIfTrue="1" operator="equal">
      <formula>"Towel"</formula>
    </cfRule>
    <cfRule type="cellIs" dxfId="22350" priority="10928" stopIfTrue="1" operator="equal">
      <formula>"Napkin Hs"</formula>
    </cfRule>
    <cfRule type="cellIs" dxfId="22349" priority="10929" stopIfTrue="1" operator="equal">
      <formula>"Towel"</formula>
    </cfRule>
    <cfRule type="cellIs" dxfId="22348" priority="10930" stopIfTrue="1" operator="equal">
      <formula>"Napkin Hs"</formula>
    </cfRule>
    <cfRule type="cellIs" dxfId="22347" priority="10933" stopIfTrue="1" operator="equal">
      <formula>"Towel"</formula>
    </cfRule>
    <cfRule type="cellIs" dxfId="22346" priority="10934" stopIfTrue="1" operator="equal">
      <formula>"Napkin Hs"</formula>
    </cfRule>
    <cfRule type="cellIs" dxfId="22345" priority="10935" stopIfTrue="1" operator="equal">
      <formula>"Towel"</formula>
    </cfRule>
    <cfRule type="cellIs" dxfId="22344" priority="10936" stopIfTrue="1" operator="equal">
      <formula>"Napkin Hs"</formula>
    </cfRule>
    <cfRule type="cellIs" dxfId="22343" priority="10939" stopIfTrue="1" operator="equal">
      <formula>"Towel"</formula>
    </cfRule>
    <cfRule type="cellIs" dxfId="22342" priority="10940" stopIfTrue="1" operator="equal">
      <formula>"Napkin Hs"</formula>
    </cfRule>
    <cfRule type="cellIs" dxfId="22341" priority="10941" stopIfTrue="1" operator="equal">
      <formula>"Towel"</formula>
    </cfRule>
    <cfRule type="cellIs" dxfId="22340" priority="10942" stopIfTrue="1" operator="equal">
      <formula>"Napkin Hs"</formula>
    </cfRule>
    <cfRule type="cellIs" dxfId="22339" priority="10945" stopIfTrue="1" operator="equal">
      <formula>"Towel"</formula>
    </cfRule>
    <cfRule type="cellIs" dxfId="22338" priority="10946" stopIfTrue="1" operator="equal">
      <formula>"Napkin Hs"</formula>
    </cfRule>
    <cfRule type="cellIs" dxfId="22337" priority="10947" stopIfTrue="1" operator="equal">
      <formula>"Towel"</formula>
    </cfRule>
    <cfRule type="cellIs" dxfId="22336" priority="10948" stopIfTrue="1" operator="equal">
      <formula>"Napkin Hs"</formula>
    </cfRule>
    <cfRule type="cellIs" dxfId="22335" priority="10951" stopIfTrue="1" operator="equal">
      <formula>"Towel"</formula>
    </cfRule>
    <cfRule type="cellIs" dxfId="22334" priority="10952" stopIfTrue="1" operator="equal">
      <formula>"Napkin Hs"</formula>
    </cfRule>
    <cfRule type="cellIs" dxfId="22333" priority="10953" stopIfTrue="1" operator="equal">
      <formula>"Towel"</formula>
    </cfRule>
    <cfRule type="cellIs" dxfId="22332" priority="10954" stopIfTrue="1" operator="equal">
      <formula>"Napkin Hs"</formula>
    </cfRule>
    <cfRule type="cellIs" dxfId="22331" priority="10957" stopIfTrue="1" operator="equal">
      <formula>"Towel"</formula>
    </cfRule>
    <cfRule type="cellIs" dxfId="22330" priority="10958" stopIfTrue="1" operator="equal">
      <formula>"Napkin Hs"</formula>
    </cfRule>
  </conditionalFormatting>
  <conditionalFormatting sqref="C71:C72">
    <cfRule type="cellIs" dxfId="22329" priority="10959" stopIfTrue="1" operator="equal">
      <formula>"Towel"</formula>
    </cfRule>
    <cfRule type="cellIs" dxfId="22328" priority="10960" stopIfTrue="1" operator="equal">
      <formula>"Napkin Hs"</formula>
    </cfRule>
  </conditionalFormatting>
  <conditionalFormatting sqref="C72">
    <cfRule type="cellIs" dxfId="22327" priority="10963" stopIfTrue="1" operator="equal">
      <formula>"Towel"</formula>
    </cfRule>
    <cfRule type="cellIs" dxfId="22326" priority="10964" stopIfTrue="1" operator="equal">
      <formula>"Napkin Hs"</formula>
    </cfRule>
    <cfRule type="cellIs" dxfId="22325" priority="10967" stopIfTrue="1" operator="equal">
      <formula>"Towel"</formula>
    </cfRule>
    <cfRule type="cellIs" dxfId="22324" priority="10968" stopIfTrue="1" operator="equal">
      <formula>"Napkin Hs"</formula>
    </cfRule>
    <cfRule type="cellIs" dxfId="22323" priority="10969" stopIfTrue="1" operator="equal">
      <formula>"Towel"</formula>
    </cfRule>
    <cfRule type="cellIs" dxfId="22322" priority="10970" stopIfTrue="1" operator="equal">
      <formula>"Napkin Hs"</formula>
    </cfRule>
    <cfRule type="cellIs" dxfId="22321" priority="10973" stopIfTrue="1" operator="equal">
      <formula>"Towel"</formula>
    </cfRule>
    <cfRule type="cellIs" dxfId="22320" priority="10974" stopIfTrue="1" operator="equal">
      <formula>"Napkin Hs"</formula>
    </cfRule>
    <cfRule type="cellIs" dxfId="22319" priority="10975" stopIfTrue="1" operator="equal">
      <formula>"Towel"</formula>
    </cfRule>
    <cfRule type="cellIs" dxfId="22318" priority="10976" stopIfTrue="1" operator="equal">
      <formula>"Napkin Hs"</formula>
    </cfRule>
    <cfRule type="cellIs" dxfId="22317" priority="10979" stopIfTrue="1" operator="equal">
      <formula>"Towel"</formula>
    </cfRule>
    <cfRule type="cellIs" dxfId="22316" priority="10980" stopIfTrue="1" operator="equal">
      <formula>"Napkin Hs"</formula>
    </cfRule>
    <cfRule type="cellIs" dxfId="22315" priority="10981" stopIfTrue="1" operator="equal">
      <formula>"Towel"</formula>
    </cfRule>
    <cfRule type="cellIs" dxfId="22314" priority="10982" stopIfTrue="1" operator="equal">
      <formula>"Napkin Hs"</formula>
    </cfRule>
    <cfRule type="cellIs" dxfId="22313" priority="10985" stopIfTrue="1" operator="equal">
      <formula>"Towel"</formula>
    </cfRule>
    <cfRule type="cellIs" dxfId="22312" priority="10986" stopIfTrue="1" operator="equal">
      <formula>"Napkin Hs"</formula>
    </cfRule>
    <cfRule type="cellIs" dxfId="22311" priority="10987" stopIfTrue="1" operator="equal">
      <formula>"Towel"</formula>
    </cfRule>
    <cfRule type="cellIs" dxfId="22310" priority="10988" stopIfTrue="1" operator="equal">
      <formula>"Napkin Hs"</formula>
    </cfRule>
    <cfRule type="cellIs" dxfId="22309" priority="10991" stopIfTrue="1" operator="equal">
      <formula>"Towel"</formula>
    </cfRule>
    <cfRule type="cellIs" dxfId="22308" priority="10992" stopIfTrue="1" operator="equal">
      <formula>"Napkin Hs"</formula>
    </cfRule>
    <cfRule type="cellIs" dxfId="22307" priority="10993" stopIfTrue="1" operator="equal">
      <formula>"Towel"</formula>
    </cfRule>
    <cfRule type="cellIs" dxfId="22306" priority="10994" stopIfTrue="1" operator="equal">
      <formula>"Napkin Hs"</formula>
    </cfRule>
    <cfRule type="cellIs" dxfId="22305" priority="10997" stopIfTrue="1" operator="equal">
      <formula>"Towel"</formula>
    </cfRule>
    <cfRule type="cellIs" dxfId="22304" priority="10998" stopIfTrue="1" operator="equal">
      <formula>"Napkin Hs"</formula>
    </cfRule>
  </conditionalFormatting>
  <conditionalFormatting sqref="C72">
    <cfRule type="cellIs" dxfId="22303" priority="10999" stopIfTrue="1" operator="equal">
      <formula>"Towel"</formula>
    </cfRule>
    <cfRule type="cellIs" dxfId="22302" priority="11000" stopIfTrue="1" operator="equal">
      <formula>"Napkin Hs"</formula>
    </cfRule>
    <cfRule type="cellIs" dxfId="22301" priority="11003" stopIfTrue="1" operator="equal">
      <formula>"Towel"</formula>
    </cfRule>
    <cfRule type="cellIs" dxfId="22300" priority="11004" stopIfTrue="1" operator="equal">
      <formula>"Napkin Hs"</formula>
    </cfRule>
    <cfRule type="cellIs" dxfId="22299" priority="11005" stopIfTrue="1" operator="equal">
      <formula>"Towel"</formula>
    </cfRule>
    <cfRule type="cellIs" dxfId="22298" priority="11006" stopIfTrue="1" operator="equal">
      <formula>"Napkin Hs"</formula>
    </cfRule>
  </conditionalFormatting>
  <conditionalFormatting sqref="B68:C68">
    <cfRule type="cellIs" dxfId="22297" priority="10909" stopIfTrue="1" operator="equal">
      <formula>"Towel"</formula>
    </cfRule>
    <cfRule type="cellIs" dxfId="22296" priority="10910" stopIfTrue="1" operator="equal">
      <formula>"Napkin Hs"</formula>
    </cfRule>
  </conditionalFormatting>
  <conditionalFormatting sqref="B68:C68">
    <cfRule type="cellIs" dxfId="22295" priority="10885" stopIfTrue="1" operator="equal">
      <formula>"Towel"</formula>
    </cfRule>
    <cfRule type="cellIs" dxfId="22294" priority="10886" stopIfTrue="1" operator="equal">
      <formula>"Napkin Hs"</formula>
    </cfRule>
    <cfRule type="cellIs" dxfId="22293" priority="10891" stopIfTrue="1" operator="equal">
      <formula>"Towel"</formula>
    </cfRule>
    <cfRule type="cellIs" dxfId="22292" priority="10892" stopIfTrue="1" operator="equal">
      <formula>"Napkin Hs"</formula>
    </cfRule>
    <cfRule type="cellIs" dxfId="22291" priority="10897" stopIfTrue="1" operator="equal">
      <formula>"Towel"</formula>
    </cfRule>
    <cfRule type="cellIs" dxfId="22290" priority="10898" stopIfTrue="1" operator="equal">
      <formula>"Napkin Hs"</formula>
    </cfRule>
    <cfRule type="cellIs" dxfId="22289" priority="10903" stopIfTrue="1" operator="equal">
      <formula>"Towel"</formula>
    </cfRule>
    <cfRule type="cellIs" dxfId="22288" priority="10904" stopIfTrue="1" operator="equal">
      <formula>"Napkin Hs"</formula>
    </cfRule>
  </conditionalFormatting>
  <conditionalFormatting sqref="B69:C70">
    <cfRule type="cellIs" dxfId="22287" priority="10913" stopIfTrue="1" operator="equal">
      <formula>"Towel"</formula>
    </cfRule>
    <cfRule type="cellIs" dxfId="22286" priority="10914" stopIfTrue="1" operator="equal">
      <formula>"Napkin Hs"</formula>
    </cfRule>
  </conditionalFormatting>
  <conditionalFormatting sqref="C68">
    <cfRule type="cellIs" dxfId="22285" priority="10899" stopIfTrue="1" operator="equal">
      <formula>"Towel"</formula>
    </cfRule>
    <cfRule type="cellIs" dxfId="22284" priority="10900" stopIfTrue="1" operator="equal">
      <formula>"Napkin Hs"</formula>
    </cfRule>
    <cfRule type="cellIs" dxfId="22283" priority="10905" stopIfTrue="1" operator="equal">
      <formula>"Towel"</formula>
    </cfRule>
    <cfRule type="cellIs" dxfId="22282" priority="10906" stopIfTrue="1" operator="equal">
      <formula>"Napkin Hs"</formula>
    </cfRule>
  </conditionalFormatting>
  <conditionalFormatting sqref="C68">
    <cfRule type="cellIs" dxfId="22281" priority="10879" stopIfTrue="1" operator="equal">
      <formula>"Towel"</formula>
    </cfRule>
    <cfRule type="cellIs" dxfId="22280" priority="10880" stopIfTrue="1" operator="equal">
      <formula>"Napkin Hs"</formula>
    </cfRule>
    <cfRule type="cellIs" dxfId="22279" priority="10881" stopIfTrue="1" operator="equal">
      <formula>"Towel"</formula>
    </cfRule>
    <cfRule type="cellIs" dxfId="22278" priority="10882" stopIfTrue="1" operator="equal">
      <formula>"Napkin Hs"</formula>
    </cfRule>
    <cfRule type="cellIs" dxfId="22277" priority="10889" stopIfTrue="1" operator="equal">
      <formula>"Towel"</formula>
    </cfRule>
    <cfRule type="cellIs" dxfId="22276" priority="10890" stopIfTrue="1" operator="equal">
      <formula>"Napkin Hs"</formula>
    </cfRule>
    <cfRule type="cellIs" dxfId="22275" priority="10893" stopIfTrue="1" operator="equal">
      <formula>"Towel"</formula>
    </cfRule>
    <cfRule type="cellIs" dxfId="22274" priority="10894" stopIfTrue="1" operator="equal">
      <formula>"Napkin Hs"</formula>
    </cfRule>
    <cfRule type="cellIs" dxfId="22273" priority="10895" stopIfTrue="1" operator="equal">
      <formula>"Towel"</formula>
    </cfRule>
    <cfRule type="cellIs" dxfId="22272" priority="10896" stopIfTrue="1" operator="equal">
      <formula>"Napkin Hs"</formula>
    </cfRule>
  </conditionalFormatting>
  <conditionalFormatting sqref="C68:C70">
    <cfRule type="cellIs" dxfId="22271" priority="10907" stopIfTrue="1" operator="equal">
      <formula>"Towel"</formula>
    </cfRule>
    <cfRule type="cellIs" dxfId="22270" priority="10908" stopIfTrue="1" operator="equal">
      <formula>"Napkin Hs"</formula>
    </cfRule>
  </conditionalFormatting>
  <conditionalFormatting sqref="C68">
    <cfRule type="cellIs" dxfId="22269" priority="10883" stopIfTrue="1" operator="equal">
      <formula>"Towel"</formula>
    </cfRule>
    <cfRule type="cellIs" dxfId="22268" priority="10884" stopIfTrue="1" operator="equal">
      <formula>"Napkin Hs"</formula>
    </cfRule>
    <cfRule type="cellIs" dxfId="22267" priority="10887" stopIfTrue="1" operator="equal">
      <formula>"Towel"</formula>
    </cfRule>
    <cfRule type="cellIs" dxfId="22266" priority="10888" stopIfTrue="1" operator="equal">
      <formula>"Napkin Hs"</formula>
    </cfRule>
    <cfRule type="cellIs" dxfId="22265" priority="10901" stopIfTrue="1" operator="equal">
      <formula>"Towel"</formula>
    </cfRule>
    <cfRule type="cellIs" dxfId="22264" priority="10902" stopIfTrue="1" operator="equal">
      <formula>"Napkin Hs"</formula>
    </cfRule>
  </conditionalFormatting>
  <conditionalFormatting sqref="C69:C70">
    <cfRule type="cellIs" dxfId="22263" priority="10911" stopIfTrue="1" operator="equal">
      <formula>"Towel"</formula>
    </cfRule>
    <cfRule type="cellIs" dxfId="22262" priority="10912" stopIfTrue="1" operator="equal">
      <formula>"Napkin Hs"</formula>
    </cfRule>
  </conditionalFormatting>
  <conditionalFormatting sqref="B69:C69">
    <cfRule type="cellIs" dxfId="22261" priority="10789" stopIfTrue="1" operator="equal">
      <formula>"Towel"</formula>
    </cfRule>
    <cfRule type="cellIs" dxfId="22260" priority="10790" stopIfTrue="1" operator="equal">
      <formula>"Napkin Hs"</formula>
    </cfRule>
    <cfRule type="cellIs" dxfId="22259" priority="10795" stopIfTrue="1" operator="equal">
      <formula>"Towel"</formula>
    </cfRule>
    <cfRule type="cellIs" dxfId="22258" priority="10796" stopIfTrue="1" operator="equal">
      <formula>"Napkin Hs"</formula>
    </cfRule>
    <cfRule type="cellIs" dxfId="22257" priority="10801" stopIfTrue="1" operator="equal">
      <formula>"Towel"</formula>
    </cfRule>
    <cfRule type="cellIs" dxfId="22256" priority="10802" stopIfTrue="1" operator="equal">
      <formula>"Napkin Hs"</formula>
    </cfRule>
    <cfRule type="cellIs" dxfId="22255" priority="10807" stopIfTrue="1" operator="equal">
      <formula>"Towel"</formula>
    </cfRule>
    <cfRule type="cellIs" dxfId="22254" priority="10808" stopIfTrue="1" operator="equal">
      <formula>"Napkin Hs"</formula>
    </cfRule>
    <cfRule type="cellIs" dxfId="22253" priority="10813" stopIfTrue="1" operator="equal">
      <formula>"Towel"</formula>
    </cfRule>
    <cfRule type="cellIs" dxfId="22252" priority="10814" stopIfTrue="1" operator="equal">
      <formula>"Napkin Hs"</formula>
    </cfRule>
    <cfRule type="cellIs" dxfId="22251" priority="10819" stopIfTrue="1" operator="equal">
      <formula>"Towel"</formula>
    </cfRule>
    <cfRule type="cellIs" dxfId="22250" priority="10820" stopIfTrue="1" operator="equal">
      <formula>"Napkin Hs"</formula>
    </cfRule>
    <cfRule type="cellIs" dxfId="22249" priority="10825" stopIfTrue="1" operator="equal">
      <formula>"Towel"</formula>
    </cfRule>
    <cfRule type="cellIs" dxfId="22248" priority="10826" stopIfTrue="1" operator="equal">
      <formula>"Napkin Hs"</formula>
    </cfRule>
    <cfRule type="cellIs" dxfId="22247" priority="10831" stopIfTrue="1" operator="equal">
      <formula>"Towel"</formula>
    </cfRule>
    <cfRule type="cellIs" dxfId="22246" priority="10832" stopIfTrue="1" operator="equal">
      <formula>"Napkin Hs"</formula>
    </cfRule>
  </conditionalFormatting>
  <conditionalFormatting sqref="B70:C70">
    <cfRule type="cellIs" dxfId="22245" priority="10835" stopIfTrue="1" operator="equal">
      <formula>"Towel"</formula>
    </cfRule>
    <cfRule type="cellIs" dxfId="22244" priority="10836" stopIfTrue="1" operator="equal">
      <formula>"Napkin Hs"</formula>
    </cfRule>
    <cfRule type="cellIs" dxfId="22243" priority="10841" stopIfTrue="1" operator="equal">
      <formula>"Towel"</formula>
    </cfRule>
    <cfRule type="cellIs" dxfId="22242" priority="10842" stopIfTrue="1" operator="equal">
      <formula>"Napkin Hs"</formula>
    </cfRule>
    <cfRule type="cellIs" dxfId="22241" priority="10847" stopIfTrue="1" operator="equal">
      <formula>"Towel"</formula>
    </cfRule>
    <cfRule type="cellIs" dxfId="22240" priority="10848" stopIfTrue="1" operator="equal">
      <formula>"Napkin Hs"</formula>
    </cfRule>
    <cfRule type="cellIs" dxfId="22239" priority="10853" stopIfTrue="1" operator="equal">
      <formula>"Towel"</formula>
    </cfRule>
    <cfRule type="cellIs" dxfId="22238" priority="10854" stopIfTrue="1" operator="equal">
      <formula>"Napkin Hs"</formula>
    </cfRule>
    <cfRule type="cellIs" dxfId="22237" priority="10859" stopIfTrue="1" operator="equal">
      <formula>"Towel"</formula>
    </cfRule>
    <cfRule type="cellIs" dxfId="22236" priority="10860" stopIfTrue="1" operator="equal">
      <formula>"Napkin Hs"</formula>
    </cfRule>
    <cfRule type="cellIs" dxfId="22235" priority="10865" stopIfTrue="1" operator="equal">
      <formula>"Towel"</formula>
    </cfRule>
    <cfRule type="cellIs" dxfId="22234" priority="10866" stopIfTrue="1" operator="equal">
      <formula>"Napkin Hs"</formula>
    </cfRule>
    <cfRule type="cellIs" dxfId="22233" priority="10871" stopIfTrue="1" operator="equal">
      <formula>"Towel"</formula>
    </cfRule>
    <cfRule type="cellIs" dxfId="22232" priority="10872" stopIfTrue="1" operator="equal">
      <formula>"Napkin Hs"</formula>
    </cfRule>
    <cfRule type="cellIs" dxfId="22231" priority="10877" stopIfTrue="1" operator="equal">
      <formula>"Towel"</formula>
    </cfRule>
    <cfRule type="cellIs" dxfId="22230" priority="10878" stopIfTrue="1" operator="equal">
      <formula>"Napkin Hs"</formula>
    </cfRule>
  </conditionalFormatting>
  <conditionalFormatting sqref="C69">
    <cfRule type="cellIs" dxfId="22229" priority="10785" stopIfTrue="1" operator="equal">
      <formula>"Towel"</formula>
    </cfRule>
    <cfRule type="cellIs" dxfId="22228" priority="10786" stopIfTrue="1" operator="equal">
      <formula>"Napkin Hs"</formula>
    </cfRule>
    <cfRule type="cellIs" dxfId="22227" priority="10787" stopIfTrue="1" operator="equal">
      <formula>"Towel"</formula>
    </cfRule>
    <cfRule type="cellIs" dxfId="22226" priority="10788" stopIfTrue="1" operator="equal">
      <formula>"Napkin Hs"</formula>
    </cfRule>
    <cfRule type="cellIs" dxfId="22225" priority="10791" stopIfTrue="1" operator="equal">
      <formula>"Towel"</formula>
    </cfRule>
    <cfRule type="cellIs" dxfId="22224" priority="10792" stopIfTrue="1" operator="equal">
      <formula>"Napkin Hs"</formula>
    </cfRule>
    <cfRule type="cellIs" dxfId="22223" priority="10793" stopIfTrue="1" operator="equal">
      <formula>"Towel"</formula>
    </cfRule>
    <cfRule type="cellIs" dxfId="22222" priority="10794" stopIfTrue="1" operator="equal">
      <formula>"Napkin Hs"</formula>
    </cfRule>
    <cfRule type="cellIs" dxfId="22221" priority="10797" stopIfTrue="1" operator="equal">
      <formula>"Towel"</formula>
    </cfRule>
    <cfRule type="cellIs" dxfId="22220" priority="10798" stopIfTrue="1" operator="equal">
      <formula>"Napkin Hs"</formula>
    </cfRule>
    <cfRule type="cellIs" dxfId="22219" priority="10799" stopIfTrue="1" operator="equal">
      <formula>"Towel"</formula>
    </cfRule>
    <cfRule type="cellIs" dxfId="22218" priority="10800" stopIfTrue="1" operator="equal">
      <formula>"Napkin Hs"</formula>
    </cfRule>
    <cfRule type="cellIs" dxfId="22217" priority="10803" stopIfTrue="1" operator="equal">
      <formula>"Towel"</formula>
    </cfRule>
    <cfRule type="cellIs" dxfId="22216" priority="10804" stopIfTrue="1" operator="equal">
      <formula>"Napkin Hs"</formula>
    </cfRule>
    <cfRule type="cellIs" dxfId="22215" priority="10805" stopIfTrue="1" operator="equal">
      <formula>"Towel"</formula>
    </cfRule>
    <cfRule type="cellIs" dxfId="22214" priority="10806" stopIfTrue="1" operator="equal">
      <formula>"Napkin Hs"</formula>
    </cfRule>
    <cfRule type="cellIs" dxfId="22213" priority="10809" stopIfTrue="1" operator="equal">
      <formula>"Towel"</formula>
    </cfRule>
    <cfRule type="cellIs" dxfId="22212" priority="10810" stopIfTrue="1" operator="equal">
      <formula>"Napkin Hs"</formula>
    </cfRule>
    <cfRule type="cellIs" dxfId="22211" priority="10811" stopIfTrue="1" operator="equal">
      <formula>"Towel"</formula>
    </cfRule>
    <cfRule type="cellIs" dxfId="22210" priority="10812" stopIfTrue="1" operator="equal">
      <formula>"Napkin Hs"</formula>
    </cfRule>
    <cfRule type="cellIs" dxfId="22209" priority="10815" stopIfTrue="1" operator="equal">
      <formula>"Towel"</formula>
    </cfRule>
    <cfRule type="cellIs" dxfId="22208" priority="10816" stopIfTrue="1" operator="equal">
      <formula>"Napkin Hs"</formula>
    </cfRule>
    <cfRule type="cellIs" dxfId="22207" priority="10817" stopIfTrue="1" operator="equal">
      <formula>"Towel"</formula>
    </cfRule>
    <cfRule type="cellIs" dxfId="22206" priority="10818" stopIfTrue="1" operator="equal">
      <formula>"Napkin Hs"</formula>
    </cfRule>
    <cfRule type="cellIs" dxfId="22205" priority="10821" stopIfTrue="1" operator="equal">
      <formula>"Towel"</formula>
    </cfRule>
    <cfRule type="cellIs" dxfId="22204" priority="10822" stopIfTrue="1" operator="equal">
      <formula>"Napkin Hs"</formula>
    </cfRule>
    <cfRule type="cellIs" dxfId="22203" priority="10823" stopIfTrue="1" operator="equal">
      <formula>"Towel"</formula>
    </cfRule>
    <cfRule type="cellIs" dxfId="22202" priority="10824" stopIfTrue="1" operator="equal">
      <formula>"Napkin Hs"</formula>
    </cfRule>
    <cfRule type="cellIs" dxfId="22201" priority="10827" stopIfTrue="1" operator="equal">
      <formula>"Towel"</formula>
    </cfRule>
    <cfRule type="cellIs" dxfId="22200" priority="10828" stopIfTrue="1" operator="equal">
      <formula>"Napkin Hs"</formula>
    </cfRule>
  </conditionalFormatting>
  <conditionalFormatting sqref="C69:C70">
    <cfRule type="cellIs" dxfId="22199" priority="10829" stopIfTrue="1" operator="equal">
      <formula>"Towel"</formula>
    </cfRule>
    <cfRule type="cellIs" dxfId="22198" priority="10830" stopIfTrue="1" operator="equal">
      <formula>"Napkin Hs"</formula>
    </cfRule>
  </conditionalFormatting>
  <conditionalFormatting sqref="C70">
    <cfRule type="cellIs" dxfId="22197" priority="10833" stopIfTrue="1" operator="equal">
      <formula>"Towel"</formula>
    </cfRule>
    <cfRule type="cellIs" dxfId="22196" priority="10834" stopIfTrue="1" operator="equal">
      <formula>"Napkin Hs"</formula>
    </cfRule>
    <cfRule type="cellIs" dxfId="22195" priority="10837" stopIfTrue="1" operator="equal">
      <formula>"Towel"</formula>
    </cfRule>
    <cfRule type="cellIs" dxfId="22194" priority="10838" stopIfTrue="1" operator="equal">
      <formula>"Napkin Hs"</formula>
    </cfRule>
    <cfRule type="cellIs" dxfId="22193" priority="10839" stopIfTrue="1" operator="equal">
      <formula>"Towel"</formula>
    </cfRule>
    <cfRule type="cellIs" dxfId="22192" priority="10840" stopIfTrue="1" operator="equal">
      <formula>"Napkin Hs"</formula>
    </cfRule>
    <cfRule type="cellIs" dxfId="22191" priority="10843" stopIfTrue="1" operator="equal">
      <formula>"Towel"</formula>
    </cfRule>
    <cfRule type="cellIs" dxfId="22190" priority="10844" stopIfTrue="1" operator="equal">
      <formula>"Napkin Hs"</formula>
    </cfRule>
    <cfRule type="cellIs" dxfId="22189" priority="10845" stopIfTrue="1" operator="equal">
      <formula>"Towel"</formula>
    </cfRule>
    <cfRule type="cellIs" dxfId="22188" priority="10846" stopIfTrue="1" operator="equal">
      <formula>"Napkin Hs"</formula>
    </cfRule>
    <cfRule type="cellIs" dxfId="22187" priority="10849" stopIfTrue="1" operator="equal">
      <formula>"Towel"</formula>
    </cfRule>
    <cfRule type="cellIs" dxfId="22186" priority="10850" stopIfTrue="1" operator="equal">
      <formula>"Napkin Hs"</formula>
    </cfRule>
    <cfRule type="cellIs" dxfId="22185" priority="10851" stopIfTrue="1" operator="equal">
      <formula>"Towel"</formula>
    </cfRule>
    <cfRule type="cellIs" dxfId="22184" priority="10852" stopIfTrue="1" operator="equal">
      <formula>"Napkin Hs"</formula>
    </cfRule>
    <cfRule type="cellIs" dxfId="22183" priority="10855" stopIfTrue="1" operator="equal">
      <formula>"Towel"</formula>
    </cfRule>
    <cfRule type="cellIs" dxfId="22182" priority="10856" stopIfTrue="1" operator="equal">
      <formula>"Napkin Hs"</formula>
    </cfRule>
    <cfRule type="cellIs" dxfId="22181" priority="10857" stopIfTrue="1" operator="equal">
      <formula>"Towel"</formula>
    </cfRule>
    <cfRule type="cellIs" dxfId="22180" priority="10858" stopIfTrue="1" operator="equal">
      <formula>"Napkin Hs"</formula>
    </cfRule>
    <cfRule type="cellIs" dxfId="22179" priority="10861" stopIfTrue="1" operator="equal">
      <formula>"Towel"</formula>
    </cfRule>
    <cfRule type="cellIs" dxfId="22178" priority="10862" stopIfTrue="1" operator="equal">
      <formula>"Napkin Hs"</formula>
    </cfRule>
    <cfRule type="cellIs" dxfId="22177" priority="10863" stopIfTrue="1" operator="equal">
      <formula>"Towel"</formula>
    </cfRule>
    <cfRule type="cellIs" dxfId="22176" priority="10864" stopIfTrue="1" operator="equal">
      <formula>"Napkin Hs"</formula>
    </cfRule>
    <cfRule type="cellIs" dxfId="22175" priority="10867" stopIfTrue="1" operator="equal">
      <formula>"Towel"</formula>
    </cfRule>
    <cfRule type="cellIs" dxfId="22174" priority="10868" stopIfTrue="1" operator="equal">
      <formula>"Napkin Hs"</formula>
    </cfRule>
  </conditionalFormatting>
  <conditionalFormatting sqref="C70">
    <cfRule type="cellIs" dxfId="22173" priority="10869" stopIfTrue="1" operator="equal">
      <formula>"Towel"</formula>
    </cfRule>
    <cfRule type="cellIs" dxfId="22172" priority="10870" stopIfTrue="1" operator="equal">
      <formula>"Napkin Hs"</formula>
    </cfRule>
  </conditionalFormatting>
  <conditionalFormatting sqref="C70">
    <cfRule type="cellIs" dxfId="22171" priority="10873" stopIfTrue="1" operator="equal">
      <formula>"Towel"</formula>
    </cfRule>
    <cfRule type="cellIs" dxfId="22170" priority="10874" stopIfTrue="1" operator="equal">
      <formula>"Napkin Hs"</formula>
    </cfRule>
    <cfRule type="cellIs" dxfId="22169" priority="10875" stopIfTrue="1" operator="equal">
      <formula>"Towel"</formula>
    </cfRule>
    <cfRule type="cellIs" dxfId="22168" priority="10876" stopIfTrue="1" operator="equal">
      <formula>"Napkin Hs"</formula>
    </cfRule>
  </conditionalFormatting>
  <conditionalFormatting sqref="B69">
    <cfRule type="cellIs" dxfId="22167" priority="10779" stopIfTrue="1" operator="equal">
      <formula>"Towel"</formula>
    </cfRule>
    <cfRule type="cellIs" dxfId="22166" priority="10780" stopIfTrue="1" operator="equal">
      <formula>"Napkin Hs"</formula>
    </cfRule>
    <cfRule type="cellIs" dxfId="22165" priority="10781" stopIfTrue="1" operator="equal">
      <formula>"Towel"</formula>
    </cfRule>
    <cfRule type="cellIs" dxfId="22164" priority="10782" stopIfTrue="1" operator="equal">
      <formula>"Napkin Hs"</formula>
    </cfRule>
    <cfRule type="cellIs" dxfId="22163" priority="10783" stopIfTrue="1" operator="equal">
      <formula>"Towel"</formula>
    </cfRule>
    <cfRule type="cellIs" dxfId="22162" priority="10784" stopIfTrue="1" operator="equal">
      <formula>"Napkin Hs"</formula>
    </cfRule>
  </conditionalFormatting>
  <conditionalFormatting sqref="B69:C70">
    <cfRule type="cellIs" dxfId="22161" priority="10741" stopIfTrue="1" operator="equal">
      <formula>"Towel"</formula>
    </cfRule>
    <cfRule type="cellIs" dxfId="22160" priority="10742" stopIfTrue="1" operator="equal">
      <formula>"Napkin Hs"</formula>
    </cfRule>
    <cfRule type="cellIs" dxfId="22159" priority="10747" stopIfTrue="1" operator="equal">
      <formula>"Towel"</formula>
    </cfRule>
    <cfRule type="cellIs" dxfId="22158" priority="10748" stopIfTrue="1" operator="equal">
      <formula>"Napkin Hs"</formula>
    </cfRule>
    <cfRule type="cellIs" dxfId="22157" priority="10753" stopIfTrue="1" operator="equal">
      <formula>"Towel"</formula>
    </cfRule>
    <cfRule type="cellIs" dxfId="22156" priority="10754" stopIfTrue="1" operator="equal">
      <formula>"Napkin Hs"</formula>
    </cfRule>
    <cfRule type="cellIs" dxfId="22155" priority="10759" stopIfTrue="1" operator="equal">
      <formula>"Towel"</formula>
    </cfRule>
    <cfRule type="cellIs" dxfId="22154" priority="10760" stopIfTrue="1" operator="equal">
      <formula>"Napkin Hs"</formula>
    </cfRule>
    <cfRule type="cellIs" dxfId="22153" priority="10765" stopIfTrue="1" operator="equal">
      <formula>"Towel"</formula>
    </cfRule>
    <cfRule type="cellIs" dxfId="22152" priority="10766" stopIfTrue="1" operator="equal">
      <formula>"Napkin Hs"</formula>
    </cfRule>
    <cfRule type="cellIs" dxfId="22151" priority="10771" stopIfTrue="1" operator="equal">
      <formula>"Towel"</formula>
    </cfRule>
    <cfRule type="cellIs" dxfId="22150" priority="10772" stopIfTrue="1" operator="equal">
      <formula>"Napkin Hs"</formula>
    </cfRule>
    <cfRule type="cellIs" dxfId="22149" priority="10777" stopIfTrue="1" operator="equal">
      <formula>"Towel"</formula>
    </cfRule>
    <cfRule type="cellIs" dxfId="22148" priority="10778" stopIfTrue="1" operator="equal">
      <formula>"Napkin Hs"</formula>
    </cfRule>
  </conditionalFormatting>
  <conditionalFormatting sqref="C69:C70">
    <cfRule type="cellIs" dxfId="22147" priority="10737" stopIfTrue="1" operator="equal">
      <formula>"Towel"</formula>
    </cfRule>
    <cfRule type="cellIs" dxfId="22146" priority="10738" stopIfTrue="1" operator="equal">
      <formula>"Napkin Hs"</formula>
    </cfRule>
    <cfRule type="cellIs" dxfId="22145" priority="10739" stopIfTrue="1" operator="equal">
      <formula>"Towel"</formula>
    </cfRule>
    <cfRule type="cellIs" dxfId="22144" priority="10740" stopIfTrue="1" operator="equal">
      <formula>"Napkin Hs"</formula>
    </cfRule>
    <cfRule type="cellIs" dxfId="22143" priority="10743" stopIfTrue="1" operator="equal">
      <formula>"Towel"</formula>
    </cfRule>
    <cfRule type="cellIs" dxfId="22142" priority="10744" stopIfTrue="1" operator="equal">
      <formula>"Napkin Hs"</formula>
    </cfRule>
    <cfRule type="cellIs" dxfId="22141" priority="10745" stopIfTrue="1" operator="equal">
      <formula>"Towel"</formula>
    </cfRule>
    <cfRule type="cellIs" dxfId="22140" priority="10746" stopIfTrue="1" operator="equal">
      <formula>"Napkin Hs"</formula>
    </cfRule>
    <cfRule type="cellIs" dxfId="22139" priority="10749" stopIfTrue="1" operator="equal">
      <formula>"Towel"</formula>
    </cfRule>
    <cfRule type="cellIs" dxfId="22138" priority="10750" stopIfTrue="1" operator="equal">
      <formula>"Napkin Hs"</formula>
    </cfRule>
    <cfRule type="cellIs" dxfId="22137" priority="10751" stopIfTrue="1" operator="equal">
      <formula>"Towel"</formula>
    </cfRule>
    <cfRule type="cellIs" dxfId="22136" priority="10752" stopIfTrue="1" operator="equal">
      <formula>"Napkin Hs"</formula>
    </cfRule>
    <cfRule type="cellIs" dxfId="22135" priority="10755" stopIfTrue="1" operator="equal">
      <formula>"Towel"</formula>
    </cfRule>
    <cfRule type="cellIs" dxfId="22134" priority="10756" stopIfTrue="1" operator="equal">
      <formula>"Napkin Hs"</formula>
    </cfRule>
    <cfRule type="cellIs" dxfId="22133" priority="10757" stopIfTrue="1" operator="equal">
      <formula>"Towel"</formula>
    </cfRule>
    <cfRule type="cellIs" dxfId="22132" priority="10758" stopIfTrue="1" operator="equal">
      <formula>"Napkin Hs"</formula>
    </cfRule>
    <cfRule type="cellIs" dxfId="22131" priority="10761" stopIfTrue="1" operator="equal">
      <formula>"Towel"</formula>
    </cfRule>
    <cfRule type="cellIs" dxfId="22130" priority="10762" stopIfTrue="1" operator="equal">
      <formula>"Napkin Hs"</formula>
    </cfRule>
    <cfRule type="cellIs" dxfId="22129" priority="10763" stopIfTrue="1" operator="equal">
      <formula>"Towel"</formula>
    </cfRule>
    <cfRule type="cellIs" dxfId="22128" priority="10764" stopIfTrue="1" operator="equal">
      <formula>"Napkin Hs"</formula>
    </cfRule>
    <cfRule type="cellIs" dxfId="22127" priority="10767" stopIfTrue="1" operator="equal">
      <formula>"Towel"</formula>
    </cfRule>
    <cfRule type="cellIs" dxfId="22126" priority="10768" stopIfTrue="1" operator="equal">
      <formula>"Napkin Hs"</formula>
    </cfRule>
    <cfRule type="cellIs" dxfId="22125" priority="10769" stopIfTrue="1" operator="equal">
      <formula>"Towel"</formula>
    </cfRule>
    <cfRule type="cellIs" dxfId="22124" priority="10770" stopIfTrue="1" operator="equal">
      <formula>"Napkin Hs"</formula>
    </cfRule>
    <cfRule type="cellIs" dxfId="22123" priority="10773" stopIfTrue="1" operator="equal">
      <formula>"Towel"</formula>
    </cfRule>
    <cfRule type="cellIs" dxfId="22122" priority="10774" stopIfTrue="1" operator="equal">
      <formula>"Napkin Hs"</formula>
    </cfRule>
  </conditionalFormatting>
  <conditionalFormatting sqref="C69:C70">
    <cfRule type="cellIs" dxfId="22121" priority="10775" stopIfTrue="1" operator="equal">
      <formula>"Towel"</formula>
    </cfRule>
    <cfRule type="cellIs" dxfId="22120" priority="10776" stopIfTrue="1" operator="equal">
      <formula>"Napkin Hs"</formula>
    </cfRule>
  </conditionalFormatting>
  <conditionalFormatting sqref="B69:C69">
    <cfRule type="cellIs" dxfId="22119" priority="10735" stopIfTrue="1" operator="equal">
      <formula>"Towel"</formula>
    </cfRule>
    <cfRule type="cellIs" dxfId="22118" priority="10736" stopIfTrue="1" operator="equal">
      <formula>"Napkin Hs"</formula>
    </cfRule>
  </conditionalFormatting>
  <conditionalFormatting sqref="B69:C69">
    <cfRule type="cellIs" dxfId="22117" priority="10699" stopIfTrue="1" operator="equal">
      <formula>"Towel"</formula>
    </cfRule>
    <cfRule type="cellIs" dxfId="22116" priority="10700" stopIfTrue="1" operator="equal">
      <formula>"Napkin Hs"</formula>
    </cfRule>
    <cfRule type="cellIs" dxfId="22115" priority="10705" stopIfTrue="1" operator="equal">
      <formula>"Towel"</formula>
    </cfRule>
    <cfRule type="cellIs" dxfId="22114" priority="10706" stopIfTrue="1" operator="equal">
      <formula>"Napkin Hs"</formula>
    </cfRule>
    <cfRule type="cellIs" dxfId="22113" priority="10711" stopIfTrue="1" operator="equal">
      <formula>"Towel"</formula>
    </cfRule>
    <cfRule type="cellIs" dxfId="22112" priority="10712" stopIfTrue="1" operator="equal">
      <formula>"Napkin Hs"</formula>
    </cfRule>
    <cfRule type="cellIs" dxfId="22111" priority="10717" stopIfTrue="1" operator="equal">
      <formula>"Towel"</formula>
    </cfRule>
    <cfRule type="cellIs" dxfId="22110" priority="10718" stopIfTrue="1" operator="equal">
      <formula>"Napkin Hs"</formula>
    </cfRule>
    <cfRule type="cellIs" dxfId="22109" priority="10723" stopIfTrue="1" operator="equal">
      <formula>"Towel"</formula>
    </cfRule>
    <cfRule type="cellIs" dxfId="22108" priority="10724" stopIfTrue="1" operator="equal">
      <formula>"Napkin Hs"</formula>
    </cfRule>
    <cfRule type="cellIs" dxfId="22107" priority="10729" stopIfTrue="1" operator="equal">
      <formula>"Towel"</formula>
    </cfRule>
    <cfRule type="cellIs" dxfId="22106" priority="10730" stopIfTrue="1" operator="equal">
      <formula>"Napkin Hs"</formula>
    </cfRule>
  </conditionalFormatting>
  <conditionalFormatting sqref="B70:C70">
    <cfRule type="cellIs" dxfId="22105" priority="10659" stopIfTrue="1" operator="equal">
      <formula>"Towel"</formula>
    </cfRule>
    <cfRule type="cellIs" dxfId="22104" priority="10660" stopIfTrue="1" operator="equal">
      <formula>"Napkin Hs"</formula>
    </cfRule>
    <cfRule type="cellIs" dxfId="22103" priority="10665" stopIfTrue="1" operator="equal">
      <formula>"Towel"</formula>
    </cfRule>
    <cfRule type="cellIs" dxfId="22102" priority="10666" stopIfTrue="1" operator="equal">
      <formula>"Napkin Hs"</formula>
    </cfRule>
    <cfRule type="cellIs" dxfId="22101" priority="10671" stopIfTrue="1" operator="equal">
      <formula>"Towel"</formula>
    </cfRule>
    <cfRule type="cellIs" dxfId="22100" priority="10672" stopIfTrue="1" operator="equal">
      <formula>"Napkin Hs"</formula>
    </cfRule>
    <cfRule type="cellIs" dxfId="22099" priority="10677" stopIfTrue="1" operator="equal">
      <formula>"Towel"</formula>
    </cfRule>
    <cfRule type="cellIs" dxfId="22098" priority="10678" stopIfTrue="1" operator="equal">
      <formula>"Napkin Hs"</formula>
    </cfRule>
    <cfRule type="cellIs" dxfId="22097" priority="10683" stopIfTrue="1" operator="equal">
      <formula>"Towel"</formula>
    </cfRule>
    <cfRule type="cellIs" dxfId="22096" priority="10684" stopIfTrue="1" operator="equal">
      <formula>"Napkin Hs"</formula>
    </cfRule>
    <cfRule type="cellIs" dxfId="22095" priority="10689" stopIfTrue="1" operator="equal">
      <formula>"Towel"</formula>
    </cfRule>
    <cfRule type="cellIs" dxfId="22094" priority="10690" stopIfTrue="1" operator="equal">
      <formula>"Napkin Hs"</formula>
    </cfRule>
    <cfRule type="cellIs" dxfId="22093" priority="10695" stopIfTrue="1" operator="equal">
      <formula>"Towel"</formula>
    </cfRule>
    <cfRule type="cellIs" dxfId="22092" priority="10696" stopIfTrue="1" operator="equal">
      <formula>"Napkin Hs"</formula>
    </cfRule>
  </conditionalFormatting>
  <conditionalFormatting sqref="C69">
    <cfRule type="cellIs" dxfId="22091" priority="10734" stopIfTrue="1" operator="equal">
      <formula>"Napkin Hs"</formula>
    </cfRule>
  </conditionalFormatting>
  <conditionalFormatting sqref="C69">
    <cfRule type="cellIs" dxfId="22090" priority="10733" stopIfTrue="1" operator="equal">
      <formula>"Towel"</formula>
    </cfRule>
  </conditionalFormatting>
  <conditionalFormatting sqref="C69">
    <cfRule type="cellIs" dxfId="22089" priority="10727" stopIfTrue="1" operator="equal">
      <formula>"Towel"</formula>
    </cfRule>
    <cfRule type="cellIs" dxfId="22088" priority="10728" stopIfTrue="1" operator="equal">
      <formula>"Napkin Hs"</formula>
    </cfRule>
  </conditionalFormatting>
  <conditionalFormatting sqref="C69">
    <cfRule type="cellIs" dxfId="22087" priority="10725" stopIfTrue="1" operator="equal">
      <formula>"Towel"</formula>
    </cfRule>
    <cfRule type="cellIs" dxfId="22086" priority="10726" stopIfTrue="1" operator="equal">
      <formula>"Napkin Hs"</formula>
    </cfRule>
    <cfRule type="cellIs" dxfId="22085" priority="10731" stopIfTrue="1" operator="equal">
      <formula>"Towel"</formula>
    </cfRule>
    <cfRule type="cellIs" dxfId="22084" priority="10732" stopIfTrue="1" operator="equal">
      <formula>"Napkin Hs"</formula>
    </cfRule>
  </conditionalFormatting>
  <conditionalFormatting sqref="C69">
    <cfRule type="cellIs" dxfId="22083" priority="10697" stopIfTrue="1" operator="equal">
      <formula>"Towel"</formula>
    </cfRule>
    <cfRule type="cellIs" dxfId="22082" priority="10698" stopIfTrue="1" operator="equal">
      <formula>"Napkin Hs"</formula>
    </cfRule>
    <cfRule type="cellIs" dxfId="22081" priority="10701" stopIfTrue="1" operator="equal">
      <formula>"Towel"</formula>
    </cfRule>
    <cfRule type="cellIs" dxfId="22080" priority="10702" stopIfTrue="1" operator="equal">
      <formula>"Napkin Hs"</formula>
    </cfRule>
    <cfRule type="cellIs" dxfId="22079" priority="10703" stopIfTrue="1" operator="equal">
      <formula>"Towel"</formula>
    </cfRule>
    <cfRule type="cellIs" dxfId="22078" priority="10704" stopIfTrue="1" operator="equal">
      <formula>"Napkin Hs"</formula>
    </cfRule>
    <cfRule type="cellIs" dxfId="22077" priority="10707" stopIfTrue="1" operator="equal">
      <formula>"Towel"</formula>
    </cfRule>
    <cfRule type="cellIs" dxfId="22076" priority="10708" stopIfTrue="1" operator="equal">
      <formula>"Napkin Hs"</formula>
    </cfRule>
    <cfRule type="cellIs" dxfId="22075" priority="10709" stopIfTrue="1" operator="equal">
      <formula>"Towel"</formula>
    </cfRule>
    <cfRule type="cellIs" dxfId="22074" priority="10710" stopIfTrue="1" operator="equal">
      <formula>"Napkin Hs"</formula>
    </cfRule>
    <cfRule type="cellIs" dxfId="22073" priority="10713" stopIfTrue="1" operator="equal">
      <formula>"Towel"</formula>
    </cfRule>
    <cfRule type="cellIs" dxfId="22072" priority="10714" stopIfTrue="1" operator="equal">
      <formula>"Napkin Hs"</formula>
    </cfRule>
    <cfRule type="cellIs" dxfId="22071" priority="10715" stopIfTrue="1" operator="equal">
      <formula>"Towel"</formula>
    </cfRule>
    <cfRule type="cellIs" dxfId="22070" priority="10716" stopIfTrue="1" operator="equal">
      <formula>"Napkin Hs"</formula>
    </cfRule>
    <cfRule type="cellIs" dxfId="22069" priority="10719" stopIfTrue="1" operator="equal">
      <formula>"Towel"</formula>
    </cfRule>
    <cfRule type="cellIs" dxfId="22068" priority="10720" stopIfTrue="1" operator="equal">
      <formula>"Napkin Hs"</formula>
    </cfRule>
    <cfRule type="cellIs" dxfId="22067" priority="10721" stopIfTrue="1" operator="equal">
      <formula>"Towel"</formula>
    </cfRule>
    <cfRule type="cellIs" dxfId="22066" priority="10722" stopIfTrue="1" operator="equal">
      <formula>"Napkin Hs"</formula>
    </cfRule>
  </conditionalFormatting>
  <conditionalFormatting sqref="C69:C70">
    <cfRule type="cellIs" dxfId="22065" priority="10693" stopIfTrue="1" operator="equal">
      <formula>"Towel"</formula>
    </cfRule>
    <cfRule type="cellIs" dxfId="22064" priority="10694" stopIfTrue="1" operator="equal">
      <formula>"Napkin Hs"</formula>
    </cfRule>
  </conditionalFormatting>
  <conditionalFormatting sqref="C70">
    <cfRule type="cellIs" dxfId="22063" priority="10655" stopIfTrue="1" operator="equal">
      <formula>"Towel"</formula>
    </cfRule>
    <cfRule type="cellIs" dxfId="22062" priority="10656" stopIfTrue="1" operator="equal">
      <formula>"Napkin Hs"</formula>
    </cfRule>
    <cfRule type="cellIs" dxfId="22061" priority="10657" stopIfTrue="1" operator="equal">
      <formula>"Towel"</formula>
    </cfRule>
    <cfRule type="cellIs" dxfId="22060" priority="10658" stopIfTrue="1" operator="equal">
      <formula>"Napkin Hs"</formula>
    </cfRule>
    <cfRule type="cellIs" dxfId="22059" priority="10661" stopIfTrue="1" operator="equal">
      <formula>"Towel"</formula>
    </cfRule>
    <cfRule type="cellIs" dxfId="22058" priority="10662" stopIfTrue="1" operator="equal">
      <formula>"Napkin Hs"</formula>
    </cfRule>
    <cfRule type="cellIs" dxfId="22057" priority="10663" stopIfTrue="1" operator="equal">
      <formula>"Towel"</formula>
    </cfRule>
    <cfRule type="cellIs" dxfId="22056" priority="10664" stopIfTrue="1" operator="equal">
      <formula>"Napkin Hs"</formula>
    </cfRule>
    <cfRule type="cellIs" dxfId="22055" priority="10667" stopIfTrue="1" operator="equal">
      <formula>"Towel"</formula>
    </cfRule>
    <cfRule type="cellIs" dxfId="22054" priority="10668" stopIfTrue="1" operator="equal">
      <formula>"Napkin Hs"</formula>
    </cfRule>
    <cfRule type="cellIs" dxfId="22053" priority="10669" stopIfTrue="1" operator="equal">
      <formula>"Towel"</formula>
    </cfRule>
    <cfRule type="cellIs" dxfId="22052" priority="10670" stopIfTrue="1" operator="equal">
      <formula>"Napkin Hs"</formula>
    </cfRule>
    <cfRule type="cellIs" dxfId="22051" priority="10673" stopIfTrue="1" operator="equal">
      <formula>"Towel"</formula>
    </cfRule>
    <cfRule type="cellIs" dxfId="22050" priority="10674" stopIfTrue="1" operator="equal">
      <formula>"Napkin Hs"</formula>
    </cfRule>
    <cfRule type="cellIs" dxfId="22049" priority="10675" stopIfTrue="1" operator="equal">
      <formula>"Towel"</formula>
    </cfRule>
    <cfRule type="cellIs" dxfId="22048" priority="10676" stopIfTrue="1" operator="equal">
      <formula>"Napkin Hs"</formula>
    </cfRule>
    <cfRule type="cellIs" dxfId="22047" priority="10679" stopIfTrue="1" operator="equal">
      <formula>"Towel"</formula>
    </cfRule>
    <cfRule type="cellIs" dxfId="22046" priority="10680" stopIfTrue="1" operator="equal">
      <formula>"Napkin Hs"</formula>
    </cfRule>
    <cfRule type="cellIs" dxfId="22045" priority="10681" stopIfTrue="1" operator="equal">
      <formula>"Towel"</formula>
    </cfRule>
    <cfRule type="cellIs" dxfId="22044" priority="10682" stopIfTrue="1" operator="equal">
      <formula>"Napkin Hs"</formula>
    </cfRule>
    <cfRule type="cellIs" dxfId="22043" priority="10685" stopIfTrue="1" operator="equal">
      <formula>"Towel"</formula>
    </cfRule>
    <cfRule type="cellIs" dxfId="22042" priority="10686" stopIfTrue="1" operator="equal">
      <formula>"Napkin Hs"</formula>
    </cfRule>
    <cfRule type="cellIs" dxfId="22041" priority="10687" stopIfTrue="1" operator="equal">
      <formula>"Towel"</formula>
    </cfRule>
    <cfRule type="cellIs" dxfId="22040" priority="10688" stopIfTrue="1" operator="equal">
      <formula>"Napkin Hs"</formula>
    </cfRule>
    <cfRule type="cellIs" dxfId="22039" priority="10691" stopIfTrue="1" operator="equal">
      <formula>"Towel"</formula>
    </cfRule>
    <cfRule type="cellIs" dxfId="22038" priority="10692" stopIfTrue="1" operator="equal">
      <formula>"Napkin Hs"</formula>
    </cfRule>
  </conditionalFormatting>
  <conditionalFormatting sqref="C69">
    <cfRule type="cellIs" dxfId="22037" priority="10623" stopIfTrue="1" operator="equal">
      <formula>"Towel"</formula>
    </cfRule>
    <cfRule type="cellIs" dxfId="22036" priority="10624" stopIfTrue="1" operator="equal">
      <formula>"Napkin Hs"</formula>
    </cfRule>
    <cfRule type="cellIs" dxfId="22035" priority="10637" stopIfTrue="1" operator="equal">
      <formula>"Towel"</formula>
    </cfRule>
    <cfRule type="cellIs" dxfId="22034" priority="10638" stopIfTrue="1" operator="equal">
      <formula>"Napkin Hs"</formula>
    </cfRule>
    <cfRule type="cellIs" dxfId="22033" priority="10643" stopIfTrue="1" operator="equal">
      <formula>"Towel"</formula>
    </cfRule>
    <cfRule type="cellIs" dxfId="22032" priority="10644" stopIfTrue="1" operator="equal">
      <formula>"Napkin Hs"</formula>
    </cfRule>
    <cfRule type="cellIs" dxfId="22031" priority="10653" stopIfTrue="1" operator="equal">
      <formula>"Towel"</formula>
    </cfRule>
    <cfRule type="cellIs" dxfId="22030" priority="10654" stopIfTrue="1" operator="equal">
      <formula>"Napkin Hs"</formula>
    </cfRule>
  </conditionalFormatting>
  <conditionalFormatting sqref="B70:C70">
    <cfRule type="cellIs" dxfId="22029" priority="10627" stopIfTrue="1" operator="equal">
      <formula>"Towel"</formula>
    </cfRule>
    <cfRule type="cellIs" dxfId="22028" priority="10628" stopIfTrue="1" operator="equal">
      <formula>"Napkin Hs"</formula>
    </cfRule>
    <cfRule type="cellIs" dxfId="22027" priority="10633" stopIfTrue="1" operator="equal">
      <formula>"Towel"</formula>
    </cfRule>
    <cfRule type="cellIs" dxfId="22026" priority="10634" stopIfTrue="1" operator="equal">
      <formula>"Napkin Hs"</formula>
    </cfRule>
    <cfRule type="cellIs" dxfId="22025" priority="10649" stopIfTrue="1" operator="equal">
      <formula>"Towel"</formula>
    </cfRule>
    <cfRule type="cellIs" dxfId="22024" priority="10650" stopIfTrue="1" operator="equal">
      <formula>"Napkin Hs"</formula>
    </cfRule>
  </conditionalFormatting>
  <conditionalFormatting sqref="C69">
    <cfRule type="cellIs" dxfId="22023" priority="10641" stopIfTrue="1" operator="equal">
      <formula>"Towel"</formula>
    </cfRule>
    <cfRule type="cellIs" dxfId="22022" priority="10642" stopIfTrue="1" operator="equal">
      <formula>"Napkin Hs"</formula>
    </cfRule>
    <cfRule type="cellIs" dxfId="22021" priority="10651" stopIfTrue="1" operator="equal">
      <formula>"Towel"</formula>
    </cfRule>
    <cfRule type="cellIs" dxfId="22020" priority="10652" stopIfTrue="1" operator="equal">
      <formula>"Napkin Hs"</formula>
    </cfRule>
  </conditionalFormatting>
  <conditionalFormatting sqref="C69">
    <cfRule type="cellIs" dxfId="22019" priority="10619" stopIfTrue="1" operator="equal">
      <formula>"Towel"</formula>
    </cfRule>
    <cfRule type="cellIs" dxfId="22018" priority="10620" stopIfTrue="1" operator="equal">
      <formula>"Napkin Hs"</formula>
    </cfRule>
    <cfRule type="cellIs" dxfId="22017" priority="10635" stopIfTrue="1" operator="equal">
      <formula>"Towel"</formula>
    </cfRule>
    <cfRule type="cellIs" dxfId="22016" priority="10636" stopIfTrue="1" operator="equal">
      <formula>"Napkin Hs"</formula>
    </cfRule>
    <cfRule type="cellIs" dxfId="22015" priority="10639" stopIfTrue="1" operator="equal">
      <formula>"Towel"</formula>
    </cfRule>
    <cfRule type="cellIs" dxfId="22014" priority="10640" stopIfTrue="1" operator="equal">
      <formula>"Napkin Hs"</formula>
    </cfRule>
  </conditionalFormatting>
  <conditionalFormatting sqref="C69:C70">
    <cfRule type="cellIs" dxfId="22013" priority="10621" stopIfTrue="1" operator="equal">
      <formula>"Towel"</formula>
    </cfRule>
    <cfRule type="cellIs" dxfId="22012" priority="10622" stopIfTrue="1" operator="equal">
      <formula>"Napkin Hs"</formula>
    </cfRule>
    <cfRule type="cellIs" dxfId="22011" priority="10631" stopIfTrue="1" operator="equal">
      <formula>"Towel"</formula>
    </cfRule>
    <cfRule type="cellIs" dxfId="22010" priority="10632" stopIfTrue="1" operator="equal">
      <formula>"Napkin Hs"</formula>
    </cfRule>
    <cfRule type="cellIs" dxfId="22009" priority="10647" stopIfTrue="1" operator="equal">
      <formula>"Towel"</formula>
    </cfRule>
    <cfRule type="cellIs" dxfId="22008" priority="10648" stopIfTrue="1" operator="equal">
      <formula>"Napkin Hs"</formula>
    </cfRule>
  </conditionalFormatting>
  <conditionalFormatting sqref="C70">
    <cfRule type="cellIs" dxfId="22007" priority="10625" stopIfTrue="1" operator="equal">
      <formula>"Towel"</formula>
    </cfRule>
    <cfRule type="cellIs" dxfId="22006" priority="10626" stopIfTrue="1" operator="equal">
      <formula>"Napkin Hs"</formula>
    </cfRule>
    <cfRule type="cellIs" dxfId="22005" priority="10645" stopIfTrue="1" operator="equal">
      <formula>"Towel"</formula>
    </cfRule>
    <cfRule type="cellIs" dxfId="22004" priority="10646" stopIfTrue="1" operator="equal">
      <formula>"Napkin Hs"</formula>
    </cfRule>
  </conditionalFormatting>
  <conditionalFormatting sqref="C70">
    <cfRule type="cellIs" dxfId="22003" priority="10629" stopIfTrue="1" operator="equal">
      <formula>"Towel"</formula>
    </cfRule>
    <cfRule type="cellIs" dxfId="22002" priority="10630" stopIfTrue="1" operator="equal">
      <formula>"Napkin Hs"</formula>
    </cfRule>
  </conditionalFormatting>
  <conditionalFormatting sqref="B70:C70">
    <cfRule type="cellIs" dxfId="22001" priority="10617" stopIfTrue="1" operator="equal">
      <formula>"Towel"</formula>
    </cfRule>
    <cfRule type="cellIs" dxfId="22000" priority="10618" stopIfTrue="1" operator="equal">
      <formula>"Napkin Hs"</formula>
    </cfRule>
  </conditionalFormatting>
  <conditionalFormatting sqref="B70:C70">
    <cfRule type="cellIs" dxfId="21999" priority="10611" stopIfTrue="1" operator="equal">
      <formula>"Towel"</formula>
    </cfRule>
    <cfRule type="cellIs" dxfId="21998" priority="10612" stopIfTrue="1" operator="equal">
      <formula>"Napkin Hs"</formula>
    </cfRule>
  </conditionalFormatting>
  <conditionalFormatting sqref="C70">
    <cfRule type="cellIs" dxfId="21997" priority="10616" stopIfTrue="1" operator="equal">
      <formula>"Napkin Hs"</formula>
    </cfRule>
  </conditionalFormatting>
  <conditionalFormatting sqref="C70">
    <cfRule type="cellIs" dxfId="21996" priority="10613" stopIfTrue="1" operator="equal">
      <formula>"Towel"</formula>
    </cfRule>
    <cfRule type="cellIs" dxfId="21995" priority="10614" stopIfTrue="1" operator="equal">
      <formula>"Napkin Hs"</formula>
    </cfRule>
  </conditionalFormatting>
  <conditionalFormatting sqref="C70">
    <cfRule type="cellIs" dxfId="21994" priority="10607" stopIfTrue="1" operator="equal">
      <formula>"Towel"</formula>
    </cfRule>
    <cfRule type="cellIs" dxfId="21993" priority="10608" stopIfTrue="1" operator="equal">
      <formula>"Napkin Hs"</formula>
    </cfRule>
  </conditionalFormatting>
  <conditionalFormatting sqref="C70">
    <cfRule type="cellIs" dxfId="21992" priority="10609" stopIfTrue="1" operator="equal">
      <formula>"Towel"</formula>
    </cfRule>
    <cfRule type="cellIs" dxfId="21991" priority="10610" stopIfTrue="1" operator="equal">
      <formula>"Napkin Hs"</formula>
    </cfRule>
  </conditionalFormatting>
  <conditionalFormatting sqref="C70">
    <cfRule type="cellIs" dxfId="21990" priority="10615" stopIfTrue="1" operator="equal">
      <formula>"Towel"</formula>
    </cfRule>
  </conditionalFormatting>
  <conditionalFormatting sqref="B70:C70">
    <cfRule type="cellIs" dxfId="21989" priority="10605" stopIfTrue="1" operator="equal">
      <formula>"Towel"</formula>
    </cfRule>
    <cfRule type="cellIs" dxfId="21988" priority="10606" stopIfTrue="1" operator="equal">
      <formula>"Napkin Hs"</formula>
    </cfRule>
  </conditionalFormatting>
  <conditionalFormatting sqref="C70">
    <cfRule type="cellIs" dxfId="21987" priority="10601" stopIfTrue="1" operator="equal">
      <formula>"Towel"</formula>
    </cfRule>
    <cfRule type="cellIs" dxfId="21986" priority="10602" stopIfTrue="1" operator="equal">
      <formula>"Napkin Hs"</formula>
    </cfRule>
  </conditionalFormatting>
  <conditionalFormatting sqref="C70">
    <cfRule type="cellIs" dxfId="21985" priority="10603" stopIfTrue="1" operator="equal">
      <formula>"Towel"</formula>
    </cfRule>
    <cfRule type="cellIs" dxfId="21984" priority="10604" stopIfTrue="1" operator="equal">
      <formula>"Napkin Hs"</formula>
    </cfRule>
  </conditionalFormatting>
  <conditionalFormatting sqref="B70:C70">
    <cfRule type="cellIs" dxfId="21983" priority="10597" stopIfTrue="1" operator="equal">
      <formula>"Towel"</formula>
    </cfRule>
    <cfRule type="cellIs" dxfId="21982" priority="10598" stopIfTrue="1" operator="equal">
      <formula>"Napkin Hs"</formula>
    </cfRule>
  </conditionalFormatting>
  <conditionalFormatting sqref="C70">
    <cfRule type="cellIs" dxfId="21981" priority="10599" stopIfTrue="1" operator="equal">
      <formula>"Towel"</formula>
    </cfRule>
    <cfRule type="cellIs" dxfId="21980" priority="10600" stopIfTrue="1" operator="equal">
      <formula>"Napkin Hs"</formula>
    </cfRule>
  </conditionalFormatting>
  <conditionalFormatting sqref="C70">
    <cfRule type="cellIs" dxfId="21979" priority="10593" stopIfTrue="1" operator="equal">
      <formula>"Towel"</formula>
    </cfRule>
    <cfRule type="cellIs" dxfId="21978" priority="10594" stopIfTrue="1" operator="equal">
      <formula>"Napkin Hs"</formula>
    </cfRule>
  </conditionalFormatting>
  <conditionalFormatting sqref="C70">
    <cfRule type="cellIs" dxfId="21977" priority="10595" stopIfTrue="1" operator="equal">
      <formula>"Towel"</formula>
    </cfRule>
    <cfRule type="cellIs" dxfId="21976" priority="10596" stopIfTrue="1" operator="equal">
      <formula>"Napkin Hs"</formula>
    </cfRule>
  </conditionalFormatting>
  <conditionalFormatting sqref="B70:C70">
    <cfRule type="cellIs" dxfId="21975" priority="10591" stopIfTrue="1" operator="equal">
      <formula>"Towel"</formula>
    </cfRule>
    <cfRule type="cellIs" dxfId="21974" priority="10592" stopIfTrue="1" operator="equal">
      <formula>"Napkin Hs"</formula>
    </cfRule>
  </conditionalFormatting>
  <conditionalFormatting sqref="C70">
    <cfRule type="cellIs" dxfId="21973" priority="10590" stopIfTrue="1" operator="equal">
      <formula>"Napkin Hs"</formula>
    </cfRule>
  </conditionalFormatting>
  <conditionalFormatting sqref="C70">
    <cfRule type="cellIs" dxfId="21972" priority="10589" stopIfTrue="1" operator="equal">
      <formula>"Towel"</formula>
    </cfRule>
  </conditionalFormatting>
  <conditionalFormatting sqref="C69">
    <cfRule type="cellIs" dxfId="21971" priority="10587" stopIfTrue="1" operator="equal">
      <formula>"Towel"</formula>
    </cfRule>
    <cfRule type="cellIs" dxfId="21970" priority="10588" stopIfTrue="1" operator="equal">
      <formula>"Napkin Hs"</formula>
    </cfRule>
  </conditionalFormatting>
  <conditionalFormatting sqref="C69">
    <cfRule type="cellIs" dxfId="21969" priority="10583" stopIfTrue="1" operator="equal">
      <formula>"Towel"</formula>
    </cfRule>
    <cfRule type="cellIs" dxfId="21968" priority="10584" stopIfTrue="1" operator="equal">
      <formula>"Napkin Hs"</formula>
    </cfRule>
  </conditionalFormatting>
  <conditionalFormatting sqref="C69">
    <cfRule type="cellIs" dxfId="21967" priority="10585" stopIfTrue="1" operator="equal">
      <formula>"Towel"</formula>
    </cfRule>
    <cfRule type="cellIs" dxfId="21966" priority="10586" stopIfTrue="1" operator="equal">
      <formula>"Napkin Hs"</formula>
    </cfRule>
  </conditionalFormatting>
  <conditionalFormatting sqref="C69">
    <cfRule type="cellIs" dxfId="21965" priority="10581" stopIfTrue="1" operator="equal">
      <formula>"Towel"</formula>
    </cfRule>
    <cfRule type="cellIs" dxfId="21964" priority="10582" stopIfTrue="1" operator="equal">
      <formula>"Napkin Hs"</formula>
    </cfRule>
  </conditionalFormatting>
  <conditionalFormatting sqref="C69">
    <cfRule type="cellIs" dxfId="21963" priority="10577" stopIfTrue="1" operator="equal">
      <formula>"Towel"</formula>
    </cfRule>
    <cfRule type="cellIs" dxfId="21962" priority="10578" stopIfTrue="1" operator="equal">
      <formula>"Napkin Hs"</formula>
    </cfRule>
  </conditionalFormatting>
  <conditionalFormatting sqref="C69">
    <cfRule type="cellIs" dxfId="21961" priority="10579" stopIfTrue="1" operator="equal">
      <formula>"Towel"</formula>
    </cfRule>
    <cfRule type="cellIs" dxfId="21960" priority="10580" stopIfTrue="1" operator="equal">
      <formula>"Napkin Hs"</formula>
    </cfRule>
  </conditionalFormatting>
  <conditionalFormatting sqref="C69">
    <cfRule type="cellIs" dxfId="21959" priority="10575" stopIfTrue="1" operator="equal">
      <formula>"Towel"</formula>
    </cfRule>
    <cfRule type="cellIs" dxfId="21958" priority="10576" stopIfTrue="1" operator="equal">
      <formula>"Napkin Hs"</formula>
    </cfRule>
  </conditionalFormatting>
  <conditionalFormatting sqref="C69">
    <cfRule type="cellIs" dxfId="21957" priority="10571" stopIfTrue="1" operator="equal">
      <formula>"Towel"</formula>
    </cfRule>
    <cfRule type="cellIs" dxfId="21956" priority="10572" stopIfTrue="1" operator="equal">
      <formula>"Napkin Hs"</formula>
    </cfRule>
  </conditionalFormatting>
  <conditionalFormatting sqref="C69">
    <cfRule type="cellIs" dxfId="21955" priority="10573" stopIfTrue="1" operator="equal">
      <formula>"Towel"</formula>
    </cfRule>
    <cfRule type="cellIs" dxfId="21954" priority="10574" stopIfTrue="1" operator="equal">
      <formula>"Napkin Hs"</formula>
    </cfRule>
  </conditionalFormatting>
  <conditionalFormatting sqref="C69">
    <cfRule type="cellIs" dxfId="21953" priority="10569" stopIfTrue="1" operator="equal">
      <formula>"Towel"</formula>
    </cfRule>
    <cfRule type="cellIs" dxfId="21952" priority="10570" stopIfTrue="1" operator="equal">
      <formula>"Napkin Hs"</formula>
    </cfRule>
  </conditionalFormatting>
  <conditionalFormatting sqref="C69">
    <cfRule type="cellIs" dxfId="21951" priority="10567" stopIfTrue="1" operator="equal">
      <formula>"Towel"</formula>
    </cfRule>
    <cfRule type="cellIs" dxfId="21950" priority="10568" stopIfTrue="1" operator="equal">
      <formula>"Napkin Hs"</formula>
    </cfRule>
  </conditionalFormatting>
  <conditionalFormatting sqref="C69">
    <cfRule type="cellIs" dxfId="21949" priority="10565" stopIfTrue="1" operator="equal">
      <formula>"Towel"</formula>
    </cfRule>
    <cfRule type="cellIs" dxfId="21948" priority="10566" stopIfTrue="1" operator="equal">
      <formula>"Napkin Hs"</formula>
    </cfRule>
  </conditionalFormatting>
  <conditionalFormatting sqref="C69">
    <cfRule type="cellIs" dxfId="21947" priority="10563" stopIfTrue="1" operator="equal">
      <formula>"Towel"</formula>
    </cfRule>
    <cfRule type="cellIs" dxfId="21946" priority="10564" stopIfTrue="1" operator="equal">
      <formula>"Napkin Hs"</formula>
    </cfRule>
  </conditionalFormatting>
  <conditionalFormatting sqref="C69">
    <cfRule type="cellIs" dxfId="21945" priority="10562" stopIfTrue="1" operator="equal">
      <formula>"Napkin Hs"</formula>
    </cfRule>
  </conditionalFormatting>
  <conditionalFormatting sqref="C69">
    <cfRule type="cellIs" dxfId="21944" priority="10559" stopIfTrue="1" operator="equal">
      <formula>"Towel"</formula>
    </cfRule>
    <cfRule type="cellIs" dxfId="21943" priority="10560" stopIfTrue="1" operator="equal">
      <formula>"Napkin Hs"</formula>
    </cfRule>
  </conditionalFormatting>
  <conditionalFormatting sqref="C69">
    <cfRule type="cellIs" dxfId="21942" priority="10561" stopIfTrue="1" operator="equal">
      <formula>"Towel"</formula>
    </cfRule>
  </conditionalFormatting>
  <conditionalFormatting sqref="B69">
    <cfRule type="cellIs" dxfId="21941" priority="10557" stopIfTrue="1" operator="equal">
      <formula>"Towel"</formula>
    </cfRule>
    <cfRule type="cellIs" dxfId="21940" priority="10558" stopIfTrue="1" operator="equal">
      <formula>"Napkin Hs"</formula>
    </cfRule>
  </conditionalFormatting>
  <conditionalFormatting sqref="B69">
    <cfRule type="cellIs" dxfId="21939" priority="10555" stopIfTrue="1" operator="equal">
      <formula>"Towel"</formula>
    </cfRule>
    <cfRule type="cellIs" dxfId="21938" priority="10556" stopIfTrue="1" operator="equal">
      <formula>"Napkin Hs"</formula>
    </cfRule>
  </conditionalFormatting>
  <conditionalFormatting sqref="B69">
    <cfRule type="cellIs" dxfId="21937" priority="10553" stopIfTrue="1" operator="equal">
      <formula>"Towel"</formula>
    </cfRule>
    <cfRule type="cellIs" dxfId="21936" priority="10554" stopIfTrue="1" operator="equal">
      <formula>"Napkin Hs"</formula>
    </cfRule>
  </conditionalFormatting>
  <conditionalFormatting sqref="B69">
    <cfRule type="cellIs" dxfId="21935" priority="10551" stopIfTrue="1" operator="equal">
      <formula>"Towel"</formula>
    </cfRule>
    <cfRule type="cellIs" dxfId="21934" priority="10552" stopIfTrue="1" operator="equal">
      <formula>"Napkin Hs"</formula>
    </cfRule>
  </conditionalFormatting>
  <conditionalFormatting sqref="B69">
    <cfRule type="cellIs" dxfId="21933" priority="10549" stopIfTrue="1" operator="equal">
      <formula>"Towel"</formula>
    </cfRule>
    <cfRule type="cellIs" dxfId="21932" priority="10550" stopIfTrue="1" operator="equal">
      <formula>"Napkin Hs"</formula>
    </cfRule>
  </conditionalFormatting>
  <conditionalFormatting sqref="B69">
    <cfRule type="cellIs" dxfId="21931" priority="10547" stopIfTrue="1" operator="equal">
      <formula>"Towel"</formula>
    </cfRule>
    <cfRule type="cellIs" dxfId="21930" priority="10548" stopIfTrue="1" operator="equal">
      <formula>"Napkin Hs"</formula>
    </cfRule>
  </conditionalFormatting>
  <conditionalFormatting sqref="B69">
    <cfRule type="cellIs" dxfId="21929" priority="10543" stopIfTrue="1" operator="equal">
      <formula>"Towel"</formula>
    </cfRule>
    <cfRule type="cellIs" dxfId="21928" priority="10544" stopIfTrue="1" operator="equal">
      <formula>"Napkin Hs"</formula>
    </cfRule>
    <cfRule type="cellIs" dxfId="21927" priority="10545" stopIfTrue="1" operator="equal">
      <formula>"Towel"</formula>
    </cfRule>
    <cfRule type="cellIs" dxfId="21926" priority="10546" stopIfTrue="1" operator="equal">
      <formula>"Napkin Hs"</formula>
    </cfRule>
  </conditionalFormatting>
  <conditionalFormatting sqref="B69">
    <cfRule type="cellIs" dxfId="21925" priority="10541" stopIfTrue="1" operator="equal">
      <formula>"Towel"</formula>
    </cfRule>
    <cfRule type="cellIs" dxfId="21924" priority="10542" stopIfTrue="1" operator="equal">
      <formula>"Napkin Hs"</formula>
    </cfRule>
  </conditionalFormatting>
  <conditionalFormatting sqref="B69">
    <cfRule type="cellIs" dxfId="21923" priority="10539" stopIfTrue="1" operator="equal">
      <formula>"Towel"</formula>
    </cfRule>
    <cfRule type="cellIs" dxfId="21922" priority="10540" stopIfTrue="1" operator="equal">
      <formula>"Napkin Hs"</formula>
    </cfRule>
  </conditionalFormatting>
  <conditionalFormatting sqref="B69">
    <cfRule type="cellIs" dxfId="21921" priority="10537" stopIfTrue="1" operator="equal">
      <formula>"Towel"</formula>
    </cfRule>
    <cfRule type="cellIs" dxfId="21920" priority="10538" stopIfTrue="1" operator="equal">
      <formula>"Napkin Hs"</formula>
    </cfRule>
  </conditionalFormatting>
  <conditionalFormatting sqref="B69">
    <cfRule type="cellIs" dxfId="21919" priority="10535" stopIfTrue="1" operator="equal">
      <formula>"Towel"</formula>
    </cfRule>
    <cfRule type="cellIs" dxfId="21918" priority="10536" stopIfTrue="1" operator="equal">
      <formula>"Napkin Hs"</formula>
    </cfRule>
  </conditionalFormatting>
  <conditionalFormatting sqref="B69">
    <cfRule type="cellIs" dxfId="21917" priority="10533" stopIfTrue="1" operator="equal">
      <formula>"Towel"</formula>
    </cfRule>
    <cfRule type="cellIs" dxfId="21916" priority="10534" stopIfTrue="1" operator="equal">
      <formula>"Napkin Hs"</formula>
    </cfRule>
  </conditionalFormatting>
  <conditionalFormatting sqref="B69:C69">
    <cfRule type="cellIs" dxfId="21915" priority="10519" stopIfTrue="1" operator="equal">
      <formula>"Towel"</formula>
    </cfRule>
    <cfRule type="cellIs" dxfId="21914" priority="10520" stopIfTrue="1" operator="equal">
      <formula>"Napkin Hs"</formula>
    </cfRule>
    <cfRule type="cellIs" dxfId="21913" priority="10525" stopIfTrue="1" operator="equal">
      <formula>"Towel"</formula>
    </cfRule>
    <cfRule type="cellIs" dxfId="21912" priority="10526" stopIfTrue="1" operator="equal">
      <formula>"Napkin Hs"</formula>
    </cfRule>
    <cfRule type="cellIs" dxfId="21911" priority="10531" stopIfTrue="1" operator="equal">
      <formula>"Towel"</formula>
    </cfRule>
    <cfRule type="cellIs" dxfId="21910" priority="10532" stopIfTrue="1" operator="equal">
      <formula>"Napkin Hs"</formula>
    </cfRule>
  </conditionalFormatting>
  <conditionalFormatting sqref="C69">
    <cfRule type="cellIs" dxfId="21909" priority="10513" stopIfTrue="1" operator="equal">
      <formula>"Towel"</formula>
    </cfRule>
    <cfRule type="cellIs" dxfId="21908" priority="10514" stopIfTrue="1" operator="equal">
      <formula>"Napkin Hs"</formula>
    </cfRule>
    <cfRule type="cellIs" dxfId="21907" priority="10515" stopIfTrue="1" operator="equal">
      <formula>"Towel"</formula>
    </cfRule>
    <cfRule type="cellIs" dxfId="21906" priority="10516" stopIfTrue="1" operator="equal">
      <formula>"Napkin Hs"</formula>
    </cfRule>
    <cfRule type="cellIs" dxfId="21905" priority="10523" stopIfTrue="1" operator="equal">
      <formula>"Towel"</formula>
    </cfRule>
    <cfRule type="cellIs" dxfId="21904" priority="10524" stopIfTrue="1" operator="equal">
      <formula>"Napkin Hs"</formula>
    </cfRule>
    <cfRule type="cellIs" dxfId="21903" priority="10527" stopIfTrue="1" operator="equal">
      <formula>"Towel"</formula>
    </cfRule>
    <cfRule type="cellIs" dxfId="21902" priority="10528" stopIfTrue="1" operator="equal">
      <formula>"Napkin Hs"</formula>
    </cfRule>
  </conditionalFormatting>
  <conditionalFormatting sqref="C69">
    <cfRule type="cellIs" dxfId="21901" priority="10517" stopIfTrue="1" operator="equal">
      <formula>"Towel"</formula>
    </cfRule>
    <cfRule type="cellIs" dxfId="21900" priority="10518" stopIfTrue="1" operator="equal">
      <formula>"Napkin Hs"</formula>
    </cfRule>
    <cfRule type="cellIs" dxfId="21899" priority="10521" stopIfTrue="1" operator="equal">
      <formula>"Towel"</formula>
    </cfRule>
    <cfRule type="cellIs" dxfId="21898" priority="10522" stopIfTrue="1" operator="equal">
      <formula>"Napkin Hs"</formula>
    </cfRule>
    <cfRule type="cellIs" dxfId="21897" priority="10529" stopIfTrue="1" operator="equal">
      <formula>"Towel"</formula>
    </cfRule>
    <cfRule type="cellIs" dxfId="21896" priority="10530" stopIfTrue="1" operator="equal">
      <formula>"Napkin Hs"</formula>
    </cfRule>
  </conditionalFormatting>
  <conditionalFormatting sqref="B69:C69">
    <cfRule type="cellIs" dxfId="21895" priority="10511" stopIfTrue="1" operator="equal">
      <formula>"Towel"</formula>
    </cfRule>
    <cfRule type="cellIs" dxfId="21894" priority="10512" stopIfTrue="1" operator="equal">
      <formula>"Napkin Hs"</formula>
    </cfRule>
  </conditionalFormatting>
  <conditionalFormatting sqref="B69:C69">
    <cfRule type="cellIs" dxfId="21893" priority="10503" stopIfTrue="1" operator="equal">
      <formula>"Towel"</formula>
    </cfRule>
    <cfRule type="cellIs" dxfId="21892" priority="10504" stopIfTrue="1" operator="equal">
      <formula>"Napkin Hs"</formula>
    </cfRule>
    <cfRule type="cellIs" dxfId="21891" priority="10509" stopIfTrue="1" operator="equal">
      <formula>"Towel"</formula>
    </cfRule>
    <cfRule type="cellIs" dxfId="21890" priority="10510" stopIfTrue="1" operator="equal">
      <formula>"Napkin Hs"</formula>
    </cfRule>
  </conditionalFormatting>
  <conditionalFormatting sqref="C69">
    <cfRule type="cellIs" dxfId="21889" priority="10499" stopIfTrue="1" operator="equal">
      <formula>"Towel"</formula>
    </cfRule>
    <cfRule type="cellIs" dxfId="21888" priority="10500" stopIfTrue="1" operator="equal">
      <formula>"Napkin Hs"</formula>
    </cfRule>
  </conditionalFormatting>
  <conditionalFormatting sqref="C69">
    <cfRule type="cellIs" dxfId="21887" priority="10497" stopIfTrue="1" operator="equal">
      <formula>"Towel"</formula>
    </cfRule>
    <cfRule type="cellIs" dxfId="21886" priority="10498" stopIfTrue="1" operator="equal">
      <formula>"Napkin Hs"</formula>
    </cfRule>
    <cfRule type="cellIs" dxfId="21885" priority="10507" stopIfTrue="1" operator="equal">
      <formula>"Towel"</formula>
    </cfRule>
    <cfRule type="cellIs" dxfId="21884" priority="10508" stopIfTrue="1" operator="equal">
      <formula>"Napkin Hs"</formula>
    </cfRule>
  </conditionalFormatting>
  <conditionalFormatting sqref="C69">
    <cfRule type="cellIs" dxfId="21883" priority="10501" stopIfTrue="1" operator="equal">
      <formula>"Towel"</formula>
    </cfRule>
    <cfRule type="cellIs" dxfId="21882" priority="10502" stopIfTrue="1" operator="equal">
      <formula>"Napkin Hs"</formula>
    </cfRule>
    <cfRule type="cellIs" dxfId="21881" priority="10505" stopIfTrue="1" operator="equal">
      <formula>"Towel"</formula>
    </cfRule>
    <cfRule type="cellIs" dxfId="21880" priority="10506" stopIfTrue="1" operator="equal">
      <formula>"Napkin Hs"</formula>
    </cfRule>
  </conditionalFormatting>
  <conditionalFormatting sqref="C69">
    <cfRule type="cellIs" dxfId="21879" priority="10496" stopIfTrue="1" operator="equal">
      <formula>"Napkin Hs"</formula>
    </cfRule>
  </conditionalFormatting>
  <conditionalFormatting sqref="C69">
    <cfRule type="cellIs" dxfId="21878" priority="10495" stopIfTrue="1" operator="equal">
      <formula>"Towel"</formula>
    </cfRule>
  </conditionalFormatting>
  <conditionalFormatting sqref="C69">
    <cfRule type="cellIs" dxfId="21877" priority="10491" stopIfTrue="1" operator="equal">
      <formula>"Towel"</formula>
    </cfRule>
    <cfRule type="cellIs" dxfId="21876" priority="10492" stopIfTrue="1" operator="equal">
      <formula>"Napkin Hs"</formula>
    </cfRule>
    <cfRule type="cellIs" dxfId="21875" priority="10493" stopIfTrue="1" operator="equal">
      <formula>"Towel"</formula>
    </cfRule>
    <cfRule type="cellIs" dxfId="21874" priority="10494" stopIfTrue="1" operator="equal">
      <formula>"Napkin Hs"</formula>
    </cfRule>
  </conditionalFormatting>
  <conditionalFormatting sqref="B69:C69">
    <cfRule type="cellIs" dxfId="21873" priority="10489" stopIfTrue="1" operator="equal">
      <formula>"Towel"</formula>
    </cfRule>
    <cfRule type="cellIs" dxfId="21872" priority="10490" stopIfTrue="1" operator="equal">
      <formula>"Napkin Hs"</formula>
    </cfRule>
  </conditionalFormatting>
  <conditionalFormatting sqref="C69">
    <cfRule type="cellIs" dxfId="21871" priority="10485" stopIfTrue="1" operator="equal">
      <formula>"Towel"</formula>
    </cfRule>
    <cfRule type="cellIs" dxfId="21870" priority="10486" stopIfTrue="1" operator="equal">
      <formula>"Napkin Hs"</formula>
    </cfRule>
  </conditionalFormatting>
  <conditionalFormatting sqref="C69">
    <cfRule type="cellIs" dxfId="21869" priority="10487" stopIfTrue="1" operator="equal">
      <formula>"Towel"</formula>
    </cfRule>
    <cfRule type="cellIs" dxfId="21868" priority="10488" stopIfTrue="1" operator="equal">
      <formula>"Napkin Hs"</formula>
    </cfRule>
  </conditionalFormatting>
  <conditionalFormatting sqref="B69:C69">
    <cfRule type="cellIs" dxfId="21867" priority="10483" stopIfTrue="1" operator="equal">
      <formula>"Towel"</formula>
    </cfRule>
    <cfRule type="cellIs" dxfId="21866" priority="10484" stopIfTrue="1" operator="equal">
      <formula>"Napkin Hs"</formula>
    </cfRule>
  </conditionalFormatting>
  <conditionalFormatting sqref="C69">
    <cfRule type="cellIs" dxfId="21865" priority="10479" stopIfTrue="1" operator="equal">
      <formula>"Towel"</formula>
    </cfRule>
    <cfRule type="cellIs" dxfId="21864" priority="10480" stopIfTrue="1" operator="equal">
      <formula>"Napkin Hs"</formula>
    </cfRule>
  </conditionalFormatting>
  <conditionalFormatting sqref="C69">
    <cfRule type="cellIs" dxfId="21863" priority="10481" stopIfTrue="1" operator="equal">
      <formula>"Towel"</formula>
    </cfRule>
    <cfRule type="cellIs" dxfId="21862" priority="10482" stopIfTrue="1" operator="equal">
      <formula>"Napkin Hs"</formula>
    </cfRule>
  </conditionalFormatting>
  <conditionalFormatting sqref="B69:C69">
    <cfRule type="cellIs" dxfId="21861" priority="10477" stopIfTrue="1" operator="equal">
      <formula>"Towel"</formula>
    </cfRule>
    <cfRule type="cellIs" dxfId="21860" priority="10478" stopIfTrue="1" operator="equal">
      <formula>"Napkin Hs"</formula>
    </cfRule>
  </conditionalFormatting>
  <conditionalFormatting sqref="C69">
    <cfRule type="cellIs" dxfId="21859" priority="10473" stopIfTrue="1" operator="equal">
      <formula>"Towel"</formula>
    </cfRule>
    <cfRule type="cellIs" dxfId="21858" priority="10474" stopIfTrue="1" operator="equal">
      <formula>"Napkin Hs"</formula>
    </cfRule>
  </conditionalFormatting>
  <conditionalFormatting sqref="C69">
    <cfRule type="cellIs" dxfId="21857" priority="10475" stopIfTrue="1" operator="equal">
      <formula>"Towel"</formula>
    </cfRule>
    <cfRule type="cellIs" dxfId="21856" priority="10476" stopIfTrue="1" operator="equal">
      <formula>"Napkin Hs"</formula>
    </cfRule>
  </conditionalFormatting>
  <conditionalFormatting sqref="B69:C69">
    <cfRule type="cellIs" dxfId="21855" priority="10471" stopIfTrue="1" operator="equal">
      <formula>"Towel"</formula>
    </cfRule>
    <cfRule type="cellIs" dxfId="21854" priority="10472" stopIfTrue="1" operator="equal">
      <formula>"Napkin Hs"</formula>
    </cfRule>
  </conditionalFormatting>
  <conditionalFormatting sqref="C69">
    <cfRule type="cellIs" dxfId="21853" priority="10469" stopIfTrue="1" operator="equal">
      <formula>"Towel"</formula>
    </cfRule>
    <cfRule type="cellIs" dxfId="21852" priority="10470" stopIfTrue="1" operator="equal">
      <formula>"Napkin Hs"</formula>
    </cfRule>
  </conditionalFormatting>
  <conditionalFormatting sqref="C69">
    <cfRule type="cellIs" dxfId="21851" priority="10467" stopIfTrue="1" operator="equal">
      <formula>"Towel"</formula>
    </cfRule>
    <cfRule type="cellIs" dxfId="21850" priority="10468" stopIfTrue="1" operator="equal">
      <formula>"Napkin Hs"</formula>
    </cfRule>
  </conditionalFormatting>
  <conditionalFormatting sqref="B69:C69">
    <cfRule type="cellIs" dxfId="21849" priority="10465" stopIfTrue="1" operator="equal">
      <formula>"Towel"</formula>
    </cfRule>
    <cfRule type="cellIs" dxfId="21848" priority="10466" stopIfTrue="1" operator="equal">
      <formula>"Napkin Hs"</formula>
    </cfRule>
  </conditionalFormatting>
  <conditionalFormatting sqref="C69">
    <cfRule type="cellIs" dxfId="21847" priority="10464" stopIfTrue="1" operator="equal">
      <formula>"Napkin Hs"</formula>
    </cfRule>
  </conditionalFormatting>
  <conditionalFormatting sqref="C69">
    <cfRule type="cellIs" dxfId="21846" priority="10461" stopIfTrue="1" operator="equal">
      <formula>"Towel"</formula>
    </cfRule>
    <cfRule type="cellIs" dxfId="21845" priority="10462" stopIfTrue="1" operator="equal">
      <formula>"Napkin Hs"</formula>
    </cfRule>
  </conditionalFormatting>
  <conditionalFormatting sqref="C69">
    <cfRule type="cellIs" dxfId="21844" priority="10463" stopIfTrue="1" operator="equal">
      <formula>"Towel"</formula>
    </cfRule>
  </conditionalFormatting>
  <conditionalFormatting sqref="B68:C68">
    <cfRule type="cellIs" dxfId="21843" priority="10417" stopIfTrue="1" operator="equal">
      <formula>"Towel"</formula>
    </cfRule>
    <cfRule type="cellIs" dxfId="21842" priority="10418" stopIfTrue="1" operator="equal">
      <formula>"Napkin Hs"</formula>
    </cfRule>
    <cfRule type="cellIs" dxfId="21841" priority="10423" stopIfTrue="1" operator="equal">
      <formula>"Towel"</formula>
    </cfRule>
    <cfRule type="cellIs" dxfId="21840" priority="10424" stopIfTrue="1" operator="equal">
      <formula>"Napkin Hs"</formula>
    </cfRule>
    <cfRule type="cellIs" dxfId="21839" priority="10429" stopIfTrue="1" operator="equal">
      <formula>"Towel"</formula>
    </cfRule>
    <cfRule type="cellIs" dxfId="21838" priority="10430" stopIfTrue="1" operator="equal">
      <formula>"Napkin Hs"</formula>
    </cfRule>
    <cfRule type="cellIs" dxfId="21837" priority="10435" stopIfTrue="1" operator="equal">
      <formula>"Towel"</formula>
    </cfRule>
    <cfRule type="cellIs" dxfId="21836" priority="10436" stopIfTrue="1" operator="equal">
      <formula>"Napkin Hs"</formula>
    </cfRule>
    <cfRule type="cellIs" dxfId="21835" priority="10441" stopIfTrue="1" operator="equal">
      <formula>"Towel"</formula>
    </cfRule>
    <cfRule type="cellIs" dxfId="21834" priority="10442" stopIfTrue="1" operator="equal">
      <formula>"Napkin Hs"</formula>
    </cfRule>
    <cfRule type="cellIs" dxfId="21833" priority="10447" stopIfTrue="1" operator="equal">
      <formula>"Towel"</formula>
    </cfRule>
    <cfRule type="cellIs" dxfId="21832" priority="10448" stopIfTrue="1" operator="equal">
      <formula>"Napkin Hs"</formula>
    </cfRule>
    <cfRule type="cellIs" dxfId="21831" priority="10453" stopIfTrue="1" operator="equal">
      <formula>"Towel"</formula>
    </cfRule>
    <cfRule type="cellIs" dxfId="21830" priority="10454" stopIfTrue="1" operator="equal">
      <formula>"Napkin Hs"</formula>
    </cfRule>
    <cfRule type="cellIs" dxfId="21829" priority="10459" stopIfTrue="1" operator="equal">
      <formula>"Towel"</formula>
    </cfRule>
    <cfRule type="cellIs" dxfId="21828" priority="10460" stopIfTrue="1" operator="equal">
      <formula>"Napkin Hs"</formula>
    </cfRule>
  </conditionalFormatting>
  <conditionalFormatting sqref="C68">
    <cfRule type="cellIs" dxfId="21827" priority="10413" stopIfTrue="1" operator="equal">
      <formula>"Towel"</formula>
    </cfRule>
    <cfRule type="cellIs" dxfId="21826" priority="10414" stopIfTrue="1" operator="equal">
      <formula>"Napkin Hs"</formula>
    </cfRule>
    <cfRule type="cellIs" dxfId="21825" priority="10415" stopIfTrue="1" operator="equal">
      <formula>"Towel"</formula>
    </cfRule>
    <cfRule type="cellIs" dxfId="21824" priority="10416" stopIfTrue="1" operator="equal">
      <formula>"Napkin Hs"</formula>
    </cfRule>
    <cfRule type="cellIs" dxfId="21823" priority="10419" stopIfTrue="1" operator="equal">
      <formula>"Towel"</formula>
    </cfRule>
    <cfRule type="cellIs" dxfId="21822" priority="10420" stopIfTrue="1" operator="equal">
      <formula>"Napkin Hs"</formula>
    </cfRule>
    <cfRule type="cellIs" dxfId="21821" priority="10421" stopIfTrue="1" operator="equal">
      <formula>"Towel"</formula>
    </cfRule>
    <cfRule type="cellIs" dxfId="21820" priority="10422" stopIfTrue="1" operator="equal">
      <formula>"Napkin Hs"</formula>
    </cfRule>
    <cfRule type="cellIs" dxfId="21819" priority="10425" stopIfTrue="1" operator="equal">
      <formula>"Towel"</formula>
    </cfRule>
    <cfRule type="cellIs" dxfId="21818" priority="10426" stopIfTrue="1" operator="equal">
      <formula>"Napkin Hs"</formula>
    </cfRule>
    <cfRule type="cellIs" dxfId="21817" priority="10427" stopIfTrue="1" operator="equal">
      <formula>"Towel"</formula>
    </cfRule>
    <cfRule type="cellIs" dxfId="21816" priority="10428" stopIfTrue="1" operator="equal">
      <formula>"Napkin Hs"</formula>
    </cfRule>
    <cfRule type="cellIs" dxfId="21815" priority="10431" stopIfTrue="1" operator="equal">
      <formula>"Towel"</formula>
    </cfRule>
    <cfRule type="cellIs" dxfId="21814" priority="10432" stopIfTrue="1" operator="equal">
      <formula>"Napkin Hs"</formula>
    </cfRule>
    <cfRule type="cellIs" dxfId="21813" priority="10433" stopIfTrue="1" operator="equal">
      <formula>"Towel"</formula>
    </cfRule>
    <cfRule type="cellIs" dxfId="21812" priority="10434" stopIfTrue="1" operator="equal">
      <formula>"Napkin Hs"</formula>
    </cfRule>
    <cfRule type="cellIs" dxfId="21811" priority="10437" stopIfTrue="1" operator="equal">
      <formula>"Towel"</formula>
    </cfRule>
    <cfRule type="cellIs" dxfId="21810" priority="10438" stopIfTrue="1" operator="equal">
      <formula>"Napkin Hs"</formula>
    </cfRule>
    <cfRule type="cellIs" dxfId="21809" priority="10439" stopIfTrue="1" operator="equal">
      <formula>"Towel"</formula>
    </cfRule>
    <cfRule type="cellIs" dxfId="21808" priority="10440" stopIfTrue="1" operator="equal">
      <formula>"Napkin Hs"</formula>
    </cfRule>
    <cfRule type="cellIs" dxfId="21807" priority="10443" stopIfTrue="1" operator="equal">
      <formula>"Towel"</formula>
    </cfRule>
    <cfRule type="cellIs" dxfId="21806" priority="10444" stopIfTrue="1" operator="equal">
      <formula>"Napkin Hs"</formula>
    </cfRule>
    <cfRule type="cellIs" dxfId="21805" priority="10445" stopIfTrue="1" operator="equal">
      <formula>"Towel"</formula>
    </cfRule>
    <cfRule type="cellIs" dxfId="21804" priority="10446" stopIfTrue="1" operator="equal">
      <formula>"Napkin Hs"</formula>
    </cfRule>
    <cfRule type="cellIs" dxfId="21803" priority="10449" stopIfTrue="1" operator="equal">
      <formula>"Towel"</formula>
    </cfRule>
    <cfRule type="cellIs" dxfId="21802" priority="10450" stopIfTrue="1" operator="equal">
      <formula>"Napkin Hs"</formula>
    </cfRule>
    <cfRule type="cellIs" dxfId="21801" priority="10451" stopIfTrue="1" operator="equal">
      <formula>"Towel"</formula>
    </cfRule>
    <cfRule type="cellIs" dxfId="21800" priority="10452" stopIfTrue="1" operator="equal">
      <formula>"Napkin Hs"</formula>
    </cfRule>
    <cfRule type="cellIs" dxfId="21799" priority="10455" stopIfTrue="1" operator="equal">
      <formula>"Towel"</formula>
    </cfRule>
    <cfRule type="cellIs" dxfId="21798" priority="10456" stopIfTrue="1" operator="equal">
      <formula>"Napkin Hs"</formula>
    </cfRule>
  </conditionalFormatting>
  <conditionalFormatting sqref="C68">
    <cfRule type="cellIs" dxfId="21797" priority="10457" stopIfTrue="1" operator="equal">
      <formula>"Towel"</formula>
    </cfRule>
    <cfRule type="cellIs" dxfId="21796" priority="10458" stopIfTrue="1" operator="equal">
      <formula>"Napkin Hs"</formula>
    </cfRule>
  </conditionalFormatting>
  <conditionalFormatting sqref="B68">
    <cfRule type="cellIs" dxfId="21795" priority="10407" stopIfTrue="1" operator="equal">
      <formula>"Towel"</formula>
    </cfRule>
    <cfRule type="cellIs" dxfId="21794" priority="10408" stopIfTrue="1" operator="equal">
      <formula>"Napkin Hs"</formula>
    </cfRule>
    <cfRule type="cellIs" dxfId="21793" priority="10409" stopIfTrue="1" operator="equal">
      <formula>"Towel"</formula>
    </cfRule>
    <cfRule type="cellIs" dxfId="21792" priority="10410" stopIfTrue="1" operator="equal">
      <formula>"Napkin Hs"</formula>
    </cfRule>
    <cfRule type="cellIs" dxfId="21791" priority="10411" stopIfTrue="1" operator="equal">
      <formula>"Towel"</formula>
    </cfRule>
    <cfRule type="cellIs" dxfId="21790" priority="10412" stopIfTrue="1" operator="equal">
      <formula>"Napkin Hs"</formula>
    </cfRule>
  </conditionalFormatting>
  <conditionalFormatting sqref="B68:C68">
    <cfRule type="cellIs" dxfId="21789" priority="10369" stopIfTrue="1" operator="equal">
      <formula>"Towel"</formula>
    </cfRule>
    <cfRule type="cellIs" dxfId="21788" priority="10370" stopIfTrue="1" operator="equal">
      <formula>"Napkin Hs"</formula>
    </cfRule>
    <cfRule type="cellIs" dxfId="21787" priority="10375" stopIfTrue="1" operator="equal">
      <formula>"Towel"</formula>
    </cfRule>
    <cfRule type="cellIs" dxfId="21786" priority="10376" stopIfTrue="1" operator="equal">
      <formula>"Napkin Hs"</formula>
    </cfRule>
    <cfRule type="cellIs" dxfId="21785" priority="10381" stopIfTrue="1" operator="equal">
      <formula>"Towel"</formula>
    </cfRule>
    <cfRule type="cellIs" dxfId="21784" priority="10382" stopIfTrue="1" operator="equal">
      <formula>"Napkin Hs"</formula>
    </cfRule>
    <cfRule type="cellIs" dxfId="21783" priority="10387" stopIfTrue="1" operator="equal">
      <formula>"Towel"</formula>
    </cfRule>
    <cfRule type="cellIs" dxfId="21782" priority="10388" stopIfTrue="1" operator="equal">
      <formula>"Napkin Hs"</formula>
    </cfRule>
    <cfRule type="cellIs" dxfId="21781" priority="10393" stopIfTrue="1" operator="equal">
      <formula>"Towel"</formula>
    </cfRule>
    <cfRule type="cellIs" dxfId="21780" priority="10394" stopIfTrue="1" operator="equal">
      <formula>"Napkin Hs"</formula>
    </cfRule>
    <cfRule type="cellIs" dxfId="21779" priority="10399" stopIfTrue="1" operator="equal">
      <formula>"Towel"</formula>
    </cfRule>
    <cfRule type="cellIs" dxfId="21778" priority="10400" stopIfTrue="1" operator="equal">
      <formula>"Napkin Hs"</formula>
    </cfRule>
    <cfRule type="cellIs" dxfId="21777" priority="10405" stopIfTrue="1" operator="equal">
      <formula>"Towel"</formula>
    </cfRule>
    <cfRule type="cellIs" dxfId="21776" priority="10406" stopIfTrue="1" operator="equal">
      <formula>"Napkin Hs"</formula>
    </cfRule>
  </conditionalFormatting>
  <conditionalFormatting sqref="C68">
    <cfRule type="cellIs" dxfId="21775" priority="10365" stopIfTrue="1" operator="equal">
      <formula>"Towel"</formula>
    </cfRule>
    <cfRule type="cellIs" dxfId="21774" priority="10366" stopIfTrue="1" operator="equal">
      <formula>"Napkin Hs"</formula>
    </cfRule>
    <cfRule type="cellIs" dxfId="21773" priority="10367" stopIfTrue="1" operator="equal">
      <formula>"Towel"</formula>
    </cfRule>
    <cfRule type="cellIs" dxfId="21772" priority="10368" stopIfTrue="1" operator="equal">
      <formula>"Napkin Hs"</formula>
    </cfRule>
    <cfRule type="cellIs" dxfId="21771" priority="10371" stopIfTrue="1" operator="equal">
      <formula>"Towel"</formula>
    </cfRule>
    <cfRule type="cellIs" dxfId="21770" priority="10372" stopIfTrue="1" operator="equal">
      <formula>"Napkin Hs"</formula>
    </cfRule>
    <cfRule type="cellIs" dxfId="21769" priority="10373" stopIfTrue="1" operator="equal">
      <formula>"Towel"</formula>
    </cfRule>
    <cfRule type="cellIs" dxfId="21768" priority="10374" stopIfTrue="1" operator="equal">
      <formula>"Napkin Hs"</formula>
    </cfRule>
    <cfRule type="cellIs" dxfId="21767" priority="10377" stopIfTrue="1" operator="equal">
      <formula>"Towel"</formula>
    </cfRule>
    <cfRule type="cellIs" dxfId="21766" priority="10378" stopIfTrue="1" operator="equal">
      <formula>"Napkin Hs"</formula>
    </cfRule>
    <cfRule type="cellIs" dxfId="21765" priority="10379" stopIfTrue="1" operator="equal">
      <formula>"Towel"</formula>
    </cfRule>
    <cfRule type="cellIs" dxfId="21764" priority="10380" stopIfTrue="1" operator="equal">
      <formula>"Napkin Hs"</formula>
    </cfRule>
    <cfRule type="cellIs" dxfId="21763" priority="10383" stopIfTrue="1" operator="equal">
      <formula>"Towel"</formula>
    </cfRule>
    <cfRule type="cellIs" dxfId="21762" priority="10384" stopIfTrue="1" operator="equal">
      <formula>"Napkin Hs"</formula>
    </cfRule>
    <cfRule type="cellIs" dxfId="21761" priority="10385" stopIfTrue="1" operator="equal">
      <formula>"Towel"</formula>
    </cfRule>
    <cfRule type="cellIs" dxfId="21760" priority="10386" stopIfTrue="1" operator="equal">
      <formula>"Napkin Hs"</formula>
    </cfRule>
    <cfRule type="cellIs" dxfId="21759" priority="10389" stopIfTrue="1" operator="equal">
      <formula>"Towel"</formula>
    </cfRule>
    <cfRule type="cellIs" dxfId="21758" priority="10390" stopIfTrue="1" operator="equal">
      <formula>"Napkin Hs"</formula>
    </cfRule>
    <cfRule type="cellIs" dxfId="21757" priority="10391" stopIfTrue="1" operator="equal">
      <formula>"Towel"</formula>
    </cfRule>
    <cfRule type="cellIs" dxfId="21756" priority="10392" stopIfTrue="1" operator="equal">
      <formula>"Napkin Hs"</formula>
    </cfRule>
    <cfRule type="cellIs" dxfId="21755" priority="10395" stopIfTrue="1" operator="equal">
      <formula>"Towel"</formula>
    </cfRule>
    <cfRule type="cellIs" dxfId="21754" priority="10396" stopIfTrue="1" operator="equal">
      <formula>"Napkin Hs"</formula>
    </cfRule>
    <cfRule type="cellIs" dxfId="21753" priority="10397" stopIfTrue="1" operator="equal">
      <formula>"Towel"</formula>
    </cfRule>
    <cfRule type="cellIs" dxfId="21752" priority="10398" stopIfTrue="1" operator="equal">
      <formula>"Napkin Hs"</formula>
    </cfRule>
    <cfRule type="cellIs" dxfId="21751" priority="10401" stopIfTrue="1" operator="equal">
      <formula>"Towel"</formula>
    </cfRule>
    <cfRule type="cellIs" dxfId="21750" priority="10402" stopIfTrue="1" operator="equal">
      <formula>"Napkin Hs"</formula>
    </cfRule>
  </conditionalFormatting>
  <conditionalFormatting sqref="C68">
    <cfRule type="cellIs" dxfId="21749" priority="10403" stopIfTrue="1" operator="equal">
      <formula>"Towel"</formula>
    </cfRule>
    <cfRule type="cellIs" dxfId="21748" priority="10404" stopIfTrue="1" operator="equal">
      <formula>"Napkin Hs"</formula>
    </cfRule>
  </conditionalFormatting>
  <conditionalFormatting sqref="B68:C68">
    <cfRule type="cellIs" dxfId="21747" priority="10363" stopIfTrue="1" operator="equal">
      <formula>"Towel"</formula>
    </cfRule>
    <cfRule type="cellIs" dxfId="21746" priority="10364" stopIfTrue="1" operator="equal">
      <formula>"Napkin Hs"</formula>
    </cfRule>
  </conditionalFormatting>
  <conditionalFormatting sqref="B68:C68">
    <cfRule type="cellIs" dxfId="21745" priority="10327" stopIfTrue="1" operator="equal">
      <formula>"Towel"</formula>
    </cfRule>
    <cfRule type="cellIs" dxfId="21744" priority="10328" stopIfTrue="1" operator="equal">
      <formula>"Napkin Hs"</formula>
    </cfRule>
    <cfRule type="cellIs" dxfId="21743" priority="10333" stopIfTrue="1" operator="equal">
      <formula>"Towel"</formula>
    </cfRule>
    <cfRule type="cellIs" dxfId="21742" priority="10334" stopIfTrue="1" operator="equal">
      <formula>"Napkin Hs"</formula>
    </cfRule>
    <cfRule type="cellIs" dxfId="21741" priority="10339" stopIfTrue="1" operator="equal">
      <formula>"Towel"</formula>
    </cfRule>
    <cfRule type="cellIs" dxfId="21740" priority="10340" stopIfTrue="1" operator="equal">
      <formula>"Napkin Hs"</formula>
    </cfRule>
    <cfRule type="cellIs" dxfId="21739" priority="10345" stopIfTrue="1" operator="equal">
      <formula>"Towel"</formula>
    </cfRule>
    <cfRule type="cellIs" dxfId="21738" priority="10346" stopIfTrue="1" operator="equal">
      <formula>"Napkin Hs"</formula>
    </cfRule>
    <cfRule type="cellIs" dxfId="21737" priority="10351" stopIfTrue="1" operator="equal">
      <formula>"Towel"</formula>
    </cfRule>
    <cfRule type="cellIs" dxfId="21736" priority="10352" stopIfTrue="1" operator="equal">
      <formula>"Napkin Hs"</formula>
    </cfRule>
    <cfRule type="cellIs" dxfId="21735" priority="10357" stopIfTrue="1" operator="equal">
      <formula>"Towel"</formula>
    </cfRule>
    <cfRule type="cellIs" dxfId="21734" priority="10358" stopIfTrue="1" operator="equal">
      <formula>"Napkin Hs"</formula>
    </cfRule>
  </conditionalFormatting>
  <conditionalFormatting sqref="C68">
    <cfRule type="cellIs" dxfId="21733" priority="10362" stopIfTrue="1" operator="equal">
      <formula>"Napkin Hs"</formula>
    </cfRule>
  </conditionalFormatting>
  <conditionalFormatting sqref="C68">
    <cfRule type="cellIs" dxfId="21732" priority="10361" stopIfTrue="1" operator="equal">
      <formula>"Towel"</formula>
    </cfRule>
  </conditionalFormatting>
  <conditionalFormatting sqref="C68">
    <cfRule type="cellIs" dxfId="21731" priority="10355" stopIfTrue="1" operator="equal">
      <formula>"Towel"</formula>
    </cfRule>
    <cfRule type="cellIs" dxfId="21730" priority="10356" stopIfTrue="1" operator="equal">
      <formula>"Napkin Hs"</formula>
    </cfRule>
  </conditionalFormatting>
  <conditionalFormatting sqref="C68">
    <cfRule type="cellIs" dxfId="21729" priority="10353" stopIfTrue="1" operator="equal">
      <formula>"Towel"</formula>
    </cfRule>
    <cfRule type="cellIs" dxfId="21728" priority="10354" stopIfTrue="1" operator="equal">
      <formula>"Napkin Hs"</formula>
    </cfRule>
    <cfRule type="cellIs" dxfId="21727" priority="10359" stopIfTrue="1" operator="equal">
      <formula>"Towel"</formula>
    </cfRule>
    <cfRule type="cellIs" dxfId="21726" priority="10360" stopIfTrue="1" operator="equal">
      <formula>"Napkin Hs"</formula>
    </cfRule>
  </conditionalFormatting>
  <conditionalFormatting sqref="C68">
    <cfRule type="cellIs" dxfId="21725" priority="10325" stopIfTrue="1" operator="equal">
      <formula>"Towel"</formula>
    </cfRule>
    <cfRule type="cellIs" dxfId="21724" priority="10326" stopIfTrue="1" operator="equal">
      <formula>"Napkin Hs"</formula>
    </cfRule>
    <cfRule type="cellIs" dxfId="21723" priority="10329" stopIfTrue="1" operator="equal">
      <formula>"Towel"</formula>
    </cfRule>
    <cfRule type="cellIs" dxfId="21722" priority="10330" stopIfTrue="1" operator="equal">
      <formula>"Napkin Hs"</formula>
    </cfRule>
    <cfRule type="cellIs" dxfId="21721" priority="10331" stopIfTrue="1" operator="equal">
      <formula>"Towel"</formula>
    </cfRule>
    <cfRule type="cellIs" dxfId="21720" priority="10332" stopIfTrue="1" operator="equal">
      <formula>"Napkin Hs"</formula>
    </cfRule>
    <cfRule type="cellIs" dxfId="21719" priority="10335" stopIfTrue="1" operator="equal">
      <formula>"Towel"</formula>
    </cfRule>
    <cfRule type="cellIs" dxfId="21718" priority="10336" stopIfTrue="1" operator="equal">
      <formula>"Napkin Hs"</formula>
    </cfRule>
    <cfRule type="cellIs" dxfId="21717" priority="10337" stopIfTrue="1" operator="equal">
      <formula>"Towel"</formula>
    </cfRule>
    <cfRule type="cellIs" dxfId="21716" priority="10338" stopIfTrue="1" operator="equal">
      <formula>"Napkin Hs"</formula>
    </cfRule>
    <cfRule type="cellIs" dxfId="21715" priority="10341" stopIfTrue="1" operator="equal">
      <formula>"Towel"</formula>
    </cfRule>
    <cfRule type="cellIs" dxfId="21714" priority="10342" stopIfTrue="1" operator="equal">
      <formula>"Napkin Hs"</formula>
    </cfRule>
    <cfRule type="cellIs" dxfId="21713" priority="10343" stopIfTrue="1" operator="equal">
      <formula>"Towel"</formula>
    </cfRule>
    <cfRule type="cellIs" dxfId="21712" priority="10344" stopIfTrue="1" operator="equal">
      <formula>"Napkin Hs"</formula>
    </cfRule>
    <cfRule type="cellIs" dxfId="21711" priority="10347" stopIfTrue="1" operator="equal">
      <formula>"Towel"</formula>
    </cfRule>
    <cfRule type="cellIs" dxfId="21710" priority="10348" stopIfTrue="1" operator="equal">
      <formula>"Napkin Hs"</formula>
    </cfRule>
    <cfRule type="cellIs" dxfId="21709" priority="10349" stopIfTrue="1" operator="equal">
      <formula>"Towel"</formula>
    </cfRule>
    <cfRule type="cellIs" dxfId="21708" priority="10350" stopIfTrue="1" operator="equal">
      <formula>"Napkin Hs"</formula>
    </cfRule>
  </conditionalFormatting>
  <conditionalFormatting sqref="C68">
    <cfRule type="cellIs" dxfId="21707" priority="10323" stopIfTrue="1" operator="equal">
      <formula>"Towel"</formula>
    </cfRule>
    <cfRule type="cellIs" dxfId="21706" priority="10324" stopIfTrue="1" operator="equal">
      <formula>"Napkin Hs"</formula>
    </cfRule>
  </conditionalFormatting>
  <conditionalFormatting sqref="C68">
    <cfRule type="cellIs" dxfId="21705" priority="10303" stopIfTrue="1" operator="equal">
      <formula>"Towel"</formula>
    </cfRule>
    <cfRule type="cellIs" dxfId="21704" priority="10304" stopIfTrue="1" operator="equal">
      <formula>"Napkin Hs"</formula>
    </cfRule>
    <cfRule type="cellIs" dxfId="21703" priority="10309" stopIfTrue="1" operator="equal">
      <formula>"Towel"</formula>
    </cfRule>
    <cfRule type="cellIs" dxfId="21702" priority="10310" stopIfTrue="1" operator="equal">
      <formula>"Napkin Hs"</formula>
    </cfRule>
    <cfRule type="cellIs" dxfId="21701" priority="10315" stopIfTrue="1" operator="equal">
      <formula>"Towel"</formula>
    </cfRule>
    <cfRule type="cellIs" dxfId="21700" priority="10316" stopIfTrue="1" operator="equal">
      <formula>"Napkin Hs"</formula>
    </cfRule>
    <cfRule type="cellIs" dxfId="21699" priority="10321" stopIfTrue="1" operator="equal">
      <formula>"Towel"</formula>
    </cfRule>
    <cfRule type="cellIs" dxfId="21698" priority="10322" stopIfTrue="1" operator="equal">
      <formula>"Napkin Hs"</formula>
    </cfRule>
  </conditionalFormatting>
  <conditionalFormatting sqref="C68">
    <cfRule type="cellIs" dxfId="21697" priority="10313" stopIfTrue="1" operator="equal">
      <formula>"Towel"</formula>
    </cfRule>
    <cfRule type="cellIs" dxfId="21696" priority="10314" stopIfTrue="1" operator="equal">
      <formula>"Napkin Hs"</formula>
    </cfRule>
    <cfRule type="cellIs" dxfId="21695" priority="10319" stopIfTrue="1" operator="equal">
      <formula>"Towel"</formula>
    </cfRule>
    <cfRule type="cellIs" dxfId="21694" priority="10320" stopIfTrue="1" operator="equal">
      <formula>"Napkin Hs"</formula>
    </cfRule>
  </conditionalFormatting>
  <conditionalFormatting sqref="C68">
    <cfRule type="cellIs" dxfId="21693" priority="10299" stopIfTrue="1" operator="equal">
      <formula>"Towel"</formula>
    </cfRule>
    <cfRule type="cellIs" dxfId="21692" priority="10300" stopIfTrue="1" operator="equal">
      <formula>"Napkin Hs"</formula>
    </cfRule>
    <cfRule type="cellIs" dxfId="21691" priority="10307" stopIfTrue="1" operator="equal">
      <formula>"Towel"</formula>
    </cfRule>
    <cfRule type="cellIs" dxfId="21690" priority="10308" stopIfTrue="1" operator="equal">
      <formula>"Napkin Hs"</formula>
    </cfRule>
    <cfRule type="cellIs" dxfId="21689" priority="10311" stopIfTrue="1" operator="equal">
      <formula>"Towel"</formula>
    </cfRule>
    <cfRule type="cellIs" dxfId="21688" priority="10312" stopIfTrue="1" operator="equal">
      <formula>"Napkin Hs"</formula>
    </cfRule>
  </conditionalFormatting>
  <conditionalFormatting sqref="C68">
    <cfRule type="cellIs" dxfId="21687" priority="10301" stopIfTrue="1" operator="equal">
      <formula>"Towel"</formula>
    </cfRule>
    <cfRule type="cellIs" dxfId="21686" priority="10302" stopIfTrue="1" operator="equal">
      <formula>"Napkin Hs"</formula>
    </cfRule>
    <cfRule type="cellIs" dxfId="21685" priority="10305" stopIfTrue="1" operator="equal">
      <formula>"Towel"</formula>
    </cfRule>
    <cfRule type="cellIs" dxfId="21684" priority="10306" stopIfTrue="1" operator="equal">
      <formula>"Napkin Hs"</formula>
    </cfRule>
    <cfRule type="cellIs" dxfId="21683" priority="10317" stopIfTrue="1" operator="equal">
      <formula>"Towel"</formula>
    </cfRule>
    <cfRule type="cellIs" dxfId="21682" priority="10318" stopIfTrue="1" operator="equal">
      <formula>"Napkin Hs"</formula>
    </cfRule>
  </conditionalFormatting>
  <conditionalFormatting sqref="C68">
    <cfRule type="cellIs" dxfId="21681" priority="10297" stopIfTrue="1" operator="equal">
      <formula>"Towel"</formula>
    </cfRule>
    <cfRule type="cellIs" dxfId="21680" priority="10298" stopIfTrue="1" operator="equal">
      <formula>"Napkin Hs"</formula>
    </cfRule>
  </conditionalFormatting>
  <conditionalFormatting sqref="C68">
    <cfRule type="cellIs" dxfId="21679" priority="10293" stopIfTrue="1" operator="equal">
      <formula>"Towel"</formula>
    </cfRule>
    <cfRule type="cellIs" dxfId="21678" priority="10294" stopIfTrue="1" operator="equal">
      <formula>"Napkin Hs"</formula>
    </cfRule>
  </conditionalFormatting>
  <conditionalFormatting sqref="C68">
    <cfRule type="cellIs" dxfId="21677" priority="10295" stopIfTrue="1" operator="equal">
      <formula>"Towel"</formula>
    </cfRule>
    <cfRule type="cellIs" dxfId="21676" priority="10296" stopIfTrue="1" operator="equal">
      <formula>"Napkin Hs"</formula>
    </cfRule>
  </conditionalFormatting>
  <conditionalFormatting sqref="C68">
    <cfRule type="cellIs" dxfId="21675" priority="10291" stopIfTrue="1" operator="equal">
      <formula>"Towel"</formula>
    </cfRule>
    <cfRule type="cellIs" dxfId="21674" priority="10292" stopIfTrue="1" operator="equal">
      <formula>"Napkin Hs"</formula>
    </cfRule>
  </conditionalFormatting>
  <conditionalFormatting sqref="C68">
    <cfRule type="cellIs" dxfId="21673" priority="10287" stopIfTrue="1" operator="equal">
      <formula>"Towel"</formula>
    </cfRule>
    <cfRule type="cellIs" dxfId="21672" priority="10288" stopIfTrue="1" operator="equal">
      <formula>"Napkin Hs"</formula>
    </cfRule>
  </conditionalFormatting>
  <conditionalFormatting sqref="C68">
    <cfRule type="cellIs" dxfId="21671" priority="10289" stopIfTrue="1" operator="equal">
      <formula>"Towel"</formula>
    </cfRule>
    <cfRule type="cellIs" dxfId="21670" priority="10290" stopIfTrue="1" operator="equal">
      <formula>"Napkin Hs"</formula>
    </cfRule>
  </conditionalFormatting>
  <conditionalFormatting sqref="C68">
    <cfRule type="cellIs" dxfId="21669" priority="10285" stopIfTrue="1" operator="equal">
      <formula>"Towel"</formula>
    </cfRule>
    <cfRule type="cellIs" dxfId="21668" priority="10286" stopIfTrue="1" operator="equal">
      <formula>"Napkin Hs"</formula>
    </cfRule>
  </conditionalFormatting>
  <conditionalFormatting sqref="C68">
    <cfRule type="cellIs" dxfId="21667" priority="10281" stopIfTrue="1" operator="equal">
      <formula>"Towel"</formula>
    </cfRule>
    <cfRule type="cellIs" dxfId="21666" priority="10282" stopIfTrue="1" operator="equal">
      <formula>"Napkin Hs"</formula>
    </cfRule>
  </conditionalFormatting>
  <conditionalFormatting sqref="C68">
    <cfRule type="cellIs" dxfId="21665" priority="10283" stopIfTrue="1" operator="equal">
      <formula>"Towel"</formula>
    </cfRule>
    <cfRule type="cellIs" dxfId="21664" priority="10284" stopIfTrue="1" operator="equal">
      <formula>"Napkin Hs"</formula>
    </cfRule>
  </conditionalFormatting>
  <conditionalFormatting sqref="C68">
    <cfRule type="cellIs" dxfId="21663" priority="10279" stopIfTrue="1" operator="equal">
      <formula>"Towel"</formula>
    </cfRule>
    <cfRule type="cellIs" dxfId="21662" priority="10280" stopIfTrue="1" operator="equal">
      <formula>"Napkin Hs"</formula>
    </cfRule>
  </conditionalFormatting>
  <conditionalFormatting sqref="C68">
    <cfRule type="cellIs" dxfId="21661" priority="10277" stopIfTrue="1" operator="equal">
      <formula>"Towel"</formula>
    </cfRule>
    <cfRule type="cellIs" dxfId="21660" priority="10278" stopIfTrue="1" operator="equal">
      <formula>"Napkin Hs"</formula>
    </cfRule>
  </conditionalFormatting>
  <conditionalFormatting sqref="C68">
    <cfRule type="cellIs" dxfId="21659" priority="10275" stopIfTrue="1" operator="equal">
      <formula>"Towel"</formula>
    </cfRule>
    <cfRule type="cellIs" dxfId="21658" priority="10276" stopIfTrue="1" operator="equal">
      <formula>"Napkin Hs"</formula>
    </cfRule>
  </conditionalFormatting>
  <conditionalFormatting sqref="C68">
    <cfRule type="cellIs" dxfId="21657" priority="10273" stopIfTrue="1" operator="equal">
      <formula>"Towel"</formula>
    </cfRule>
    <cfRule type="cellIs" dxfId="21656" priority="10274" stopIfTrue="1" operator="equal">
      <formula>"Napkin Hs"</formula>
    </cfRule>
  </conditionalFormatting>
  <conditionalFormatting sqref="C68">
    <cfRule type="cellIs" dxfId="21655" priority="10272" stopIfTrue="1" operator="equal">
      <formula>"Napkin Hs"</formula>
    </cfRule>
  </conditionalFormatting>
  <conditionalFormatting sqref="C68">
    <cfRule type="cellIs" dxfId="21654" priority="10269" stopIfTrue="1" operator="equal">
      <formula>"Towel"</formula>
    </cfRule>
    <cfRule type="cellIs" dxfId="21653" priority="10270" stopIfTrue="1" operator="equal">
      <formula>"Napkin Hs"</formula>
    </cfRule>
  </conditionalFormatting>
  <conditionalFormatting sqref="C68">
    <cfRule type="cellIs" dxfId="21652" priority="10271" stopIfTrue="1" operator="equal">
      <formula>"Towel"</formula>
    </cfRule>
  </conditionalFormatting>
  <conditionalFormatting sqref="B68">
    <cfRule type="cellIs" dxfId="21651" priority="10267" stopIfTrue="1" operator="equal">
      <formula>"Towel"</formula>
    </cfRule>
    <cfRule type="cellIs" dxfId="21650" priority="10268" stopIfTrue="1" operator="equal">
      <formula>"Napkin Hs"</formula>
    </cfRule>
  </conditionalFormatting>
  <conditionalFormatting sqref="B68">
    <cfRule type="cellIs" dxfId="21649" priority="10265" stopIfTrue="1" operator="equal">
      <formula>"Towel"</formula>
    </cfRule>
    <cfRule type="cellIs" dxfId="21648" priority="10266" stopIfTrue="1" operator="equal">
      <formula>"Napkin Hs"</formula>
    </cfRule>
  </conditionalFormatting>
  <conditionalFormatting sqref="B68">
    <cfRule type="cellIs" dxfId="21647" priority="10263" stopIfTrue="1" operator="equal">
      <formula>"Towel"</formula>
    </cfRule>
    <cfRule type="cellIs" dxfId="21646" priority="10264" stopIfTrue="1" operator="equal">
      <formula>"Napkin Hs"</formula>
    </cfRule>
  </conditionalFormatting>
  <conditionalFormatting sqref="B68">
    <cfRule type="cellIs" dxfId="21645" priority="10261" stopIfTrue="1" operator="equal">
      <formula>"Towel"</formula>
    </cfRule>
    <cfRule type="cellIs" dxfId="21644" priority="10262" stopIfTrue="1" operator="equal">
      <formula>"Napkin Hs"</formula>
    </cfRule>
  </conditionalFormatting>
  <conditionalFormatting sqref="B68">
    <cfRule type="cellIs" dxfId="21643" priority="10259" stopIfTrue="1" operator="equal">
      <formula>"Towel"</formula>
    </cfRule>
    <cfRule type="cellIs" dxfId="21642" priority="10260" stopIfTrue="1" operator="equal">
      <formula>"Napkin Hs"</formula>
    </cfRule>
  </conditionalFormatting>
  <conditionalFormatting sqref="B68">
    <cfRule type="cellIs" dxfId="21641" priority="10257" stopIfTrue="1" operator="equal">
      <formula>"Towel"</formula>
    </cfRule>
    <cfRule type="cellIs" dxfId="21640" priority="10258" stopIfTrue="1" operator="equal">
      <formula>"Napkin Hs"</formula>
    </cfRule>
  </conditionalFormatting>
  <conditionalFormatting sqref="B68">
    <cfRule type="cellIs" dxfId="21639" priority="10253" stopIfTrue="1" operator="equal">
      <formula>"Towel"</formula>
    </cfRule>
    <cfRule type="cellIs" dxfId="21638" priority="10254" stopIfTrue="1" operator="equal">
      <formula>"Napkin Hs"</formula>
    </cfRule>
    <cfRule type="cellIs" dxfId="21637" priority="10255" stopIfTrue="1" operator="equal">
      <formula>"Towel"</formula>
    </cfRule>
    <cfRule type="cellIs" dxfId="21636" priority="10256" stopIfTrue="1" operator="equal">
      <formula>"Napkin Hs"</formula>
    </cfRule>
  </conditionalFormatting>
  <conditionalFormatting sqref="B68">
    <cfRule type="cellIs" dxfId="21635" priority="10251" stopIfTrue="1" operator="equal">
      <formula>"Towel"</formula>
    </cfRule>
    <cfRule type="cellIs" dxfId="21634" priority="10252" stopIfTrue="1" operator="equal">
      <formula>"Napkin Hs"</formula>
    </cfRule>
  </conditionalFormatting>
  <conditionalFormatting sqref="B68">
    <cfRule type="cellIs" dxfId="21633" priority="10249" stopIfTrue="1" operator="equal">
      <formula>"Towel"</formula>
    </cfRule>
    <cfRule type="cellIs" dxfId="21632" priority="10250" stopIfTrue="1" operator="equal">
      <formula>"Napkin Hs"</formula>
    </cfRule>
  </conditionalFormatting>
  <conditionalFormatting sqref="B68">
    <cfRule type="cellIs" dxfId="21631" priority="10247" stopIfTrue="1" operator="equal">
      <formula>"Towel"</formula>
    </cfRule>
    <cfRule type="cellIs" dxfId="21630" priority="10248" stopIfTrue="1" operator="equal">
      <formula>"Napkin Hs"</formula>
    </cfRule>
  </conditionalFormatting>
  <conditionalFormatting sqref="B68">
    <cfRule type="cellIs" dxfId="21629" priority="10245" stopIfTrue="1" operator="equal">
      <formula>"Towel"</formula>
    </cfRule>
    <cfRule type="cellIs" dxfId="21628" priority="10246" stopIfTrue="1" operator="equal">
      <formula>"Napkin Hs"</formula>
    </cfRule>
  </conditionalFormatting>
  <conditionalFormatting sqref="B68">
    <cfRule type="cellIs" dxfId="21627" priority="10243" stopIfTrue="1" operator="equal">
      <formula>"Towel"</formula>
    </cfRule>
    <cfRule type="cellIs" dxfId="21626" priority="10244" stopIfTrue="1" operator="equal">
      <formula>"Napkin Hs"</formula>
    </cfRule>
  </conditionalFormatting>
  <conditionalFormatting sqref="B68:C68">
    <cfRule type="cellIs" dxfId="21625" priority="10229" stopIfTrue="1" operator="equal">
      <formula>"Towel"</formula>
    </cfRule>
    <cfRule type="cellIs" dxfId="21624" priority="10230" stopIfTrue="1" operator="equal">
      <formula>"Napkin Hs"</formula>
    </cfRule>
    <cfRule type="cellIs" dxfId="21623" priority="10235" stopIfTrue="1" operator="equal">
      <formula>"Towel"</formula>
    </cfRule>
    <cfRule type="cellIs" dxfId="21622" priority="10236" stopIfTrue="1" operator="equal">
      <formula>"Napkin Hs"</formula>
    </cfRule>
    <cfRule type="cellIs" dxfId="21621" priority="10241" stopIfTrue="1" operator="equal">
      <formula>"Towel"</formula>
    </cfRule>
    <cfRule type="cellIs" dxfId="21620" priority="10242" stopIfTrue="1" operator="equal">
      <formula>"Napkin Hs"</formula>
    </cfRule>
  </conditionalFormatting>
  <conditionalFormatting sqref="C68">
    <cfRule type="cellIs" dxfId="21619" priority="10223" stopIfTrue="1" operator="equal">
      <formula>"Towel"</formula>
    </cfRule>
    <cfRule type="cellIs" dxfId="21618" priority="10224" stopIfTrue="1" operator="equal">
      <formula>"Napkin Hs"</formula>
    </cfRule>
    <cfRule type="cellIs" dxfId="21617" priority="10225" stopIfTrue="1" operator="equal">
      <formula>"Towel"</formula>
    </cfRule>
    <cfRule type="cellIs" dxfId="21616" priority="10226" stopIfTrue="1" operator="equal">
      <formula>"Napkin Hs"</formula>
    </cfRule>
    <cfRule type="cellIs" dxfId="21615" priority="10233" stopIfTrue="1" operator="equal">
      <formula>"Towel"</formula>
    </cfRule>
    <cfRule type="cellIs" dxfId="21614" priority="10234" stopIfTrue="1" operator="equal">
      <formula>"Napkin Hs"</formula>
    </cfRule>
    <cfRule type="cellIs" dxfId="21613" priority="10237" stopIfTrue="1" operator="equal">
      <formula>"Towel"</formula>
    </cfRule>
    <cfRule type="cellIs" dxfId="21612" priority="10238" stopIfTrue="1" operator="equal">
      <formula>"Napkin Hs"</formula>
    </cfRule>
  </conditionalFormatting>
  <conditionalFormatting sqref="C68">
    <cfRule type="cellIs" dxfId="21611" priority="10227" stopIfTrue="1" operator="equal">
      <formula>"Towel"</formula>
    </cfRule>
    <cfRule type="cellIs" dxfId="21610" priority="10228" stopIfTrue="1" operator="equal">
      <formula>"Napkin Hs"</formula>
    </cfRule>
    <cfRule type="cellIs" dxfId="21609" priority="10231" stopIfTrue="1" operator="equal">
      <formula>"Towel"</formula>
    </cfRule>
    <cfRule type="cellIs" dxfId="21608" priority="10232" stopIfTrue="1" operator="equal">
      <formula>"Napkin Hs"</formula>
    </cfRule>
    <cfRule type="cellIs" dxfId="21607" priority="10239" stopIfTrue="1" operator="equal">
      <formula>"Towel"</formula>
    </cfRule>
    <cfRule type="cellIs" dxfId="21606" priority="10240" stopIfTrue="1" operator="equal">
      <formula>"Napkin Hs"</formula>
    </cfRule>
  </conditionalFormatting>
  <conditionalFormatting sqref="B68:C68">
    <cfRule type="cellIs" dxfId="21605" priority="10221" stopIfTrue="1" operator="equal">
      <formula>"Towel"</formula>
    </cfRule>
    <cfRule type="cellIs" dxfId="21604" priority="10222" stopIfTrue="1" operator="equal">
      <formula>"Napkin Hs"</formula>
    </cfRule>
  </conditionalFormatting>
  <conditionalFormatting sqref="B68:C68">
    <cfRule type="cellIs" dxfId="21603" priority="10213" stopIfTrue="1" operator="equal">
      <formula>"Towel"</formula>
    </cfRule>
    <cfRule type="cellIs" dxfId="21602" priority="10214" stopIfTrue="1" operator="equal">
      <formula>"Napkin Hs"</formula>
    </cfRule>
    <cfRule type="cellIs" dxfId="21601" priority="10219" stopIfTrue="1" operator="equal">
      <formula>"Towel"</formula>
    </cfRule>
    <cfRule type="cellIs" dxfId="21600" priority="10220" stopIfTrue="1" operator="equal">
      <formula>"Napkin Hs"</formula>
    </cfRule>
  </conditionalFormatting>
  <conditionalFormatting sqref="C68">
    <cfRule type="cellIs" dxfId="21599" priority="10209" stopIfTrue="1" operator="equal">
      <formula>"Towel"</formula>
    </cfRule>
    <cfRule type="cellIs" dxfId="21598" priority="10210" stopIfTrue="1" operator="equal">
      <formula>"Napkin Hs"</formula>
    </cfRule>
  </conditionalFormatting>
  <conditionalFormatting sqref="C68">
    <cfRule type="cellIs" dxfId="21597" priority="10207" stopIfTrue="1" operator="equal">
      <formula>"Towel"</formula>
    </cfRule>
    <cfRule type="cellIs" dxfId="21596" priority="10208" stopIfTrue="1" operator="equal">
      <formula>"Napkin Hs"</formula>
    </cfRule>
    <cfRule type="cellIs" dxfId="21595" priority="10217" stopIfTrue="1" operator="equal">
      <formula>"Towel"</formula>
    </cfRule>
    <cfRule type="cellIs" dxfId="21594" priority="10218" stopIfTrue="1" operator="equal">
      <formula>"Napkin Hs"</formula>
    </cfRule>
  </conditionalFormatting>
  <conditionalFormatting sqref="C68">
    <cfRule type="cellIs" dxfId="21593" priority="10211" stopIfTrue="1" operator="equal">
      <formula>"Towel"</formula>
    </cfRule>
    <cfRule type="cellIs" dxfId="21592" priority="10212" stopIfTrue="1" operator="equal">
      <formula>"Napkin Hs"</formula>
    </cfRule>
    <cfRule type="cellIs" dxfId="21591" priority="10215" stopIfTrue="1" operator="equal">
      <formula>"Towel"</formula>
    </cfRule>
    <cfRule type="cellIs" dxfId="21590" priority="10216" stopIfTrue="1" operator="equal">
      <formula>"Napkin Hs"</formula>
    </cfRule>
  </conditionalFormatting>
  <conditionalFormatting sqref="C68">
    <cfRule type="cellIs" dxfId="21589" priority="10206" stopIfTrue="1" operator="equal">
      <formula>"Napkin Hs"</formula>
    </cfRule>
  </conditionalFormatting>
  <conditionalFormatting sqref="C68">
    <cfRule type="cellIs" dxfId="21588" priority="10205" stopIfTrue="1" operator="equal">
      <formula>"Towel"</formula>
    </cfRule>
  </conditionalFormatting>
  <conditionalFormatting sqref="C68">
    <cfRule type="cellIs" dxfId="21587" priority="10201" stopIfTrue="1" operator="equal">
      <formula>"Towel"</formula>
    </cfRule>
    <cfRule type="cellIs" dxfId="21586" priority="10202" stopIfTrue="1" operator="equal">
      <formula>"Napkin Hs"</formula>
    </cfRule>
    <cfRule type="cellIs" dxfId="21585" priority="10203" stopIfTrue="1" operator="equal">
      <formula>"Towel"</formula>
    </cfRule>
    <cfRule type="cellIs" dxfId="21584" priority="10204" stopIfTrue="1" operator="equal">
      <formula>"Napkin Hs"</formula>
    </cfRule>
  </conditionalFormatting>
  <conditionalFormatting sqref="B68:C68">
    <cfRule type="cellIs" dxfId="21583" priority="10199" stopIfTrue="1" operator="equal">
      <formula>"Towel"</formula>
    </cfRule>
    <cfRule type="cellIs" dxfId="21582" priority="10200" stopIfTrue="1" operator="equal">
      <formula>"Napkin Hs"</formula>
    </cfRule>
  </conditionalFormatting>
  <conditionalFormatting sqref="C68">
    <cfRule type="cellIs" dxfId="21581" priority="10195" stopIfTrue="1" operator="equal">
      <formula>"Towel"</formula>
    </cfRule>
    <cfRule type="cellIs" dxfId="21580" priority="10196" stopIfTrue="1" operator="equal">
      <formula>"Napkin Hs"</formula>
    </cfRule>
  </conditionalFormatting>
  <conditionalFormatting sqref="C68">
    <cfRule type="cellIs" dxfId="21579" priority="10197" stopIfTrue="1" operator="equal">
      <formula>"Towel"</formula>
    </cfRule>
    <cfRule type="cellIs" dxfId="21578" priority="10198" stopIfTrue="1" operator="equal">
      <formula>"Napkin Hs"</formula>
    </cfRule>
  </conditionalFormatting>
  <conditionalFormatting sqref="B68:C68">
    <cfRule type="cellIs" dxfId="21577" priority="10193" stopIfTrue="1" operator="equal">
      <formula>"Towel"</formula>
    </cfRule>
    <cfRule type="cellIs" dxfId="21576" priority="10194" stopIfTrue="1" operator="equal">
      <formula>"Napkin Hs"</formula>
    </cfRule>
  </conditionalFormatting>
  <conditionalFormatting sqref="C68">
    <cfRule type="cellIs" dxfId="21575" priority="10189" stopIfTrue="1" operator="equal">
      <formula>"Towel"</formula>
    </cfRule>
    <cfRule type="cellIs" dxfId="21574" priority="10190" stopIfTrue="1" operator="equal">
      <formula>"Napkin Hs"</formula>
    </cfRule>
  </conditionalFormatting>
  <conditionalFormatting sqref="C68">
    <cfRule type="cellIs" dxfId="21573" priority="10191" stopIfTrue="1" operator="equal">
      <formula>"Towel"</formula>
    </cfRule>
    <cfRule type="cellIs" dxfId="21572" priority="10192" stopIfTrue="1" operator="equal">
      <formula>"Napkin Hs"</formula>
    </cfRule>
  </conditionalFormatting>
  <conditionalFormatting sqref="B68:C68">
    <cfRule type="cellIs" dxfId="21571" priority="10187" stopIfTrue="1" operator="equal">
      <formula>"Towel"</formula>
    </cfRule>
    <cfRule type="cellIs" dxfId="21570" priority="10188" stopIfTrue="1" operator="equal">
      <formula>"Napkin Hs"</formula>
    </cfRule>
  </conditionalFormatting>
  <conditionalFormatting sqref="C68">
    <cfRule type="cellIs" dxfId="21569" priority="10183" stopIfTrue="1" operator="equal">
      <formula>"Towel"</formula>
    </cfRule>
    <cfRule type="cellIs" dxfId="21568" priority="10184" stopIfTrue="1" operator="equal">
      <formula>"Napkin Hs"</formula>
    </cfRule>
  </conditionalFormatting>
  <conditionalFormatting sqref="C68">
    <cfRule type="cellIs" dxfId="21567" priority="10185" stopIfTrue="1" operator="equal">
      <formula>"Towel"</formula>
    </cfRule>
    <cfRule type="cellIs" dxfId="21566" priority="10186" stopIfTrue="1" operator="equal">
      <formula>"Napkin Hs"</formula>
    </cfRule>
  </conditionalFormatting>
  <conditionalFormatting sqref="B68:C68">
    <cfRule type="cellIs" dxfId="21565" priority="10181" stopIfTrue="1" operator="equal">
      <formula>"Towel"</formula>
    </cfRule>
    <cfRule type="cellIs" dxfId="21564" priority="10182" stopIfTrue="1" operator="equal">
      <formula>"Napkin Hs"</formula>
    </cfRule>
  </conditionalFormatting>
  <conditionalFormatting sqref="C68">
    <cfRule type="cellIs" dxfId="21563" priority="10179" stopIfTrue="1" operator="equal">
      <formula>"Towel"</formula>
    </cfRule>
    <cfRule type="cellIs" dxfId="21562" priority="10180" stopIfTrue="1" operator="equal">
      <formula>"Napkin Hs"</formula>
    </cfRule>
  </conditionalFormatting>
  <conditionalFormatting sqref="C68">
    <cfRule type="cellIs" dxfId="21561" priority="10177" stopIfTrue="1" operator="equal">
      <formula>"Towel"</formula>
    </cfRule>
    <cfRule type="cellIs" dxfId="21560" priority="10178" stopIfTrue="1" operator="equal">
      <formula>"Napkin Hs"</formula>
    </cfRule>
  </conditionalFormatting>
  <conditionalFormatting sqref="B68:C68">
    <cfRule type="cellIs" dxfId="21559" priority="10175" stopIfTrue="1" operator="equal">
      <formula>"Towel"</formula>
    </cfRule>
    <cfRule type="cellIs" dxfId="21558" priority="10176" stopIfTrue="1" operator="equal">
      <formula>"Napkin Hs"</formula>
    </cfRule>
  </conditionalFormatting>
  <conditionalFormatting sqref="C68">
    <cfRule type="cellIs" dxfId="21557" priority="10174" stopIfTrue="1" operator="equal">
      <formula>"Napkin Hs"</formula>
    </cfRule>
  </conditionalFormatting>
  <conditionalFormatting sqref="C68">
    <cfRule type="cellIs" dxfId="21556" priority="10171" stopIfTrue="1" operator="equal">
      <formula>"Towel"</formula>
    </cfRule>
    <cfRule type="cellIs" dxfId="21555" priority="10172" stopIfTrue="1" operator="equal">
      <formula>"Napkin Hs"</formula>
    </cfRule>
  </conditionalFormatting>
  <conditionalFormatting sqref="C68">
    <cfRule type="cellIs" dxfId="21554" priority="10173" stopIfTrue="1" operator="equal">
      <formula>"Towel"</formula>
    </cfRule>
  </conditionalFormatting>
  <conditionalFormatting sqref="B67:C67">
    <cfRule type="cellIs" dxfId="21553" priority="10169" stopIfTrue="1" operator="equal">
      <formula>"Towel"</formula>
    </cfRule>
    <cfRule type="cellIs" dxfId="21552" priority="10170" stopIfTrue="1" operator="equal">
      <formula>"Napkin Hs"</formula>
    </cfRule>
  </conditionalFormatting>
  <conditionalFormatting sqref="B67:C67">
    <cfRule type="cellIs" dxfId="21551" priority="10145" stopIfTrue="1" operator="equal">
      <formula>"Towel"</formula>
    </cfRule>
    <cfRule type="cellIs" dxfId="21550" priority="10146" stopIfTrue="1" operator="equal">
      <formula>"Napkin Hs"</formula>
    </cfRule>
    <cfRule type="cellIs" dxfId="21549" priority="10151" stopIfTrue="1" operator="equal">
      <formula>"Towel"</formula>
    </cfRule>
    <cfRule type="cellIs" dxfId="21548" priority="10152" stopIfTrue="1" operator="equal">
      <formula>"Napkin Hs"</formula>
    </cfRule>
    <cfRule type="cellIs" dxfId="21547" priority="10157" stopIfTrue="1" operator="equal">
      <formula>"Towel"</formula>
    </cfRule>
    <cfRule type="cellIs" dxfId="21546" priority="10158" stopIfTrue="1" operator="equal">
      <formula>"Napkin Hs"</formula>
    </cfRule>
    <cfRule type="cellIs" dxfId="21545" priority="10163" stopIfTrue="1" operator="equal">
      <formula>"Towel"</formula>
    </cfRule>
    <cfRule type="cellIs" dxfId="21544" priority="10164" stopIfTrue="1" operator="equal">
      <formula>"Napkin Hs"</formula>
    </cfRule>
  </conditionalFormatting>
  <conditionalFormatting sqref="C67">
    <cfRule type="cellIs" dxfId="21543" priority="10159" stopIfTrue="1" operator="equal">
      <formula>"Towel"</formula>
    </cfRule>
    <cfRule type="cellIs" dxfId="21542" priority="10160" stopIfTrue="1" operator="equal">
      <formula>"Napkin Hs"</formula>
    </cfRule>
    <cfRule type="cellIs" dxfId="21541" priority="10165" stopIfTrue="1" operator="equal">
      <formula>"Towel"</formula>
    </cfRule>
    <cfRule type="cellIs" dxfId="21540" priority="10166" stopIfTrue="1" operator="equal">
      <formula>"Napkin Hs"</formula>
    </cfRule>
  </conditionalFormatting>
  <conditionalFormatting sqref="C67">
    <cfRule type="cellIs" dxfId="21539" priority="10139" stopIfTrue="1" operator="equal">
      <formula>"Towel"</formula>
    </cfRule>
    <cfRule type="cellIs" dxfId="21538" priority="10140" stopIfTrue="1" operator="equal">
      <formula>"Napkin Hs"</formula>
    </cfRule>
    <cfRule type="cellIs" dxfId="21537" priority="10141" stopIfTrue="1" operator="equal">
      <formula>"Towel"</formula>
    </cfRule>
    <cfRule type="cellIs" dxfId="21536" priority="10142" stopIfTrue="1" operator="equal">
      <formula>"Napkin Hs"</formula>
    </cfRule>
    <cfRule type="cellIs" dxfId="21535" priority="10149" stopIfTrue="1" operator="equal">
      <formula>"Towel"</formula>
    </cfRule>
    <cfRule type="cellIs" dxfId="21534" priority="10150" stopIfTrue="1" operator="equal">
      <formula>"Napkin Hs"</formula>
    </cfRule>
    <cfRule type="cellIs" dxfId="21533" priority="10153" stopIfTrue="1" operator="equal">
      <formula>"Towel"</formula>
    </cfRule>
    <cfRule type="cellIs" dxfId="21532" priority="10154" stopIfTrue="1" operator="equal">
      <formula>"Napkin Hs"</formula>
    </cfRule>
    <cfRule type="cellIs" dxfId="21531" priority="10155" stopIfTrue="1" operator="equal">
      <formula>"Towel"</formula>
    </cfRule>
    <cfRule type="cellIs" dxfId="21530" priority="10156" stopIfTrue="1" operator="equal">
      <formula>"Napkin Hs"</formula>
    </cfRule>
  </conditionalFormatting>
  <conditionalFormatting sqref="C67">
    <cfRule type="cellIs" dxfId="21529" priority="10167" stopIfTrue="1" operator="equal">
      <formula>"Towel"</formula>
    </cfRule>
    <cfRule type="cellIs" dxfId="21528" priority="10168" stopIfTrue="1" operator="equal">
      <formula>"Napkin Hs"</formula>
    </cfRule>
  </conditionalFormatting>
  <conditionalFormatting sqref="C67">
    <cfRule type="cellIs" dxfId="21527" priority="10143" stopIfTrue="1" operator="equal">
      <formula>"Towel"</formula>
    </cfRule>
    <cfRule type="cellIs" dxfId="21526" priority="10144" stopIfTrue="1" operator="equal">
      <formula>"Napkin Hs"</formula>
    </cfRule>
    <cfRule type="cellIs" dxfId="21525" priority="10147" stopIfTrue="1" operator="equal">
      <formula>"Towel"</formula>
    </cfRule>
    <cfRule type="cellIs" dxfId="21524" priority="10148" stopIfTrue="1" operator="equal">
      <formula>"Napkin Hs"</formula>
    </cfRule>
    <cfRule type="cellIs" dxfId="21523" priority="10161" stopIfTrue="1" operator="equal">
      <formula>"Towel"</formula>
    </cfRule>
    <cfRule type="cellIs" dxfId="21522" priority="10162" stopIfTrue="1" operator="equal">
      <formula>"Napkin Hs"</formula>
    </cfRule>
  </conditionalFormatting>
  <conditionalFormatting sqref="B67:C67">
    <cfRule type="cellIs" dxfId="21521" priority="10095" stopIfTrue="1" operator="equal">
      <formula>"Towel"</formula>
    </cfRule>
    <cfRule type="cellIs" dxfId="21520" priority="10096" stopIfTrue="1" operator="equal">
      <formula>"Napkin Hs"</formula>
    </cfRule>
    <cfRule type="cellIs" dxfId="21519" priority="10101" stopIfTrue="1" operator="equal">
      <formula>"Towel"</formula>
    </cfRule>
    <cfRule type="cellIs" dxfId="21518" priority="10102" stopIfTrue="1" operator="equal">
      <formula>"Napkin Hs"</formula>
    </cfRule>
    <cfRule type="cellIs" dxfId="21517" priority="10107" stopIfTrue="1" operator="equal">
      <formula>"Towel"</formula>
    </cfRule>
    <cfRule type="cellIs" dxfId="21516" priority="10108" stopIfTrue="1" operator="equal">
      <formula>"Napkin Hs"</formula>
    </cfRule>
    <cfRule type="cellIs" dxfId="21515" priority="10113" stopIfTrue="1" operator="equal">
      <formula>"Towel"</formula>
    </cfRule>
    <cfRule type="cellIs" dxfId="21514" priority="10114" stopIfTrue="1" operator="equal">
      <formula>"Napkin Hs"</formula>
    </cfRule>
    <cfRule type="cellIs" dxfId="21513" priority="10119" stopIfTrue="1" operator="equal">
      <formula>"Towel"</formula>
    </cfRule>
    <cfRule type="cellIs" dxfId="21512" priority="10120" stopIfTrue="1" operator="equal">
      <formula>"Napkin Hs"</formula>
    </cfRule>
    <cfRule type="cellIs" dxfId="21511" priority="10125" stopIfTrue="1" operator="equal">
      <formula>"Towel"</formula>
    </cfRule>
    <cfRule type="cellIs" dxfId="21510" priority="10126" stopIfTrue="1" operator="equal">
      <formula>"Napkin Hs"</formula>
    </cfRule>
    <cfRule type="cellIs" dxfId="21509" priority="10131" stopIfTrue="1" operator="equal">
      <formula>"Towel"</formula>
    </cfRule>
    <cfRule type="cellIs" dxfId="21508" priority="10132" stopIfTrue="1" operator="equal">
      <formula>"Napkin Hs"</formula>
    </cfRule>
    <cfRule type="cellIs" dxfId="21507" priority="10137" stopIfTrue="1" operator="equal">
      <formula>"Towel"</formula>
    </cfRule>
    <cfRule type="cellIs" dxfId="21506" priority="10138" stopIfTrue="1" operator="equal">
      <formula>"Napkin Hs"</formula>
    </cfRule>
  </conditionalFormatting>
  <conditionalFormatting sqref="C67">
    <cfRule type="cellIs" dxfId="21505" priority="10091" stopIfTrue="1" operator="equal">
      <formula>"Towel"</formula>
    </cfRule>
    <cfRule type="cellIs" dxfId="21504" priority="10092" stopIfTrue="1" operator="equal">
      <formula>"Napkin Hs"</formula>
    </cfRule>
    <cfRule type="cellIs" dxfId="21503" priority="10093" stopIfTrue="1" operator="equal">
      <formula>"Towel"</formula>
    </cfRule>
    <cfRule type="cellIs" dxfId="21502" priority="10094" stopIfTrue="1" operator="equal">
      <formula>"Napkin Hs"</formula>
    </cfRule>
    <cfRule type="cellIs" dxfId="21501" priority="10097" stopIfTrue="1" operator="equal">
      <formula>"Towel"</formula>
    </cfRule>
    <cfRule type="cellIs" dxfId="21500" priority="10098" stopIfTrue="1" operator="equal">
      <formula>"Napkin Hs"</formula>
    </cfRule>
    <cfRule type="cellIs" dxfId="21499" priority="10099" stopIfTrue="1" operator="equal">
      <formula>"Towel"</formula>
    </cfRule>
    <cfRule type="cellIs" dxfId="21498" priority="10100" stopIfTrue="1" operator="equal">
      <formula>"Napkin Hs"</formula>
    </cfRule>
    <cfRule type="cellIs" dxfId="21497" priority="10103" stopIfTrue="1" operator="equal">
      <formula>"Towel"</formula>
    </cfRule>
    <cfRule type="cellIs" dxfId="21496" priority="10104" stopIfTrue="1" operator="equal">
      <formula>"Napkin Hs"</formula>
    </cfRule>
    <cfRule type="cellIs" dxfId="21495" priority="10105" stopIfTrue="1" operator="equal">
      <formula>"Towel"</formula>
    </cfRule>
    <cfRule type="cellIs" dxfId="21494" priority="10106" stopIfTrue="1" operator="equal">
      <formula>"Napkin Hs"</formula>
    </cfRule>
    <cfRule type="cellIs" dxfId="21493" priority="10109" stopIfTrue="1" operator="equal">
      <formula>"Towel"</formula>
    </cfRule>
    <cfRule type="cellIs" dxfId="21492" priority="10110" stopIfTrue="1" operator="equal">
      <formula>"Napkin Hs"</formula>
    </cfRule>
    <cfRule type="cellIs" dxfId="21491" priority="10111" stopIfTrue="1" operator="equal">
      <formula>"Towel"</formula>
    </cfRule>
    <cfRule type="cellIs" dxfId="21490" priority="10112" stopIfTrue="1" operator="equal">
      <formula>"Napkin Hs"</formula>
    </cfRule>
    <cfRule type="cellIs" dxfId="21489" priority="10115" stopIfTrue="1" operator="equal">
      <formula>"Towel"</formula>
    </cfRule>
    <cfRule type="cellIs" dxfId="21488" priority="10116" stopIfTrue="1" operator="equal">
      <formula>"Napkin Hs"</formula>
    </cfRule>
    <cfRule type="cellIs" dxfId="21487" priority="10117" stopIfTrue="1" operator="equal">
      <formula>"Towel"</formula>
    </cfRule>
    <cfRule type="cellIs" dxfId="21486" priority="10118" stopIfTrue="1" operator="equal">
      <formula>"Napkin Hs"</formula>
    </cfRule>
    <cfRule type="cellIs" dxfId="21485" priority="10121" stopIfTrue="1" operator="equal">
      <formula>"Towel"</formula>
    </cfRule>
    <cfRule type="cellIs" dxfId="21484" priority="10122" stopIfTrue="1" operator="equal">
      <formula>"Napkin Hs"</formula>
    </cfRule>
    <cfRule type="cellIs" dxfId="21483" priority="10123" stopIfTrue="1" operator="equal">
      <formula>"Towel"</formula>
    </cfRule>
    <cfRule type="cellIs" dxfId="21482" priority="10124" stopIfTrue="1" operator="equal">
      <formula>"Napkin Hs"</formula>
    </cfRule>
    <cfRule type="cellIs" dxfId="21481" priority="10127" stopIfTrue="1" operator="equal">
      <formula>"Towel"</formula>
    </cfRule>
    <cfRule type="cellIs" dxfId="21480" priority="10128" stopIfTrue="1" operator="equal">
      <formula>"Napkin Hs"</formula>
    </cfRule>
    <cfRule type="cellIs" dxfId="21479" priority="10129" stopIfTrue="1" operator="equal">
      <formula>"Towel"</formula>
    </cfRule>
    <cfRule type="cellIs" dxfId="21478" priority="10130" stopIfTrue="1" operator="equal">
      <formula>"Napkin Hs"</formula>
    </cfRule>
    <cfRule type="cellIs" dxfId="21477" priority="10133" stopIfTrue="1" operator="equal">
      <formula>"Towel"</formula>
    </cfRule>
    <cfRule type="cellIs" dxfId="21476" priority="10134" stopIfTrue="1" operator="equal">
      <formula>"Napkin Hs"</formula>
    </cfRule>
  </conditionalFormatting>
  <conditionalFormatting sqref="C67">
    <cfRule type="cellIs" dxfId="21475" priority="10135" stopIfTrue="1" operator="equal">
      <formula>"Towel"</formula>
    </cfRule>
    <cfRule type="cellIs" dxfId="21474" priority="10136" stopIfTrue="1" operator="equal">
      <formula>"Napkin Hs"</formula>
    </cfRule>
  </conditionalFormatting>
  <conditionalFormatting sqref="B67">
    <cfRule type="cellIs" dxfId="21473" priority="10085" stopIfTrue="1" operator="equal">
      <formula>"Towel"</formula>
    </cfRule>
    <cfRule type="cellIs" dxfId="21472" priority="10086" stopIfTrue="1" operator="equal">
      <formula>"Napkin Hs"</formula>
    </cfRule>
    <cfRule type="cellIs" dxfId="21471" priority="10087" stopIfTrue="1" operator="equal">
      <formula>"Towel"</formula>
    </cfRule>
    <cfRule type="cellIs" dxfId="21470" priority="10088" stopIfTrue="1" operator="equal">
      <formula>"Napkin Hs"</formula>
    </cfRule>
    <cfRule type="cellIs" dxfId="21469" priority="10089" stopIfTrue="1" operator="equal">
      <formula>"Towel"</formula>
    </cfRule>
    <cfRule type="cellIs" dxfId="21468" priority="10090" stopIfTrue="1" operator="equal">
      <formula>"Napkin Hs"</formula>
    </cfRule>
  </conditionalFormatting>
  <conditionalFormatting sqref="B67:C67">
    <cfRule type="cellIs" dxfId="21467" priority="10047" stopIfTrue="1" operator="equal">
      <formula>"Towel"</formula>
    </cfRule>
    <cfRule type="cellIs" dxfId="21466" priority="10048" stopIfTrue="1" operator="equal">
      <formula>"Napkin Hs"</formula>
    </cfRule>
    <cfRule type="cellIs" dxfId="21465" priority="10053" stopIfTrue="1" operator="equal">
      <formula>"Towel"</formula>
    </cfRule>
    <cfRule type="cellIs" dxfId="21464" priority="10054" stopIfTrue="1" operator="equal">
      <formula>"Napkin Hs"</formula>
    </cfRule>
    <cfRule type="cellIs" dxfId="21463" priority="10059" stopIfTrue="1" operator="equal">
      <formula>"Towel"</formula>
    </cfRule>
    <cfRule type="cellIs" dxfId="21462" priority="10060" stopIfTrue="1" operator="equal">
      <formula>"Napkin Hs"</formula>
    </cfRule>
    <cfRule type="cellIs" dxfId="21461" priority="10065" stopIfTrue="1" operator="equal">
      <formula>"Towel"</formula>
    </cfRule>
    <cfRule type="cellIs" dxfId="21460" priority="10066" stopIfTrue="1" operator="equal">
      <formula>"Napkin Hs"</formula>
    </cfRule>
    <cfRule type="cellIs" dxfId="21459" priority="10071" stopIfTrue="1" operator="equal">
      <formula>"Towel"</formula>
    </cfRule>
    <cfRule type="cellIs" dxfId="21458" priority="10072" stopIfTrue="1" operator="equal">
      <formula>"Napkin Hs"</formula>
    </cfRule>
    <cfRule type="cellIs" dxfId="21457" priority="10077" stopIfTrue="1" operator="equal">
      <formula>"Towel"</formula>
    </cfRule>
    <cfRule type="cellIs" dxfId="21456" priority="10078" stopIfTrue="1" operator="equal">
      <formula>"Napkin Hs"</formula>
    </cfRule>
    <cfRule type="cellIs" dxfId="21455" priority="10083" stopIfTrue="1" operator="equal">
      <formula>"Towel"</formula>
    </cfRule>
    <cfRule type="cellIs" dxfId="21454" priority="10084" stopIfTrue="1" operator="equal">
      <formula>"Napkin Hs"</formula>
    </cfRule>
  </conditionalFormatting>
  <conditionalFormatting sqref="C67">
    <cfRule type="cellIs" dxfId="21453" priority="10043" stopIfTrue="1" operator="equal">
      <formula>"Towel"</formula>
    </cfRule>
    <cfRule type="cellIs" dxfId="21452" priority="10044" stopIfTrue="1" operator="equal">
      <formula>"Napkin Hs"</formula>
    </cfRule>
    <cfRule type="cellIs" dxfId="21451" priority="10045" stopIfTrue="1" operator="equal">
      <formula>"Towel"</formula>
    </cfRule>
    <cfRule type="cellIs" dxfId="21450" priority="10046" stopIfTrue="1" operator="equal">
      <formula>"Napkin Hs"</formula>
    </cfRule>
    <cfRule type="cellIs" dxfId="21449" priority="10049" stopIfTrue="1" operator="equal">
      <formula>"Towel"</formula>
    </cfRule>
    <cfRule type="cellIs" dxfId="21448" priority="10050" stopIfTrue="1" operator="equal">
      <formula>"Napkin Hs"</formula>
    </cfRule>
    <cfRule type="cellIs" dxfId="21447" priority="10051" stopIfTrue="1" operator="equal">
      <formula>"Towel"</formula>
    </cfRule>
    <cfRule type="cellIs" dxfId="21446" priority="10052" stopIfTrue="1" operator="equal">
      <formula>"Napkin Hs"</formula>
    </cfRule>
    <cfRule type="cellIs" dxfId="21445" priority="10055" stopIfTrue="1" operator="equal">
      <formula>"Towel"</formula>
    </cfRule>
    <cfRule type="cellIs" dxfId="21444" priority="10056" stopIfTrue="1" operator="equal">
      <formula>"Napkin Hs"</formula>
    </cfRule>
    <cfRule type="cellIs" dxfId="21443" priority="10057" stopIfTrue="1" operator="equal">
      <formula>"Towel"</formula>
    </cfRule>
    <cfRule type="cellIs" dxfId="21442" priority="10058" stopIfTrue="1" operator="equal">
      <formula>"Napkin Hs"</formula>
    </cfRule>
    <cfRule type="cellIs" dxfId="21441" priority="10061" stopIfTrue="1" operator="equal">
      <formula>"Towel"</formula>
    </cfRule>
    <cfRule type="cellIs" dxfId="21440" priority="10062" stopIfTrue="1" operator="equal">
      <formula>"Napkin Hs"</formula>
    </cfRule>
    <cfRule type="cellIs" dxfId="21439" priority="10063" stopIfTrue="1" operator="equal">
      <formula>"Towel"</formula>
    </cfRule>
    <cfRule type="cellIs" dxfId="21438" priority="10064" stopIfTrue="1" operator="equal">
      <formula>"Napkin Hs"</formula>
    </cfRule>
    <cfRule type="cellIs" dxfId="21437" priority="10067" stopIfTrue="1" operator="equal">
      <formula>"Towel"</formula>
    </cfRule>
    <cfRule type="cellIs" dxfId="21436" priority="10068" stopIfTrue="1" operator="equal">
      <formula>"Napkin Hs"</formula>
    </cfRule>
    <cfRule type="cellIs" dxfId="21435" priority="10069" stopIfTrue="1" operator="equal">
      <formula>"Towel"</formula>
    </cfRule>
    <cfRule type="cellIs" dxfId="21434" priority="10070" stopIfTrue="1" operator="equal">
      <formula>"Napkin Hs"</formula>
    </cfRule>
    <cfRule type="cellIs" dxfId="21433" priority="10073" stopIfTrue="1" operator="equal">
      <formula>"Towel"</formula>
    </cfRule>
    <cfRule type="cellIs" dxfId="21432" priority="10074" stopIfTrue="1" operator="equal">
      <formula>"Napkin Hs"</formula>
    </cfRule>
    <cfRule type="cellIs" dxfId="21431" priority="10075" stopIfTrue="1" operator="equal">
      <formula>"Towel"</formula>
    </cfRule>
    <cfRule type="cellIs" dxfId="21430" priority="10076" stopIfTrue="1" operator="equal">
      <formula>"Napkin Hs"</formula>
    </cfRule>
    <cfRule type="cellIs" dxfId="21429" priority="10079" stopIfTrue="1" operator="equal">
      <formula>"Towel"</formula>
    </cfRule>
    <cfRule type="cellIs" dxfId="21428" priority="10080" stopIfTrue="1" operator="equal">
      <formula>"Napkin Hs"</formula>
    </cfRule>
  </conditionalFormatting>
  <conditionalFormatting sqref="C67">
    <cfRule type="cellIs" dxfId="21427" priority="10081" stopIfTrue="1" operator="equal">
      <formula>"Towel"</formula>
    </cfRule>
    <cfRule type="cellIs" dxfId="21426" priority="10082" stopIfTrue="1" operator="equal">
      <formula>"Napkin Hs"</formula>
    </cfRule>
  </conditionalFormatting>
  <conditionalFormatting sqref="B67:C67">
    <cfRule type="cellIs" dxfId="21425" priority="10041" stopIfTrue="1" operator="equal">
      <formula>"Towel"</formula>
    </cfRule>
    <cfRule type="cellIs" dxfId="21424" priority="10042" stopIfTrue="1" operator="equal">
      <formula>"Napkin Hs"</formula>
    </cfRule>
  </conditionalFormatting>
  <conditionalFormatting sqref="B67:C67">
    <cfRule type="cellIs" dxfId="21423" priority="10005" stopIfTrue="1" operator="equal">
      <formula>"Towel"</formula>
    </cfRule>
    <cfRule type="cellIs" dxfId="21422" priority="10006" stopIfTrue="1" operator="equal">
      <formula>"Napkin Hs"</formula>
    </cfRule>
    <cfRule type="cellIs" dxfId="21421" priority="10011" stopIfTrue="1" operator="equal">
      <formula>"Towel"</formula>
    </cfRule>
    <cfRule type="cellIs" dxfId="21420" priority="10012" stopIfTrue="1" operator="equal">
      <formula>"Napkin Hs"</formula>
    </cfRule>
    <cfRule type="cellIs" dxfId="21419" priority="10017" stopIfTrue="1" operator="equal">
      <formula>"Towel"</formula>
    </cfRule>
    <cfRule type="cellIs" dxfId="21418" priority="10018" stopIfTrue="1" operator="equal">
      <formula>"Napkin Hs"</formula>
    </cfRule>
    <cfRule type="cellIs" dxfId="21417" priority="10023" stopIfTrue="1" operator="equal">
      <formula>"Towel"</formula>
    </cfRule>
    <cfRule type="cellIs" dxfId="21416" priority="10024" stopIfTrue="1" operator="equal">
      <formula>"Napkin Hs"</formula>
    </cfRule>
    <cfRule type="cellIs" dxfId="21415" priority="10029" stopIfTrue="1" operator="equal">
      <formula>"Towel"</formula>
    </cfRule>
    <cfRule type="cellIs" dxfId="21414" priority="10030" stopIfTrue="1" operator="equal">
      <formula>"Napkin Hs"</formula>
    </cfRule>
    <cfRule type="cellIs" dxfId="21413" priority="10035" stopIfTrue="1" operator="equal">
      <formula>"Towel"</formula>
    </cfRule>
    <cfRule type="cellIs" dxfId="21412" priority="10036" stopIfTrue="1" operator="equal">
      <formula>"Napkin Hs"</formula>
    </cfRule>
  </conditionalFormatting>
  <conditionalFormatting sqref="C67">
    <cfRule type="cellIs" dxfId="21411" priority="10040" stopIfTrue="1" operator="equal">
      <formula>"Napkin Hs"</formula>
    </cfRule>
  </conditionalFormatting>
  <conditionalFormatting sqref="C67">
    <cfRule type="cellIs" dxfId="21410" priority="10039" stopIfTrue="1" operator="equal">
      <formula>"Towel"</formula>
    </cfRule>
  </conditionalFormatting>
  <conditionalFormatting sqref="C67">
    <cfRule type="cellIs" dxfId="21409" priority="10033" stopIfTrue="1" operator="equal">
      <formula>"Towel"</formula>
    </cfRule>
    <cfRule type="cellIs" dxfId="21408" priority="10034" stopIfTrue="1" operator="equal">
      <formula>"Napkin Hs"</formula>
    </cfRule>
  </conditionalFormatting>
  <conditionalFormatting sqref="C67">
    <cfRule type="cellIs" dxfId="21407" priority="10031" stopIfTrue="1" operator="equal">
      <formula>"Towel"</formula>
    </cfRule>
    <cfRule type="cellIs" dxfId="21406" priority="10032" stopIfTrue="1" operator="equal">
      <formula>"Napkin Hs"</formula>
    </cfRule>
    <cfRule type="cellIs" dxfId="21405" priority="10037" stopIfTrue="1" operator="equal">
      <formula>"Towel"</formula>
    </cfRule>
    <cfRule type="cellIs" dxfId="21404" priority="10038" stopIfTrue="1" operator="equal">
      <formula>"Napkin Hs"</formula>
    </cfRule>
  </conditionalFormatting>
  <conditionalFormatting sqref="C67">
    <cfRule type="cellIs" dxfId="21403" priority="10003" stopIfTrue="1" operator="equal">
      <formula>"Towel"</formula>
    </cfRule>
    <cfRule type="cellIs" dxfId="21402" priority="10004" stopIfTrue="1" operator="equal">
      <formula>"Napkin Hs"</formula>
    </cfRule>
    <cfRule type="cellIs" dxfId="21401" priority="10007" stopIfTrue="1" operator="equal">
      <formula>"Towel"</formula>
    </cfRule>
    <cfRule type="cellIs" dxfId="21400" priority="10008" stopIfTrue="1" operator="equal">
      <formula>"Napkin Hs"</formula>
    </cfRule>
    <cfRule type="cellIs" dxfId="21399" priority="10009" stopIfTrue="1" operator="equal">
      <formula>"Towel"</formula>
    </cfRule>
    <cfRule type="cellIs" dxfId="21398" priority="10010" stopIfTrue="1" operator="equal">
      <formula>"Napkin Hs"</formula>
    </cfRule>
    <cfRule type="cellIs" dxfId="21397" priority="10013" stopIfTrue="1" operator="equal">
      <formula>"Towel"</formula>
    </cfRule>
    <cfRule type="cellIs" dxfId="21396" priority="10014" stopIfTrue="1" operator="equal">
      <formula>"Napkin Hs"</formula>
    </cfRule>
    <cfRule type="cellIs" dxfId="21395" priority="10015" stopIfTrue="1" operator="equal">
      <formula>"Towel"</formula>
    </cfRule>
    <cfRule type="cellIs" dxfId="21394" priority="10016" stopIfTrue="1" operator="equal">
      <formula>"Napkin Hs"</formula>
    </cfRule>
    <cfRule type="cellIs" dxfId="21393" priority="10019" stopIfTrue="1" operator="equal">
      <formula>"Towel"</formula>
    </cfRule>
    <cfRule type="cellIs" dxfId="21392" priority="10020" stopIfTrue="1" operator="equal">
      <formula>"Napkin Hs"</formula>
    </cfRule>
    <cfRule type="cellIs" dxfId="21391" priority="10021" stopIfTrue="1" operator="equal">
      <formula>"Towel"</formula>
    </cfRule>
    <cfRule type="cellIs" dxfId="21390" priority="10022" stopIfTrue="1" operator="equal">
      <formula>"Napkin Hs"</formula>
    </cfRule>
    <cfRule type="cellIs" dxfId="21389" priority="10025" stopIfTrue="1" operator="equal">
      <formula>"Towel"</formula>
    </cfRule>
    <cfRule type="cellIs" dxfId="21388" priority="10026" stopIfTrue="1" operator="equal">
      <formula>"Napkin Hs"</formula>
    </cfRule>
    <cfRule type="cellIs" dxfId="21387" priority="10027" stopIfTrue="1" operator="equal">
      <formula>"Towel"</formula>
    </cfRule>
    <cfRule type="cellIs" dxfId="21386" priority="10028" stopIfTrue="1" operator="equal">
      <formula>"Napkin Hs"</formula>
    </cfRule>
  </conditionalFormatting>
  <conditionalFormatting sqref="C67">
    <cfRule type="cellIs" dxfId="21385" priority="10001" stopIfTrue="1" operator="equal">
      <formula>"Towel"</formula>
    </cfRule>
    <cfRule type="cellIs" dxfId="21384" priority="10002" stopIfTrue="1" operator="equal">
      <formula>"Napkin Hs"</formula>
    </cfRule>
  </conditionalFormatting>
  <conditionalFormatting sqref="C67">
    <cfRule type="cellIs" dxfId="21383" priority="9981" stopIfTrue="1" operator="equal">
      <formula>"Towel"</formula>
    </cfRule>
    <cfRule type="cellIs" dxfId="21382" priority="9982" stopIfTrue="1" operator="equal">
      <formula>"Napkin Hs"</formula>
    </cfRule>
    <cfRule type="cellIs" dxfId="21381" priority="9987" stopIfTrue="1" operator="equal">
      <formula>"Towel"</formula>
    </cfRule>
    <cfRule type="cellIs" dxfId="21380" priority="9988" stopIfTrue="1" operator="equal">
      <formula>"Napkin Hs"</formula>
    </cfRule>
    <cfRule type="cellIs" dxfId="21379" priority="9993" stopIfTrue="1" operator="equal">
      <formula>"Towel"</formula>
    </cfRule>
    <cfRule type="cellIs" dxfId="21378" priority="9994" stopIfTrue="1" operator="equal">
      <formula>"Napkin Hs"</formula>
    </cfRule>
    <cfRule type="cellIs" dxfId="21377" priority="9999" stopIfTrue="1" operator="equal">
      <formula>"Towel"</formula>
    </cfRule>
    <cfRule type="cellIs" dxfId="21376" priority="10000" stopIfTrue="1" operator="equal">
      <formula>"Napkin Hs"</formula>
    </cfRule>
  </conditionalFormatting>
  <conditionalFormatting sqref="C67">
    <cfRule type="cellIs" dxfId="21375" priority="9991" stopIfTrue="1" operator="equal">
      <formula>"Towel"</formula>
    </cfRule>
    <cfRule type="cellIs" dxfId="21374" priority="9992" stopIfTrue="1" operator="equal">
      <formula>"Napkin Hs"</formula>
    </cfRule>
    <cfRule type="cellIs" dxfId="21373" priority="9997" stopIfTrue="1" operator="equal">
      <formula>"Towel"</formula>
    </cfRule>
    <cfRule type="cellIs" dxfId="21372" priority="9998" stopIfTrue="1" operator="equal">
      <formula>"Napkin Hs"</formula>
    </cfRule>
  </conditionalFormatting>
  <conditionalFormatting sqref="C67">
    <cfRule type="cellIs" dxfId="21371" priority="9977" stopIfTrue="1" operator="equal">
      <formula>"Towel"</formula>
    </cfRule>
    <cfRule type="cellIs" dxfId="21370" priority="9978" stopIfTrue="1" operator="equal">
      <formula>"Napkin Hs"</formula>
    </cfRule>
    <cfRule type="cellIs" dxfId="21369" priority="9985" stopIfTrue="1" operator="equal">
      <formula>"Towel"</formula>
    </cfRule>
    <cfRule type="cellIs" dxfId="21368" priority="9986" stopIfTrue="1" operator="equal">
      <formula>"Napkin Hs"</formula>
    </cfRule>
    <cfRule type="cellIs" dxfId="21367" priority="9989" stopIfTrue="1" operator="equal">
      <formula>"Towel"</formula>
    </cfRule>
    <cfRule type="cellIs" dxfId="21366" priority="9990" stopIfTrue="1" operator="equal">
      <formula>"Napkin Hs"</formula>
    </cfRule>
  </conditionalFormatting>
  <conditionalFormatting sqref="C67">
    <cfRule type="cellIs" dxfId="21365" priority="9979" stopIfTrue="1" operator="equal">
      <formula>"Towel"</formula>
    </cfRule>
    <cfRule type="cellIs" dxfId="21364" priority="9980" stopIfTrue="1" operator="equal">
      <formula>"Napkin Hs"</formula>
    </cfRule>
    <cfRule type="cellIs" dxfId="21363" priority="9983" stopIfTrue="1" operator="equal">
      <formula>"Towel"</formula>
    </cfRule>
    <cfRule type="cellIs" dxfId="21362" priority="9984" stopIfTrue="1" operator="equal">
      <formula>"Napkin Hs"</formula>
    </cfRule>
    <cfRule type="cellIs" dxfId="21361" priority="9995" stopIfTrue="1" operator="equal">
      <formula>"Towel"</formula>
    </cfRule>
    <cfRule type="cellIs" dxfId="21360" priority="9996" stopIfTrue="1" operator="equal">
      <formula>"Napkin Hs"</formula>
    </cfRule>
  </conditionalFormatting>
  <conditionalFormatting sqref="C67">
    <cfRule type="cellIs" dxfId="21359" priority="9975" stopIfTrue="1" operator="equal">
      <formula>"Towel"</formula>
    </cfRule>
    <cfRule type="cellIs" dxfId="21358" priority="9976" stopIfTrue="1" operator="equal">
      <formula>"Napkin Hs"</formula>
    </cfRule>
  </conditionalFormatting>
  <conditionalFormatting sqref="C67">
    <cfRule type="cellIs" dxfId="21357" priority="9971" stopIfTrue="1" operator="equal">
      <formula>"Towel"</formula>
    </cfRule>
    <cfRule type="cellIs" dxfId="21356" priority="9972" stopIfTrue="1" operator="equal">
      <formula>"Napkin Hs"</formula>
    </cfRule>
  </conditionalFormatting>
  <conditionalFormatting sqref="C67">
    <cfRule type="cellIs" dxfId="21355" priority="9973" stopIfTrue="1" operator="equal">
      <formula>"Towel"</formula>
    </cfRule>
    <cfRule type="cellIs" dxfId="21354" priority="9974" stopIfTrue="1" operator="equal">
      <formula>"Napkin Hs"</formula>
    </cfRule>
  </conditionalFormatting>
  <conditionalFormatting sqref="C67">
    <cfRule type="cellIs" dxfId="21353" priority="9969" stopIfTrue="1" operator="equal">
      <formula>"Towel"</formula>
    </cfRule>
    <cfRule type="cellIs" dxfId="21352" priority="9970" stopIfTrue="1" operator="equal">
      <formula>"Napkin Hs"</formula>
    </cfRule>
  </conditionalFormatting>
  <conditionalFormatting sqref="C67">
    <cfRule type="cellIs" dxfId="21351" priority="9965" stopIfTrue="1" operator="equal">
      <formula>"Towel"</formula>
    </cfRule>
    <cfRule type="cellIs" dxfId="21350" priority="9966" stopIfTrue="1" operator="equal">
      <formula>"Napkin Hs"</formula>
    </cfRule>
  </conditionalFormatting>
  <conditionalFormatting sqref="C67">
    <cfRule type="cellIs" dxfId="21349" priority="9967" stopIfTrue="1" operator="equal">
      <formula>"Towel"</formula>
    </cfRule>
    <cfRule type="cellIs" dxfId="21348" priority="9968" stopIfTrue="1" operator="equal">
      <formula>"Napkin Hs"</formula>
    </cfRule>
  </conditionalFormatting>
  <conditionalFormatting sqref="C67">
    <cfRule type="cellIs" dxfId="21347" priority="9963" stopIfTrue="1" operator="equal">
      <formula>"Towel"</formula>
    </cfRule>
    <cfRule type="cellIs" dxfId="21346" priority="9964" stopIfTrue="1" operator="equal">
      <formula>"Napkin Hs"</formula>
    </cfRule>
  </conditionalFormatting>
  <conditionalFormatting sqref="C67">
    <cfRule type="cellIs" dxfId="21345" priority="9959" stopIfTrue="1" operator="equal">
      <formula>"Towel"</formula>
    </cfRule>
    <cfRule type="cellIs" dxfId="21344" priority="9960" stopIfTrue="1" operator="equal">
      <formula>"Napkin Hs"</formula>
    </cfRule>
  </conditionalFormatting>
  <conditionalFormatting sqref="C67">
    <cfRule type="cellIs" dxfId="21343" priority="9961" stopIfTrue="1" operator="equal">
      <formula>"Towel"</formula>
    </cfRule>
    <cfRule type="cellIs" dxfId="21342" priority="9962" stopIfTrue="1" operator="equal">
      <formula>"Napkin Hs"</formula>
    </cfRule>
  </conditionalFormatting>
  <conditionalFormatting sqref="C67">
    <cfRule type="cellIs" dxfId="21341" priority="9957" stopIfTrue="1" operator="equal">
      <formula>"Towel"</formula>
    </cfRule>
    <cfRule type="cellIs" dxfId="21340" priority="9958" stopIfTrue="1" operator="equal">
      <formula>"Napkin Hs"</formula>
    </cfRule>
  </conditionalFormatting>
  <conditionalFormatting sqref="C67">
    <cfRule type="cellIs" dxfId="21339" priority="9955" stopIfTrue="1" operator="equal">
      <formula>"Towel"</formula>
    </cfRule>
    <cfRule type="cellIs" dxfId="21338" priority="9956" stopIfTrue="1" operator="equal">
      <formula>"Napkin Hs"</formula>
    </cfRule>
  </conditionalFormatting>
  <conditionalFormatting sqref="C67">
    <cfRule type="cellIs" dxfId="21337" priority="9953" stopIfTrue="1" operator="equal">
      <formula>"Towel"</formula>
    </cfRule>
    <cfRule type="cellIs" dxfId="21336" priority="9954" stopIfTrue="1" operator="equal">
      <formula>"Napkin Hs"</formula>
    </cfRule>
  </conditionalFormatting>
  <conditionalFormatting sqref="C67">
    <cfRule type="cellIs" dxfId="21335" priority="9951" stopIfTrue="1" operator="equal">
      <formula>"Towel"</formula>
    </cfRule>
    <cfRule type="cellIs" dxfId="21334" priority="9952" stopIfTrue="1" operator="equal">
      <formula>"Napkin Hs"</formula>
    </cfRule>
  </conditionalFormatting>
  <conditionalFormatting sqref="C67">
    <cfRule type="cellIs" dxfId="21333" priority="9950" stopIfTrue="1" operator="equal">
      <formula>"Napkin Hs"</formula>
    </cfRule>
  </conditionalFormatting>
  <conditionalFormatting sqref="C67">
    <cfRule type="cellIs" dxfId="21332" priority="9947" stopIfTrue="1" operator="equal">
      <formula>"Towel"</formula>
    </cfRule>
    <cfRule type="cellIs" dxfId="21331" priority="9948" stopIfTrue="1" operator="equal">
      <formula>"Napkin Hs"</formula>
    </cfRule>
  </conditionalFormatting>
  <conditionalFormatting sqref="C67">
    <cfRule type="cellIs" dxfId="21330" priority="9949" stopIfTrue="1" operator="equal">
      <formula>"Towel"</formula>
    </cfRule>
  </conditionalFormatting>
  <conditionalFormatting sqref="B67">
    <cfRule type="cellIs" dxfId="21329" priority="9945" stopIfTrue="1" operator="equal">
      <formula>"Towel"</formula>
    </cfRule>
    <cfRule type="cellIs" dxfId="21328" priority="9946" stopIfTrue="1" operator="equal">
      <formula>"Napkin Hs"</formula>
    </cfRule>
  </conditionalFormatting>
  <conditionalFormatting sqref="B67">
    <cfRule type="cellIs" dxfId="21327" priority="9943" stopIfTrue="1" operator="equal">
      <formula>"Towel"</formula>
    </cfRule>
    <cfRule type="cellIs" dxfId="21326" priority="9944" stopIfTrue="1" operator="equal">
      <formula>"Napkin Hs"</formula>
    </cfRule>
  </conditionalFormatting>
  <conditionalFormatting sqref="B67">
    <cfRule type="cellIs" dxfId="21325" priority="9941" stopIfTrue="1" operator="equal">
      <formula>"Towel"</formula>
    </cfRule>
    <cfRule type="cellIs" dxfId="21324" priority="9942" stopIfTrue="1" operator="equal">
      <formula>"Napkin Hs"</formula>
    </cfRule>
  </conditionalFormatting>
  <conditionalFormatting sqref="B67">
    <cfRule type="cellIs" dxfId="21323" priority="9939" stopIfTrue="1" operator="equal">
      <formula>"Towel"</formula>
    </cfRule>
    <cfRule type="cellIs" dxfId="21322" priority="9940" stopIfTrue="1" operator="equal">
      <formula>"Napkin Hs"</formula>
    </cfRule>
  </conditionalFormatting>
  <conditionalFormatting sqref="B67">
    <cfRule type="cellIs" dxfId="21321" priority="9937" stopIfTrue="1" operator="equal">
      <formula>"Towel"</formula>
    </cfRule>
    <cfRule type="cellIs" dxfId="21320" priority="9938" stopIfTrue="1" operator="equal">
      <formula>"Napkin Hs"</formula>
    </cfRule>
  </conditionalFormatting>
  <conditionalFormatting sqref="B67">
    <cfRule type="cellIs" dxfId="21319" priority="9935" stopIfTrue="1" operator="equal">
      <formula>"Towel"</formula>
    </cfRule>
    <cfRule type="cellIs" dxfId="21318" priority="9936" stopIfTrue="1" operator="equal">
      <formula>"Napkin Hs"</formula>
    </cfRule>
  </conditionalFormatting>
  <conditionalFormatting sqref="B67">
    <cfRule type="cellIs" dxfId="21317" priority="9931" stopIfTrue="1" operator="equal">
      <formula>"Towel"</formula>
    </cfRule>
    <cfRule type="cellIs" dxfId="21316" priority="9932" stopIfTrue="1" operator="equal">
      <formula>"Napkin Hs"</formula>
    </cfRule>
    <cfRule type="cellIs" dxfId="21315" priority="9933" stopIfTrue="1" operator="equal">
      <formula>"Towel"</formula>
    </cfRule>
    <cfRule type="cellIs" dxfId="21314" priority="9934" stopIfTrue="1" operator="equal">
      <formula>"Napkin Hs"</formula>
    </cfRule>
  </conditionalFormatting>
  <conditionalFormatting sqref="B67">
    <cfRule type="cellIs" dxfId="21313" priority="9929" stopIfTrue="1" operator="equal">
      <formula>"Towel"</formula>
    </cfRule>
    <cfRule type="cellIs" dxfId="21312" priority="9930" stopIfTrue="1" operator="equal">
      <formula>"Napkin Hs"</formula>
    </cfRule>
  </conditionalFormatting>
  <conditionalFormatting sqref="B67">
    <cfRule type="cellIs" dxfId="21311" priority="9927" stopIfTrue="1" operator="equal">
      <formula>"Towel"</formula>
    </cfRule>
    <cfRule type="cellIs" dxfId="21310" priority="9928" stopIfTrue="1" operator="equal">
      <formula>"Napkin Hs"</formula>
    </cfRule>
  </conditionalFormatting>
  <conditionalFormatting sqref="B67">
    <cfRule type="cellIs" dxfId="21309" priority="9925" stopIfTrue="1" operator="equal">
      <formula>"Towel"</formula>
    </cfRule>
    <cfRule type="cellIs" dxfId="21308" priority="9926" stopIfTrue="1" operator="equal">
      <formula>"Napkin Hs"</formula>
    </cfRule>
  </conditionalFormatting>
  <conditionalFormatting sqref="B67">
    <cfRule type="cellIs" dxfId="21307" priority="9923" stopIfTrue="1" operator="equal">
      <formula>"Towel"</formula>
    </cfRule>
    <cfRule type="cellIs" dxfId="21306" priority="9924" stopIfTrue="1" operator="equal">
      <formula>"Napkin Hs"</formula>
    </cfRule>
  </conditionalFormatting>
  <conditionalFormatting sqref="B67">
    <cfRule type="cellIs" dxfId="21305" priority="9921" stopIfTrue="1" operator="equal">
      <formula>"Towel"</formula>
    </cfRule>
    <cfRule type="cellIs" dxfId="21304" priority="9922" stopIfTrue="1" operator="equal">
      <formula>"Napkin Hs"</formula>
    </cfRule>
  </conditionalFormatting>
  <conditionalFormatting sqref="B67:C67">
    <cfRule type="cellIs" dxfId="21303" priority="9907" stopIfTrue="1" operator="equal">
      <formula>"Towel"</formula>
    </cfRule>
    <cfRule type="cellIs" dxfId="21302" priority="9908" stopIfTrue="1" operator="equal">
      <formula>"Napkin Hs"</formula>
    </cfRule>
    <cfRule type="cellIs" dxfId="21301" priority="9913" stopIfTrue="1" operator="equal">
      <formula>"Towel"</formula>
    </cfRule>
    <cfRule type="cellIs" dxfId="21300" priority="9914" stopIfTrue="1" operator="equal">
      <formula>"Napkin Hs"</formula>
    </cfRule>
    <cfRule type="cellIs" dxfId="21299" priority="9919" stopIfTrue="1" operator="equal">
      <formula>"Towel"</formula>
    </cfRule>
    <cfRule type="cellIs" dxfId="21298" priority="9920" stopIfTrue="1" operator="equal">
      <formula>"Napkin Hs"</formula>
    </cfRule>
  </conditionalFormatting>
  <conditionalFormatting sqref="C67">
    <cfRule type="cellIs" dxfId="21297" priority="9901" stopIfTrue="1" operator="equal">
      <formula>"Towel"</formula>
    </cfRule>
    <cfRule type="cellIs" dxfId="21296" priority="9902" stopIfTrue="1" operator="equal">
      <formula>"Napkin Hs"</formula>
    </cfRule>
    <cfRule type="cellIs" dxfId="21295" priority="9903" stopIfTrue="1" operator="equal">
      <formula>"Towel"</formula>
    </cfRule>
    <cfRule type="cellIs" dxfId="21294" priority="9904" stopIfTrue="1" operator="equal">
      <formula>"Napkin Hs"</formula>
    </cfRule>
    <cfRule type="cellIs" dxfId="21293" priority="9911" stopIfTrue="1" operator="equal">
      <formula>"Towel"</formula>
    </cfRule>
    <cfRule type="cellIs" dxfId="21292" priority="9912" stopIfTrue="1" operator="equal">
      <formula>"Napkin Hs"</formula>
    </cfRule>
    <cfRule type="cellIs" dxfId="21291" priority="9915" stopIfTrue="1" operator="equal">
      <formula>"Towel"</formula>
    </cfRule>
    <cfRule type="cellIs" dxfId="21290" priority="9916" stopIfTrue="1" operator="equal">
      <formula>"Napkin Hs"</formula>
    </cfRule>
  </conditionalFormatting>
  <conditionalFormatting sqref="C67">
    <cfRule type="cellIs" dxfId="21289" priority="9905" stopIfTrue="1" operator="equal">
      <formula>"Towel"</formula>
    </cfRule>
    <cfRule type="cellIs" dxfId="21288" priority="9906" stopIfTrue="1" operator="equal">
      <formula>"Napkin Hs"</formula>
    </cfRule>
    <cfRule type="cellIs" dxfId="21287" priority="9909" stopIfTrue="1" operator="equal">
      <formula>"Towel"</formula>
    </cfRule>
    <cfRule type="cellIs" dxfId="21286" priority="9910" stopIfTrue="1" operator="equal">
      <formula>"Napkin Hs"</formula>
    </cfRule>
    <cfRule type="cellIs" dxfId="21285" priority="9917" stopIfTrue="1" operator="equal">
      <formula>"Towel"</formula>
    </cfRule>
    <cfRule type="cellIs" dxfId="21284" priority="9918" stopIfTrue="1" operator="equal">
      <formula>"Napkin Hs"</formula>
    </cfRule>
  </conditionalFormatting>
  <conditionalFormatting sqref="B67:C67">
    <cfRule type="cellIs" dxfId="21283" priority="9899" stopIfTrue="1" operator="equal">
      <formula>"Towel"</formula>
    </cfRule>
    <cfRule type="cellIs" dxfId="21282" priority="9900" stopIfTrue="1" operator="equal">
      <formula>"Napkin Hs"</formula>
    </cfRule>
  </conditionalFormatting>
  <conditionalFormatting sqref="B67:C67">
    <cfRule type="cellIs" dxfId="21281" priority="9891" stopIfTrue="1" operator="equal">
      <formula>"Towel"</formula>
    </cfRule>
    <cfRule type="cellIs" dxfId="21280" priority="9892" stopIfTrue="1" operator="equal">
      <formula>"Napkin Hs"</formula>
    </cfRule>
    <cfRule type="cellIs" dxfId="21279" priority="9897" stopIfTrue="1" operator="equal">
      <formula>"Towel"</formula>
    </cfRule>
    <cfRule type="cellIs" dxfId="21278" priority="9898" stopIfTrue="1" operator="equal">
      <formula>"Napkin Hs"</formula>
    </cfRule>
  </conditionalFormatting>
  <conditionalFormatting sqref="C67">
    <cfRule type="cellIs" dxfId="21277" priority="9887" stopIfTrue="1" operator="equal">
      <formula>"Towel"</formula>
    </cfRule>
    <cfRule type="cellIs" dxfId="21276" priority="9888" stopIfTrue="1" operator="equal">
      <formula>"Napkin Hs"</formula>
    </cfRule>
  </conditionalFormatting>
  <conditionalFormatting sqref="C67">
    <cfRule type="cellIs" dxfId="21275" priority="9885" stopIfTrue="1" operator="equal">
      <formula>"Towel"</formula>
    </cfRule>
    <cfRule type="cellIs" dxfId="21274" priority="9886" stopIfTrue="1" operator="equal">
      <formula>"Napkin Hs"</formula>
    </cfRule>
    <cfRule type="cellIs" dxfId="21273" priority="9895" stopIfTrue="1" operator="equal">
      <formula>"Towel"</formula>
    </cfRule>
    <cfRule type="cellIs" dxfId="21272" priority="9896" stopIfTrue="1" operator="equal">
      <formula>"Napkin Hs"</formula>
    </cfRule>
  </conditionalFormatting>
  <conditionalFormatting sqref="C67">
    <cfRule type="cellIs" dxfId="21271" priority="9889" stopIfTrue="1" operator="equal">
      <formula>"Towel"</formula>
    </cfRule>
    <cfRule type="cellIs" dxfId="21270" priority="9890" stopIfTrue="1" operator="equal">
      <formula>"Napkin Hs"</formula>
    </cfRule>
    <cfRule type="cellIs" dxfId="21269" priority="9893" stopIfTrue="1" operator="equal">
      <formula>"Towel"</formula>
    </cfRule>
    <cfRule type="cellIs" dxfId="21268" priority="9894" stopIfTrue="1" operator="equal">
      <formula>"Napkin Hs"</formula>
    </cfRule>
  </conditionalFormatting>
  <conditionalFormatting sqref="C67">
    <cfRule type="cellIs" dxfId="21267" priority="9884" stopIfTrue="1" operator="equal">
      <formula>"Napkin Hs"</formula>
    </cfRule>
  </conditionalFormatting>
  <conditionalFormatting sqref="C67">
    <cfRule type="cellIs" dxfId="21266" priority="9883" stopIfTrue="1" operator="equal">
      <formula>"Towel"</formula>
    </cfRule>
  </conditionalFormatting>
  <conditionalFormatting sqref="C67">
    <cfRule type="cellIs" dxfId="21265" priority="9879" stopIfTrue="1" operator="equal">
      <formula>"Towel"</formula>
    </cfRule>
    <cfRule type="cellIs" dxfId="21264" priority="9880" stopIfTrue="1" operator="equal">
      <formula>"Napkin Hs"</formula>
    </cfRule>
    <cfRule type="cellIs" dxfId="21263" priority="9881" stopIfTrue="1" operator="equal">
      <formula>"Towel"</formula>
    </cfRule>
    <cfRule type="cellIs" dxfId="21262" priority="9882" stopIfTrue="1" operator="equal">
      <formula>"Napkin Hs"</formula>
    </cfRule>
  </conditionalFormatting>
  <conditionalFormatting sqref="B67:C67">
    <cfRule type="cellIs" dxfId="21261" priority="9877" stopIfTrue="1" operator="equal">
      <formula>"Towel"</formula>
    </cfRule>
    <cfRule type="cellIs" dxfId="21260" priority="9878" stopIfTrue="1" operator="equal">
      <formula>"Napkin Hs"</formula>
    </cfRule>
  </conditionalFormatting>
  <conditionalFormatting sqref="C67">
    <cfRule type="cellIs" dxfId="21259" priority="9873" stopIfTrue="1" operator="equal">
      <formula>"Towel"</formula>
    </cfRule>
    <cfRule type="cellIs" dxfId="21258" priority="9874" stopIfTrue="1" operator="equal">
      <formula>"Napkin Hs"</formula>
    </cfRule>
  </conditionalFormatting>
  <conditionalFormatting sqref="C67">
    <cfRule type="cellIs" dxfId="21257" priority="9875" stopIfTrue="1" operator="equal">
      <formula>"Towel"</formula>
    </cfRule>
    <cfRule type="cellIs" dxfId="21256" priority="9876" stopIfTrue="1" operator="equal">
      <formula>"Napkin Hs"</formula>
    </cfRule>
  </conditionalFormatting>
  <conditionalFormatting sqref="B67:C67">
    <cfRule type="cellIs" dxfId="21255" priority="9871" stopIfTrue="1" operator="equal">
      <formula>"Towel"</formula>
    </cfRule>
    <cfRule type="cellIs" dxfId="21254" priority="9872" stopIfTrue="1" operator="equal">
      <formula>"Napkin Hs"</formula>
    </cfRule>
  </conditionalFormatting>
  <conditionalFormatting sqref="C67">
    <cfRule type="cellIs" dxfId="21253" priority="9867" stopIfTrue="1" operator="equal">
      <formula>"Towel"</formula>
    </cfRule>
    <cfRule type="cellIs" dxfId="21252" priority="9868" stopIfTrue="1" operator="equal">
      <formula>"Napkin Hs"</formula>
    </cfRule>
  </conditionalFormatting>
  <conditionalFormatting sqref="C67">
    <cfRule type="cellIs" dxfId="21251" priority="9869" stopIfTrue="1" operator="equal">
      <formula>"Towel"</formula>
    </cfRule>
    <cfRule type="cellIs" dxfId="21250" priority="9870" stopIfTrue="1" operator="equal">
      <formula>"Napkin Hs"</formula>
    </cfRule>
  </conditionalFormatting>
  <conditionalFormatting sqref="B67:C67">
    <cfRule type="cellIs" dxfId="21249" priority="9865" stopIfTrue="1" operator="equal">
      <formula>"Towel"</formula>
    </cfRule>
    <cfRule type="cellIs" dxfId="21248" priority="9866" stopIfTrue="1" operator="equal">
      <formula>"Napkin Hs"</formula>
    </cfRule>
  </conditionalFormatting>
  <conditionalFormatting sqref="C67">
    <cfRule type="cellIs" dxfId="21247" priority="9861" stopIfTrue="1" operator="equal">
      <formula>"Towel"</formula>
    </cfRule>
    <cfRule type="cellIs" dxfId="21246" priority="9862" stopIfTrue="1" operator="equal">
      <formula>"Napkin Hs"</formula>
    </cfRule>
  </conditionalFormatting>
  <conditionalFormatting sqref="C67">
    <cfRule type="cellIs" dxfId="21245" priority="9863" stopIfTrue="1" operator="equal">
      <formula>"Towel"</formula>
    </cfRule>
    <cfRule type="cellIs" dxfId="21244" priority="9864" stopIfTrue="1" operator="equal">
      <formula>"Napkin Hs"</formula>
    </cfRule>
  </conditionalFormatting>
  <conditionalFormatting sqref="B67:C67">
    <cfRule type="cellIs" dxfId="21243" priority="9859" stopIfTrue="1" operator="equal">
      <formula>"Towel"</formula>
    </cfRule>
    <cfRule type="cellIs" dxfId="21242" priority="9860" stopIfTrue="1" operator="equal">
      <formula>"Napkin Hs"</formula>
    </cfRule>
  </conditionalFormatting>
  <conditionalFormatting sqref="C67">
    <cfRule type="cellIs" dxfId="21241" priority="9857" stopIfTrue="1" operator="equal">
      <formula>"Towel"</formula>
    </cfRule>
    <cfRule type="cellIs" dxfId="21240" priority="9858" stopIfTrue="1" operator="equal">
      <formula>"Napkin Hs"</formula>
    </cfRule>
  </conditionalFormatting>
  <conditionalFormatting sqref="C67">
    <cfRule type="cellIs" dxfId="21239" priority="9855" stopIfTrue="1" operator="equal">
      <formula>"Towel"</formula>
    </cfRule>
    <cfRule type="cellIs" dxfId="21238" priority="9856" stopIfTrue="1" operator="equal">
      <formula>"Napkin Hs"</formula>
    </cfRule>
  </conditionalFormatting>
  <conditionalFormatting sqref="B67:C67">
    <cfRule type="cellIs" dxfId="21237" priority="9853" stopIfTrue="1" operator="equal">
      <formula>"Towel"</formula>
    </cfRule>
    <cfRule type="cellIs" dxfId="21236" priority="9854" stopIfTrue="1" operator="equal">
      <formula>"Napkin Hs"</formula>
    </cfRule>
  </conditionalFormatting>
  <conditionalFormatting sqref="C67">
    <cfRule type="cellIs" dxfId="21235" priority="9852" stopIfTrue="1" operator="equal">
      <formula>"Napkin Hs"</formula>
    </cfRule>
  </conditionalFormatting>
  <conditionalFormatting sqref="C67">
    <cfRule type="cellIs" dxfId="21234" priority="9849" stopIfTrue="1" operator="equal">
      <formula>"Towel"</formula>
    </cfRule>
    <cfRule type="cellIs" dxfId="21233" priority="9850" stopIfTrue="1" operator="equal">
      <formula>"Napkin Hs"</formula>
    </cfRule>
  </conditionalFormatting>
  <conditionalFormatting sqref="C67">
    <cfRule type="cellIs" dxfId="21232" priority="9851" stopIfTrue="1" operator="equal">
      <formula>"Towel"</formula>
    </cfRule>
  </conditionalFormatting>
  <conditionalFormatting sqref="B71:C71">
    <cfRule type="cellIs" dxfId="21231" priority="9725" stopIfTrue="1" operator="equal">
      <formula>"Towel"</formula>
    </cfRule>
    <cfRule type="cellIs" dxfId="21230" priority="9726" stopIfTrue="1" operator="equal">
      <formula>"Napkin Hs"</formula>
    </cfRule>
    <cfRule type="cellIs" dxfId="21229" priority="9731" stopIfTrue="1" operator="equal">
      <formula>"Towel"</formula>
    </cfRule>
    <cfRule type="cellIs" dxfId="21228" priority="9732" stopIfTrue="1" operator="equal">
      <formula>"Napkin Hs"</formula>
    </cfRule>
    <cfRule type="cellIs" dxfId="21227" priority="9737" stopIfTrue="1" operator="equal">
      <formula>"Towel"</formula>
    </cfRule>
    <cfRule type="cellIs" dxfId="21226" priority="9738" stopIfTrue="1" operator="equal">
      <formula>"Napkin Hs"</formula>
    </cfRule>
    <cfRule type="cellIs" dxfId="21225" priority="9743" stopIfTrue="1" operator="equal">
      <formula>"Towel"</formula>
    </cfRule>
    <cfRule type="cellIs" dxfId="21224" priority="9744" stopIfTrue="1" operator="equal">
      <formula>"Napkin Hs"</formula>
    </cfRule>
    <cfRule type="cellIs" dxfId="21223" priority="9749" stopIfTrue="1" operator="equal">
      <formula>"Towel"</formula>
    </cfRule>
    <cfRule type="cellIs" dxfId="21222" priority="9750" stopIfTrue="1" operator="equal">
      <formula>"Napkin Hs"</formula>
    </cfRule>
    <cfRule type="cellIs" dxfId="21221" priority="9755" stopIfTrue="1" operator="equal">
      <formula>"Towel"</formula>
    </cfRule>
    <cfRule type="cellIs" dxfId="21220" priority="9756" stopIfTrue="1" operator="equal">
      <formula>"Napkin Hs"</formula>
    </cfRule>
    <cfRule type="cellIs" dxfId="21219" priority="9761" stopIfTrue="1" operator="equal">
      <formula>"Towel"</formula>
    </cfRule>
    <cfRule type="cellIs" dxfId="21218" priority="9762" stopIfTrue="1" operator="equal">
      <formula>"Napkin Hs"</formula>
    </cfRule>
    <cfRule type="cellIs" dxfId="21217" priority="9767" stopIfTrue="1" operator="equal">
      <formula>"Towel"</formula>
    </cfRule>
    <cfRule type="cellIs" dxfId="21216" priority="9768" stopIfTrue="1" operator="equal">
      <formula>"Napkin Hs"</formula>
    </cfRule>
  </conditionalFormatting>
  <conditionalFormatting sqref="B72:C72">
    <cfRule type="cellIs" dxfId="21215" priority="9771" stopIfTrue="1" operator="equal">
      <formula>"Towel"</formula>
    </cfRule>
    <cfRule type="cellIs" dxfId="21214" priority="9772" stopIfTrue="1" operator="equal">
      <formula>"Napkin Hs"</formula>
    </cfRule>
    <cfRule type="cellIs" dxfId="21213" priority="9777" stopIfTrue="1" operator="equal">
      <formula>"Towel"</formula>
    </cfRule>
    <cfRule type="cellIs" dxfId="21212" priority="9778" stopIfTrue="1" operator="equal">
      <formula>"Napkin Hs"</formula>
    </cfRule>
    <cfRule type="cellIs" dxfId="21211" priority="9783" stopIfTrue="1" operator="equal">
      <formula>"Towel"</formula>
    </cfRule>
    <cfRule type="cellIs" dxfId="21210" priority="9784" stopIfTrue="1" operator="equal">
      <formula>"Napkin Hs"</formula>
    </cfRule>
    <cfRule type="cellIs" dxfId="21209" priority="9789" stopIfTrue="1" operator="equal">
      <formula>"Towel"</formula>
    </cfRule>
    <cfRule type="cellIs" dxfId="21208" priority="9790" stopIfTrue="1" operator="equal">
      <formula>"Napkin Hs"</formula>
    </cfRule>
    <cfRule type="cellIs" dxfId="21207" priority="9795" stopIfTrue="1" operator="equal">
      <formula>"Towel"</formula>
    </cfRule>
    <cfRule type="cellIs" dxfId="21206" priority="9796" stopIfTrue="1" operator="equal">
      <formula>"Napkin Hs"</formula>
    </cfRule>
    <cfRule type="cellIs" dxfId="21205" priority="9801" stopIfTrue="1" operator="equal">
      <formula>"Towel"</formula>
    </cfRule>
    <cfRule type="cellIs" dxfId="21204" priority="9802" stopIfTrue="1" operator="equal">
      <formula>"Napkin Hs"</formula>
    </cfRule>
    <cfRule type="cellIs" dxfId="21203" priority="9807" stopIfTrue="1" operator="equal">
      <formula>"Towel"</formula>
    </cfRule>
    <cfRule type="cellIs" dxfId="21202" priority="9808" stopIfTrue="1" operator="equal">
      <formula>"Napkin Hs"</formula>
    </cfRule>
    <cfRule type="cellIs" dxfId="21201" priority="9839" stopIfTrue="1" operator="equal">
      <formula>"Towel"</formula>
    </cfRule>
    <cfRule type="cellIs" dxfId="21200" priority="9840" stopIfTrue="1" operator="equal">
      <formula>"Napkin Hs"</formula>
    </cfRule>
  </conditionalFormatting>
  <conditionalFormatting sqref="B73:C73">
    <cfRule type="cellIs" dxfId="21199" priority="9811" stopIfTrue="1" operator="equal">
      <formula>"Towel"</formula>
    </cfRule>
    <cfRule type="cellIs" dxfId="21198" priority="9812" stopIfTrue="1" operator="equal">
      <formula>"Napkin Hs"</formula>
    </cfRule>
    <cfRule type="cellIs" dxfId="21197" priority="9817" stopIfTrue="1" operator="equal">
      <formula>"Towel"</formula>
    </cfRule>
    <cfRule type="cellIs" dxfId="21196" priority="9818" stopIfTrue="1" operator="equal">
      <formula>"Napkin Hs"</formula>
    </cfRule>
    <cfRule type="cellIs" dxfId="21195" priority="9823" stopIfTrue="1" operator="equal">
      <formula>"Towel"</formula>
    </cfRule>
    <cfRule type="cellIs" dxfId="21194" priority="9824" stopIfTrue="1" operator="equal">
      <formula>"Napkin Hs"</formula>
    </cfRule>
    <cfRule type="cellIs" dxfId="21193" priority="9829" stopIfTrue="1" operator="equal">
      <formula>"Towel"</formula>
    </cfRule>
    <cfRule type="cellIs" dxfId="21192" priority="9830" stopIfTrue="1" operator="equal">
      <formula>"Napkin Hs"</formula>
    </cfRule>
    <cfRule type="cellIs" dxfId="21191" priority="9835" stopIfTrue="1" operator="equal">
      <formula>"Towel"</formula>
    </cfRule>
    <cfRule type="cellIs" dxfId="21190" priority="9836" stopIfTrue="1" operator="equal">
      <formula>"Napkin Hs"</formula>
    </cfRule>
    <cfRule type="cellIs" dxfId="21189" priority="9843" stopIfTrue="1" operator="equal">
      <formula>"Towel"</formula>
    </cfRule>
    <cfRule type="cellIs" dxfId="21188" priority="9844" stopIfTrue="1" operator="equal">
      <formula>"Napkin Hs"</formula>
    </cfRule>
  </conditionalFormatting>
  <conditionalFormatting sqref="B74:C74">
    <cfRule type="cellIs" dxfId="21187" priority="9847" stopIfTrue="1" operator="equal">
      <formula>"Towel"</formula>
    </cfRule>
    <cfRule type="cellIs" dxfId="21186" priority="9848" stopIfTrue="1" operator="equal">
      <formula>"Napkin Hs"</formula>
    </cfRule>
  </conditionalFormatting>
  <conditionalFormatting sqref="C71">
    <cfRule type="cellIs" dxfId="21185" priority="9721" stopIfTrue="1" operator="equal">
      <formula>"Towel"</formula>
    </cfRule>
    <cfRule type="cellIs" dxfId="21184" priority="9722" stopIfTrue="1" operator="equal">
      <formula>"Napkin Hs"</formula>
    </cfRule>
    <cfRule type="cellIs" dxfId="21183" priority="9723" stopIfTrue="1" operator="equal">
      <formula>"Towel"</formula>
    </cfRule>
    <cfRule type="cellIs" dxfId="21182" priority="9724" stopIfTrue="1" operator="equal">
      <formula>"Napkin Hs"</formula>
    </cfRule>
    <cfRule type="cellIs" dxfId="21181" priority="9727" stopIfTrue="1" operator="equal">
      <formula>"Towel"</formula>
    </cfRule>
    <cfRule type="cellIs" dxfId="21180" priority="9728" stopIfTrue="1" operator="equal">
      <formula>"Napkin Hs"</formula>
    </cfRule>
    <cfRule type="cellIs" dxfId="21179" priority="9729" stopIfTrue="1" operator="equal">
      <formula>"Towel"</formula>
    </cfRule>
    <cfRule type="cellIs" dxfId="21178" priority="9730" stopIfTrue="1" operator="equal">
      <formula>"Napkin Hs"</formula>
    </cfRule>
    <cfRule type="cellIs" dxfId="21177" priority="9733" stopIfTrue="1" operator="equal">
      <formula>"Towel"</formula>
    </cfRule>
    <cfRule type="cellIs" dxfId="21176" priority="9734" stopIfTrue="1" operator="equal">
      <formula>"Napkin Hs"</formula>
    </cfRule>
    <cfRule type="cellIs" dxfId="21175" priority="9735" stopIfTrue="1" operator="equal">
      <formula>"Towel"</formula>
    </cfRule>
    <cfRule type="cellIs" dxfId="21174" priority="9736" stopIfTrue="1" operator="equal">
      <formula>"Napkin Hs"</formula>
    </cfRule>
    <cfRule type="cellIs" dxfId="21173" priority="9739" stopIfTrue="1" operator="equal">
      <formula>"Towel"</formula>
    </cfRule>
    <cfRule type="cellIs" dxfId="21172" priority="9740" stopIfTrue="1" operator="equal">
      <formula>"Napkin Hs"</formula>
    </cfRule>
    <cfRule type="cellIs" dxfId="21171" priority="9741" stopIfTrue="1" operator="equal">
      <formula>"Towel"</formula>
    </cfRule>
    <cfRule type="cellIs" dxfId="21170" priority="9742" stopIfTrue="1" operator="equal">
      <formula>"Napkin Hs"</formula>
    </cfRule>
    <cfRule type="cellIs" dxfId="21169" priority="9745" stopIfTrue="1" operator="equal">
      <formula>"Towel"</formula>
    </cfRule>
    <cfRule type="cellIs" dxfId="21168" priority="9746" stopIfTrue="1" operator="equal">
      <formula>"Napkin Hs"</formula>
    </cfRule>
    <cfRule type="cellIs" dxfId="21167" priority="9747" stopIfTrue="1" operator="equal">
      <formula>"Towel"</formula>
    </cfRule>
    <cfRule type="cellIs" dxfId="21166" priority="9748" stopIfTrue="1" operator="equal">
      <formula>"Napkin Hs"</formula>
    </cfRule>
    <cfRule type="cellIs" dxfId="21165" priority="9751" stopIfTrue="1" operator="equal">
      <formula>"Towel"</formula>
    </cfRule>
    <cfRule type="cellIs" dxfId="21164" priority="9752" stopIfTrue="1" operator="equal">
      <formula>"Napkin Hs"</formula>
    </cfRule>
    <cfRule type="cellIs" dxfId="21163" priority="9753" stopIfTrue="1" operator="equal">
      <formula>"Towel"</formula>
    </cfRule>
    <cfRule type="cellIs" dxfId="21162" priority="9754" stopIfTrue="1" operator="equal">
      <formula>"Napkin Hs"</formula>
    </cfRule>
    <cfRule type="cellIs" dxfId="21161" priority="9757" stopIfTrue="1" operator="equal">
      <formula>"Towel"</formula>
    </cfRule>
    <cfRule type="cellIs" dxfId="21160" priority="9758" stopIfTrue="1" operator="equal">
      <formula>"Napkin Hs"</formula>
    </cfRule>
    <cfRule type="cellIs" dxfId="21159" priority="9759" stopIfTrue="1" operator="equal">
      <formula>"Towel"</formula>
    </cfRule>
    <cfRule type="cellIs" dxfId="21158" priority="9760" stopIfTrue="1" operator="equal">
      <formula>"Napkin Hs"</formula>
    </cfRule>
    <cfRule type="cellIs" dxfId="21157" priority="9763" stopIfTrue="1" operator="equal">
      <formula>"Towel"</formula>
    </cfRule>
    <cfRule type="cellIs" dxfId="21156" priority="9764" stopIfTrue="1" operator="equal">
      <formula>"Napkin Hs"</formula>
    </cfRule>
  </conditionalFormatting>
  <conditionalFormatting sqref="C71:C72">
    <cfRule type="cellIs" dxfId="21155" priority="9765" stopIfTrue="1" operator="equal">
      <formula>"Towel"</formula>
    </cfRule>
    <cfRule type="cellIs" dxfId="21154" priority="9766" stopIfTrue="1" operator="equal">
      <formula>"Napkin Hs"</formula>
    </cfRule>
  </conditionalFormatting>
  <conditionalFormatting sqref="C72">
    <cfRule type="cellIs" dxfId="21153" priority="9769" stopIfTrue="1" operator="equal">
      <formula>"Towel"</formula>
    </cfRule>
    <cfRule type="cellIs" dxfId="21152" priority="9770" stopIfTrue="1" operator="equal">
      <formula>"Napkin Hs"</formula>
    </cfRule>
    <cfRule type="cellIs" dxfId="21151" priority="9773" stopIfTrue="1" operator="equal">
      <formula>"Towel"</formula>
    </cfRule>
    <cfRule type="cellIs" dxfId="21150" priority="9774" stopIfTrue="1" operator="equal">
      <formula>"Napkin Hs"</formula>
    </cfRule>
    <cfRule type="cellIs" dxfId="21149" priority="9775" stopIfTrue="1" operator="equal">
      <formula>"Towel"</formula>
    </cfRule>
    <cfRule type="cellIs" dxfId="21148" priority="9776" stopIfTrue="1" operator="equal">
      <formula>"Napkin Hs"</formula>
    </cfRule>
    <cfRule type="cellIs" dxfId="21147" priority="9779" stopIfTrue="1" operator="equal">
      <formula>"Towel"</formula>
    </cfRule>
    <cfRule type="cellIs" dxfId="21146" priority="9780" stopIfTrue="1" operator="equal">
      <formula>"Napkin Hs"</formula>
    </cfRule>
    <cfRule type="cellIs" dxfId="21145" priority="9781" stopIfTrue="1" operator="equal">
      <formula>"Towel"</formula>
    </cfRule>
    <cfRule type="cellIs" dxfId="21144" priority="9782" stopIfTrue="1" operator="equal">
      <formula>"Napkin Hs"</formula>
    </cfRule>
    <cfRule type="cellIs" dxfId="21143" priority="9785" stopIfTrue="1" operator="equal">
      <formula>"Towel"</formula>
    </cfRule>
    <cfRule type="cellIs" dxfId="21142" priority="9786" stopIfTrue="1" operator="equal">
      <formula>"Napkin Hs"</formula>
    </cfRule>
    <cfRule type="cellIs" dxfId="21141" priority="9787" stopIfTrue="1" operator="equal">
      <formula>"Towel"</formula>
    </cfRule>
    <cfRule type="cellIs" dxfId="21140" priority="9788" stopIfTrue="1" operator="equal">
      <formula>"Napkin Hs"</formula>
    </cfRule>
    <cfRule type="cellIs" dxfId="21139" priority="9791" stopIfTrue="1" operator="equal">
      <formula>"Towel"</formula>
    </cfRule>
    <cfRule type="cellIs" dxfId="21138" priority="9792" stopIfTrue="1" operator="equal">
      <formula>"Napkin Hs"</formula>
    </cfRule>
    <cfRule type="cellIs" dxfId="21137" priority="9793" stopIfTrue="1" operator="equal">
      <formula>"Towel"</formula>
    </cfRule>
    <cfRule type="cellIs" dxfId="21136" priority="9794" stopIfTrue="1" operator="equal">
      <formula>"Napkin Hs"</formula>
    </cfRule>
    <cfRule type="cellIs" dxfId="21135" priority="9797" stopIfTrue="1" operator="equal">
      <formula>"Towel"</formula>
    </cfRule>
    <cfRule type="cellIs" dxfId="21134" priority="9798" stopIfTrue="1" operator="equal">
      <formula>"Napkin Hs"</formula>
    </cfRule>
    <cfRule type="cellIs" dxfId="21133" priority="9799" stopIfTrue="1" operator="equal">
      <formula>"Towel"</formula>
    </cfRule>
    <cfRule type="cellIs" dxfId="21132" priority="9800" stopIfTrue="1" operator="equal">
      <formula>"Napkin Hs"</formula>
    </cfRule>
    <cfRule type="cellIs" dxfId="21131" priority="9803" stopIfTrue="1" operator="equal">
      <formula>"Towel"</formula>
    </cfRule>
    <cfRule type="cellIs" dxfId="21130" priority="9804" stopIfTrue="1" operator="equal">
      <formula>"Napkin Hs"</formula>
    </cfRule>
  </conditionalFormatting>
  <conditionalFormatting sqref="C72:C73">
    <cfRule type="cellIs" dxfId="21129" priority="9805" stopIfTrue="1" operator="equal">
      <formula>"Towel"</formula>
    </cfRule>
    <cfRule type="cellIs" dxfId="21128" priority="9806" stopIfTrue="1" operator="equal">
      <formula>"Napkin Hs"</formula>
    </cfRule>
    <cfRule type="cellIs" dxfId="21127" priority="9833" stopIfTrue="1" operator="equal">
      <formula>"Towel"</formula>
    </cfRule>
    <cfRule type="cellIs" dxfId="21126" priority="9834" stopIfTrue="1" operator="equal">
      <formula>"Napkin Hs"</formula>
    </cfRule>
    <cfRule type="cellIs" dxfId="21125" priority="9837" stopIfTrue="1" operator="equal">
      <formula>"Towel"</formula>
    </cfRule>
    <cfRule type="cellIs" dxfId="21124" priority="9838" stopIfTrue="1" operator="equal">
      <formula>"Napkin Hs"</formula>
    </cfRule>
  </conditionalFormatting>
  <conditionalFormatting sqref="C73">
    <cfRule type="cellIs" dxfId="21123" priority="9809" stopIfTrue="1" operator="equal">
      <formula>"Towel"</formula>
    </cfRule>
    <cfRule type="cellIs" dxfId="21122" priority="9810" stopIfTrue="1" operator="equal">
      <formula>"Napkin Hs"</formula>
    </cfRule>
    <cfRule type="cellIs" dxfId="21121" priority="9813" stopIfTrue="1" operator="equal">
      <formula>"Towel"</formula>
    </cfRule>
    <cfRule type="cellIs" dxfId="21120" priority="9814" stopIfTrue="1" operator="equal">
      <formula>"Napkin Hs"</formula>
    </cfRule>
    <cfRule type="cellIs" dxfId="21119" priority="9815" stopIfTrue="1" operator="equal">
      <formula>"Towel"</formula>
    </cfRule>
    <cfRule type="cellIs" dxfId="21118" priority="9816" stopIfTrue="1" operator="equal">
      <formula>"Napkin Hs"</formula>
    </cfRule>
    <cfRule type="cellIs" dxfId="21117" priority="9819" stopIfTrue="1" operator="equal">
      <formula>"Towel"</formula>
    </cfRule>
    <cfRule type="cellIs" dxfId="21116" priority="9820" stopIfTrue="1" operator="equal">
      <formula>"Napkin Hs"</formula>
    </cfRule>
    <cfRule type="cellIs" dxfId="21115" priority="9821" stopIfTrue="1" operator="equal">
      <formula>"Towel"</formula>
    </cfRule>
    <cfRule type="cellIs" dxfId="21114" priority="9822" stopIfTrue="1" operator="equal">
      <formula>"Napkin Hs"</formula>
    </cfRule>
    <cfRule type="cellIs" dxfId="21113" priority="9825" stopIfTrue="1" operator="equal">
      <formula>"Towel"</formula>
    </cfRule>
    <cfRule type="cellIs" dxfId="21112" priority="9826" stopIfTrue="1" operator="equal">
      <formula>"Napkin Hs"</formula>
    </cfRule>
    <cfRule type="cellIs" dxfId="21111" priority="9827" stopIfTrue="1" operator="equal">
      <formula>"Towel"</formula>
    </cfRule>
    <cfRule type="cellIs" dxfId="21110" priority="9828" stopIfTrue="1" operator="equal">
      <formula>"Napkin Hs"</formula>
    </cfRule>
    <cfRule type="cellIs" dxfId="21109" priority="9831" stopIfTrue="1" operator="equal">
      <formula>"Towel"</formula>
    </cfRule>
    <cfRule type="cellIs" dxfId="21108" priority="9832" stopIfTrue="1" operator="equal">
      <formula>"Napkin Hs"</formula>
    </cfRule>
  </conditionalFormatting>
  <conditionalFormatting sqref="C73:C74">
    <cfRule type="cellIs" dxfId="21107" priority="9841" stopIfTrue="1" operator="equal">
      <formula>"Towel"</formula>
    </cfRule>
    <cfRule type="cellIs" dxfId="21106" priority="9842" stopIfTrue="1" operator="equal">
      <formula>"Napkin Hs"</formula>
    </cfRule>
  </conditionalFormatting>
  <conditionalFormatting sqref="C74">
    <cfRule type="cellIs" dxfId="21105" priority="9845" stopIfTrue="1" operator="equal">
      <formula>"Towel"</formula>
    </cfRule>
    <cfRule type="cellIs" dxfId="21104" priority="9846" stopIfTrue="1" operator="equal">
      <formula>"Napkin Hs"</formula>
    </cfRule>
  </conditionalFormatting>
  <conditionalFormatting sqref="B72:C72">
    <cfRule type="cellIs" dxfId="21103" priority="9667" stopIfTrue="1" operator="equal">
      <formula>"Towel"</formula>
    </cfRule>
    <cfRule type="cellIs" dxfId="21102" priority="9668" stopIfTrue="1" operator="equal">
      <formula>"Napkin Hs"</formula>
    </cfRule>
  </conditionalFormatting>
  <conditionalFormatting sqref="B72:C72">
    <cfRule type="cellIs" dxfId="21101" priority="9643" stopIfTrue="1" operator="equal">
      <formula>"Towel"</formula>
    </cfRule>
    <cfRule type="cellIs" dxfId="21100" priority="9644" stopIfTrue="1" operator="equal">
      <formula>"Napkin Hs"</formula>
    </cfRule>
    <cfRule type="cellIs" dxfId="21099" priority="9649" stopIfTrue="1" operator="equal">
      <formula>"Towel"</formula>
    </cfRule>
    <cfRule type="cellIs" dxfId="21098" priority="9650" stopIfTrue="1" operator="equal">
      <formula>"Napkin Hs"</formula>
    </cfRule>
    <cfRule type="cellIs" dxfId="21097" priority="9655" stopIfTrue="1" operator="equal">
      <formula>"Towel"</formula>
    </cfRule>
    <cfRule type="cellIs" dxfId="21096" priority="9656" stopIfTrue="1" operator="equal">
      <formula>"Napkin Hs"</formula>
    </cfRule>
    <cfRule type="cellIs" dxfId="21095" priority="9661" stopIfTrue="1" operator="equal">
      <formula>"Towel"</formula>
    </cfRule>
    <cfRule type="cellIs" dxfId="21094" priority="9662" stopIfTrue="1" operator="equal">
      <formula>"Napkin Hs"</formula>
    </cfRule>
  </conditionalFormatting>
  <conditionalFormatting sqref="B73:C74">
    <cfRule type="cellIs" dxfId="21093" priority="9671" stopIfTrue="1" operator="equal">
      <formula>"Towel"</formula>
    </cfRule>
    <cfRule type="cellIs" dxfId="21092" priority="9672" stopIfTrue="1" operator="equal">
      <formula>"Napkin Hs"</formula>
    </cfRule>
  </conditionalFormatting>
  <conditionalFormatting sqref="C72">
    <cfRule type="cellIs" dxfId="21091" priority="9657" stopIfTrue="1" operator="equal">
      <formula>"Towel"</formula>
    </cfRule>
    <cfRule type="cellIs" dxfId="21090" priority="9658" stopIfTrue="1" operator="equal">
      <formula>"Napkin Hs"</formula>
    </cfRule>
    <cfRule type="cellIs" dxfId="21089" priority="9663" stopIfTrue="1" operator="equal">
      <formula>"Towel"</formula>
    </cfRule>
    <cfRule type="cellIs" dxfId="21088" priority="9664" stopIfTrue="1" operator="equal">
      <formula>"Napkin Hs"</formula>
    </cfRule>
  </conditionalFormatting>
  <conditionalFormatting sqref="C72">
    <cfRule type="cellIs" dxfId="21087" priority="9637" stopIfTrue="1" operator="equal">
      <formula>"Towel"</formula>
    </cfRule>
    <cfRule type="cellIs" dxfId="21086" priority="9638" stopIfTrue="1" operator="equal">
      <formula>"Napkin Hs"</formula>
    </cfRule>
    <cfRule type="cellIs" dxfId="21085" priority="9639" stopIfTrue="1" operator="equal">
      <formula>"Towel"</formula>
    </cfRule>
    <cfRule type="cellIs" dxfId="21084" priority="9640" stopIfTrue="1" operator="equal">
      <formula>"Napkin Hs"</formula>
    </cfRule>
    <cfRule type="cellIs" dxfId="21083" priority="9647" stopIfTrue="1" operator="equal">
      <formula>"Towel"</formula>
    </cfRule>
    <cfRule type="cellIs" dxfId="21082" priority="9648" stopIfTrue="1" operator="equal">
      <formula>"Napkin Hs"</formula>
    </cfRule>
    <cfRule type="cellIs" dxfId="21081" priority="9651" stopIfTrue="1" operator="equal">
      <formula>"Towel"</formula>
    </cfRule>
    <cfRule type="cellIs" dxfId="21080" priority="9652" stopIfTrue="1" operator="equal">
      <formula>"Napkin Hs"</formula>
    </cfRule>
    <cfRule type="cellIs" dxfId="21079" priority="9653" stopIfTrue="1" operator="equal">
      <formula>"Towel"</formula>
    </cfRule>
    <cfRule type="cellIs" dxfId="21078" priority="9654" stopIfTrue="1" operator="equal">
      <formula>"Napkin Hs"</formula>
    </cfRule>
  </conditionalFormatting>
  <conditionalFormatting sqref="C72:C74">
    <cfRule type="cellIs" dxfId="21077" priority="9665" stopIfTrue="1" operator="equal">
      <formula>"Towel"</formula>
    </cfRule>
    <cfRule type="cellIs" dxfId="21076" priority="9666" stopIfTrue="1" operator="equal">
      <formula>"Napkin Hs"</formula>
    </cfRule>
  </conditionalFormatting>
  <conditionalFormatting sqref="C72">
    <cfRule type="cellIs" dxfId="21075" priority="9641" stopIfTrue="1" operator="equal">
      <formula>"Towel"</formula>
    </cfRule>
    <cfRule type="cellIs" dxfId="21074" priority="9642" stopIfTrue="1" operator="equal">
      <formula>"Napkin Hs"</formula>
    </cfRule>
    <cfRule type="cellIs" dxfId="21073" priority="9645" stopIfTrue="1" operator="equal">
      <formula>"Towel"</formula>
    </cfRule>
    <cfRule type="cellIs" dxfId="21072" priority="9646" stopIfTrue="1" operator="equal">
      <formula>"Napkin Hs"</formula>
    </cfRule>
    <cfRule type="cellIs" dxfId="21071" priority="9659" stopIfTrue="1" operator="equal">
      <formula>"Towel"</formula>
    </cfRule>
    <cfRule type="cellIs" dxfId="21070" priority="9660" stopIfTrue="1" operator="equal">
      <formula>"Napkin Hs"</formula>
    </cfRule>
  </conditionalFormatting>
  <conditionalFormatting sqref="C73:C74">
    <cfRule type="cellIs" dxfId="21069" priority="9669" stopIfTrue="1" operator="equal">
      <formula>"Towel"</formula>
    </cfRule>
    <cfRule type="cellIs" dxfId="21068" priority="9670" stopIfTrue="1" operator="equal">
      <formula>"Napkin Hs"</formula>
    </cfRule>
  </conditionalFormatting>
  <conditionalFormatting sqref="B73:C73">
    <cfRule type="cellIs" dxfId="21067" priority="9547" stopIfTrue="1" operator="equal">
      <formula>"Towel"</formula>
    </cfRule>
    <cfRule type="cellIs" dxfId="21066" priority="9548" stopIfTrue="1" operator="equal">
      <formula>"Napkin Hs"</formula>
    </cfRule>
    <cfRule type="cellIs" dxfId="21065" priority="9553" stopIfTrue="1" operator="equal">
      <formula>"Towel"</formula>
    </cfRule>
    <cfRule type="cellIs" dxfId="21064" priority="9554" stopIfTrue="1" operator="equal">
      <formula>"Napkin Hs"</formula>
    </cfRule>
    <cfRule type="cellIs" dxfId="21063" priority="9559" stopIfTrue="1" operator="equal">
      <formula>"Towel"</formula>
    </cfRule>
    <cfRule type="cellIs" dxfId="21062" priority="9560" stopIfTrue="1" operator="equal">
      <formula>"Napkin Hs"</formula>
    </cfRule>
    <cfRule type="cellIs" dxfId="21061" priority="9565" stopIfTrue="1" operator="equal">
      <formula>"Towel"</formula>
    </cfRule>
    <cfRule type="cellIs" dxfId="21060" priority="9566" stopIfTrue="1" operator="equal">
      <formula>"Napkin Hs"</formula>
    </cfRule>
    <cfRule type="cellIs" dxfId="21059" priority="9571" stopIfTrue="1" operator="equal">
      <formula>"Towel"</formula>
    </cfRule>
    <cfRule type="cellIs" dxfId="21058" priority="9572" stopIfTrue="1" operator="equal">
      <formula>"Napkin Hs"</formula>
    </cfRule>
    <cfRule type="cellIs" dxfId="21057" priority="9577" stopIfTrue="1" operator="equal">
      <formula>"Towel"</formula>
    </cfRule>
    <cfRule type="cellIs" dxfId="21056" priority="9578" stopIfTrue="1" operator="equal">
      <formula>"Napkin Hs"</formula>
    </cfRule>
    <cfRule type="cellIs" dxfId="21055" priority="9583" stopIfTrue="1" operator="equal">
      <formula>"Towel"</formula>
    </cfRule>
    <cfRule type="cellIs" dxfId="21054" priority="9584" stopIfTrue="1" operator="equal">
      <formula>"Napkin Hs"</formula>
    </cfRule>
    <cfRule type="cellIs" dxfId="21053" priority="9589" stopIfTrue="1" operator="equal">
      <formula>"Towel"</formula>
    </cfRule>
    <cfRule type="cellIs" dxfId="21052" priority="9590" stopIfTrue="1" operator="equal">
      <formula>"Napkin Hs"</formula>
    </cfRule>
  </conditionalFormatting>
  <conditionalFormatting sqref="B74:C74">
    <cfRule type="cellIs" dxfId="21051" priority="9593" stopIfTrue="1" operator="equal">
      <formula>"Towel"</formula>
    </cfRule>
    <cfRule type="cellIs" dxfId="21050" priority="9594" stopIfTrue="1" operator="equal">
      <formula>"Napkin Hs"</formula>
    </cfRule>
    <cfRule type="cellIs" dxfId="21049" priority="9599" stopIfTrue="1" operator="equal">
      <formula>"Towel"</formula>
    </cfRule>
    <cfRule type="cellIs" dxfId="21048" priority="9600" stopIfTrue="1" operator="equal">
      <formula>"Napkin Hs"</formula>
    </cfRule>
    <cfRule type="cellIs" dxfId="21047" priority="9605" stopIfTrue="1" operator="equal">
      <formula>"Towel"</formula>
    </cfRule>
    <cfRule type="cellIs" dxfId="21046" priority="9606" stopIfTrue="1" operator="equal">
      <formula>"Napkin Hs"</formula>
    </cfRule>
    <cfRule type="cellIs" dxfId="21045" priority="9611" stopIfTrue="1" operator="equal">
      <formula>"Towel"</formula>
    </cfRule>
    <cfRule type="cellIs" dxfId="21044" priority="9612" stopIfTrue="1" operator="equal">
      <formula>"Napkin Hs"</formula>
    </cfRule>
    <cfRule type="cellIs" dxfId="21043" priority="9617" stopIfTrue="1" operator="equal">
      <formula>"Towel"</formula>
    </cfRule>
    <cfRule type="cellIs" dxfId="21042" priority="9618" stopIfTrue="1" operator="equal">
      <formula>"Napkin Hs"</formula>
    </cfRule>
    <cfRule type="cellIs" dxfId="21041" priority="9623" stopIfTrue="1" operator="equal">
      <formula>"Towel"</formula>
    </cfRule>
    <cfRule type="cellIs" dxfId="21040" priority="9624" stopIfTrue="1" operator="equal">
      <formula>"Napkin Hs"</formula>
    </cfRule>
    <cfRule type="cellIs" dxfId="21039" priority="9629" stopIfTrue="1" operator="equal">
      <formula>"Towel"</formula>
    </cfRule>
    <cfRule type="cellIs" dxfId="21038" priority="9630" stopIfTrue="1" operator="equal">
      <formula>"Napkin Hs"</formula>
    </cfRule>
    <cfRule type="cellIs" dxfId="21037" priority="9635" stopIfTrue="1" operator="equal">
      <formula>"Towel"</formula>
    </cfRule>
    <cfRule type="cellIs" dxfId="21036" priority="9636" stopIfTrue="1" operator="equal">
      <formula>"Napkin Hs"</formula>
    </cfRule>
  </conditionalFormatting>
  <conditionalFormatting sqref="C73">
    <cfRule type="cellIs" dxfId="21035" priority="9543" stopIfTrue="1" operator="equal">
      <formula>"Towel"</formula>
    </cfRule>
    <cfRule type="cellIs" dxfId="21034" priority="9544" stopIfTrue="1" operator="equal">
      <formula>"Napkin Hs"</formula>
    </cfRule>
    <cfRule type="cellIs" dxfId="21033" priority="9545" stopIfTrue="1" operator="equal">
      <formula>"Towel"</formula>
    </cfRule>
    <cfRule type="cellIs" dxfId="21032" priority="9546" stopIfTrue="1" operator="equal">
      <formula>"Napkin Hs"</formula>
    </cfRule>
    <cfRule type="cellIs" dxfId="21031" priority="9549" stopIfTrue="1" operator="equal">
      <formula>"Towel"</formula>
    </cfRule>
    <cfRule type="cellIs" dxfId="21030" priority="9550" stopIfTrue="1" operator="equal">
      <formula>"Napkin Hs"</formula>
    </cfRule>
    <cfRule type="cellIs" dxfId="21029" priority="9551" stopIfTrue="1" operator="equal">
      <formula>"Towel"</formula>
    </cfRule>
    <cfRule type="cellIs" dxfId="21028" priority="9552" stopIfTrue="1" operator="equal">
      <formula>"Napkin Hs"</formula>
    </cfRule>
    <cfRule type="cellIs" dxfId="21027" priority="9555" stopIfTrue="1" operator="equal">
      <formula>"Towel"</formula>
    </cfRule>
    <cfRule type="cellIs" dxfId="21026" priority="9556" stopIfTrue="1" operator="equal">
      <formula>"Napkin Hs"</formula>
    </cfRule>
    <cfRule type="cellIs" dxfId="21025" priority="9557" stopIfTrue="1" operator="equal">
      <formula>"Towel"</formula>
    </cfRule>
    <cfRule type="cellIs" dxfId="21024" priority="9558" stopIfTrue="1" operator="equal">
      <formula>"Napkin Hs"</formula>
    </cfRule>
    <cfRule type="cellIs" dxfId="21023" priority="9561" stopIfTrue="1" operator="equal">
      <formula>"Towel"</formula>
    </cfRule>
    <cfRule type="cellIs" dxfId="21022" priority="9562" stopIfTrue="1" operator="equal">
      <formula>"Napkin Hs"</formula>
    </cfRule>
    <cfRule type="cellIs" dxfId="21021" priority="9563" stopIfTrue="1" operator="equal">
      <formula>"Towel"</formula>
    </cfRule>
    <cfRule type="cellIs" dxfId="21020" priority="9564" stopIfTrue="1" operator="equal">
      <formula>"Napkin Hs"</formula>
    </cfRule>
    <cfRule type="cellIs" dxfId="21019" priority="9567" stopIfTrue="1" operator="equal">
      <formula>"Towel"</formula>
    </cfRule>
    <cfRule type="cellIs" dxfId="21018" priority="9568" stopIfTrue="1" operator="equal">
      <formula>"Napkin Hs"</formula>
    </cfRule>
    <cfRule type="cellIs" dxfId="21017" priority="9569" stopIfTrue="1" operator="equal">
      <formula>"Towel"</formula>
    </cfRule>
    <cfRule type="cellIs" dxfId="21016" priority="9570" stopIfTrue="1" operator="equal">
      <formula>"Napkin Hs"</formula>
    </cfRule>
    <cfRule type="cellIs" dxfId="21015" priority="9573" stopIfTrue="1" operator="equal">
      <formula>"Towel"</formula>
    </cfRule>
    <cfRule type="cellIs" dxfId="21014" priority="9574" stopIfTrue="1" operator="equal">
      <formula>"Napkin Hs"</formula>
    </cfRule>
    <cfRule type="cellIs" dxfId="21013" priority="9575" stopIfTrue="1" operator="equal">
      <formula>"Towel"</formula>
    </cfRule>
    <cfRule type="cellIs" dxfId="21012" priority="9576" stopIfTrue="1" operator="equal">
      <formula>"Napkin Hs"</formula>
    </cfRule>
    <cfRule type="cellIs" dxfId="21011" priority="9579" stopIfTrue="1" operator="equal">
      <formula>"Towel"</formula>
    </cfRule>
    <cfRule type="cellIs" dxfId="21010" priority="9580" stopIfTrue="1" operator="equal">
      <formula>"Napkin Hs"</formula>
    </cfRule>
    <cfRule type="cellIs" dxfId="21009" priority="9581" stopIfTrue="1" operator="equal">
      <formula>"Towel"</formula>
    </cfRule>
    <cfRule type="cellIs" dxfId="21008" priority="9582" stopIfTrue="1" operator="equal">
      <formula>"Napkin Hs"</formula>
    </cfRule>
    <cfRule type="cellIs" dxfId="21007" priority="9585" stopIfTrue="1" operator="equal">
      <formula>"Towel"</formula>
    </cfRule>
    <cfRule type="cellIs" dxfId="21006" priority="9586" stopIfTrue="1" operator="equal">
      <formula>"Napkin Hs"</formula>
    </cfRule>
  </conditionalFormatting>
  <conditionalFormatting sqref="C73:C74">
    <cfRule type="cellIs" dxfId="21005" priority="9587" stopIfTrue="1" operator="equal">
      <formula>"Towel"</formula>
    </cfRule>
    <cfRule type="cellIs" dxfId="21004" priority="9588" stopIfTrue="1" operator="equal">
      <formula>"Napkin Hs"</formula>
    </cfRule>
  </conditionalFormatting>
  <conditionalFormatting sqref="C74">
    <cfRule type="cellIs" dxfId="21003" priority="9591" stopIfTrue="1" operator="equal">
      <formula>"Towel"</formula>
    </cfRule>
    <cfRule type="cellIs" dxfId="21002" priority="9592" stopIfTrue="1" operator="equal">
      <formula>"Napkin Hs"</formula>
    </cfRule>
    <cfRule type="cellIs" dxfId="21001" priority="9595" stopIfTrue="1" operator="equal">
      <formula>"Towel"</formula>
    </cfRule>
    <cfRule type="cellIs" dxfId="21000" priority="9596" stopIfTrue="1" operator="equal">
      <formula>"Napkin Hs"</formula>
    </cfRule>
    <cfRule type="cellIs" dxfId="20999" priority="9597" stopIfTrue="1" operator="equal">
      <formula>"Towel"</formula>
    </cfRule>
    <cfRule type="cellIs" dxfId="20998" priority="9598" stopIfTrue="1" operator="equal">
      <formula>"Napkin Hs"</formula>
    </cfRule>
    <cfRule type="cellIs" dxfId="20997" priority="9601" stopIfTrue="1" operator="equal">
      <formula>"Towel"</formula>
    </cfRule>
    <cfRule type="cellIs" dxfId="20996" priority="9602" stopIfTrue="1" operator="equal">
      <formula>"Napkin Hs"</formula>
    </cfRule>
    <cfRule type="cellIs" dxfId="20995" priority="9603" stopIfTrue="1" operator="equal">
      <formula>"Towel"</formula>
    </cfRule>
    <cfRule type="cellIs" dxfId="20994" priority="9604" stopIfTrue="1" operator="equal">
      <formula>"Napkin Hs"</formula>
    </cfRule>
    <cfRule type="cellIs" dxfId="20993" priority="9607" stopIfTrue="1" operator="equal">
      <formula>"Towel"</formula>
    </cfRule>
    <cfRule type="cellIs" dxfId="20992" priority="9608" stopIfTrue="1" operator="equal">
      <formula>"Napkin Hs"</formula>
    </cfRule>
    <cfRule type="cellIs" dxfId="20991" priority="9609" stopIfTrue="1" operator="equal">
      <formula>"Towel"</formula>
    </cfRule>
    <cfRule type="cellIs" dxfId="20990" priority="9610" stopIfTrue="1" operator="equal">
      <formula>"Napkin Hs"</formula>
    </cfRule>
    <cfRule type="cellIs" dxfId="20989" priority="9613" stopIfTrue="1" operator="equal">
      <formula>"Towel"</formula>
    </cfRule>
    <cfRule type="cellIs" dxfId="20988" priority="9614" stopIfTrue="1" operator="equal">
      <formula>"Napkin Hs"</formula>
    </cfRule>
    <cfRule type="cellIs" dxfId="20987" priority="9615" stopIfTrue="1" operator="equal">
      <formula>"Towel"</formula>
    </cfRule>
    <cfRule type="cellIs" dxfId="20986" priority="9616" stopIfTrue="1" operator="equal">
      <formula>"Napkin Hs"</formula>
    </cfRule>
    <cfRule type="cellIs" dxfId="20985" priority="9619" stopIfTrue="1" operator="equal">
      <formula>"Towel"</formula>
    </cfRule>
    <cfRule type="cellIs" dxfId="20984" priority="9620" stopIfTrue="1" operator="equal">
      <formula>"Napkin Hs"</formula>
    </cfRule>
    <cfRule type="cellIs" dxfId="20983" priority="9621" stopIfTrue="1" operator="equal">
      <formula>"Towel"</formula>
    </cfRule>
    <cfRule type="cellIs" dxfId="20982" priority="9622" stopIfTrue="1" operator="equal">
      <formula>"Napkin Hs"</formula>
    </cfRule>
    <cfRule type="cellIs" dxfId="20981" priority="9625" stopIfTrue="1" operator="equal">
      <formula>"Towel"</formula>
    </cfRule>
    <cfRule type="cellIs" dxfId="20980" priority="9626" stopIfTrue="1" operator="equal">
      <formula>"Napkin Hs"</formula>
    </cfRule>
  </conditionalFormatting>
  <conditionalFormatting sqref="C74">
    <cfRule type="cellIs" dxfId="20979" priority="9627" stopIfTrue="1" operator="equal">
      <formula>"Towel"</formula>
    </cfRule>
    <cfRule type="cellIs" dxfId="20978" priority="9628" stopIfTrue="1" operator="equal">
      <formula>"Napkin Hs"</formula>
    </cfRule>
  </conditionalFormatting>
  <conditionalFormatting sqref="C74">
    <cfRule type="cellIs" dxfId="20977" priority="9631" stopIfTrue="1" operator="equal">
      <formula>"Towel"</formula>
    </cfRule>
    <cfRule type="cellIs" dxfId="20976" priority="9632" stopIfTrue="1" operator="equal">
      <formula>"Napkin Hs"</formula>
    </cfRule>
    <cfRule type="cellIs" dxfId="20975" priority="9633" stopIfTrue="1" operator="equal">
      <formula>"Towel"</formula>
    </cfRule>
    <cfRule type="cellIs" dxfId="20974" priority="9634" stopIfTrue="1" operator="equal">
      <formula>"Napkin Hs"</formula>
    </cfRule>
  </conditionalFormatting>
  <conditionalFormatting sqref="B73">
    <cfRule type="cellIs" dxfId="20973" priority="9537" stopIfTrue="1" operator="equal">
      <formula>"Towel"</formula>
    </cfRule>
    <cfRule type="cellIs" dxfId="20972" priority="9538" stopIfTrue="1" operator="equal">
      <formula>"Napkin Hs"</formula>
    </cfRule>
    <cfRule type="cellIs" dxfId="20971" priority="9539" stopIfTrue="1" operator="equal">
      <formula>"Towel"</formula>
    </cfRule>
    <cfRule type="cellIs" dxfId="20970" priority="9540" stopIfTrue="1" operator="equal">
      <formula>"Napkin Hs"</formula>
    </cfRule>
    <cfRule type="cellIs" dxfId="20969" priority="9541" stopIfTrue="1" operator="equal">
      <formula>"Towel"</formula>
    </cfRule>
    <cfRule type="cellIs" dxfId="20968" priority="9542" stopIfTrue="1" operator="equal">
      <formula>"Napkin Hs"</formula>
    </cfRule>
  </conditionalFormatting>
  <conditionalFormatting sqref="B73:C74">
    <cfRule type="cellIs" dxfId="20967" priority="9499" stopIfTrue="1" operator="equal">
      <formula>"Towel"</formula>
    </cfRule>
    <cfRule type="cellIs" dxfId="20966" priority="9500" stopIfTrue="1" operator="equal">
      <formula>"Napkin Hs"</formula>
    </cfRule>
    <cfRule type="cellIs" dxfId="20965" priority="9505" stopIfTrue="1" operator="equal">
      <formula>"Towel"</formula>
    </cfRule>
    <cfRule type="cellIs" dxfId="20964" priority="9506" stopIfTrue="1" operator="equal">
      <formula>"Napkin Hs"</formula>
    </cfRule>
    <cfRule type="cellIs" dxfId="20963" priority="9511" stopIfTrue="1" operator="equal">
      <formula>"Towel"</formula>
    </cfRule>
    <cfRule type="cellIs" dxfId="20962" priority="9512" stopIfTrue="1" operator="equal">
      <formula>"Napkin Hs"</formula>
    </cfRule>
    <cfRule type="cellIs" dxfId="20961" priority="9517" stopIfTrue="1" operator="equal">
      <formula>"Towel"</formula>
    </cfRule>
    <cfRule type="cellIs" dxfId="20960" priority="9518" stopIfTrue="1" operator="equal">
      <formula>"Napkin Hs"</formula>
    </cfRule>
    <cfRule type="cellIs" dxfId="20959" priority="9523" stopIfTrue="1" operator="equal">
      <formula>"Towel"</formula>
    </cfRule>
    <cfRule type="cellIs" dxfId="20958" priority="9524" stopIfTrue="1" operator="equal">
      <formula>"Napkin Hs"</formula>
    </cfRule>
    <cfRule type="cellIs" dxfId="20957" priority="9529" stopIfTrue="1" operator="equal">
      <formula>"Towel"</formula>
    </cfRule>
    <cfRule type="cellIs" dxfId="20956" priority="9530" stopIfTrue="1" operator="equal">
      <formula>"Napkin Hs"</formula>
    </cfRule>
    <cfRule type="cellIs" dxfId="20955" priority="9535" stopIfTrue="1" operator="equal">
      <formula>"Towel"</formula>
    </cfRule>
    <cfRule type="cellIs" dxfId="20954" priority="9536" stopIfTrue="1" operator="equal">
      <formula>"Napkin Hs"</formula>
    </cfRule>
  </conditionalFormatting>
  <conditionalFormatting sqref="C73:C74">
    <cfRule type="cellIs" dxfId="20953" priority="9495" stopIfTrue="1" operator="equal">
      <formula>"Towel"</formula>
    </cfRule>
    <cfRule type="cellIs" dxfId="20952" priority="9496" stopIfTrue="1" operator="equal">
      <formula>"Napkin Hs"</formula>
    </cfRule>
    <cfRule type="cellIs" dxfId="20951" priority="9497" stopIfTrue="1" operator="equal">
      <formula>"Towel"</formula>
    </cfRule>
    <cfRule type="cellIs" dxfId="20950" priority="9498" stopIfTrue="1" operator="equal">
      <formula>"Napkin Hs"</formula>
    </cfRule>
    <cfRule type="cellIs" dxfId="20949" priority="9501" stopIfTrue="1" operator="equal">
      <formula>"Towel"</formula>
    </cfRule>
    <cfRule type="cellIs" dxfId="20948" priority="9502" stopIfTrue="1" operator="equal">
      <formula>"Napkin Hs"</formula>
    </cfRule>
    <cfRule type="cellIs" dxfId="20947" priority="9503" stopIfTrue="1" operator="equal">
      <formula>"Towel"</formula>
    </cfRule>
    <cfRule type="cellIs" dxfId="20946" priority="9504" stopIfTrue="1" operator="equal">
      <formula>"Napkin Hs"</formula>
    </cfRule>
    <cfRule type="cellIs" dxfId="20945" priority="9507" stopIfTrue="1" operator="equal">
      <formula>"Towel"</formula>
    </cfRule>
    <cfRule type="cellIs" dxfId="20944" priority="9508" stopIfTrue="1" operator="equal">
      <formula>"Napkin Hs"</formula>
    </cfRule>
    <cfRule type="cellIs" dxfId="20943" priority="9509" stopIfTrue="1" operator="equal">
      <formula>"Towel"</formula>
    </cfRule>
    <cfRule type="cellIs" dxfId="20942" priority="9510" stopIfTrue="1" operator="equal">
      <formula>"Napkin Hs"</formula>
    </cfRule>
    <cfRule type="cellIs" dxfId="20941" priority="9513" stopIfTrue="1" operator="equal">
      <formula>"Towel"</formula>
    </cfRule>
    <cfRule type="cellIs" dxfId="20940" priority="9514" stopIfTrue="1" operator="equal">
      <formula>"Napkin Hs"</formula>
    </cfRule>
    <cfRule type="cellIs" dxfId="20939" priority="9515" stopIfTrue="1" operator="equal">
      <formula>"Towel"</formula>
    </cfRule>
    <cfRule type="cellIs" dxfId="20938" priority="9516" stopIfTrue="1" operator="equal">
      <formula>"Napkin Hs"</formula>
    </cfRule>
    <cfRule type="cellIs" dxfId="20937" priority="9519" stopIfTrue="1" operator="equal">
      <formula>"Towel"</formula>
    </cfRule>
    <cfRule type="cellIs" dxfId="20936" priority="9520" stopIfTrue="1" operator="equal">
      <formula>"Napkin Hs"</formula>
    </cfRule>
    <cfRule type="cellIs" dxfId="20935" priority="9521" stopIfTrue="1" operator="equal">
      <formula>"Towel"</formula>
    </cfRule>
    <cfRule type="cellIs" dxfId="20934" priority="9522" stopIfTrue="1" operator="equal">
      <formula>"Napkin Hs"</formula>
    </cfRule>
    <cfRule type="cellIs" dxfId="20933" priority="9525" stopIfTrue="1" operator="equal">
      <formula>"Towel"</formula>
    </cfRule>
    <cfRule type="cellIs" dxfId="20932" priority="9526" stopIfTrue="1" operator="equal">
      <formula>"Napkin Hs"</formula>
    </cfRule>
    <cfRule type="cellIs" dxfId="20931" priority="9527" stopIfTrue="1" operator="equal">
      <formula>"Towel"</formula>
    </cfRule>
    <cfRule type="cellIs" dxfId="20930" priority="9528" stopIfTrue="1" operator="equal">
      <formula>"Napkin Hs"</formula>
    </cfRule>
    <cfRule type="cellIs" dxfId="20929" priority="9531" stopIfTrue="1" operator="equal">
      <formula>"Towel"</formula>
    </cfRule>
    <cfRule type="cellIs" dxfId="20928" priority="9532" stopIfTrue="1" operator="equal">
      <formula>"Napkin Hs"</formula>
    </cfRule>
  </conditionalFormatting>
  <conditionalFormatting sqref="C73:C74">
    <cfRule type="cellIs" dxfId="20927" priority="9533" stopIfTrue="1" operator="equal">
      <formula>"Towel"</formula>
    </cfRule>
    <cfRule type="cellIs" dxfId="20926" priority="9534" stopIfTrue="1" operator="equal">
      <formula>"Napkin Hs"</formula>
    </cfRule>
  </conditionalFormatting>
  <conditionalFormatting sqref="B73:C73">
    <cfRule type="cellIs" dxfId="20925" priority="9493" stopIfTrue="1" operator="equal">
      <formula>"Towel"</formula>
    </cfRule>
    <cfRule type="cellIs" dxfId="20924" priority="9494" stopIfTrue="1" operator="equal">
      <formula>"Napkin Hs"</formula>
    </cfRule>
  </conditionalFormatting>
  <conditionalFormatting sqref="B73:C73">
    <cfRule type="cellIs" dxfId="20923" priority="9457" stopIfTrue="1" operator="equal">
      <formula>"Towel"</formula>
    </cfRule>
    <cfRule type="cellIs" dxfId="20922" priority="9458" stopIfTrue="1" operator="equal">
      <formula>"Napkin Hs"</formula>
    </cfRule>
    <cfRule type="cellIs" dxfId="20921" priority="9463" stopIfTrue="1" operator="equal">
      <formula>"Towel"</formula>
    </cfRule>
    <cfRule type="cellIs" dxfId="20920" priority="9464" stopIfTrue="1" operator="equal">
      <formula>"Napkin Hs"</formula>
    </cfRule>
    <cfRule type="cellIs" dxfId="20919" priority="9469" stopIfTrue="1" operator="equal">
      <formula>"Towel"</formula>
    </cfRule>
    <cfRule type="cellIs" dxfId="20918" priority="9470" stopIfTrue="1" operator="equal">
      <formula>"Napkin Hs"</formula>
    </cfRule>
    <cfRule type="cellIs" dxfId="20917" priority="9475" stopIfTrue="1" operator="equal">
      <formula>"Towel"</formula>
    </cfRule>
    <cfRule type="cellIs" dxfId="20916" priority="9476" stopIfTrue="1" operator="equal">
      <formula>"Napkin Hs"</formula>
    </cfRule>
    <cfRule type="cellIs" dxfId="20915" priority="9481" stopIfTrue="1" operator="equal">
      <formula>"Towel"</formula>
    </cfRule>
    <cfRule type="cellIs" dxfId="20914" priority="9482" stopIfTrue="1" operator="equal">
      <formula>"Napkin Hs"</formula>
    </cfRule>
    <cfRule type="cellIs" dxfId="20913" priority="9487" stopIfTrue="1" operator="equal">
      <formula>"Towel"</formula>
    </cfRule>
    <cfRule type="cellIs" dxfId="20912" priority="9488" stopIfTrue="1" operator="equal">
      <formula>"Napkin Hs"</formula>
    </cfRule>
  </conditionalFormatting>
  <conditionalFormatting sqref="B74:C74">
    <cfRule type="cellIs" dxfId="20911" priority="9417" stopIfTrue="1" operator="equal">
      <formula>"Towel"</formula>
    </cfRule>
    <cfRule type="cellIs" dxfId="20910" priority="9418" stopIfTrue="1" operator="equal">
      <formula>"Napkin Hs"</formula>
    </cfRule>
    <cfRule type="cellIs" dxfId="20909" priority="9423" stopIfTrue="1" operator="equal">
      <formula>"Towel"</formula>
    </cfRule>
    <cfRule type="cellIs" dxfId="20908" priority="9424" stopIfTrue="1" operator="equal">
      <formula>"Napkin Hs"</formula>
    </cfRule>
    <cfRule type="cellIs" dxfId="20907" priority="9429" stopIfTrue="1" operator="equal">
      <formula>"Towel"</formula>
    </cfRule>
    <cfRule type="cellIs" dxfId="20906" priority="9430" stopIfTrue="1" operator="equal">
      <formula>"Napkin Hs"</formula>
    </cfRule>
    <cfRule type="cellIs" dxfId="20905" priority="9435" stopIfTrue="1" operator="equal">
      <formula>"Towel"</formula>
    </cfRule>
    <cfRule type="cellIs" dxfId="20904" priority="9436" stopIfTrue="1" operator="equal">
      <formula>"Napkin Hs"</formula>
    </cfRule>
    <cfRule type="cellIs" dxfId="20903" priority="9441" stopIfTrue="1" operator="equal">
      <formula>"Towel"</formula>
    </cfRule>
    <cfRule type="cellIs" dxfId="20902" priority="9442" stopIfTrue="1" operator="equal">
      <formula>"Napkin Hs"</formula>
    </cfRule>
    <cfRule type="cellIs" dxfId="20901" priority="9447" stopIfTrue="1" operator="equal">
      <formula>"Towel"</formula>
    </cfRule>
    <cfRule type="cellIs" dxfId="20900" priority="9448" stopIfTrue="1" operator="equal">
      <formula>"Napkin Hs"</formula>
    </cfRule>
    <cfRule type="cellIs" dxfId="20899" priority="9453" stopIfTrue="1" operator="equal">
      <formula>"Towel"</formula>
    </cfRule>
    <cfRule type="cellIs" dxfId="20898" priority="9454" stopIfTrue="1" operator="equal">
      <formula>"Napkin Hs"</formula>
    </cfRule>
  </conditionalFormatting>
  <conditionalFormatting sqref="C73">
    <cfRule type="cellIs" dxfId="20897" priority="9492" stopIfTrue="1" operator="equal">
      <formula>"Napkin Hs"</formula>
    </cfRule>
  </conditionalFormatting>
  <conditionalFormatting sqref="C73">
    <cfRule type="cellIs" dxfId="20896" priority="9491" stopIfTrue="1" operator="equal">
      <formula>"Towel"</formula>
    </cfRule>
  </conditionalFormatting>
  <conditionalFormatting sqref="C73">
    <cfRule type="cellIs" dxfId="20895" priority="9485" stopIfTrue="1" operator="equal">
      <formula>"Towel"</formula>
    </cfRule>
    <cfRule type="cellIs" dxfId="20894" priority="9486" stopIfTrue="1" operator="equal">
      <formula>"Napkin Hs"</formula>
    </cfRule>
  </conditionalFormatting>
  <conditionalFormatting sqref="C73">
    <cfRule type="cellIs" dxfId="20893" priority="9483" stopIfTrue="1" operator="equal">
      <formula>"Towel"</formula>
    </cfRule>
    <cfRule type="cellIs" dxfId="20892" priority="9484" stopIfTrue="1" operator="equal">
      <formula>"Napkin Hs"</formula>
    </cfRule>
    <cfRule type="cellIs" dxfId="20891" priority="9489" stopIfTrue="1" operator="equal">
      <formula>"Towel"</formula>
    </cfRule>
    <cfRule type="cellIs" dxfId="20890" priority="9490" stopIfTrue="1" operator="equal">
      <formula>"Napkin Hs"</formula>
    </cfRule>
  </conditionalFormatting>
  <conditionalFormatting sqref="C73">
    <cfRule type="cellIs" dxfId="20889" priority="9455" stopIfTrue="1" operator="equal">
      <formula>"Towel"</formula>
    </cfRule>
    <cfRule type="cellIs" dxfId="20888" priority="9456" stopIfTrue="1" operator="equal">
      <formula>"Napkin Hs"</formula>
    </cfRule>
    <cfRule type="cellIs" dxfId="20887" priority="9459" stopIfTrue="1" operator="equal">
      <formula>"Towel"</formula>
    </cfRule>
    <cfRule type="cellIs" dxfId="20886" priority="9460" stopIfTrue="1" operator="equal">
      <formula>"Napkin Hs"</formula>
    </cfRule>
    <cfRule type="cellIs" dxfId="20885" priority="9461" stopIfTrue="1" operator="equal">
      <formula>"Towel"</formula>
    </cfRule>
    <cfRule type="cellIs" dxfId="20884" priority="9462" stopIfTrue="1" operator="equal">
      <formula>"Napkin Hs"</formula>
    </cfRule>
    <cfRule type="cellIs" dxfId="20883" priority="9465" stopIfTrue="1" operator="equal">
      <formula>"Towel"</formula>
    </cfRule>
    <cfRule type="cellIs" dxfId="20882" priority="9466" stopIfTrue="1" operator="equal">
      <formula>"Napkin Hs"</formula>
    </cfRule>
    <cfRule type="cellIs" dxfId="20881" priority="9467" stopIfTrue="1" operator="equal">
      <formula>"Towel"</formula>
    </cfRule>
    <cfRule type="cellIs" dxfId="20880" priority="9468" stopIfTrue="1" operator="equal">
      <formula>"Napkin Hs"</formula>
    </cfRule>
    <cfRule type="cellIs" dxfId="20879" priority="9471" stopIfTrue="1" operator="equal">
      <formula>"Towel"</formula>
    </cfRule>
    <cfRule type="cellIs" dxfId="20878" priority="9472" stopIfTrue="1" operator="equal">
      <formula>"Napkin Hs"</formula>
    </cfRule>
    <cfRule type="cellIs" dxfId="20877" priority="9473" stopIfTrue="1" operator="equal">
      <formula>"Towel"</formula>
    </cfRule>
    <cfRule type="cellIs" dxfId="20876" priority="9474" stopIfTrue="1" operator="equal">
      <formula>"Napkin Hs"</formula>
    </cfRule>
    <cfRule type="cellIs" dxfId="20875" priority="9477" stopIfTrue="1" operator="equal">
      <formula>"Towel"</formula>
    </cfRule>
    <cfRule type="cellIs" dxfId="20874" priority="9478" stopIfTrue="1" operator="equal">
      <formula>"Napkin Hs"</formula>
    </cfRule>
    <cfRule type="cellIs" dxfId="20873" priority="9479" stopIfTrue="1" operator="equal">
      <formula>"Towel"</formula>
    </cfRule>
    <cfRule type="cellIs" dxfId="20872" priority="9480" stopIfTrue="1" operator="equal">
      <formula>"Napkin Hs"</formula>
    </cfRule>
  </conditionalFormatting>
  <conditionalFormatting sqref="C73:C74">
    <cfRule type="cellIs" dxfId="20871" priority="9451" stopIfTrue="1" operator="equal">
      <formula>"Towel"</formula>
    </cfRule>
    <cfRule type="cellIs" dxfId="20870" priority="9452" stopIfTrue="1" operator="equal">
      <formula>"Napkin Hs"</formula>
    </cfRule>
  </conditionalFormatting>
  <conditionalFormatting sqref="C74">
    <cfRule type="cellIs" dxfId="20869" priority="9413" stopIfTrue="1" operator="equal">
      <formula>"Towel"</formula>
    </cfRule>
    <cfRule type="cellIs" dxfId="20868" priority="9414" stopIfTrue="1" operator="equal">
      <formula>"Napkin Hs"</formula>
    </cfRule>
    <cfRule type="cellIs" dxfId="20867" priority="9415" stopIfTrue="1" operator="equal">
      <formula>"Towel"</formula>
    </cfRule>
    <cfRule type="cellIs" dxfId="20866" priority="9416" stopIfTrue="1" operator="equal">
      <formula>"Napkin Hs"</formula>
    </cfRule>
    <cfRule type="cellIs" dxfId="20865" priority="9419" stopIfTrue="1" operator="equal">
      <formula>"Towel"</formula>
    </cfRule>
    <cfRule type="cellIs" dxfId="20864" priority="9420" stopIfTrue="1" operator="equal">
      <formula>"Napkin Hs"</formula>
    </cfRule>
    <cfRule type="cellIs" dxfId="20863" priority="9421" stopIfTrue="1" operator="equal">
      <formula>"Towel"</formula>
    </cfRule>
    <cfRule type="cellIs" dxfId="20862" priority="9422" stopIfTrue="1" operator="equal">
      <formula>"Napkin Hs"</formula>
    </cfRule>
    <cfRule type="cellIs" dxfId="20861" priority="9425" stopIfTrue="1" operator="equal">
      <formula>"Towel"</formula>
    </cfRule>
    <cfRule type="cellIs" dxfId="20860" priority="9426" stopIfTrue="1" operator="equal">
      <formula>"Napkin Hs"</formula>
    </cfRule>
    <cfRule type="cellIs" dxfId="20859" priority="9427" stopIfTrue="1" operator="equal">
      <formula>"Towel"</formula>
    </cfRule>
    <cfRule type="cellIs" dxfId="20858" priority="9428" stopIfTrue="1" operator="equal">
      <formula>"Napkin Hs"</formula>
    </cfRule>
    <cfRule type="cellIs" dxfId="20857" priority="9431" stopIfTrue="1" operator="equal">
      <formula>"Towel"</formula>
    </cfRule>
    <cfRule type="cellIs" dxfId="20856" priority="9432" stopIfTrue="1" operator="equal">
      <formula>"Napkin Hs"</formula>
    </cfRule>
    <cfRule type="cellIs" dxfId="20855" priority="9433" stopIfTrue="1" operator="equal">
      <formula>"Towel"</formula>
    </cfRule>
    <cfRule type="cellIs" dxfId="20854" priority="9434" stopIfTrue="1" operator="equal">
      <formula>"Napkin Hs"</formula>
    </cfRule>
    <cfRule type="cellIs" dxfId="20853" priority="9437" stopIfTrue="1" operator="equal">
      <formula>"Towel"</formula>
    </cfRule>
    <cfRule type="cellIs" dxfId="20852" priority="9438" stopIfTrue="1" operator="equal">
      <formula>"Napkin Hs"</formula>
    </cfRule>
    <cfRule type="cellIs" dxfId="20851" priority="9439" stopIfTrue="1" operator="equal">
      <formula>"Towel"</formula>
    </cfRule>
    <cfRule type="cellIs" dxfId="20850" priority="9440" stopIfTrue="1" operator="equal">
      <formula>"Napkin Hs"</formula>
    </cfRule>
    <cfRule type="cellIs" dxfId="20849" priority="9443" stopIfTrue="1" operator="equal">
      <formula>"Towel"</formula>
    </cfRule>
    <cfRule type="cellIs" dxfId="20848" priority="9444" stopIfTrue="1" operator="equal">
      <formula>"Napkin Hs"</formula>
    </cfRule>
    <cfRule type="cellIs" dxfId="20847" priority="9445" stopIfTrue="1" operator="equal">
      <formula>"Towel"</formula>
    </cfRule>
    <cfRule type="cellIs" dxfId="20846" priority="9446" stopIfTrue="1" operator="equal">
      <formula>"Napkin Hs"</formula>
    </cfRule>
    <cfRule type="cellIs" dxfId="20845" priority="9449" stopIfTrue="1" operator="equal">
      <formula>"Towel"</formula>
    </cfRule>
    <cfRule type="cellIs" dxfId="20844" priority="9450" stopIfTrue="1" operator="equal">
      <formula>"Napkin Hs"</formula>
    </cfRule>
  </conditionalFormatting>
  <conditionalFormatting sqref="C73">
    <cfRule type="cellIs" dxfId="20843" priority="9381" stopIfTrue="1" operator="equal">
      <formula>"Towel"</formula>
    </cfRule>
    <cfRule type="cellIs" dxfId="20842" priority="9382" stopIfTrue="1" operator="equal">
      <formula>"Napkin Hs"</formula>
    </cfRule>
    <cfRule type="cellIs" dxfId="20841" priority="9395" stopIfTrue="1" operator="equal">
      <formula>"Towel"</formula>
    </cfRule>
    <cfRule type="cellIs" dxfId="20840" priority="9396" stopIfTrue="1" operator="equal">
      <formula>"Napkin Hs"</formula>
    </cfRule>
    <cfRule type="cellIs" dxfId="20839" priority="9401" stopIfTrue="1" operator="equal">
      <formula>"Towel"</formula>
    </cfRule>
    <cfRule type="cellIs" dxfId="20838" priority="9402" stopIfTrue="1" operator="equal">
      <formula>"Napkin Hs"</formula>
    </cfRule>
    <cfRule type="cellIs" dxfId="20837" priority="9411" stopIfTrue="1" operator="equal">
      <formula>"Towel"</formula>
    </cfRule>
    <cfRule type="cellIs" dxfId="20836" priority="9412" stopIfTrue="1" operator="equal">
      <formula>"Napkin Hs"</formula>
    </cfRule>
  </conditionalFormatting>
  <conditionalFormatting sqref="B74:C74">
    <cfRule type="cellIs" dxfId="20835" priority="9385" stopIfTrue="1" operator="equal">
      <formula>"Towel"</formula>
    </cfRule>
    <cfRule type="cellIs" dxfId="20834" priority="9386" stopIfTrue="1" operator="equal">
      <formula>"Napkin Hs"</formula>
    </cfRule>
    <cfRule type="cellIs" dxfId="20833" priority="9391" stopIfTrue="1" operator="equal">
      <formula>"Towel"</formula>
    </cfRule>
    <cfRule type="cellIs" dxfId="20832" priority="9392" stopIfTrue="1" operator="equal">
      <formula>"Napkin Hs"</formula>
    </cfRule>
    <cfRule type="cellIs" dxfId="20831" priority="9407" stopIfTrue="1" operator="equal">
      <formula>"Towel"</formula>
    </cfRule>
    <cfRule type="cellIs" dxfId="20830" priority="9408" stopIfTrue="1" operator="equal">
      <formula>"Napkin Hs"</formula>
    </cfRule>
  </conditionalFormatting>
  <conditionalFormatting sqref="C73">
    <cfRule type="cellIs" dxfId="20829" priority="9399" stopIfTrue="1" operator="equal">
      <formula>"Towel"</formula>
    </cfRule>
    <cfRule type="cellIs" dxfId="20828" priority="9400" stopIfTrue="1" operator="equal">
      <formula>"Napkin Hs"</formula>
    </cfRule>
    <cfRule type="cellIs" dxfId="20827" priority="9409" stopIfTrue="1" operator="equal">
      <formula>"Towel"</formula>
    </cfRule>
    <cfRule type="cellIs" dxfId="20826" priority="9410" stopIfTrue="1" operator="equal">
      <formula>"Napkin Hs"</formula>
    </cfRule>
  </conditionalFormatting>
  <conditionalFormatting sqref="C73">
    <cfRule type="cellIs" dxfId="20825" priority="9377" stopIfTrue="1" operator="equal">
      <formula>"Towel"</formula>
    </cfRule>
    <cfRule type="cellIs" dxfId="20824" priority="9378" stopIfTrue="1" operator="equal">
      <formula>"Napkin Hs"</formula>
    </cfRule>
    <cfRule type="cellIs" dxfId="20823" priority="9393" stopIfTrue="1" operator="equal">
      <formula>"Towel"</formula>
    </cfRule>
    <cfRule type="cellIs" dxfId="20822" priority="9394" stopIfTrue="1" operator="equal">
      <formula>"Napkin Hs"</formula>
    </cfRule>
    <cfRule type="cellIs" dxfId="20821" priority="9397" stopIfTrue="1" operator="equal">
      <formula>"Towel"</formula>
    </cfRule>
    <cfRule type="cellIs" dxfId="20820" priority="9398" stopIfTrue="1" operator="equal">
      <formula>"Napkin Hs"</formula>
    </cfRule>
  </conditionalFormatting>
  <conditionalFormatting sqref="C73:C74">
    <cfRule type="cellIs" dxfId="20819" priority="9379" stopIfTrue="1" operator="equal">
      <formula>"Towel"</formula>
    </cfRule>
    <cfRule type="cellIs" dxfId="20818" priority="9380" stopIfTrue="1" operator="equal">
      <formula>"Napkin Hs"</formula>
    </cfRule>
    <cfRule type="cellIs" dxfId="20817" priority="9389" stopIfTrue="1" operator="equal">
      <formula>"Towel"</formula>
    </cfRule>
    <cfRule type="cellIs" dxfId="20816" priority="9390" stopIfTrue="1" operator="equal">
      <formula>"Napkin Hs"</formula>
    </cfRule>
    <cfRule type="cellIs" dxfId="20815" priority="9405" stopIfTrue="1" operator="equal">
      <formula>"Towel"</formula>
    </cfRule>
    <cfRule type="cellIs" dxfId="20814" priority="9406" stopIfTrue="1" operator="equal">
      <formula>"Napkin Hs"</formula>
    </cfRule>
  </conditionalFormatting>
  <conditionalFormatting sqref="C74">
    <cfRule type="cellIs" dxfId="20813" priority="9383" stopIfTrue="1" operator="equal">
      <formula>"Towel"</formula>
    </cfRule>
    <cfRule type="cellIs" dxfId="20812" priority="9384" stopIfTrue="1" operator="equal">
      <formula>"Napkin Hs"</formula>
    </cfRule>
    <cfRule type="cellIs" dxfId="20811" priority="9403" stopIfTrue="1" operator="equal">
      <formula>"Towel"</formula>
    </cfRule>
    <cfRule type="cellIs" dxfId="20810" priority="9404" stopIfTrue="1" operator="equal">
      <formula>"Napkin Hs"</formula>
    </cfRule>
  </conditionalFormatting>
  <conditionalFormatting sqref="C74">
    <cfRule type="cellIs" dxfId="20809" priority="9387" stopIfTrue="1" operator="equal">
      <formula>"Towel"</formula>
    </cfRule>
    <cfRule type="cellIs" dxfId="20808" priority="9388" stopIfTrue="1" operator="equal">
      <formula>"Napkin Hs"</formula>
    </cfRule>
  </conditionalFormatting>
  <conditionalFormatting sqref="B74:C74">
    <cfRule type="cellIs" dxfId="20807" priority="9375" stopIfTrue="1" operator="equal">
      <formula>"Towel"</formula>
    </cfRule>
    <cfRule type="cellIs" dxfId="20806" priority="9376" stopIfTrue="1" operator="equal">
      <formula>"Napkin Hs"</formula>
    </cfRule>
  </conditionalFormatting>
  <conditionalFormatting sqref="B74:C74">
    <cfRule type="cellIs" dxfId="20805" priority="9369" stopIfTrue="1" operator="equal">
      <formula>"Towel"</formula>
    </cfRule>
    <cfRule type="cellIs" dxfId="20804" priority="9370" stopIfTrue="1" operator="equal">
      <formula>"Napkin Hs"</formula>
    </cfRule>
  </conditionalFormatting>
  <conditionalFormatting sqref="C74">
    <cfRule type="cellIs" dxfId="20803" priority="9374" stopIfTrue="1" operator="equal">
      <formula>"Napkin Hs"</formula>
    </cfRule>
  </conditionalFormatting>
  <conditionalFormatting sqref="C74">
    <cfRule type="cellIs" dxfId="20802" priority="9371" stopIfTrue="1" operator="equal">
      <formula>"Towel"</formula>
    </cfRule>
    <cfRule type="cellIs" dxfId="20801" priority="9372" stopIfTrue="1" operator="equal">
      <formula>"Napkin Hs"</formula>
    </cfRule>
  </conditionalFormatting>
  <conditionalFormatting sqref="C74">
    <cfRule type="cellIs" dxfId="20800" priority="9365" stopIfTrue="1" operator="equal">
      <formula>"Towel"</formula>
    </cfRule>
    <cfRule type="cellIs" dxfId="20799" priority="9366" stopIfTrue="1" operator="equal">
      <formula>"Napkin Hs"</formula>
    </cfRule>
  </conditionalFormatting>
  <conditionalFormatting sqref="C74">
    <cfRule type="cellIs" dxfId="20798" priority="9367" stopIfTrue="1" operator="equal">
      <formula>"Towel"</formula>
    </cfRule>
    <cfRule type="cellIs" dxfId="20797" priority="9368" stopIfTrue="1" operator="equal">
      <formula>"Napkin Hs"</formula>
    </cfRule>
  </conditionalFormatting>
  <conditionalFormatting sqref="C74">
    <cfRule type="cellIs" dxfId="20796" priority="9373" stopIfTrue="1" operator="equal">
      <formula>"Towel"</formula>
    </cfRule>
  </conditionalFormatting>
  <conditionalFormatting sqref="B74:C74">
    <cfRule type="cellIs" dxfId="20795" priority="9363" stopIfTrue="1" operator="equal">
      <formula>"Towel"</formula>
    </cfRule>
    <cfRule type="cellIs" dxfId="20794" priority="9364" stopIfTrue="1" operator="equal">
      <formula>"Napkin Hs"</formula>
    </cfRule>
  </conditionalFormatting>
  <conditionalFormatting sqref="C74">
    <cfRule type="cellIs" dxfId="20793" priority="9359" stopIfTrue="1" operator="equal">
      <formula>"Towel"</formula>
    </cfRule>
    <cfRule type="cellIs" dxfId="20792" priority="9360" stopIfTrue="1" operator="equal">
      <formula>"Napkin Hs"</formula>
    </cfRule>
  </conditionalFormatting>
  <conditionalFormatting sqref="C74">
    <cfRule type="cellIs" dxfId="20791" priority="9361" stopIfTrue="1" operator="equal">
      <formula>"Towel"</formula>
    </cfRule>
    <cfRule type="cellIs" dxfId="20790" priority="9362" stopIfTrue="1" operator="equal">
      <formula>"Napkin Hs"</formula>
    </cfRule>
  </conditionalFormatting>
  <conditionalFormatting sqref="B74:C74">
    <cfRule type="cellIs" dxfId="20789" priority="9355" stopIfTrue="1" operator="equal">
      <formula>"Towel"</formula>
    </cfRule>
    <cfRule type="cellIs" dxfId="20788" priority="9356" stopIfTrue="1" operator="equal">
      <formula>"Napkin Hs"</formula>
    </cfRule>
  </conditionalFormatting>
  <conditionalFormatting sqref="C74">
    <cfRule type="cellIs" dxfId="20787" priority="9357" stopIfTrue="1" operator="equal">
      <formula>"Towel"</formula>
    </cfRule>
    <cfRule type="cellIs" dxfId="20786" priority="9358" stopIfTrue="1" operator="equal">
      <formula>"Napkin Hs"</formula>
    </cfRule>
  </conditionalFormatting>
  <conditionalFormatting sqref="C74">
    <cfRule type="cellIs" dxfId="20785" priority="9351" stopIfTrue="1" operator="equal">
      <formula>"Towel"</formula>
    </cfRule>
    <cfRule type="cellIs" dxfId="20784" priority="9352" stopIfTrue="1" operator="equal">
      <formula>"Napkin Hs"</formula>
    </cfRule>
  </conditionalFormatting>
  <conditionalFormatting sqref="C74">
    <cfRule type="cellIs" dxfId="20783" priority="9353" stopIfTrue="1" operator="equal">
      <formula>"Towel"</formula>
    </cfRule>
    <cfRule type="cellIs" dxfId="20782" priority="9354" stopIfTrue="1" operator="equal">
      <formula>"Napkin Hs"</formula>
    </cfRule>
  </conditionalFormatting>
  <conditionalFormatting sqref="B74:C74">
    <cfRule type="cellIs" dxfId="20781" priority="9349" stopIfTrue="1" operator="equal">
      <formula>"Towel"</formula>
    </cfRule>
    <cfRule type="cellIs" dxfId="20780" priority="9350" stopIfTrue="1" operator="equal">
      <formula>"Napkin Hs"</formula>
    </cfRule>
  </conditionalFormatting>
  <conditionalFormatting sqref="C74">
    <cfRule type="cellIs" dxfId="20779" priority="9348" stopIfTrue="1" operator="equal">
      <formula>"Napkin Hs"</formula>
    </cfRule>
  </conditionalFormatting>
  <conditionalFormatting sqref="C74">
    <cfRule type="cellIs" dxfId="20778" priority="9347" stopIfTrue="1" operator="equal">
      <formula>"Towel"</formula>
    </cfRule>
  </conditionalFormatting>
  <conditionalFormatting sqref="C73">
    <cfRule type="cellIs" dxfId="20777" priority="9345" stopIfTrue="1" operator="equal">
      <formula>"Towel"</formula>
    </cfRule>
    <cfRule type="cellIs" dxfId="20776" priority="9346" stopIfTrue="1" operator="equal">
      <formula>"Napkin Hs"</formula>
    </cfRule>
  </conditionalFormatting>
  <conditionalFormatting sqref="C73">
    <cfRule type="cellIs" dxfId="20775" priority="9341" stopIfTrue="1" operator="equal">
      <formula>"Towel"</formula>
    </cfRule>
    <cfRule type="cellIs" dxfId="20774" priority="9342" stopIfTrue="1" operator="equal">
      <formula>"Napkin Hs"</formula>
    </cfRule>
  </conditionalFormatting>
  <conditionalFormatting sqref="C73">
    <cfRule type="cellIs" dxfId="20773" priority="9343" stopIfTrue="1" operator="equal">
      <formula>"Towel"</formula>
    </cfRule>
    <cfRule type="cellIs" dxfId="20772" priority="9344" stopIfTrue="1" operator="equal">
      <formula>"Napkin Hs"</formula>
    </cfRule>
  </conditionalFormatting>
  <conditionalFormatting sqref="C73">
    <cfRule type="cellIs" dxfId="20771" priority="9339" stopIfTrue="1" operator="equal">
      <formula>"Towel"</formula>
    </cfRule>
    <cfRule type="cellIs" dxfId="20770" priority="9340" stopIfTrue="1" operator="equal">
      <formula>"Napkin Hs"</formula>
    </cfRule>
  </conditionalFormatting>
  <conditionalFormatting sqref="C73">
    <cfRule type="cellIs" dxfId="20769" priority="9335" stopIfTrue="1" operator="equal">
      <formula>"Towel"</formula>
    </cfRule>
    <cfRule type="cellIs" dxfId="20768" priority="9336" stopIfTrue="1" operator="equal">
      <formula>"Napkin Hs"</formula>
    </cfRule>
  </conditionalFormatting>
  <conditionalFormatting sqref="C73">
    <cfRule type="cellIs" dxfId="20767" priority="9337" stopIfTrue="1" operator="equal">
      <formula>"Towel"</formula>
    </cfRule>
    <cfRule type="cellIs" dxfId="20766" priority="9338" stopIfTrue="1" operator="equal">
      <formula>"Napkin Hs"</formula>
    </cfRule>
  </conditionalFormatting>
  <conditionalFormatting sqref="C73">
    <cfRule type="cellIs" dxfId="20765" priority="9333" stopIfTrue="1" operator="equal">
      <formula>"Towel"</formula>
    </cfRule>
    <cfRule type="cellIs" dxfId="20764" priority="9334" stopIfTrue="1" operator="equal">
      <formula>"Napkin Hs"</formula>
    </cfRule>
  </conditionalFormatting>
  <conditionalFormatting sqref="C73">
    <cfRule type="cellIs" dxfId="20763" priority="9329" stopIfTrue="1" operator="equal">
      <formula>"Towel"</formula>
    </cfRule>
    <cfRule type="cellIs" dxfId="20762" priority="9330" stopIfTrue="1" operator="equal">
      <formula>"Napkin Hs"</formula>
    </cfRule>
  </conditionalFormatting>
  <conditionalFormatting sqref="C73">
    <cfRule type="cellIs" dxfId="20761" priority="9331" stopIfTrue="1" operator="equal">
      <formula>"Towel"</formula>
    </cfRule>
    <cfRule type="cellIs" dxfId="20760" priority="9332" stopIfTrue="1" operator="equal">
      <formula>"Napkin Hs"</formula>
    </cfRule>
  </conditionalFormatting>
  <conditionalFormatting sqref="C73">
    <cfRule type="cellIs" dxfId="20759" priority="9327" stopIfTrue="1" operator="equal">
      <formula>"Towel"</formula>
    </cfRule>
    <cfRule type="cellIs" dxfId="20758" priority="9328" stopIfTrue="1" operator="equal">
      <formula>"Napkin Hs"</formula>
    </cfRule>
  </conditionalFormatting>
  <conditionalFormatting sqref="C73">
    <cfRule type="cellIs" dxfId="20757" priority="9325" stopIfTrue="1" operator="equal">
      <formula>"Towel"</formula>
    </cfRule>
    <cfRule type="cellIs" dxfId="20756" priority="9326" stopIfTrue="1" operator="equal">
      <formula>"Napkin Hs"</formula>
    </cfRule>
  </conditionalFormatting>
  <conditionalFormatting sqref="C73">
    <cfRule type="cellIs" dxfId="20755" priority="9323" stopIfTrue="1" operator="equal">
      <formula>"Towel"</formula>
    </cfRule>
    <cfRule type="cellIs" dxfId="20754" priority="9324" stopIfTrue="1" operator="equal">
      <formula>"Napkin Hs"</formula>
    </cfRule>
  </conditionalFormatting>
  <conditionalFormatting sqref="C73">
    <cfRule type="cellIs" dxfId="20753" priority="9321" stopIfTrue="1" operator="equal">
      <formula>"Towel"</formula>
    </cfRule>
    <cfRule type="cellIs" dxfId="20752" priority="9322" stopIfTrue="1" operator="equal">
      <formula>"Napkin Hs"</formula>
    </cfRule>
  </conditionalFormatting>
  <conditionalFormatting sqref="C73">
    <cfRule type="cellIs" dxfId="20751" priority="9320" stopIfTrue="1" operator="equal">
      <formula>"Napkin Hs"</formula>
    </cfRule>
  </conditionalFormatting>
  <conditionalFormatting sqref="C73">
    <cfRule type="cellIs" dxfId="20750" priority="9317" stopIfTrue="1" operator="equal">
      <formula>"Towel"</formula>
    </cfRule>
    <cfRule type="cellIs" dxfId="20749" priority="9318" stopIfTrue="1" operator="equal">
      <formula>"Napkin Hs"</formula>
    </cfRule>
  </conditionalFormatting>
  <conditionalFormatting sqref="C73">
    <cfRule type="cellIs" dxfId="20748" priority="9319" stopIfTrue="1" operator="equal">
      <formula>"Towel"</formula>
    </cfRule>
  </conditionalFormatting>
  <conditionalFormatting sqref="B73">
    <cfRule type="cellIs" dxfId="20747" priority="9315" stopIfTrue="1" operator="equal">
      <formula>"Towel"</formula>
    </cfRule>
    <cfRule type="cellIs" dxfId="20746" priority="9316" stopIfTrue="1" operator="equal">
      <formula>"Napkin Hs"</formula>
    </cfRule>
  </conditionalFormatting>
  <conditionalFormatting sqref="B73">
    <cfRule type="cellIs" dxfId="20745" priority="9313" stopIfTrue="1" operator="equal">
      <formula>"Towel"</formula>
    </cfRule>
    <cfRule type="cellIs" dxfId="20744" priority="9314" stopIfTrue="1" operator="equal">
      <formula>"Napkin Hs"</formula>
    </cfRule>
  </conditionalFormatting>
  <conditionalFormatting sqref="B73">
    <cfRule type="cellIs" dxfId="20743" priority="9311" stopIfTrue="1" operator="equal">
      <formula>"Towel"</formula>
    </cfRule>
    <cfRule type="cellIs" dxfId="20742" priority="9312" stopIfTrue="1" operator="equal">
      <formula>"Napkin Hs"</formula>
    </cfRule>
  </conditionalFormatting>
  <conditionalFormatting sqref="B73">
    <cfRule type="cellIs" dxfId="20741" priority="9309" stopIfTrue="1" operator="equal">
      <formula>"Towel"</formula>
    </cfRule>
    <cfRule type="cellIs" dxfId="20740" priority="9310" stopIfTrue="1" operator="equal">
      <formula>"Napkin Hs"</formula>
    </cfRule>
  </conditionalFormatting>
  <conditionalFormatting sqref="B73">
    <cfRule type="cellIs" dxfId="20739" priority="9307" stopIfTrue="1" operator="equal">
      <formula>"Towel"</formula>
    </cfRule>
    <cfRule type="cellIs" dxfId="20738" priority="9308" stopIfTrue="1" operator="equal">
      <formula>"Napkin Hs"</formula>
    </cfRule>
  </conditionalFormatting>
  <conditionalFormatting sqref="B73">
    <cfRule type="cellIs" dxfId="20737" priority="9305" stopIfTrue="1" operator="equal">
      <formula>"Towel"</formula>
    </cfRule>
    <cfRule type="cellIs" dxfId="20736" priority="9306" stopIfTrue="1" operator="equal">
      <formula>"Napkin Hs"</formula>
    </cfRule>
  </conditionalFormatting>
  <conditionalFormatting sqref="B73">
    <cfRule type="cellIs" dxfId="20735" priority="9301" stopIfTrue="1" operator="equal">
      <formula>"Towel"</formula>
    </cfRule>
    <cfRule type="cellIs" dxfId="20734" priority="9302" stopIfTrue="1" operator="equal">
      <formula>"Napkin Hs"</formula>
    </cfRule>
    <cfRule type="cellIs" dxfId="20733" priority="9303" stopIfTrue="1" operator="equal">
      <formula>"Towel"</formula>
    </cfRule>
    <cfRule type="cellIs" dxfId="20732" priority="9304" stopIfTrue="1" operator="equal">
      <formula>"Napkin Hs"</formula>
    </cfRule>
  </conditionalFormatting>
  <conditionalFormatting sqref="B73">
    <cfRule type="cellIs" dxfId="20731" priority="9299" stopIfTrue="1" operator="equal">
      <formula>"Towel"</formula>
    </cfRule>
    <cfRule type="cellIs" dxfId="20730" priority="9300" stopIfTrue="1" operator="equal">
      <formula>"Napkin Hs"</formula>
    </cfRule>
  </conditionalFormatting>
  <conditionalFormatting sqref="B73">
    <cfRule type="cellIs" dxfId="20729" priority="9297" stopIfTrue="1" operator="equal">
      <formula>"Towel"</formula>
    </cfRule>
    <cfRule type="cellIs" dxfId="20728" priority="9298" stopIfTrue="1" operator="equal">
      <formula>"Napkin Hs"</formula>
    </cfRule>
  </conditionalFormatting>
  <conditionalFormatting sqref="B73">
    <cfRule type="cellIs" dxfId="20727" priority="9295" stopIfTrue="1" operator="equal">
      <formula>"Towel"</formula>
    </cfRule>
    <cfRule type="cellIs" dxfId="20726" priority="9296" stopIfTrue="1" operator="equal">
      <formula>"Napkin Hs"</formula>
    </cfRule>
  </conditionalFormatting>
  <conditionalFormatting sqref="B73">
    <cfRule type="cellIs" dxfId="20725" priority="9293" stopIfTrue="1" operator="equal">
      <formula>"Towel"</formula>
    </cfRule>
    <cfRule type="cellIs" dxfId="20724" priority="9294" stopIfTrue="1" operator="equal">
      <formula>"Napkin Hs"</formula>
    </cfRule>
  </conditionalFormatting>
  <conditionalFormatting sqref="B73">
    <cfRule type="cellIs" dxfId="20723" priority="9291" stopIfTrue="1" operator="equal">
      <formula>"Towel"</formula>
    </cfRule>
    <cfRule type="cellIs" dxfId="20722" priority="9292" stopIfTrue="1" operator="equal">
      <formula>"Napkin Hs"</formula>
    </cfRule>
  </conditionalFormatting>
  <conditionalFormatting sqref="B73:C73">
    <cfRule type="cellIs" dxfId="20721" priority="9277" stopIfTrue="1" operator="equal">
      <formula>"Towel"</formula>
    </cfRule>
    <cfRule type="cellIs" dxfId="20720" priority="9278" stopIfTrue="1" operator="equal">
      <formula>"Napkin Hs"</formula>
    </cfRule>
    <cfRule type="cellIs" dxfId="20719" priority="9283" stopIfTrue="1" operator="equal">
      <formula>"Towel"</formula>
    </cfRule>
    <cfRule type="cellIs" dxfId="20718" priority="9284" stopIfTrue="1" operator="equal">
      <formula>"Napkin Hs"</formula>
    </cfRule>
    <cfRule type="cellIs" dxfId="20717" priority="9289" stopIfTrue="1" operator="equal">
      <formula>"Towel"</formula>
    </cfRule>
    <cfRule type="cellIs" dxfId="20716" priority="9290" stopIfTrue="1" operator="equal">
      <formula>"Napkin Hs"</formula>
    </cfRule>
  </conditionalFormatting>
  <conditionalFormatting sqref="C73">
    <cfRule type="cellIs" dxfId="20715" priority="9271" stopIfTrue="1" operator="equal">
      <formula>"Towel"</formula>
    </cfRule>
    <cfRule type="cellIs" dxfId="20714" priority="9272" stopIfTrue="1" operator="equal">
      <formula>"Napkin Hs"</formula>
    </cfRule>
    <cfRule type="cellIs" dxfId="20713" priority="9273" stopIfTrue="1" operator="equal">
      <formula>"Towel"</formula>
    </cfRule>
    <cfRule type="cellIs" dxfId="20712" priority="9274" stopIfTrue="1" operator="equal">
      <formula>"Napkin Hs"</formula>
    </cfRule>
    <cfRule type="cellIs" dxfId="20711" priority="9281" stopIfTrue="1" operator="equal">
      <formula>"Towel"</formula>
    </cfRule>
    <cfRule type="cellIs" dxfId="20710" priority="9282" stopIfTrue="1" operator="equal">
      <formula>"Napkin Hs"</formula>
    </cfRule>
    <cfRule type="cellIs" dxfId="20709" priority="9285" stopIfTrue="1" operator="equal">
      <formula>"Towel"</formula>
    </cfRule>
    <cfRule type="cellIs" dxfId="20708" priority="9286" stopIfTrue="1" operator="equal">
      <formula>"Napkin Hs"</formula>
    </cfRule>
  </conditionalFormatting>
  <conditionalFormatting sqref="C73">
    <cfRule type="cellIs" dxfId="20707" priority="9275" stopIfTrue="1" operator="equal">
      <formula>"Towel"</formula>
    </cfRule>
    <cfRule type="cellIs" dxfId="20706" priority="9276" stopIfTrue="1" operator="equal">
      <formula>"Napkin Hs"</formula>
    </cfRule>
    <cfRule type="cellIs" dxfId="20705" priority="9279" stopIfTrue="1" operator="equal">
      <formula>"Towel"</formula>
    </cfRule>
    <cfRule type="cellIs" dxfId="20704" priority="9280" stopIfTrue="1" operator="equal">
      <formula>"Napkin Hs"</formula>
    </cfRule>
    <cfRule type="cellIs" dxfId="20703" priority="9287" stopIfTrue="1" operator="equal">
      <formula>"Towel"</formula>
    </cfRule>
    <cfRule type="cellIs" dxfId="20702" priority="9288" stopIfTrue="1" operator="equal">
      <formula>"Napkin Hs"</formula>
    </cfRule>
  </conditionalFormatting>
  <conditionalFormatting sqref="B73:C73">
    <cfRule type="cellIs" dxfId="20701" priority="9269" stopIfTrue="1" operator="equal">
      <formula>"Towel"</formula>
    </cfRule>
    <cfRule type="cellIs" dxfId="20700" priority="9270" stopIfTrue="1" operator="equal">
      <formula>"Napkin Hs"</formula>
    </cfRule>
  </conditionalFormatting>
  <conditionalFormatting sqref="B73:C73">
    <cfRule type="cellIs" dxfId="20699" priority="9261" stopIfTrue="1" operator="equal">
      <formula>"Towel"</formula>
    </cfRule>
    <cfRule type="cellIs" dxfId="20698" priority="9262" stopIfTrue="1" operator="equal">
      <formula>"Napkin Hs"</formula>
    </cfRule>
    <cfRule type="cellIs" dxfId="20697" priority="9267" stopIfTrue="1" operator="equal">
      <formula>"Towel"</formula>
    </cfRule>
    <cfRule type="cellIs" dxfId="20696" priority="9268" stopIfTrue="1" operator="equal">
      <formula>"Napkin Hs"</formula>
    </cfRule>
  </conditionalFormatting>
  <conditionalFormatting sqref="C73">
    <cfRule type="cellIs" dxfId="20695" priority="9257" stopIfTrue="1" operator="equal">
      <formula>"Towel"</formula>
    </cfRule>
    <cfRule type="cellIs" dxfId="20694" priority="9258" stopIfTrue="1" operator="equal">
      <formula>"Napkin Hs"</formula>
    </cfRule>
  </conditionalFormatting>
  <conditionalFormatting sqref="C73">
    <cfRule type="cellIs" dxfId="20693" priority="9255" stopIfTrue="1" operator="equal">
      <formula>"Towel"</formula>
    </cfRule>
    <cfRule type="cellIs" dxfId="20692" priority="9256" stopIfTrue="1" operator="equal">
      <formula>"Napkin Hs"</formula>
    </cfRule>
    <cfRule type="cellIs" dxfId="20691" priority="9265" stopIfTrue="1" operator="equal">
      <formula>"Towel"</formula>
    </cfRule>
    <cfRule type="cellIs" dxfId="20690" priority="9266" stopIfTrue="1" operator="equal">
      <formula>"Napkin Hs"</formula>
    </cfRule>
  </conditionalFormatting>
  <conditionalFormatting sqref="C73">
    <cfRule type="cellIs" dxfId="20689" priority="9259" stopIfTrue="1" operator="equal">
      <formula>"Towel"</formula>
    </cfRule>
    <cfRule type="cellIs" dxfId="20688" priority="9260" stopIfTrue="1" operator="equal">
      <formula>"Napkin Hs"</formula>
    </cfRule>
    <cfRule type="cellIs" dxfId="20687" priority="9263" stopIfTrue="1" operator="equal">
      <formula>"Towel"</formula>
    </cfRule>
    <cfRule type="cellIs" dxfId="20686" priority="9264" stopIfTrue="1" operator="equal">
      <formula>"Napkin Hs"</formula>
    </cfRule>
  </conditionalFormatting>
  <conditionalFormatting sqref="C73">
    <cfRule type="cellIs" dxfId="20685" priority="9254" stopIfTrue="1" operator="equal">
      <formula>"Napkin Hs"</formula>
    </cfRule>
  </conditionalFormatting>
  <conditionalFormatting sqref="C73">
    <cfRule type="cellIs" dxfId="20684" priority="9253" stopIfTrue="1" operator="equal">
      <formula>"Towel"</formula>
    </cfRule>
  </conditionalFormatting>
  <conditionalFormatting sqref="C73">
    <cfRule type="cellIs" dxfId="20683" priority="9249" stopIfTrue="1" operator="equal">
      <formula>"Towel"</formula>
    </cfRule>
    <cfRule type="cellIs" dxfId="20682" priority="9250" stopIfTrue="1" operator="equal">
      <formula>"Napkin Hs"</formula>
    </cfRule>
    <cfRule type="cellIs" dxfId="20681" priority="9251" stopIfTrue="1" operator="equal">
      <formula>"Towel"</formula>
    </cfRule>
    <cfRule type="cellIs" dxfId="20680" priority="9252" stopIfTrue="1" operator="equal">
      <formula>"Napkin Hs"</formula>
    </cfRule>
  </conditionalFormatting>
  <conditionalFormatting sqref="B73:C73">
    <cfRule type="cellIs" dxfId="20679" priority="9247" stopIfTrue="1" operator="equal">
      <formula>"Towel"</formula>
    </cfRule>
    <cfRule type="cellIs" dxfId="20678" priority="9248" stopIfTrue="1" operator="equal">
      <formula>"Napkin Hs"</formula>
    </cfRule>
  </conditionalFormatting>
  <conditionalFormatting sqref="C73">
    <cfRule type="cellIs" dxfId="20677" priority="9243" stopIfTrue="1" operator="equal">
      <formula>"Towel"</formula>
    </cfRule>
    <cfRule type="cellIs" dxfId="20676" priority="9244" stopIfTrue="1" operator="equal">
      <formula>"Napkin Hs"</formula>
    </cfRule>
  </conditionalFormatting>
  <conditionalFormatting sqref="C73">
    <cfRule type="cellIs" dxfId="20675" priority="9245" stopIfTrue="1" operator="equal">
      <formula>"Towel"</formula>
    </cfRule>
    <cfRule type="cellIs" dxfId="20674" priority="9246" stopIfTrue="1" operator="equal">
      <formula>"Napkin Hs"</formula>
    </cfRule>
  </conditionalFormatting>
  <conditionalFormatting sqref="B73:C73">
    <cfRule type="cellIs" dxfId="20673" priority="9241" stopIfTrue="1" operator="equal">
      <formula>"Towel"</formula>
    </cfRule>
    <cfRule type="cellIs" dxfId="20672" priority="9242" stopIfTrue="1" operator="equal">
      <formula>"Napkin Hs"</formula>
    </cfRule>
  </conditionalFormatting>
  <conditionalFormatting sqref="C73">
    <cfRule type="cellIs" dxfId="20671" priority="9237" stopIfTrue="1" operator="equal">
      <formula>"Towel"</formula>
    </cfRule>
    <cfRule type="cellIs" dxfId="20670" priority="9238" stopIfTrue="1" operator="equal">
      <formula>"Napkin Hs"</formula>
    </cfRule>
  </conditionalFormatting>
  <conditionalFormatting sqref="C73">
    <cfRule type="cellIs" dxfId="20669" priority="9239" stopIfTrue="1" operator="equal">
      <formula>"Towel"</formula>
    </cfRule>
    <cfRule type="cellIs" dxfId="20668" priority="9240" stopIfTrue="1" operator="equal">
      <formula>"Napkin Hs"</formula>
    </cfRule>
  </conditionalFormatting>
  <conditionalFormatting sqref="B73:C73">
    <cfRule type="cellIs" dxfId="20667" priority="9235" stopIfTrue="1" operator="equal">
      <formula>"Towel"</formula>
    </cfRule>
    <cfRule type="cellIs" dxfId="20666" priority="9236" stopIfTrue="1" operator="equal">
      <formula>"Napkin Hs"</formula>
    </cfRule>
  </conditionalFormatting>
  <conditionalFormatting sqref="C73">
    <cfRule type="cellIs" dxfId="20665" priority="9231" stopIfTrue="1" operator="equal">
      <formula>"Towel"</formula>
    </cfRule>
    <cfRule type="cellIs" dxfId="20664" priority="9232" stopIfTrue="1" operator="equal">
      <formula>"Napkin Hs"</formula>
    </cfRule>
  </conditionalFormatting>
  <conditionalFormatting sqref="C73">
    <cfRule type="cellIs" dxfId="20663" priority="9233" stopIfTrue="1" operator="equal">
      <formula>"Towel"</formula>
    </cfRule>
    <cfRule type="cellIs" dxfId="20662" priority="9234" stopIfTrue="1" operator="equal">
      <formula>"Napkin Hs"</formula>
    </cfRule>
  </conditionalFormatting>
  <conditionalFormatting sqref="B73:C73">
    <cfRule type="cellIs" dxfId="20661" priority="9229" stopIfTrue="1" operator="equal">
      <formula>"Towel"</formula>
    </cfRule>
    <cfRule type="cellIs" dxfId="20660" priority="9230" stopIfTrue="1" operator="equal">
      <formula>"Napkin Hs"</formula>
    </cfRule>
  </conditionalFormatting>
  <conditionalFormatting sqref="C73">
    <cfRule type="cellIs" dxfId="20659" priority="9227" stopIfTrue="1" operator="equal">
      <formula>"Towel"</formula>
    </cfRule>
    <cfRule type="cellIs" dxfId="20658" priority="9228" stopIfTrue="1" operator="equal">
      <formula>"Napkin Hs"</formula>
    </cfRule>
  </conditionalFormatting>
  <conditionalFormatting sqref="C73">
    <cfRule type="cellIs" dxfId="20657" priority="9225" stopIfTrue="1" operator="equal">
      <formula>"Towel"</formula>
    </cfRule>
    <cfRule type="cellIs" dxfId="20656" priority="9226" stopIfTrue="1" operator="equal">
      <formula>"Napkin Hs"</formula>
    </cfRule>
  </conditionalFormatting>
  <conditionalFormatting sqref="B73:C73">
    <cfRule type="cellIs" dxfId="20655" priority="9223" stopIfTrue="1" operator="equal">
      <formula>"Towel"</formula>
    </cfRule>
    <cfRule type="cellIs" dxfId="20654" priority="9224" stopIfTrue="1" operator="equal">
      <formula>"Napkin Hs"</formula>
    </cfRule>
  </conditionalFormatting>
  <conditionalFormatting sqref="C73">
    <cfRule type="cellIs" dxfId="20653" priority="9222" stopIfTrue="1" operator="equal">
      <formula>"Napkin Hs"</formula>
    </cfRule>
  </conditionalFormatting>
  <conditionalFormatting sqref="C73">
    <cfRule type="cellIs" dxfId="20652" priority="9219" stopIfTrue="1" operator="equal">
      <formula>"Towel"</formula>
    </cfRule>
    <cfRule type="cellIs" dxfId="20651" priority="9220" stopIfTrue="1" operator="equal">
      <formula>"Napkin Hs"</formula>
    </cfRule>
  </conditionalFormatting>
  <conditionalFormatting sqref="C73">
    <cfRule type="cellIs" dxfId="20650" priority="9221" stopIfTrue="1" operator="equal">
      <formula>"Towel"</formula>
    </cfRule>
  </conditionalFormatting>
  <conditionalFormatting sqref="B72:C72">
    <cfRule type="cellIs" dxfId="20649" priority="9175" stopIfTrue="1" operator="equal">
      <formula>"Towel"</formula>
    </cfRule>
    <cfRule type="cellIs" dxfId="20648" priority="9176" stopIfTrue="1" operator="equal">
      <formula>"Napkin Hs"</formula>
    </cfRule>
    <cfRule type="cellIs" dxfId="20647" priority="9181" stopIfTrue="1" operator="equal">
      <formula>"Towel"</formula>
    </cfRule>
    <cfRule type="cellIs" dxfId="20646" priority="9182" stopIfTrue="1" operator="equal">
      <formula>"Napkin Hs"</formula>
    </cfRule>
    <cfRule type="cellIs" dxfId="20645" priority="9187" stopIfTrue="1" operator="equal">
      <formula>"Towel"</formula>
    </cfRule>
    <cfRule type="cellIs" dxfId="20644" priority="9188" stopIfTrue="1" operator="equal">
      <formula>"Napkin Hs"</formula>
    </cfRule>
    <cfRule type="cellIs" dxfId="20643" priority="9193" stopIfTrue="1" operator="equal">
      <formula>"Towel"</formula>
    </cfRule>
    <cfRule type="cellIs" dxfId="20642" priority="9194" stopIfTrue="1" operator="equal">
      <formula>"Napkin Hs"</formula>
    </cfRule>
    <cfRule type="cellIs" dxfId="20641" priority="9199" stopIfTrue="1" operator="equal">
      <formula>"Towel"</formula>
    </cfRule>
    <cfRule type="cellIs" dxfId="20640" priority="9200" stopIfTrue="1" operator="equal">
      <formula>"Napkin Hs"</formula>
    </cfRule>
    <cfRule type="cellIs" dxfId="20639" priority="9205" stopIfTrue="1" operator="equal">
      <formula>"Towel"</formula>
    </cfRule>
    <cfRule type="cellIs" dxfId="20638" priority="9206" stopIfTrue="1" operator="equal">
      <formula>"Napkin Hs"</formula>
    </cfRule>
    <cfRule type="cellIs" dxfId="20637" priority="9211" stopIfTrue="1" operator="equal">
      <formula>"Towel"</formula>
    </cfRule>
    <cfRule type="cellIs" dxfId="20636" priority="9212" stopIfTrue="1" operator="equal">
      <formula>"Napkin Hs"</formula>
    </cfRule>
    <cfRule type="cellIs" dxfId="20635" priority="9217" stopIfTrue="1" operator="equal">
      <formula>"Towel"</formula>
    </cfRule>
    <cfRule type="cellIs" dxfId="20634" priority="9218" stopIfTrue="1" operator="equal">
      <formula>"Napkin Hs"</formula>
    </cfRule>
  </conditionalFormatting>
  <conditionalFormatting sqref="C72">
    <cfRule type="cellIs" dxfId="20633" priority="9171" stopIfTrue="1" operator="equal">
      <formula>"Towel"</formula>
    </cfRule>
    <cfRule type="cellIs" dxfId="20632" priority="9172" stopIfTrue="1" operator="equal">
      <formula>"Napkin Hs"</formula>
    </cfRule>
    <cfRule type="cellIs" dxfId="20631" priority="9173" stopIfTrue="1" operator="equal">
      <formula>"Towel"</formula>
    </cfRule>
    <cfRule type="cellIs" dxfId="20630" priority="9174" stopIfTrue="1" operator="equal">
      <formula>"Napkin Hs"</formula>
    </cfRule>
    <cfRule type="cellIs" dxfId="20629" priority="9177" stopIfTrue="1" operator="equal">
      <formula>"Towel"</formula>
    </cfRule>
    <cfRule type="cellIs" dxfId="20628" priority="9178" stopIfTrue="1" operator="equal">
      <formula>"Napkin Hs"</formula>
    </cfRule>
    <cfRule type="cellIs" dxfId="20627" priority="9179" stopIfTrue="1" operator="equal">
      <formula>"Towel"</formula>
    </cfRule>
    <cfRule type="cellIs" dxfId="20626" priority="9180" stopIfTrue="1" operator="equal">
      <formula>"Napkin Hs"</formula>
    </cfRule>
    <cfRule type="cellIs" dxfId="20625" priority="9183" stopIfTrue="1" operator="equal">
      <formula>"Towel"</formula>
    </cfRule>
    <cfRule type="cellIs" dxfId="20624" priority="9184" stopIfTrue="1" operator="equal">
      <formula>"Napkin Hs"</formula>
    </cfRule>
    <cfRule type="cellIs" dxfId="20623" priority="9185" stopIfTrue="1" operator="equal">
      <formula>"Towel"</formula>
    </cfRule>
    <cfRule type="cellIs" dxfId="20622" priority="9186" stopIfTrue="1" operator="equal">
      <formula>"Napkin Hs"</formula>
    </cfRule>
    <cfRule type="cellIs" dxfId="20621" priority="9189" stopIfTrue="1" operator="equal">
      <formula>"Towel"</formula>
    </cfRule>
    <cfRule type="cellIs" dxfId="20620" priority="9190" stopIfTrue="1" operator="equal">
      <formula>"Napkin Hs"</formula>
    </cfRule>
    <cfRule type="cellIs" dxfId="20619" priority="9191" stopIfTrue="1" operator="equal">
      <formula>"Towel"</formula>
    </cfRule>
    <cfRule type="cellIs" dxfId="20618" priority="9192" stopIfTrue="1" operator="equal">
      <formula>"Napkin Hs"</formula>
    </cfRule>
    <cfRule type="cellIs" dxfId="20617" priority="9195" stopIfTrue="1" operator="equal">
      <formula>"Towel"</formula>
    </cfRule>
    <cfRule type="cellIs" dxfId="20616" priority="9196" stopIfTrue="1" operator="equal">
      <formula>"Napkin Hs"</formula>
    </cfRule>
    <cfRule type="cellIs" dxfId="20615" priority="9197" stopIfTrue="1" operator="equal">
      <formula>"Towel"</formula>
    </cfRule>
    <cfRule type="cellIs" dxfId="20614" priority="9198" stopIfTrue="1" operator="equal">
      <formula>"Napkin Hs"</formula>
    </cfRule>
    <cfRule type="cellIs" dxfId="20613" priority="9201" stopIfTrue="1" operator="equal">
      <formula>"Towel"</formula>
    </cfRule>
    <cfRule type="cellIs" dxfId="20612" priority="9202" stopIfTrue="1" operator="equal">
      <formula>"Napkin Hs"</formula>
    </cfRule>
    <cfRule type="cellIs" dxfId="20611" priority="9203" stopIfTrue="1" operator="equal">
      <formula>"Towel"</formula>
    </cfRule>
    <cfRule type="cellIs" dxfId="20610" priority="9204" stopIfTrue="1" operator="equal">
      <formula>"Napkin Hs"</formula>
    </cfRule>
    <cfRule type="cellIs" dxfId="20609" priority="9207" stopIfTrue="1" operator="equal">
      <formula>"Towel"</formula>
    </cfRule>
    <cfRule type="cellIs" dxfId="20608" priority="9208" stopIfTrue="1" operator="equal">
      <formula>"Napkin Hs"</formula>
    </cfRule>
    <cfRule type="cellIs" dxfId="20607" priority="9209" stopIfTrue="1" operator="equal">
      <formula>"Towel"</formula>
    </cfRule>
    <cfRule type="cellIs" dxfId="20606" priority="9210" stopIfTrue="1" operator="equal">
      <formula>"Napkin Hs"</formula>
    </cfRule>
    <cfRule type="cellIs" dxfId="20605" priority="9213" stopIfTrue="1" operator="equal">
      <formula>"Towel"</formula>
    </cfRule>
    <cfRule type="cellIs" dxfId="20604" priority="9214" stopIfTrue="1" operator="equal">
      <formula>"Napkin Hs"</formula>
    </cfRule>
  </conditionalFormatting>
  <conditionalFormatting sqref="C72">
    <cfRule type="cellIs" dxfId="20603" priority="9215" stopIfTrue="1" operator="equal">
      <formula>"Towel"</formula>
    </cfRule>
    <cfRule type="cellIs" dxfId="20602" priority="9216" stopIfTrue="1" operator="equal">
      <formula>"Napkin Hs"</formula>
    </cfRule>
  </conditionalFormatting>
  <conditionalFormatting sqref="B72">
    <cfRule type="cellIs" dxfId="20601" priority="9165" stopIfTrue="1" operator="equal">
      <formula>"Towel"</formula>
    </cfRule>
    <cfRule type="cellIs" dxfId="20600" priority="9166" stopIfTrue="1" operator="equal">
      <formula>"Napkin Hs"</formula>
    </cfRule>
    <cfRule type="cellIs" dxfId="20599" priority="9167" stopIfTrue="1" operator="equal">
      <formula>"Towel"</formula>
    </cfRule>
    <cfRule type="cellIs" dxfId="20598" priority="9168" stopIfTrue="1" operator="equal">
      <formula>"Napkin Hs"</formula>
    </cfRule>
    <cfRule type="cellIs" dxfId="20597" priority="9169" stopIfTrue="1" operator="equal">
      <formula>"Towel"</formula>
    </cfRule>
    <cfRule type="cellIs" dxfId="20596" priority="9170" stopIfTrue="1" operator="equal">
      <formula>"Napkin Hs"</formula>
    </cfRule>
  </conditionalFormatting>
  <conditionalFormatting sqref="B72:C72">
    <cfRule type="cellIs" dxfId="20595" priority="9127" stopIfTrue="1" operator="equal">
      <formula>"Towel"</formula>
    </cfRule>
    <cfRule type="cellIs" dxfId="20594" priority="9128" stopIfTrue="1" operator="equal">
      <formula>"Napkin Hs"</formula>
    </cfRule>
    <cfRule type="cellIs" dxfId="20593" priority="9133" stopIfTrue="1" operator="equal">
      <formula>"Towel"</formula>
    </cfRule>
    <cfRule type="cellIs" dxfId="20592" priority="9134" stopIfTrue="1" operator="equal">
      <formula>"Napkin Hs"</formula>
    </cfRule>
    <cfRule type="cellIs" dxfId="20591" priority="9139" stopIfTrue="1" operator="equal">
      <formula>"Towel"</formula>
    </cfRule>
    <cfRule type="cellIs" dxfId="20590" priority="9140" stopIfTrue="1" operator="equal">
      <formula>"Napkin Hs"</formula>
    </cfRule>
    <cfRule type="cellIs" dxfId="20589" priority="9145" stopIfTrue="1" operator="equal">
      <formula>"Towel"</formula>
    </cfRule>
    <cfRule type="cellIs" dxfId="20588" priority="9146" stopIfTrue="1" operator="equal">
      <formula>"Napkin Hs"</formula>
    </cfRule>
    <cfRule type="cellIs" dxfId="20587" priority="9151" stopIfTrue="1" operator="equal">
      <formula>"Towel"</formula>
    </cfRule>
    <cfRule type="cellIs" dxfId="20586" priority="9152" stopIfTrue="1" operator="equal">
      <formula>"Napkin Hs"</formula>
    </cfRule>
    <cfRule type="cellIs" dxfId="20585" priority="9157" stopIfTrue="1" operator="equal">
      <formula>"Towel"</formula>
    </cfRule>
    <cfRule type="cellIs" dxfId="20584" priority="9158" stopIfTrue="1" operator="equal">
      <formula>"Napkin Hs"</formula>
    </cfRule>
    <cfRule type="cellIs" dxfId="20583" priority="9163" stopIfTrue="1" operator="equal">
      <formula>"Towel"</formula>
    </cfRule>
    <cfRule type="cellIs" dxfId="20582" priority="9164" stopIfTrue="1" operator="equal">
      <formula>"Napkin Hs"</formula>
    </cfRule>
  </conditionalFormatting>
  <conditionalFormatting sqref="C72">
    <cfRule type="cellIs" dxfId="20581" priority="9123" stopIfTrue="1" operator="equal">
      <formula>"Towel"</formula>
    </cfRule>
    <cfRule type="cellIs" dxfId="20580" priority="9124" stopIfTrue="1" operator="equal">
      <formula>"Napkin Hs"</formula>
    </cfRule>
    <cfRule type="cellIs" dxfId="20579" priority="9125" stopIfTrue="1" operator="equal">
      <formula>"Towel"</formula>
    </cfRule>
    <cfRule type="cellIs" dxfId="20578" priority="9126" stopIfTrue="1" operator="equal">
      <formula>"Napkin Hs"</formula>
    </cfRule>
    <cfRule type="cellIs" dxfId="20577" priority="9129" stopIfTrue="1" operator="equal">
      <formula>"Towel"</formula>
    </cfRule>
    <cfRule type="cellIs" dxfId="20576" priority="9130" stopIfTrue="1" operator="equal">
      <formula>"Napkin Hs"</formula>
    </cfRule>
    <cfRule type="cellIs" dxfId="20575" priority="9131" stopIfTrue="1" operator="equal">
      <formula>"Towel"</formula>
    </cfRule>
    <cfRule type="cellIs" dxfId="20574" priority="9132" stopIfTrue="1" operator="equal">
      <formula>"Napkin Hs"</formula>
    </cfRule>
    <cfRule type="cellIs" dxfId="20573" priority="9135" stopIfTrue="1" operator="equal">
      <formula>"Towel"</formula>
    </cfRule>
    <cfRule type="cellIs" dxfId="20572" priority="9136" stopIfTrue="1" operator="equal">
      <formula>"Napkin Hs"</formula>
    </cfRule>
    <cfRule type="cellIs" dxfId="20571" priority="9137" stopIfTrue="1" operator="equal">
      <formula>"Towel"</formula>
    </cfRule>
    <cfRule type="cellIs" dxfId="20570" priority="9138" stopIfTrue="1" operator="equal">
      <formula>"Napkin Hs"</formula>
    </cfRule>
    <cfRule type="cellIs" dxfId="20569" priority="9141" stopIfTrue="1" operator="equal">
      <formula>"Towel"</formula>
    </cfRule>
    <cfRule type="cellIs" dxfId="20568" priority="9142" stopIfTrue="1" operator="equal">
      <formula>"Napkin Hs"</formula>
    </cfRule>
    <cfRule type="cellIs" dxfId="20567" priority="9143" stopIfTrue="1" operator="equal">
      <formula>"Towel"</formula>
    </cfRule>
    <cfRule type="cellIs" dxfId="20566" priority="9144" stopIfTrue="1" operator="equal">
      <formula>"Napkin Hs"</formula>
    </cfRule>
    <cfRule type="cellIs" dxfId="20565" priority="9147" stopIfTrue="1" operator="equal">
      <formula>"Towel"</formula>
    </cfRule>
    <cfRule type="cellIs" dxfId="20564" priority="9148" stopIfTrue="1" operator="equal">
      <formula>"Napkin Hs"</formula>
    </cfRule>
    <cfRule type="cellIs" dxfId="20563" priority="9149" stopIfTrue="1" operator="equal">
      <formula>"Towel"</formula>
    </cfRule>
    <cfRule type="cellIs" dxfId="20562" priority="9150" stopIfTrue="1" operator="equal">
      <formula>"Napkin Hs"</formula>
    </cfRule>
    <cfRule type="cellIs" dxfId="20561" priority="9153" stopIfTrue="1" operator="equal">
      <formula>"Towel"</formula>
    </cfRule>
    <cfRule type="cellIs" dxfId="20560" priority="9154" stopIfTrue="1" operator="equal">
      <formula>"Napkin Hs"</formula>
    </cfRule>
    <cfRule type="cellIs" dxfId="20559" priority="9155" stopIfTrue="1" operator="equal">
      <formula>"Towel"</formula>
    </cfRule>
    <cfRule type="cellIs" dxfId="20558" priority="9156" stopIfTrue="1" operator="equal">
      <formula>"Napkin Hs"</formula>
    </cfRule>
    <cfRule type="cellIs" dxfId="20557" priority="9159" stopIfTrue="1" operator="equal">
      <formula>"Towel"</formula>
    </cfRule>
    <cfRule type="cellIs" dxfId="20556" priority="9160" stopIfTrue="1" operator="equal">
      <formula>"Napkin Hs"</formula>
    </cfRule>
  </conditionalFormatting>
  <conditionalFormatting sqref="C72">
    <cfRule type="cellIs" dxfId="20555" priority="9161" stopIfTrue="1" operator="equal">
      <formula>"Towel"</formula>
    </cfRule>
    <cfRule type="cellIs" dxfId="20554" priority="9162" stopIfTrue="1" operator="equal">
      <formula>"Napkin Hs"</formula>
    </cfRule>
  </conditionalFormatting>
  <conditionalFormatting sqref="B72:C72">
    <cfRule type="cellIs" dxfId="20553" priority="9121" stopIfTrue="1" operator="equal">
      <formula>"Towel"</formula>
    </cfRule>
    <cfRule type="cellIs" dxfId="20552" priority="9122" stopIfTrue="1" operator="equal">
      <formula>"Napkin Hs"</formula>
    </cfRule>
  </conditionalFormatting>
  <conditionalFormatting sqref="B72:C72">
    <cfRule type="cellIs" dxfId="20551" priority="9085" stopIfTrue="1" operator="equal">
      <formula>"Towel"</formula>
    </cfRule>
    <cfRule type="cellIs" dxfId="20550" priority="9086" stopIfTrue="1" operator="equal">
      <formula>"Napkin Hs"</formula>
    </cfRule>
    <cfRule type="cellIs" dxfId="20549" priority="9091" stopIfTrue="1" operator="equal">
      <formula>"Towel"</formula>
    </cfRule>
    <cfRule type="cellIs" dxfId="20548" priority="9092" stopIfTrue="1" operator="equal">
      <formula>"Napkin Hs"</formula>
    </cfRule>
    <cfRule type="cellIs" dxfId="20547" priority="9097" stopIfTrue="1" operator="equal">
      <formula>"Towel"</formula>
    </cfRule>
    <cfRule type="cellIs" dxfId="20546" priority="9098" stopIfTrue="1" operator="equal">
      <formula>"Napkin Hs"</formula>
    </cfRule>
    <cfRule type="cellIs" dxfId="20545" priority="9103" stopIfTrue="1" operator="equal">
      <formula>"Towel"</formula>
    </cfRule>
    <cfRule type="cellIs" dxfId="20544" priority="9104" stopIfTrue="1" operator="equal">
      <formula>"Napkin Hs"</formula>
    </cfRule>
    <cfRule type="cellIs" dxfId="20543" priority="9109" stopIfTrue="1" operator="equal">
      <formula>"Towel"</formula>
    </cfRule>
    <cfRule type="cellIs" dxfId="20542" priority="9110" stopIfTrue="1" operator="equal">
      <formula>"Napkin Hs"</formula>
    </cfRule>
    <cfRule type="cellIs" dxfId="20541" priority="9115" stopIfTrue="1" operator="equal">
      <formula>"Towel"</formula>
    </cfRule>
    <cfRule type="cellIs" dxfId="20540" priority="9116" stopIfTrue="1" operator="equal">
      <formula>"Napkin Hs"</formula>
    </cfRule>
  </conditionalFormatting>
  <conditionalFormatting sqref="C72">
    <cfRule type="cellIs" dxfId="20539" priority="9120" stopIfTrue="1" operator="equal">
      <formula>"Napkin Hs"</formula>
    </cfRule>
  </conditionalFormatting>
  <conditionalFormatting sqref="C72">
    <cfRule type="cellIs" dxfId="20538" priority="9119" stopIfTrue="1" operator="equal">
      <formula>"Towel"</formula>
    </cfRule>
  </conditionalFormatting>
  <conditionalFormatting sqref="C72">
    <cfRule type="cellIs" dxfId="20537" priority="9113" stopIfTrue="1" operator="equal">
      <formula>"Towel"</formula>
    </cfRule>
    <cfRule type="cellIs" dxfId="20536" priority="9114" stopIfTrue="1" operator="equal">
      <formula>"Napkin Hs"</formula>
    </cfRule>
  </conditionalFormatting>
  <conditionalFormatting sqref="C72">
    <cfRule type="cellIs" dxfId="20535" priority="9111" stopIfTrue="1" operator="equal">
      <formula>"Towel"</formula>
    </cfRule>
    <cfRule type="cellIs" dxfId="20534" priority="9112" stopIfTrue="1" operator="equal">
      <formula>"Napkin Hs"</formula>
    </cfRule>
    <cfRule type="cellIs" dxfId="20533" priority="9117" stopIfTrue="1" operator="equal">
      <formula>"Towel"</formula>
    </cfRule>
    <cfRule type="cellIs" dxfId="20532" priority="9118" stopIfTrue="1" operator="equal">
      <formula>"Napkin Hs"</formula>
    </cfRule>
  </conditionalFormatting>
  <conditionalFormatting sqref="C72">
    <cfRule type="cellIs" dxfId="20531" priority="9083" stopIfTrue="1" operator="equal">
      <formula>"Towel"</formula>
    </cfRule>
    <cfRule type="cellIs" dxfId="20530" priority="9084" stopIfTrue="1" operator="equal">
      <formula>"Napkin Hs"</formula>
    </cfRule>
    <cfRule type="cellIs" dxfId="20529" priority="9087" stopIfTrue="1" operator="equal">
      <formula>"Towel"</formula>
    </cfRule>
    <cfRule type="cellIs" dxfId="20528" priority="9088" stopIfTrue="1" operator="equal">
      <formula>"Napkin Hs"</formula>
    </cfRule>
    <cfRule type="cellIs" dxfId="20527" priority="9089" stopIfTrue="1" operator="equal">
      <formula>"Towel"</formula>
    </cfRule>
    <cfRule type="cellIs" dxfId="20526" priority="9090" stopIfTrue="1" operator="equal">
      <formula>"Napkin Hs"</formula>
    </cfRule>
    <cfRule type="cellIs" dxfId="20525" priority="9093" stopIfTrue="1" operator="equal">
      <formula>"Towel"</formula>
    </cfRule>
    <cfRule type="cellIs" dxfId="20524" priority="9094" stopIfTrue="1" operator="equal">
      <formula>"Napkin Hs"</formula>
    </cfRule>
    <cfRule type="cellIs" dxfId="20523" priority="9095" stopIfTrue="1" operator="equal">
      <formula>"Towel"</formula>
    </cfRule>
    <cfRule type="cellIs" dxfId="20522" priority="9096" stopIfTrue="1" operator="equal">
      <formula>"Napkin Hs"</formula>
    </cfRule>
    <cfRule type="cellIs" dxfId="20521" priority="9099" stopIfTrue="1" operator="equal">
      <formula>"Towel"</formula>
    </cfRule>
    <cfRule type="cellIs" dxfId="20520" priority="9100" stopIfTrue="1" operator="equal">
      <formula>"Napkin Hs"</formula>
    </cfRule>
    <cfRule type="cellIs" dxfId="20519" priority="9101" stopIfTrue="1" operator="equal">
      <formula>"Towel"</formula>
    </cfRule>
    <cfRule type="cellIs" dxfId="20518" priority="9102" stopIfTrue="1" operator="equal">
      <formula>"Napkin Hs"</formula>
    </cfRule>
    <cfRule type="cellIs" dxfId="20517" priority="9105" stopIfTrue="1" operator="equal">
      <formula>"Towel"</formula>
    </cfRule>
    <cfRule type="cellIs" dxfId="20516" priority="9106" stopIfTrue="1" operator="equal">
      <formula>"Napkin Hs"</formula>
    </cfRule>
    <cfRule type="cellIs" dxfId="20515" priority="9107" stopIfTrue="1" operator="equal">
      <formula>"Towel"</formula>
    </cfRule>
    <cfRule type="cellIs" dxfId="20514" priority="9108" stopIfTrue="1" operator="equal">
      <formula>"Napkin Hs"</formula>
    </cfRule>
  </conditionalFormatting>
  <conditionalFormatting sqref="C72">
    <cfRule type="cellIs" dxfId="20513" priority="9081" stopIfTrue="1" operator="equal">
      <formula>"Towel"</formula>
    </cfRule>
    <cfRule type="cellIs" dxfId="20512" priority="9082" stopIfTrue="1" operator="equal">
      <formula>"Napkin Hs"</formula>
    </cfRule>
  </conditionalFormatting>
  <conditionalFormatting sqref="C72">
    <cfRule type="cellIs" dxfId="20511" priority="9061" stopIfTrue="1" operator="equal">
      <formula>"Towel"</formula>
    </cfRule>
    <cfRule type="cellIs" dxfId="20510" priority="9062" stopIfTrue="1" operator="equal">
      <formula>"Napkin Hs"</formula>
    </cfRule>
    <cfRule type="cellIs" dxfId="20509" priority="9067" stopIfTrue="1" operator="equal">
      <formula>"Towel"</formula>
    </cfRule>
    <cfRule type="cellIs" dxfId="20508" priority="9068" stopIfTrue="1" operator="equal">
      <formula>"Napkin Hs"</formula>
    </cfRule>
    <cfRule type="cellIs" dxfId="20507" priority="9073" stopIfTrue="1" operator="equal">
      <formula>"Towel"</formula>
    </cfRule>
    <cfRule type="cellIs" dxfId="20506" priority="9074" stopIfTrue="1" operator="equal">
      <formula>"Napkin Hs"</formula>
    </cfRule>
    <cfRule type="cellIs" dxfId="20505" priority="9079" stopIfTrue="1" operator="equal">
      <formula>"Towel"</formula>
    </cfRule>
    <cfRule type="cellIs" dxfId="20504" priority="9080" stopIfTrue="1" operator="equal">
      <formula>"Napkin Hs"</formula>
    </cfRule>
  </conditionalFormatting>
  <conditionalFormatting sqref="C72">
    <cfRule type="cellIs" dxfId="20503" priority="9071" stopIfTrue="1" operator="equal">
      <formula>"Towel"</formula>
    </cfRule>
    <cfRule type="cellIs" dxfId="20502" priority="9072" stopIfTrue="1" operator="equal">
      <formula>"Napkin Hs"</formula>
    </cfRule>
    <cfRule type="cellIs" dxfId="20501" priority="9077" stopIfTrue="1" operator="equal">
      <formula>"Towel"</formula>
    </cfRule>
    <cfRule type="cellIs" dxfId="20500" priority="9078" stopIfTrue="1" operator="equal">
      <formula>"Napkin Hs"</formula>
    </cfRule>
  </conditionalFormatting>
  <conditionalFormatting sqref="C72">
    <cfRule type="cellIs" dxfId="20499" priority="9057" stopIfTrue="1" operator="equal">
      <formula>"Towel"</formula>
    </cfRule>
    <cfRule type="cellIs" dxfId="20498" priority="9058" stopIfTrue="1" operator="equal">
      <formula>"Napkin Hs"</formula>
    </cfRule>
    <cfRule type="cellIs" dxfId="20497" priority="9065" stopIfTrue="1" operator="equal">
      <formula>"Towel"</formula>
    </cfRule>
    <cfRule type="cellIs" dxfId="20496" priority="9066" stopIfTrue="1" operator="equal">
      <formula>"Napkin Hs"</formula>
    </cfRule>
    <cfRule type="cellIs" dxfId="20495" priority="9069" stopIfTrue="1" operator="equal">
      <formula>"Towel"</formula>
    </cfRule>
    <cfRule type="cellIs" dxfId="20494" priority="9070" stopIfTrue="1" operator="equal">
      <formula>"Napkin Hs"</formula>
    </cfRule>
  </conditionalFormatting>
  <conditionalFormatting sqref="C72">
    <cfRule type="cellIs" dxfId="20493" priority="9059" stopIfTrue="1" operator="equal">
      <formula>"Towel"</formula>
    </cfRule>
    <cfRule type="cellIs" dxfId="20492" priority="9060" stopIfTrue="1" operator="equal">
      <formula>"Napkin Hs"</formula>
    </cfRule>
    <cfRule type="cellIs" dxfId="20491" priority="9063" stopIfTrue="1" operator="equal">
      <formula>"Towel"</formula>
    </cfRule>
    <cfRule type="cellIs" dxfId="20490" priority="9064" stopIfTrue="1" operator="equal">
      <formula>"Napkin Hs"</formula>
    </cfRule>
    <cfRule type="cellIs" dxfId="20489" priority="9075" stopIfTrue="1" operator="equal">
      <formula>"Towel"</formula>
    </cfRule>
    <cfRule type="cellIs" dxfId="20488" priority="9076" stopIfTrue="1" operator="equal">
      <formula>"Napkin Hs"</formula>
    </cfRule>
  </conditionalFormatting>
  <conditionalFormatting sqref="C72">
    <cfRule type="cellIs" dxfId="20487" priority="9055" stopIfTrue="1" operator="equal">
      <formula>"Towel"</formula>
    </cfRule>
    <cfRule type="cellIs" dxfId="20486" priority="9056" stopIfTrue="1" operator="equal">
      <formula>"Napkin Hs"</formula>
    </cfRule>
  </conditionalFormatting>
  <conditionalFormatting sqref="C72">
    <cfRule type="cellIs" dxfId="20485" priority="9051" stopIfTrue="1" operator="equal">
      <formula>"Towel"</formula>
    </cfRule>
    <cfRule type="cellIs" dxfId="20484" priority="9052" stopIfTrue="1" operator="equal">
      <formula>"Napkin Hs"</formula>
    </cfRule>
  </conditionalFormatting>
  <conditionalFormatting sqref="C72">
    <cfRule type="cellIs" dxfId="20483" priority="9053" stopIfTrue="1" operator="equal">
      <formula>"Towel"</formula>
    </cfRule>
    <cfRule type="cellIs" dxfId="20482" priority="9054" stopIfTrue="1" operator="equal">
      <formula>"Napkin Hs"</formula>
    </cfRule>
  </conditionalFormatting>
  <conditionalFormatting sqref="C72">
    <cfRule type="cellIs" dxfId="20481" priority="9049" stopIfTrue="1" operator="equal">
      <formula>"Towel"</formula>
    </cfRule>
    <cfRule type="cellIs" dxfId="20480" priority="9050" stopIfTrue="1" operator="equal">
      <formula>"Napkin Hs"</formula>
    </cfRule>
  </conditionalFormatting>
  <conditionalFormatting sqref="C72">
    <cfRule type="cellIs" dxfId="20479" priority="9045" stopIfTrue="1" operator="equal">
      <formula>"Towel"</formula>
    </cfRule>
    <cfRule type="cellIs" dxfId="20478" priority="9046" stopIfTrue="1" operator="equal">
      <formula>"Napkin Hs"</formula>
    </cfRule>
  </conditionalFormatting>
  <conditionalFormatting sqref="C72">
    <cfRule type="cellIs" dxfId="20477" priority="9047" stopIfTrue="1" operator="equal">
      <formula>"Towel"</formula>
    </cfRule>
    <cfRule type="cellIs" dxfId="20476" priority="9048" stopIfTrue="1" operator="equal">
      <formula>"Napkin Hs"</formula>
    </cfRule>
  </conditionalFormatting>
  <conditionalFormatting sqref="C72">
    <cfRule type="cellIs" dxfId="20475" priority="9043" stopIfTrue="1" operator="equal">
      <formula>"Towel"</formula>
    </cfRule>
    <cfRule type="cellIs" dxfId="20474" priority="9044" stopIfTrue="1" operator="equal">
      <formula>"Napkin Hs"</formula>
    </cfRule>
  </conditionalFormatting>
  <conditionalFormatting sqref="C72">
    <cfRule type="cellIs" dxfId="20473" priority="9039" stopIfTrue="1" operator="equal">
      <formula>"Towel"</formula>
    </cfRule>
    <cfRule type="cellIs" dxfId="20472" priority="9040" stopIfTrue="1" operator="equal">
      <formula>"Napkin Hs"</formula>
    </cfRule>
  </conditionalFormatting>
  <conditionalFormatting sqref="C72">
    <cfRule type="cellIs" dxfId="20471" priority="9041" stopIfTrue="1" operator="equal">
      <formula>"Towel"</formula>
    </cfRule>
    <cfRule type="cellIs" dxfId="20470" priority="9042" stopIfTrue="1" operator="equal">
      <formula>"Napkin Hs"</formula>
    </cfRule>
  </conditionalFormatting>
  <conditionalFormatting sqref="C72">
    <cfRule type="cellIs" dxfId="20469" priority="9037" stopIfTrue="1" operator="equal">
      <formula>"Towel"</formula>
    </cfRule>
    <cfRule type="cellIs" dxfId="20468" priority="9038" stopIfTrue="1" operator="equal">
      <formula>"Napkin Hs"</formula>
    </cfRule>
  </conditionalFormatting>
  <conditionalFormatting sqref="C72">
    <cfRule type="cellIs" dxfId="20467" priority="9035" stopIfTrue="1" operator="equal">
      <formula>"Towel"</formula>
    </cfRule>
    <cfRule type="cellIs" dxfId="20466" priority="9036" stopIfTrue="1" operator="equal">
      <formula>"Napkin Hs"</formula>
    </cfRule>
  </conditionalFormatting>
  <conditionalFormatting sqref="C72">
    <cfRule type="cellIs" dxfId="20465" priority="9033" stopIfTrue="1" operator="equal">
      <formula>"Towel"</formula>
    </cfRule>
    <cfRule type="cellIs" dxfId="20464" priority="9034" stopIfTrue="1" operator="equal">
      <formula>"Napkin Hs"</formula>
    </cfRule>
  </conditionalFormatting>
  <conditionalFormatting sqref="C72">
    <cfRule type="cellIs" dxfId="20463" priority="9031" stopIfTrue="1" operator="equal">
      <formula>"Towel"</formula>
    </cfRule>
    <cfRule type="cellIs" dxfId="20462" priority="9032" stopIfTrue="1" operator="equal">
      <formula>"Napkin Hs"</formula>
    </cfRule>
  </conditionalFormatting>
  <conditionalFormatting sqref="C72">
    <cfRule type="cellIs" dxfId="20461" priority="9030" stopIfTrue="1" operator="equal">
      <formula>"Napkin Hs"</formula>
    </cfRule>
  </conditionalFormatting>
  <conditionalFormatting sqref="C72">
    <cfRule type="cellIs" dxfId="20460" priority="9027" stopIfTrue="1" operator="equal">
      <formula>"Towel"</formula>
    </cfRule>
    <cfRule type="cellIs" dxfId="20459" priority="9028" stopIfTrue="1" operator="equal">
      <formula>"Napkin Hs"</formula>
    </cfRule>
  </conditionalFormatting>
  <conditionalFormatting sqref="C72">
    <cfRule type="cellIs" dxfId="20458" priority="9029" stopIfTrue="1" operator="equal">
      <formula>"Towel"</formula>
    </cfRule>
  </conditionalFormatting>
  <conditionalFormatting sqref="B72">
    <cfRule type="cellIs" dxfId="20457" priority="9025" stopIfTrue="1" operator="equal">
      <formula>"Towel"</formula>
    </cfRule>
    <cfRule type="cellIs" dxfId="20456" priority="9026" stopIfTrue="1" operator="equal">
      <formula>"Napkin Hs"</formula>
    </cfRule>
  </conditionalFormatting>
  <conditionalFormatting sqref="B72">
    <cfRule type="cellIs" dxfId="20455" priority="9023" stopIfTrue="1" operator="equal">
      <formula>"Towel"</formula>
    </cfRule>
    <cfRule type="cellIs" dxfId="20454" priority="9024" stopIfTrue="1" operator="equal">
      <formula>"Napkin Hs"</formula>
    </cfRule>
  </conditionalFormatting>
  <conditionalFormatting sqref="B72">
    <cfRule type="cellIs" dxfId="20453" priority="9021" stopIfTrue="1" operator="equal">
      <formula>"Towel"</formula>
    </cfRule>
    <cfRule type="cellIs" dxfId="20452" priority="9022" stopIfTrue="1" operator="equal">
      <formula>"Napkin Hs"</formula>
    </cfRule>
  </conditionalFormatting>
  <conditionalFormatting sqref="B72">
    <cfRule type="cellIs" dxfId="20451" priority="9019" stopIfTrue="1" operator="equal">
      <formula>"Towel"</formula>
    </cfRule>
    <cfRule type="cellIs" dxfId="20450" priority="9020" stopIfTrue="1" operator="equal">
      <formula>"Napkin Hs"</formula>
    </cfRule>
  </conditionalFormatting>
  <conditionalFormatting sqref="B72">
    <cfRule type="cellIs" dxfId="20449" priority="9017" stopIfTrue="1" operator="equal">
      <formula>"Towel"</formula>
    </cfRule>
    <cfRule type="cellIs" dxfId="20448" priority="9018" stopIfTrue="1" operator="equal">
      <formula>"Napkin Hs"</formula>
    </cfRule>
  </conditionalFormatting>
  <conditionalFormatting sqref="B72">
    <cfRule type="cellIs" dxfId="20447" priority="9015" stopIfTrue="1" operator="equal">
      <formula>"Towel"</formula>
    </cfRule>
    <cfRule type="cellIs" dxfId="20446" priority="9016" stopIfTrue="1" operator="equal">
      <formula>"Napkin Hs"</formula>
    </cfRule>
  </conditionalFormatting>
  <conditionalFormatting sqref="B72">
    <cfRule type="cellIs" dxfId="20445" priority="9011" stopIfTrue="1" operator="equal">
      <formula>"Towel"</formula>
    </cfRule>
    <cfRule type="cellIs" dxfId="20444" priority="9012" stopIfTrue="1" operator="equal">
      <formula>"Napkin Hs"</formula>
    </cfRule>
    <cfRule type="cellIs" dxfId="20443" priority="9013" stopIfTrue="1" operator="equal">
      <formula>"Towel"</formula>
    </cfRule>
    <cfRule type="cellIs" dxfId="20442" priority="9014" stopIfTrue="1" operator="equal">
      <formula>"Napkin Hs"</formula>
    </cfRule>
  </conditionalFormatting>
  <conditionalFormatting sqref="B72">
    <cfRule type="cellIs" dxfId="20441" priority="9009" stopIfTrue="1" operator="equal">
      <formula>"Towel"</formula>
    </cfRule>
    <cfRule type="cellIs" dxfId="20440" priority="9010" stopIfTrue="1" operator="equal">
      <formula>"Napkin Hs"</formula>
    </cfRule>
  </conditionalFormatting>
  <conditionalFormatting sqref="B72">
    <cfRule type="cellIs" dxfId="20439" priority="9007" stopIfTrue="1" operator="equal">
      <formula>"Towel"</formula>
    </cfRule>
    <cfRule type="cellIs" dxfId="20438" priority="9008" stopIfTrue="1" operator="equal">
      <formula>"Napkin Hs"</formula>
    </cfRule>
  </conditionalFormatting>
  <conditionalFormatting sqref="B72">
    <cfRule type="cellIs" dxfId="20437" priority="9005" stopIfTrue="1" operator="equal">
      <formula>"Towel"</formula>
    </cfRule>
    <cfRule type="cellIs" dxfId="20436" priority="9006" stopIfTrue="1" operator="equal">
      <formula>"Napkin Hs"</formula>
    </cfRule>
  </conditionalFormatting>
  <conditionalFormatting sqref="B72">
    <cfRule type="cellIs" dxfId="20435" priority="9003" stopIfTrue="1" operator="equal">
      <formula>"Towel"</formula>
    </cfRule>
    <cfRule type="cellIs" dxfId="20434" priority="9004" stopIfTrue="1" operator="equal">
      <formula>"Napkin Hs"</formula>
    </cfRule>
  </conditionalFormatting>
  <conditionalFormatting sqref="B72">
    <cfRule type="cellIs" dxfId="20433" priority="9001" stopIfTrue="1" operator="equal">
      <formula>"Towel"</formula>
    </cfRule>
    <cfRule type="cellIs" dxfId="20432" priority="9002" stopIfTrue="1" operator="equal">
      <formula>"Napkin Hs"</formula>
    </cfRule>
  </conditionalFormatting>
  <conditionalFormatting sqref="B72:C72">
    <cfRule type="cellIs" dxfId="20431" priority="8987" stopIfTrue="1" operator="equal">
      <formula>"Towel"</formula>
    </cfRule>
    <cfRule type="cellIs" dxfId="20430" priority="8988" stopIfTrue="1" operator="equal">
      <formula>"Napkin Hs"</formula>
    </cfRule>
    <cfRule type="cellIs" dxfId="20429" priority="8993" stopIfTrue="1" operator="equal">
      <formula>"Towel"</formula>
    </cfRule>
    <cfRule type="cellIs" dxfId="20428" priority="8994" stopIfTrue="1" operator="equal">
      <formula>"Napkin Hs"</formula>
    </cfRule>
    <cfRule type="cellIs" dxfId="20427" priority="8999" stopIfTrue="1" operator="equal">
      <formula>"Towel"</formula>
    </cfRule>
    <cfRule type="cellIs" dxfId="20426" priority="9000" stopIfTrue="1" operator="equal">
      <formula>"Napkin Hs"</formula>
    </cfRule>
  </conditionalFormatting>
  <conditionalFormatting sqref="C72">
    <cfRule type="cellIs" dxfId="20425" priority="8981" stopIfTrue="1" operator="equal">
      <formula>"Towel"</formula>
    </cfRule>
    <cfRule type="cellIs" dxfId="20424" priority="8982" stopIfTrue="1" operator="equal">
      <formula>"Napkin Hs"</formula>
    </cfRule>
    <cfRule type="cellIs" dxfId="20423" priority="8983" stopIfTrue="1" operator="equal">
      <formula>"Towel"</formula>
    </cfRule>
    <cfRule type="cellIs" dxfId="20422" priority="8984" stopIfTrue="1" operator="equal">
      <formula>"Napkin Hs"</formula>
    </cfRule>
    <cfRule type="cellIs" dxfId="20421" priority="8991" stopIfTrue="1" operator="equal">
      <formula>"Towel"</formula>
    </cfRule>
    <cfRule type="cellIs" dxfId="20420" priority="8992" stopIfTrue="1" operator="equal">
      <formula>"Napkin Hs"</formula>
    </cfRule>
    <cfRule type="cellIs" dxfId="20419" priority="8995" stopIfTrue="1" operator="equal">
      <formula>"Towel"</formula>
    </cfRule>
    <cfRule type="cellIs" dxfId="20418" priority="8996" stopIfTrue="1" operator="equal">
      <formula>"Napkin Hs"</formula>
    </cfRule>
  </conditionalFormatting>
  <conditionalFormatting sqref="C72">
    <cfRule type="cellIs" dxfId="20417" priority="8985" stopIfTrue="1" operator="equal">
      <formula>"Towel"</formula>
    </cfRule>
    <cfRule type="cellIs" dxfId="20416" priority="8986" stopIfTrue="1" operator="equal">
      <formula>"Napkin Hs"</formula>
    </cfRule>
    <cfRule type="cellIs" dxfId="20415" priority="8989" stopIfTrue="1" operator="equal">
      <formula>"Towel"</formula>
    </cfRule>
    <cfRule type="cellIs" dxfId="20414" priority="8990" stopIfTrue="1" operator="equal">
      <formula>"Napkin Hs"</formula>
    </cfRule>
    <cfRule type="cellIs" dxfId="20413" priority="8997" stopIfTrue="1" operator="equal">
      <formula>"Towel"</formula>
    </cfRule>
    <cfRule type="cellIs" dxfId="20412" priority="8998" stopIfTrue="1" operator="equal">
      <formula>"Napkin Hs"</formula>
    </cfRule>
  </conditionalFormatting>
  <conditionalFormatting sqref="B72:C72">
    <cfRule type="cellIs" dxfId="20411" priority="8979" stopIfTrue="1" operator="equal">
      <formula>"Towel"</formula>
    </cfRule>
    <cfRule type="cellIs" dxfId="20410" priority="8980" stopIfTrue="1" operator="equal">
      <formula>"Napkin Hs"</formula>
    </cfRule>
  </conditionalFormatting>
  <conditionalFormatting sqref="B72:C72">
    <cfRule type="cellIs" dxfId="20409" priority="8971" stopIfTrue="1" operator="equal">
      <formula>"Towel"</formula>
    </cfRule>
    <cfRule type="cellIs" dxfId="20408" priority="8972" stopIfTrue="1" operator="equal">
      <formula>"Napkin Hs"</formula>
    </cfRule>
    <cfRule type="cellIs" dxfId="20407" priority="8977" stopIfTrue="1" operator="equal">
      <formula>"Towel"</formula>
    </cfRule>
    <cfRule type="cellIs" dxfId="20406" priority="8978" stopIfTrue="1" operator="equal">
      <formula>"Napkin Hs"</formula>
    </cfRule>
  </conditionalFormatting>
  <conditionalFormatting sqref="C72">
    <cfRule type="cellIs" dxfId="20405" priority="8967" stopIfTrue="1" operator="equal">
      <formula>"Towel"</formula>
    </cfRule>
    <cfRule type="cellIs" dxfId="20404" priority="8968" stopIfTrue="1" operator="equal">
      <formula>"Napkin Hs"</formula>
    </cfRule>
  </conditionalFormatting>
  <conditionalFormatting sqref="C72">
    <cfRule type="cellIs" dxfId="20403" priority="8965" stopIfTrue="1" operator="equal">
      <formula>"Towel"</formula>
    </cfRule>
    <cfRule type="cellIs" dxfId="20402" priority="8966" stopIfTrue="1" operator="equal">
      <formula>"Napkin Hs"</formula>
    </cfRule>
    <cfRule type="cellIs" dxfId="20401" priority="8975" stopIfTrue="1" operator="equal">
      <formula>"Towel"</formula>
    </cfRule>
    <cfRule type="cellIs" dxfId="20400" priority="8976" stopIfTrue="1" operator="equal">
      <formula>"Napkin Hs"</formula>
    </cfRule>
  </conditionalFormatting>
  <conditionalFormatting sqref="C72">
    <cfRule type="cellIs" dxfId="20399" priority="8969" stopIfTrue="1" operator="equal">
      <formula>"Towel"</formula>
    </cfRule>
    <cfRule type="cellIs" dxfId="20398" priority="8970" stopIfTrue="1" operator="equal">
      <formula>"Napkin Hs"</formula>
    </cfRule>
    <cfRule type="cellIs" dxfId="20397" priority="8973" stopIfTrue="1" operator="equal">
      <formula>"Towel"</formula>
    </cfRule>
    <cfRule type="cellIs" dxfId="20396" priority="8974" stopIfTrue="1" operator="equal">
      <formula>"Napkin Hs"</formula>
    </cfRule>
  </conditionalFormatting>
  <conditionalFormatting sqref="C72">
    <cfRule type="cellIs" dxfId="20395" priority="8964" stopIfTrue="1" operator="equal">
      <formula>"Napkin Hs"</formula>
    </cfRule>
  </conditionalFormatting>
  <conditionalFormatting sqref="C72">
    <cfRule type="cellIs" dxfId="20394" priority="8963" stopIfTrue="1" operator="equal">
      <formula>"Towel"</formula>
    </cfRule>
  </conditionalFormatting>
  <conditionalFormatting sqref="C72">
    <cfRule type="cellIs" dxfId="20393" priority="8959" stopIfTrue="1" operator="equal">
      <formula>"Towel"</formula>
    </cfRule>
    <cfRule type="cellIs" dxfId="20392" priority="8960" stopIfTrue="1" operator="equal">
      <formula>"Napkin Hs"</formula>
    </cfRule>
    <cfRule type="cellIs" dxfId="20391" priority="8961" stopIfTrue="1" operator="equal">
      <formula>"Towel"</formula>
    </cfRule>
    <cfRule type="cellIs" dxfId="20390" priority="8962" stopIfTrue="1" operator="equal">
      <formula>"Napkin Hs"</formula>
    </cfRule>
  </conditionalFormatting>
  <conditionalFormatting sqref="B72:C72">
    <cfRule type="cellIs" dxfId="20389" priority="8957" stopIfTrue="1" operator="equal">
      <formula>"Towel"</formula>
    </cfRule>
    <cfRule type="cellIs" dxfId="20388" priority="8958" stopIfTrue="1" operator="equal">
      <formula>"Napkin Hs"</formula>
    </cfRule>
  </conditionalFormatting>
  <conditionalFormatting sqref="C72">
    <cfRule type="cellIs" dxfId="20387" priority="8953" stopIfTrue="1" operator="equal">
      <formula>"Towel"</formula>
    </cfRule>
    <cfRule type="cellIs" dxfId="20386" priority="8954" stopIfTrue="1" operator="equal">
      <formula>"Napkin Hs"</formula>
    </cfRule>
  </conditionalFormatting>
  <conditionalFormatting sqref="C72">
    <cfRule type="cellIs" dxfId="20385" priority="8955" stopIfTrue="1" operator="equal">
      <formula>"Towel"</formula>
    </cfRule>
    <cfRule type="cellIs" dxfId="20384" priority="8956" stopIfTrue="1" operator="equal">
      <formula>"Napkin Hs"</formula>
    </cfRule>
  </conditionalFormatting>
  <conditionalFormatting sqref="B72:C72">
    <cfRule type="cellIs" dxfId="20383" priority="8951" stopIfTrue="1" operator="equal">
      <formula>"Towel"</formula>
    </cfRule>
    <cfRule type="cellIs" dxfId="20382" priority="8952" stopIfTrue="1" operator="equal">
      <formula>"Napkin Hs"</formula>
    </cfRule>
  </conditionalFormatting>
  <conditionalFormatting sqref="C72">
    <cfRule type="cellIs" dxfId="20381" priority="8947" stopIfTrue="1" operator="equal">
      <formula>"Towel"</formula>
    </cfRule>
    <cfRule type="cellIs" dxfId="20380" priority="8948" stopIfTrue="1" operator="equal">
      <formula>"Napkin Hs"</formula>
    </cfRule>
  </conditionalFormatting>
  <conditionalFormatting sqref="C72">
    <cfRule type="cellIs" dxfId="20379" priority="8949" stopIfTrue="1" operator="equal">
      <formula>"Towel"</formula>
    </cfRule>
    <cfRule type="cellIs" dxfId="20378" priority="8950" stopIfTrue="1" operator="equal">
      <formula>"Napkin Hs"</formula>
    </cfRule>
  </conditionalFormatting>
  <conditionalFormatting sqref="B72:C72">
    <cfRule type="cellIs" dxfId="20377" priority="8945" stopIfTrue="1" operator="equal">
      <formula>"Towel"</formula>
    </cfRule>
    <cfRule type="cellIs" dxfId="20376" priority="8946" stopIfTrue="1" operator="equal">
      <formula>"Napkin Hs"</formula>
    </cfRule>
  </conditionalFormatting>
  <conditionalFormatting sqref="C72">
    <cfRule type="cellIs" dxfId="20375" priority="8941" stopIfTrue="1" operator="equal">
      <formula>"Towel"</formula>
    </cfRule>
    <cfRule type="cellIs" dxfId="20374" priority="8942" stopIfTrue="1" operator="equal">
      <formula>"Napkin Hs"</formula>
    </cfRule>
  </conditionalFormatting>
  <conditionalFormatting sqref="C72">
    <cfRule type="cellIs" dxfId="20373" priority="8943" stopIfTrue="1" operator="equal">
      <formula>"Towel"</formula>
    </cfRule>
    <cfRule type="cellIs" dxfId="20372" priority="8944" stopIfTrue="1" operator="equal">
      <formula>"Napkin Hs"</formula>
    </cfRule>
  </conditionalFormatting>
  <conditionalFormatting sqref="B72:C72">
    <cfRule type="cellIs" dxfId="20371" priority="8939" stopIfTrue="1" operator="equal">
      <formula>"Towel"</formula>
    </cfRule>
    <cfRule type="cellIs" dxfId="20370" priority="8940" stopIfTrue="1" operator="equal">
      <formula>"Napkin Hs"</formula>
    </cfRule>
  </conditionalFormatting>
  <conditionalFormatting sqref="C72">
    <cfRule type="cellIs" dxfId="20369" priority="8937" stopIfTrue="1" operator="equal">
      <formula>"Towel"</formula>
    </cfRule>
    <cfRule type="cellIs" dxfId="20368" priority="8938" stopIfTrue="1" operator="equal">
      <formula>"Napkin Hs"</formula>
    </cfRule>
  </conditionalFormatting>
  <conditionalFormatting sqref="C72">
    <cfRule type="cellIs" dxfId="20367" priority="8935" stopIfTrue="1" operator="equal">
      <formula>"Towel"</formula>
    </cfRule>
    <cfRule type="cellIs" dxfId="20366" priority="8936" stopIfTrue="1" operator="equal">
      <formula>"Napkin Hs"</formula>
    </cfRule>
  </conditionalFormatting>
  <conditionalFormatting sqref="B72:C72">
    <cfRule type="cellIs" dxfId="20365" priority="8933" stopIfTrue="1" operator="equal">
      <formula>"Towel"</formula>
    </cfRule>
    <cfRule type="cellIs" dxfId="20364" priority="8934" stopIfTrue="1" operator="equal">
      <formula>"Napkin Hs"</formula>
    </cfRule>
  </conditionalFormatting>
  <conditionalFormatting sqref="C72">
    <cfRule type="cellIs" dxfId="20363" priority="8932" stopIfTrue="1" operator="equal">
      <formula>"Napkin Hs"</formula>
    </cfRule>
  </conditionalFormatting>
  <conditionalFormatting sqref="C72">
    <cfRule type="cellIs" dxfId="20362" priority="8929" stopIfTrue="1" operator="equal">
      <formula>"Towel"</formula>
    </cfRule>
    <cfRule type="cellIs" dxfId="20361" priority="8930" stopIfTrue="1" operator="equal">
      <formula>"Napkin Hs"</formula>
    </cfRule>
  </conditionalFormatting>
  <conditionalFormatting sqref="C72">
    <cfRule type="cellIs" dxfId="20360" priority="8931" stopIfTrue="1" operator="equal">
      <formula>"Towel"</formula>
    </cfRule>
  </conditionalFormatting>
  <conditionalFormatting sqref="B71:C71">
    <cfRule type="cellIs" dxfId="20359" priority="8927" stopIfTrue="1" operator="equal">
      <formula>"Towel"</formula>
    </cfRule>
    <cfRule type="cellIs" dxfId="20358" priority="8928" stopIfTrue="1" operator="equal">
      <formula>"Napkin Hs"</formula>
    </cfRule>
  </conditionalFormatting>
  <conditionalFormatting sqref="B71:C71">
    <cfRule type="cellIs" dxfId="20357" priority="8903" stopIfTrue="1" operator="equal">
      <formula>"Towel"</formula>
    </cfRule>
    <cfRule type="cellIs" dxfId="20356" priority="8904" stopIfTrue="1" operator="equal">
      <formula>"Napkin Hs"</formula>
    </cfRule>
    <cfRule type="cellIs" dxfId="20355" priority="8909" stopIfTrue="1" operator="equal">
      <formula>"Towel"</formula>
    </cfRule>
    <cfRule type="cellIs" dxfId="20354" priority="8910" stopIfTrue="1" operator="equal">
      <formula>"Napkin Hs"</formula>
    </cfRule>
    <cfRule type="cellIs" dxfId="20353" priority="8915" stopIfTrue="1" operator="equal">
      <formula>"Towel"</formula>
    </cfRule>
    <cfRule type="cellIs" dxfId="20352" priority="8916" stopIfTrue="1" operator="equal">
      <formula>"Napkin Hs"</formula>
    </cfRule>
    <cfRule type="cellIs" dxfId="20351" priority="8921" stopIfTrue="1" operator="equal">
      <formula>"Towel"</formula>
    </cfRule>
    <cfRule type="cellIs" dxfId="20350" priority="8922" stopIfTrue="1" operator="equal">
      <formula>"Napkin Hs"</formula>
    </cfRule>
  </conditionalFormatting>
  <conditionalFormatting sqref="C71">
    <cfRule type="cellIs" dxfId="20349" priority="8917" stopIfTrue="1" operator="equal">
      <formula>"Towel"</formula>
    </cfRule>
    <cfRule type="cellIs" dxfId="20348" priority="8918" stopIfTrue="1" operator="equal">
      <formula>"Napkin Hs"</formula>
    </cfRule>
    <cfRule type="cellIs" dxfId="20347" priority="8923" stopIfTrue="1" operator="equal">
      <formula>"Towel"</formula>
    </cfRule>
    <cfRule type="cellIs" dxfId="20346" priority="8924" stopIfTrue="1" operator="equal">
      <formula>"Napkin Hs"</formula>
    </cfRule>
  </conditionalFormatting>
  <conditionalFormatting sqref="C71">
    <cfRule type="cellIs" dxfId="20345" priority="8897" stopIfTrue="1" operator="equal">
      <formula>"Towel"</formula>
    </cfRule>
    <cfRule type="cellIs" dxfId="20344" priority="8898" stopIfTrue="1" operator="equal">
      <formula>"Napkin Hs"</formula>
    </cfRule>
    <cfRule type="cellIs" dxfId="20343" priority="8899" stopIfTrue="1" operator="equal">
      <formula>"Towel"</formula>
    </cfRule>
    <cfRule type="cellIs" dxfId="20342" priority="8900" stopIfTrue="1" operator="equal">
      <formula>"Napkin Hs"</formula>
    </cfRule>
    <cfRule type="cellIs" dxfId="20341" priority="8907" stopIfTrue="1" operator="equal">
      <formula>"Towel"</formula>
    </cfRule>
    <cfRule type="cellIs" dxfId="20340" priority="8908" stopIfTrue="1" operator="equal">
      <formula>"Napkin Hs"</formula>
    </cfRule>
    <cfRule type="cellIs" dxfId="20339" priority="8911" stopIfTrue="1" operator="equal">
      <formula>"Towel"</formula>
    </cfRule>
    <cfRule type="cellIs" dxfId="20338" priority="8912" stopIfTrue="1" operator="equal">
      <formula>"Napkin Hs"</formula>
    </cfRule>
    <cfRule type="cellIs" dxfId="20337" priority="8913" stopIfTrue="1" operator="equal">
      <formula>"Towel"</formula>
    </cfRule>
    <cfRule type="cellIs" dxfId="20336" priority="8914" stopIfTrue="1" operator="equal">
      <formula>"Napkin Hs"</formula>
    </cfRule>
  </conditionalFormatting>
  <conditionalFormatting sqref="C71">
    <cfRule type="cellIs" dxfId="20335" priority="8925" stopIfTrue="1" operator="equal">
      <formula>"Towel"</formula>
    </cfRule>
    <cfRule type="cellIs" dxfId="20334" priority="8926" stopIfTrue="1" operator="equal">
      <formula>"Napkin Hs"</formula>
    </cfRule>
  </conditionalFormatting>
  <conditionalFormatting sqref="C71">
    <cfRule type="cellIs" dxfId="20333" priority="8901" stopIfTrue="1" operator="equal">
      <formula>"Towel"</formula>
    </cfRule>
    <cfRule type="cellIs" dxfId="20332" priority="8902" stopIfTrue="1" operator="equal">
      <formula>"Napkin Hs"</formula>
    </cfRule>
    <cfRule type="cellIs" dxfId="20331" priority="8905" stopIfTrue="1" operator="equal">
      <formula>"Towel"</formula>
    </cfRule>
    <cfRule type="cellIs" dxfId="20330" priority="8906" stopIfTrue="1" operator="equal">
      <formula>"Napkin Hs"</formula>
    </cfRule>
    <cfRule type="cellIs" dxfId="20329" priority="8919" stopIfTrue="1" operator="equal">
      <formula>"Towel"</formula>
    </cfRule>
    <cfRule type="cellIs" dxfId="20328" priority="8920" stopIfTrue="1" operator="equal">
      <formula>"Napkin Hs"</formula>
    </cfRule>
  </conditionalFormatting>
  <conditionalFormatting sqref="B71:C71">
    <cfRule type="cellIs" dxfId="20327" priority="8853" stopIfTrue="1" operator="equal">
      <formula>"Towel"</formula>
    </cfRule>
    <cfRule type="cellIs" dxfId="20326" priority="8854" stopIfTrue="1" operator="equal">
      <formula>"Napkin Hs"</formula>
    </cfRule>
    <cfRule type="cellIs" dxfId="20325" priority="8859" stopIfTrue="1" operator="equal">
      <formula>"Towel"</formula>
    </cfRule>
    <cfRule type="cellIs" dxfId="20324" priority="8860" stopIfTrue="1" operator="equal">
      <formula>"Napkin Hs"</formula>
    </cfRule>
    <cfRule type="cellIs" dxfId="20323" priority="8865" stopIfTrue="1" operator="equal">
      <formula>"Towel"</formula>
    </cfRule>
    <cfRule type="cellIs" dxfId="20322" priority="8866" stopIfTrue="1" operator="equal">
      <formula>"Napkin Hs"</formula>
    </cfRule>
    <cfRule type="cellIs" dxfId="20321" priority="8871" stopIfTrue="1" operator="equal">
      <formula>"Towel"</formula>
    </cfRule>
    <cfRule type="cellIs" dxfId="20320" priority="8872" stopIfTrue="1" operator="equal">
      <formula>"Napkin Hs"</formula>
    </cfRule>
    <cfRule type="cellIs" dxfId="20319" priority="8877" stopIfTrue="1" operator="equal">
      <formula>"Towel"</formula>
    </cfRule>
    <cfRule type="cellIs" dxfId="20318" priority="8878" stopIfTrue="1" operator="equal">
      <formula>"Napkin Hs"</formula>
    </cfRule>
    <cfRule type="cellIs" dxfId="20317" priority="8883" stopIfTrue="1" operator="equal">
      <formula>"Towel"</formula>
    </cfRule>
    <cfRule type="cellIs" dxfId="20316" priority="8884" stopIfTrue="1" operator="equal">
      <formula>"Napkin Hs"</formula>
    </cfRule>
    <cfRule type="cellIs" dxfId="20315" priority="8889" stopIfTrue="1" operator="equal">
      <formula>"Towel"</formula>
    </cfRule>
    <cfRule type="cellIs" dxfId="20314" priority="8890" stopIfTrue="1" operator="equal">
      <formula>"Napkin Hs"</formula>
    </cfRule>
    <cfRule type="cellIs" dxfId="20313" priority="8895" stopIfTrue="1" operator="equal">
      <formula>"Towel"</formula>
    </cfRule>
    <cfRule type="cellIs" dxfId="20312" priority="8896" stopIfTrue="1" operator="equal">
      <formula>"Napkin Hs"</formula>
    </cfRule>
  </conditionalFormatting>
  <conditionalFormatting sqref="C71">
    <cfRule type="cellIs" dxfId="20311" priority="8849" stopIfTrue="1" operator="equal">
      <formula>"Towel"</formula>
    </cfRule>
    <cfRule type="cellIs" dxfId="20310" priority="8850" stopIfTrue="1" operator="equal">
      <formula>"Napkin Hs"</formula>
    </cfRule>
    <cfRule type="cellIs" dxfId="20309" priority="8851" stopIfTrue="1" operator="equal">
      <formula>"Towel"</formula>
    </cfRule>
    <cfRule type="cellIs" dxfId="20308" priority="8852" stopIfTrue="1" operator="equal">
      <formula>"Napkin Hs"</formula>
    </cfRule>
    <cfRule type="cellIs" dxfId="20307" priority="8855" stopIfTrue="1" operator="equal">
      <formula>"Towel"</formula>
    </cfRule>
    <cfRule type="cellIs" dxfId="20306" priority="8856" stopIfTrue="1" operator="equal">
      <formula>"Napkin Hs"</formula>
    </cfRule>
    <cfRule type="cellIs" dxfId="20305" priority="8857" stopIfTrue="1" operator="equal">
      <formula>"Towel"</formula>
    </cfRule>
    <cfRule type="cellIs" dxfId="20304" priority="8858" stopIfTrue="1" operator="equal">
      <formula>"Napkin Hs"</formula>
    </cfRule>
    <cfRule type="cellIs" dxfId="20303" priority="8861" stopIfTrue="1" operator="equal">
      <formula>"Towel"</formula>
    </cfRule>
    <cfRule type="cellIs" dxfId="20302" priority="8862" stopIfTrue="1" operator="equal">
      <formula>"Napkin Hs"</formula>
    </cfRule>
    <cfRule type="cellIs" dxfId="20301" priority="8863" stopIfTrue="1" operator="equal">
      <formula>"Towel"</formula>
    </cfRule>
    <cfRule type="cellIs" dxfId="20300" priority="8864" stopIfTrue="1" operator="equal">
      <formula>"Napkin Hs"</formula>
    </cfRule>
    <cfRule type="cellIs" dxfId="20299" priority="8867" stopIfTrue="1" operator="equal">
      <formula>"Towel"</formula>
    </cfRule>
    <cfRule type="cellIs" dxfId="20298" priority="8868" stopIfTrue="1" operator="equal">
      <formula>"Napkin Hs"</formula>
    </cfRule>
    <cfRule type="cellIs" dxfId="20297" priority="8869" stopIfTrue="1" operator="equal">
      <formula>"Towel"</formula>
    </cfRule>
    <cfRule type="cellIs" dxfId="20296" priority="8870" stopIfTrue="1" operator="equal">
      <formula>"Napkin Hs"</formula>
    </cfRule>
    <cfRule type="cellIs" dxfId="20295" priority="8873" stopIfTrue="1" operator="equal">
      <formula>"Towel"</formula>
    </cfRule>
    <cfRule type="cellIs" dxfId="20294" priority="8874" stopIfTrue="1" operator="equal">
      <formula>"Napkin Hs"</formula>
    </cfRule>
    <cfRule type="cellIs" dxfId="20293" priority="8875" stopIfTrue="1" operator="equal">
      <formula>"Towel"</formula>
    </cfRule>
    <cfRule type="cellIs" dxfId="20292" priority="8876" stopIfTrue="1" operator="equal">
      <formula>"Napkin Hs"</formula>
    </cfRule>
    <cfRule type="cellIs" dxfId="20291" priority="8879" stopIfTrue="1" operator="equal">
      <formula>"Towel"</formula>
    </cfRule>
    <cfRule type="cellIs" dxfId="20290" priority="8880" stopIfTrue="1" operator="equal">
      <formula>"Napkin Hs"</formula>
    </cfRule>
    <cfRule type="cellIs" dxfId="20289" priority="8881" stopIfTrue="1" operator="equal">
      <formula>"Towel"</formula>
    </cfRule>
    <cfRule type="cellIs" dxfId="20288" priority="8882" stopIfTrue="1" operator="equal">
      <formula>"Napkin Hs"</formula>
    </cfRule>
    <cfRule type="cellIs" dxfId="20287" priority="8885" stopIfTrue="1" operator="equal">
      <formula>"Towel"</formula>
    </cfRule>
    <cfRule type="cellIs" dxfId="20286" priority="8886" stopIfTrue="1" operator="equal">
      <formula>"Napkin Hs"</formula>
    </cfRule>
    <cfRule type="cellIs" dxfId="20285" priority="8887" stopIfTrue="1" operator="equal">
      <formula>"Towel"</formula>
    </cfRule>
    <cfRule type="cellIs" dxfId="20284" priority="8888" stopIfTrue="1" operator="equal">
      <formula>"Napkin Hs"</formula>
    </cfRule>
    <cfRule type="cellIs" dxfId="20283" priority="8891" stopIfTrue="1" operator="equal">
      <formula>"Towel"</formula>
    </cfRule>
    <cfRule type="cellIs" dxfId="20282" priority="8892" stopIfTrue="1" operator="equal">
      <formula>"Napkin Hs"</formula>
    </cfRule>
  </conditionalFormatting>
  <conditionalFormatting sqref="C71">
    <cfRule type="cellIs" dxfId="20281" priority="8893" stopIfTrue="1" operator="equal">
      <formula>"Towel"</formula>
    </cfRule>
    <cfRule type="cellIs" dxfId="20280" priority="8894" stopIfTrue="1" operator="equal">
      <formula>"Napkin Hs"</formula>
    </cfRule>
  </conditionalFormatting>
  <conditionalFormatting sqref="B71">
    <cfRule type="cellIs" dxfId="20279" priority="8843" stopIfTrue="1" operator="equal">
      <formula>"Towel"</formula>
    </cfRule>
    <cfRule type="cellIs" dxfId="20278" priority="8844" stopIfTrue="1" operator="equal">
      <formula>"Napkin Hs"</formula>
    </cfRule>
    <cfRule type="cellIs" dxfId="20277" priority="8845" stopIfTrue="1" operator="equal">
      <formula>"Towel"</formula>
    </cfRule>
    <cfRule type="cellIs" dxfId="20276" priority="8846" stopIfTrue="1" operator="equal">
      <formula>"Napkin Hs"</formula>
    </cfRule>
    <cfRule type="cellIs" dxfId="20275" priority="8847" stopIfTrue="1" operator="equal">
      <formula>"Towel"</formula>
    </cfRule>
    <cfRule type="cellIs" dxfId="20274" priority="8848" stopIfTrue="1" operator="equal">
      <formula>"Napkin Hs"</formula>
    </cfRule>
  </conditionalFormatting>
  <conditionalFormatting sqref="B71:C71">
    <cfRule type="cellIs" dxfId="20273" priority="8805" stopIfTrue="1" operator="equal">
      <formula>"Towel"</formula>
    </cfRule>
    <cfRule type="cellIs" dxfId="20272" priority="8806" stopIfTrue="1" operator="equal">
      <formula>"Napkin Hs"</formula>
    </cfRule>
    <cfRule type="cellIs" dxfId="20271" priority="8811" stopIfTrue="1" operator="equal">
      <formula>"Towel"</formula>
    </cfRule>
    <cfRule type="cellIs" dxfId="20270" priority="8812" stopIfTrue="1" operator="equal">
      <formula>"Napkin Hs"</formula>
    </cfRule>
    <cfRule type="cellIs" dxfId="20269" priority="8817" stopIfTrue="1" operator="equal">
      <formula>"Towel"</formula>
    </cfRule>
    <cfRule type="cellIs" dxfId="20268" priority="8818" stopIfTrue="1" operator="equal">
      <formula>"Napkin Hs"</formula>
    </cfRule>
    <cfRule type="cellIs" dxfId="20267" priority="8823" stopIfTrue="1" operator="equal">
      <formula>"Towel"</formula>
    </cfRule>
    <cfRule type="cellIs" dxfId="20266" priority="8824" stopIfTrue="1" operator="equal">
      <formula>"Napkin Hs"</formula>
    </cfRule>
    <cfRule type="cellIs" dxfId="20265" priority="8829" stopIfTrue="1" operator="equal">
      <formula>"Towel"</formula>
    </cfRule>
    <cfRule type="cellIs" dxfId="20264" priority="8830" stopIfTrue="1" operator="equal">
      <formula>"Napkin Hs"</formula>
    </cfRule>
    <cfRule type="cellIs" dxfId="20263" priority="8835" stopIfTrue="1" operator="equal">
      <formula>"Towel"</formula>
    </cfRule>
    <cfRule type="cellIs" dxfId="20262" priority="8836" stopIfTrue="1" operator="equal">
      <formula>"Napkin Hs"</formula>
    </cfRule>
    <cfRule type="cellIs" dxfId="20261" priority="8841" stopIfTrue="1" operator="equal">
      <formula>"Towel"</formula>
    </cfRule>
    <cfRule type="cellIs" dxfId="20260" priority="8842" stopIfTrue="1" operator="equal">
      <formula>"Napkin Hs"</formula>
    </cfRule>
  </conditionalFormatting>
  <conditionalFormatting sqref="C71">
    <cfRule type="cellIs" dxfId="20259" priority="8801" stopIfTrue="1" operator="equal">
      <formula>"Towel"</formula>
    </cfRule>
    <cfRule type="cellIs" dxfId="20258" priority="8802" stopIfTrue="1" operator="equal">
      <formula>"Napkin Hs"</formula>
    </cfRule>
    <cfRule type="cellIs" dxfId="20257" priority="8803" stopIfTrue="1" operator="equal">
      <formula>"Towel"</formula>
    </cfRule>
    <cfRule type="cellIs" dxfId="20256" priority="8804" stopIfTrue="1" operator="equal">
      <formula>"Napkin Hs"</formula>
    </cfRule>
    <cfRule type="cellIs" dxfId="20255" priority="8807" stopIfTrue="1" operator="equal">
      <formula>"Towel"</formula>
    </cfRule>
    <cfRule type="cellIs" dxfId="20254" priority="8808" stopIfTrue="1" operator="equal">
      <formula>"Napkin Hs"</formula>
    </cfRule>
    <cfRule type="cellIs" dxfId="20253" priority="8809" stopIfTrue="1" operator="equal">
      <formula>"Towel"</formula>
    </cfRule>
    <cfRule type="cellIs" dxfId="20252" priority="8810" stopIfTrue="1" operator="equal">
      <formula>"Napkin Hs"</formula>
    </cfRule>
    <cfRule type="cellIs" dxfId="20251" priority="8813" stopIfTrue="1" operator="equal">
      <formula>"Towel"</formula>
    </cfRule>
    <cfRule type="cellIs" dxfId="20250" priority="8814" stopIfTrue="1" operator="equal">
      <formula>"Napkin Hs"</formula>
    </cfRule>
    <cfRule type="cellIs" dxfId="20249" priority="8815" stopIfTrue="1" operator="equal">
      <formula>"Towel"</formula>
    </cfRule>
    <cfRule type="cellIs" dxfId="20248" priority="8816" stopIfTrue="1" operator="equal">
      <formula>"Napkin Hs"</formula>
    </cfRule>
    <cfRule type="cellIs" dxfId="20247" priority="8819" stopIfTrue="1" operator="equal">
      <formula>"Towel"</formula>
    </cfRule>
    <cfRule type="cellIs" dxfId="20246" priority="8820" stopIfTrue="1" operator="equal">
      <formula>"Napkin Hs"</formula>
    </cfRule>
    <cfRule type="cellIs" dxfId="20245" priority="8821" stopIfTrue="1" operator="equal">
      <formula>"Towel"</formula>
    </cfRule>
    <cfRule type="cellIs" dxfId="20244" priority="8822" stopIfTrue="1" operator="equal">
      <formula>"Napkin Hs"</formula>
    </cfRule>
    <cfRule type="cellIs" dxfId="20243" priority="8825" stopIfTrue="1" operator="equal">
      <formula>"Towel"</formula>
    </cfRule>
    <cfRule type="cellIs" dxfId="20242" priority="8826" stopIfTrue="1" operator="equal">
      <formula>"Napkin Hs"</formula>
    </cfRule>
    <cfRule type="cellIs" dxfId="20241" priority="8827" stopIfTrue="1" operator="equal">
      <formula>"Towel"</formula>
    </cfRule>
    <cfRule type="cellIs" dxfId="20240" priority="8828" stopIfTrue="1" operator="equal">
      <formula>"Napkin Hs"</formula>
    </cfRule>
    <cfRule type="cellIs" dxfId="20239" priority="8831" stopIfTrue="1" operator="equal">
      <formula>"Towel"</formula>
    </cfRule>
    <cfRule type="cellIs" dxfId="20238" priority="8832" stopIfTrue="1" operator="equal">
      <formula>"Napkin Hs"</formula>
    </cfRule>
    <cfRule type="cellIs" dxfId="20237" priority="8833" stopIfTrue="1" operator="equal">
      <formula>"Towel"</formula>
    </cfRule>
    <cfRule type="cellIs" dxfId="20236" priority="8834" stopIfTrue="1" operator="equal">
      <formula>"Napkin Hs"</formula>
    </cfRule>
    <cfRule type="cellIs" dxfId="20235" priority="8837" stopIfTrue="1" operator="equal">
      <formula>"Towel"</formula>
    </cfRule>
    <cfRule type="cellIs" dxfId="20234" priority="8838" stopIfTrue="1" operator="equal">
      <formula>"Napkin Hs"</formula>
    </cfRule>
  </conditionalFormatting>
  <conditionalFormatting sqref="C71">
    <cfRule type="cellIs" dxfId="20233" priority="8839" stopIfTrue="1" operator="equal">
      <formula>"Towel"</formula>
    </cfRule>
    <cfRule type="cellIs" dxfId="20232" priority="8840" stopIfTrue="1" operator="equal">
      <formula>"Napkin Hs"</formula>
    </cfRule>
  </conditionalFormatting>
  <conditionalFormatting sqref="B71:C71">
    <cfRule type="cellIs" dxfId="20231" priority="8799" stopIfTrue="1" operator="equal">
      <formula>"Towel"</formula>
    </cfRule>
    <cfRule type="cellIs" dxfId="20230" priority="8800" stopIfTrue="1" operator="equal">
      <formula>"Napkin Hs"</formula>
    </cfRule>
  </conditionalFormatting>
  <conditionalFormatting sqref="B71:C71">
    <cfRule type="cellIs" dxfId="20229" priority="8763" stopIfTrue="1" operator="equal">
      <formula>"Towel"</formula>
    </cfRule>
    <cfRule type="cellIs" dxfId="20228" priority="8764" stopIfTrue="1" operator="equal">
      <formula>"Napkin Hs"</formula>
    </cfRule>
    <cfRule type="cellIs" dxfId="20227" priority="8769" stopIfTrue="1" operator="equal">
      <formula>"Towel"</formula>
    </cfRule>
    <cfRule type="cellIs" dxfId="20226" priority="8770" stopIfTrue="1" operator="equal">
      <formula>"Napkin Hs"</formula>
    </cfRule>
    <cfRule type="cellIs" dxfId="20225" priority="8775" stopIfTrue="1" operator="equal">
      <formula>"Towel"</formula>
    </cfRule>
    <cfRule type="cellIs" dxfId="20224" priority="8776" stopIfTrue="1" operator="equal">
      <formula>"Napkin Hs"</formula>
    </cfRule>
    <cfRule type="cellIs" dxfId="20223" priority="8781" stopIfTrue="1" operator="equal">
      <formula>"Towel"</formula>
    </cfRule>
    <cfRule type="cellIs" dxfId="20222" priority="8782" stopIfTrue="1" operator="equal">
      <formula>"Napkin Hs"</formula>
    </cfRule>
    <cfRule type="cellIs" dxfId="20221" priority="8787" stopIfTrue="1" operator="equal">
      <formula>"Towel"</formula>
    </cfRule>
    <cfRule type="cellIs" dxfId="20220" priority="8788" stopIfTrue="1" operator="equal">
      <formula>"Napkin Hs"</formula>
    </cfRule>
    <cfRule type="cellIs" dxfId="20219" priority="8793" stopIfTrue="1" operator="equal">
      <formula>"Towel"</formula>
    </cfRule>
    <cfRule type="cellIs" dxfId="20218" priority="8794" stopIfTrue="1" operator="equal">
      <formula>"Napkin Hs"</formula>
    </cfRule>
  </conditionalFormatting>
  <conditionalFormatting sqref="C71">
    <cfRule type="cellIs" dxfId="20217" priority="8798" stopIfTrue="1" operator="equal">
      <formula>"Napkin Hs"</formula>
    </cfRule>
  </conditionalFormatting>
  <conditionalFormatting sqref="C71">
    <cfRule type="cellIs" dxfId="20216" priority="8797" stopIfTrue="1" operator="equal">
      <formula>"Towel"</formula>
    </cfRule>
  </conditionalFormatting>
  <conditionalFormatting sqref="C71">
    <cfRule type="cellIs" dxfId="20215" priority="8791" stopIfTrue="1" operator="equal">
      <formula>"Towel"</formula>
    </cfRule>
    <cfRule type="cellIs" dxfId="20214" priority="8792" stopIfTrue="1" operator="equal">
      <formula>"Napkin Hs"</formula>
    </cfRule>
  </conditionalFormatting>
  <conditionalFormatting sqref="C71">
    <cfRule type="cellIs" dxfId="20213" priority="8789" stopIfTrue="1" operator="equal">
      <formula>"Towel"</formula>
    </cfRule>
    <cfRule type="cellIs" dxfId="20212" priority="8790" stopIfTrue="1" operator="equal">
      <formula>"Napkin Hs"</formula>
    </cfRule>
    <cfRule type="cellIs" dxfId="20211" priority="8795" stopIfTrue="1" operator="equal">
      <formula>"Towel"</formula>
    </cfRule>
    <cfRule type="cellIs" dxfId="20210" priority="8796" stopIfTrue="1" operator="equal">
      <formula>"Napkin Hs"</formula>
    </cfRule>
  </conditionalFormatting>
  <conditionalFormatting sqref="C71">
    <cfRule type="cellIs" dxfId="20209" priority="8761" stopIfTrue="1" operator="equal">
      <formula>"Towel"</formula>
    </cfRule>
    <cfRule type="cellIs" dxfId="20208" priority="8762" stopIfTrue="1" operator="equal">
      <formula>"Napkin Hs"</formula>
    </cfRule>
    <cfRule type="cellIs" dxfId="20207" priority="8765" stopIfTrue="1" operator="equal">
      <formula>"Towel"</formula>
    </cfRule>
    <cfRule type="cellIs" dxfId="20206" priority="8766" stopIfTrue="1" operator="equal">
      <formula>"Napkin Hs"</formula>
    </cfRule>
    <cfRule type="cellIs" dxfId="20205" priority="8767" stopIfTrue="1" operator="equal">
      <formula>"Towel"</formula>
    </cfRule>
    <cfRule type="cellIs" dxfId="20204" priority="8768" stopIfTrue="1" operator="equal">
      <formula>"Napkin Hs"</formula>
    </cfRule>
    <cfRule type="cellIs" dxfId="20203" priority="8771" stopIfTrue="1" operator="equal">
      <formula>"Towel"</formula>
    </cfRule>
    <cfRule type="cellIs" dxfId="20202" priority="8772" stopIfTrue="1" operator="equal">
      <formula>"Napkin Hs"</formula>
    </cfRule>
    <cfRule type="cellIs" dxfId="20201" priority="8773" stopIfTrue="1" operator="equal">
      <formula>"Towel"</formula>
    </cfRule>
    <cfRule type="cellIs" dxfId="20200" priority="8774" stopIfTrue="1" operator="equal">
      <formula>"Napkin Hs"</formula>
    </cfRule>
    <cfRule type="cellIs" dxfId="20199" priority="8777" stopIfTrue="1" operator="equal">
      <formula>"Towel"</formula>
    </cfRule>
    <cfRule type="cellIs" dxfId="20198" priority="8778" stopIfTrue="1" operator="equal">
      <formula>"Napkin Hs"</formula>
    </cfRule>
    <cfRule type="cellIs" dxfId="20197" priority="8779" stopIfTrue="1" operator="equal">
      <formula>"Towel"</formula>
    </cfRule>
    <cfRule type="cellIs" dxfId="20196" priority="8780" stopIfTrue="1" operator="equal">
      <formula>"Napkin Hs"</formula>
    </cfRule>
    <cfRule type="cellIs" dxfId="20195" priority="8783" stopIfTrue="1" operator="equal">
      <formula>"Towel"</formula>
    </cfRule>
    <cfRule type="cellIs" dxfId="20194" priority="8784" stopIfTrue="1" operator="equal">
      <formula>"Napkin Hs"</formula>
    </cfRule>
    <cfRule type="cellIs" dxfId="20193" priority="8785" stopIfTrue="1" operator="equal">
      <formula>"Towel"</formula>
    </cfRule>
    <cfRule type="cellIs" dxfId="20192" priority="8786" stopIfTrue="1" operator="equal">
      <formula>"Napkin Hs"</formula>
    </cfRule>
  </conditionalFormatting>
  <conditionalFormatting sqref="C71">
    <cfRule type="cellIs" dxfId="20191" priority="8759" stopIfTrue="1" operator="equal">
      <formula>"Towel"</formula>
    </cfRule>
    <cfRule type="cellIs" dxfId="20190" priority="8760" stopIfTrue="1" operator="equal">
      <formula>"Napkin Hs"</formula>
    </cfRule>
  </conditionalFormatting>
  <conditionalFormatting sqref="C71">
    <cfRule type="cellIs" dxfId="20189" priority="8739" stopIfTrue="1" operator="equal">
      <formula>"Towel"</formula>
    </cfRule>
    <cfRule type="cellIs" dxfId="20188" priority="8740" stopIfTrue="1" operator="equal">
      <formula>"Napkin Hs"</formula>
    </cfRule>
    <cfRule type="cellIs" dxfId="20187" priority="8745" stopIfTrue="1" operator="equal">
      <formula>"Towel"</formula>
    </cfRule>
    <cfRule type="cellIs" dxfId="20186" priority="8746" stopIfTrue="1" operator="equal">
      <formula>"Napkin Hs"</formula>
    </cfRule>
    <cfRule type="cellIs" dxfId="20185" priority="8751" stopIfTrue="1" operator="equal">
      <formula>"Towel"</formula>
    </cfRule>
    <cfRule type="cellIs" dxfId="20184" priority="8752" stopIfTrue="1" operator="equal">
      <formula>"Napkin Hs"</formula>
    </cfRule>
    <cfRule type="cellIs" dxfId="20183" priority="8757" stopIfTrue="1" operator="equal">
      <formula>"Towel"</formula>
    </cfRule>
    <cfRule type="cellIs" dxfId="20182" priority="8758" stopIfTrue="1" operator="equal">
      <formula>"Napkin Hs"</formula>
    </cfRule>
  </conditionalFormatting>
  <conditionalFormatting sqref="C71">
    <cfRule type="cellIs" dxfId="20181" priority="8749" stopIfTrue="1" operator="equal">
      <formula>"Towel"</formula>
    </cfRule>
    <cfRule type="cellIs" dxfId="20180" priority="8750" stopIfTrue="1" operator="equal">
      <formula>"Napkin Hs"</formula>
    </cfRule>
    <cfRule type="cellIs" dxfId="20179" priority="8755" stopIfTrue="1" operator="equal">
      <formula>"Towel"</formula>
    </cfRule>
    <cfRule type="cellIs" dxfId="20178" priority="8756" stopIfTrue="1" operator="equal">
      <formula>"Napkin Hs"</formula>
    </cfRule>
  </conditionalFormatting>
  <conditionalFormatting sqref="C71">
    <cfRule type="cellIs" dxfId="20177" priority="8735" stopIfTrue="1" operator="equal">
      <formula>"Towel"</formula>
    </cfRule>
    <cfRule type="cellIs" dxfId="20176" priority="8736" stopIfTrue="1" operator="equal">
      <formula>"Napkin Hs"</formula>
    </cfRule>
    <cfRule type="cellIs" dxfId="20175" priority="8743" stopIfTrue="1" operator="equal">
      <formula>"Towel"</formula>
    </cfRule>
    <cfRule type="cellIs" dxfId="20174" priority="8744" stopIfTrue="1" operator="equal">
      <formula>"Napkin Hs"</formula>
    </cfRule>
    <cfRule type="cellIs" dxfId="20173" priority="8747" stopIfTrue="1" operator="equal">
      <formula>"Towel"</formula>
    </cfRule>
    <cfRule type="cellIs" dxfId="20172" priority="8748" stopIfTrue="1" operator="equal">
      <formula>"Napkin Hs"</formula>
    </cfRule>
  </conditionalFormatting>
  <conditionalFormatting sqref="C71">
    <cfRule type="cellIs" dxfId="20171" priority="8737" stopIfTrue="1" operator="equal">
      <formula>"Towel"</formula>
    </cfRule>
    <cfRule type="cellIs" dxfId="20170" priority="8738" stopIfTrue="1" operator="equal">
      <formula>"Napkin Hs"</formula>
    </cfRule>
    <cfRule type="cellIs" dxfId="20169" priority="8741" stopIfTrue="1" operator="equal">
      <formula>"Towel"</formula>
    </cfRule>
    <cfRule type="cellIs" dxfId="20168" priority="8742" stopIfTrue="1" operator="equal">
      <formula>"Napkin Hs"</formula>
    </cfRule>
    <cfRule type="cellIs" dxfId="20167" priority="8753" stopIfTrue="1" operator="equal">
      <formula>"Towel"</formula>
    </cfRule>
    <cfRule type="cellIs" dxfId="20166" priority="8754" stopIfTrue="1" operator="equal">
      <formula>"Napkin Hs"</formula>
    </cfRule>
  </conditionalFormatting>
  <conditionalFormatting sqref="C71">
    <cfRule type="cellIs" dxfId="20165" priority="8733" stopIfTrue="1" operator="equal">
      <formula>"Towel"</formula>
    </cfRule>
    <cfRule type="cellIs" dxfId="20164" priority="8734" stopIfTrue="1" operator="equal">
      <formula>"Napkin Hs"</formula>
    </cfRule>
  </conditionalFormatting>
  <conditionalFormatting sqref="C71">
    <cfRule type="cellIs" dxfId="20163" priority="8729" stopIfTrue="1" operator="equal">
      <formula>"Towel"</formula>
    </cfRule>
    <cfRule type="cellIs" dxfId="20162" priority="8730" stopIfTrue="1" operator="equal">
      <formula>"Napkin Hs"</formula>
    </cfRule>
  </conditionalFormatting>
  <conditionalFormatting sqref="C71">
    <cfRule type="cellIs" dxfId="20161" priority="8731" stopIfTrue="1" operator="equal">
      <formula>"Towel"</formula>
    </cfRule>
    <cfRule type="cellIs" dxfId="20160" priority="8732" stopIfTrue="1" operator="equal">
      <formula>"Napkin Hs"</formula>
    </cfRule>
  </conditionalFormatting>
  <conditionalFormatting sqref="C71">
    <cfRule type="cellIs" dxfId="20159" priority="8727" stopIfTrue="1" operator="equal">
      <formula>"Towel"</formula>
    </cfRule>
    <cfRule type="cellIs" dxfId="20158" priority="8728" stopIfTrue="1" operator="equal">
      <formula>"Napkin Hs"</formula>
    </cfRule>
  </conditionalFormatting>
  <conditionalFormatting sqref="C71">
    <cfRule type="cellIs" dxfId="20157" priority="8723" stopIfTrue="1" operator="equal">
      <formula>"Towel"</formula>
    </cfRule>
    <cfRule type="cellIs" dxfId="20156" priority="8724" stopIfTrue="1" operator="equal">
      <formula>"Napkin Hs"</formula>
    </cfRule>
  </conditionalFormatting>
  <conditionalFormatting sqref="C71">
    <cfRule type="cellIs" dxfId="20155" priority="8725" stopIfTrue="1" operator="equal">
      <formula>"Towel"</formula>
    </cfRule>
    <cfRule type="cellIs" dxfId="20154" priority="8726" stopIfTrue="1" operator="equal">
      <formula>"Napkin Hs"</formula>
    </cfRule>
  </conditionalFormatting>
  <conditionalFormatting sqref="C71">
    <cfRule type="cellIs" dxfId="20153" priority="8721" stopIfTrue="1" operator="equal">
      <formula>"Towel"</formula>
    </cfRule>
    <cfRule type="cellIs" dxfId="20152" priority="8722" stopIfTrue="1" operator="equal">
      <formula>"Napkin Hs"</formula>
    </cfRule>
  </conditionalFormatting>
  <conditionalFormatting sqref="C71">
    <cfRule type="cellIs" dxfId="20151" priority="8717" stopIfTrue="1" operator="equal">
      <formula>"Towel"</formula>
    </cfRule>
    <cfRule type="cellIs" dxfId="20150" priority="8718" stopIfTrue="1" operator="equal">
      <formula>"Napkin Hs"</formula>
    </cfRule>
  </conditionalFormatting>
  <conditionalFormatting sqref="C71">
    <cfRule type="cellIs" dxfId="20149" priority="8719" stopIfTrue="1" operator="equal">
      <formula>"Towel"</formula>
    </cfRule>
    <cfRule type="cellIs" dxfId="20148" priority="8720" stopIfTrue="1" operator="equal">
      <formula>"Napkin Hs"</formula>
    </cfRule>
  </conditionalFormatting>
  <conditionalFormatting sqref="C71">
    <cfRule type="cellIs" dxfId="20147" priority="8715" stopIfTrue="1" operator="equal">
      <formula>"Towel"</formula>
    </cfRule>
    <cfRule type="cellIs" dxfId="20146" priority="8716" stopIfTrue="1" operator="equal">
      <formula>"Napkin Hs"</formula>
    </cfRule>
  </conditionalFormatting>
  <conditionalFormatting sqref="C71">
    <cfRule type="cellIs" dxfId="20145" priority="8713" stopIfTrue="1" operator="equal">
      <formula>"Towel"</formula>
    </cfRule>
    <cfRule type="cellIs" dxfId="20144" priority="8714" stopIfTrue="1" operator="equal">
      <formula>"Napkin Hs"</formula>
    </cfRule>
  </conditionalFormatting>
  <conditionalFormatting sqref="C71">
    <cfRule type="cellIs" dxfId="20143" priority="8711" stopIfTrue="1" operator="equal">
      <formula>"Towel"</formula>
    </cfRule>
    <cfRule type="cellIs" dxfId="20142" priority="8712" stopIfTrue="1" operator="equal">
      <formula>"Napkin Hs"</formula>
    </cfRule>
  </conditionalFormatting>
  <conditionalFormatting sqref="C71">
    <cfRule type="cellIs" dxfId="20141" priority="8709" stopIfTrue="1" operator="equal">
      <formula>"Towel"</formula>
    </cfRule>
    <cfRule type="cellIs" dxfId="20140" priority="8710" stopIfTrue="1" operator="equal">
      <formula>"Napkin Hs"</formula>
    </cfRule>
  </conditionalFormatting>
  <conditionalFormatting sqref="C71">
    <cfRule type="cellIs" dxfId="20139" priority="8708" stopIfTrue="1" operator="equal">
      <formula>"Napkin Hs"</formula>
    </cfRule>
  </conditionalFormatting>
  <conditionalFormatting sqref="C71">
    <cfRule type="cellIs" dxfId="20138" priority="8705" stopIfTrue="1" operator="equal">
      <formula>"Towel"</formula>
    </cfRule>
    <cfRule type="cellIs" dxfId="20137" priority="8706" stopIfTrue="1" operator="equal">
      <formula>"Napkin Hs"</formula>
    </cfRule>
  </conditionalFormatting>
  <conditionalFormatting sqref="C71">
    <cfRule type="cellIs" dxfId="20136" priority="8707" stopIfTrue="1" operator="equal">
      <formula>"Towel"</formula>
    </cfRule>
  </conditionalFormatting>
  <conditionalFormatting sqref="B71">
    <cfRule type="cellIs" dxfId="20135" priority="8703" stopIfTrue="1" operator="equal">
      <formula>"Towel"</formula>
    </cfRule>
    <cfRule type="cellIs" dxfId="20134" priority="8704" stopIfTrue="1" operator="equal">
      <formula>"Napkin Hs"</formula>
    </cfRule>
  </conditionalFormatting>
  <conditionalFormatting sqref="B71">
    <cfRule type="cellIs" dxfId="20133" priority="8701" stopIfTrue="1" operator="equal">
      <formula>"Towel"</formula>
    </cfRule>
    <cfRule type="cellIs" dxfId="20132" priority="8702" stopIfTrue="1" operator="equal">
      <formula>"Napkin Hs"</formula>
    </cfRule>
  </conditionalFormatting>
  <conditionalFormatting sqref="B71">
    <cfRule type="cellIs" dxfId="20131" priority="8699" stopIfTrue="1" operator="equal">
      <formula>"Towel"</formula>
    </cfRule>
    <cfRule type="cellIs" dxfId="20130" priority="8700" stopIfTrue="1" operator="equal">
      <formula>"Napkin Hs"</formula>
    </cfRule>
  </conditionalFormatting>
  <conditionalFormatting sqref="B71">
    <cfRule type="cellIs" dxfId="20129" priority="8697" stopIfTrue="1" operator="equal">
      <formula>"Towel"</formula>
    </cfRule>
    <cfRule type="cellIs" dxfId="20128" priority="8698" stopIfTrue="1" operator="equal">
      <formula>"Napkin Hs"</formula>
    </cfRule>
  </conditionalFormatting>
  <conditionalFormatting sqref="B71">
    <cfRule type="cellIs" dxfId="20127" priority="8695" stopIfTrue="1" operator="equal">
      <formula>"Towel"</formula>
    </cfRule>
    <cfRule type="cellIs" dxfId="20126" priority="8696" stopIfTrue="1" operator="equal">
      <formula>"Napkin Hs"</formula>
    </cfRule>
  </conditionalFormatting>
  <conditionalFormatting sqref="B71">
    <cfRule type="cellIs" dxfId="20125" priority="8693" stopIfTrue="1" operator="equal">
      <formula>"Towel"</formula>
    </cfRule>
    <cfRule type="cellIs" dxfId="20124" priority="8694" stopIfTrue="1" operator="equal">
      <formula>"Napkin Hs"</formula>
    </cfRule>
  </conditionalFormatting>
  <conditionalFormatting sqref="B71">
    <cfRule type="cellIs" dxfId="20123" priority="8689" stopIfTrue="1" operator="equal">
      <formula>"Towel"</formula>
    </cfRule>
    <cfRule type="cellIs" dxfId="20122" priority="8690" stopIfTrue="1" operator="equal">
      <formula>"Napkin Hs"</formula>
    </cfRule>
    <cfRule type="cellIs" dxfId="20121" priority="8691" stopIfTrue="1" operator="equal">
      <formula>"Towel"</formula>
    </cfRule>
    <cfRule type="cellIs" dxfId="20120" priority="8692" stopIfTrue="1" operator="equal">
      <formula>"Napkin Hs"</formula>
    </cfRule>
  </conditionalFormatting>
  <conditionalFormatting sqref="B71">
    <cfRule type="cellIs" dxfId="20119" priority="8687" stopIfTrue="1" operator="equal">
      <formula>"Towel"</formula>
    </cfRule>
    <cfRule type="cellIs" dxfId="20118" priority="8688" stopIfTrue="1" operator="equal">
      <formula>"Napkin Hs"</formula>
    </cfRule>
  </conditionalFormatting>
  <conditionalFormatting sqref="B71">
    <cfRule type="cellIs" dxfId="20117" priority="8685" stopIfTrue="1" operator="equal">
      <formula>"Towel"</formula>
    </cfRule>
    <cfRule type="cellIs" dxfId="20116" priority="8686" stopIfTrue="1" operator="equal">
      <formula>"Napkin Hs"</formula>
    </cfRule>
  </conditionalFormatting>
  <conditionalFormatting sqref="B71">
    <cfRule type="cellIs" dxfId="20115" priority="8683" stopIfTrue="1" operator="equal">
      <formula>"Towel"</formula>
    </cfRule>
    <cfRule type="cellIs" dxfId="20114" priority="8684" stopIfTrue="1" operator="equal">
      <formula>"Napkin Hs"</formula>
    </cfRule>
  </conditionalFormatting>
  <conditionalFormatting sqref="B71">
    <cfRule type="cellIs" dxfId="20113" priority="8681" stopIfTrue="1" operator="equal">
      <formula>"Towel"</formula>
    </cfRule>
    <cfRule type="cellIs" dxfId="20112" priority="8682" stopIfTrue="1" operator="equal">
      <formula>"Napkin Hs"</formula>
    </cfRule>
  </conditionalFormatting>
  <conditionalFormatting sqref="B71">
    <cfRule type="cellIs" dxfId="20111" priority="8679" stopIfTrue="1" operator="equal">
      <formula>"Towel"</formula>
    </cfRule>
    <cfRule type="cellIs" dxfId="20110" priority="8680" stopIfTrue="1" operator="equal">
      <formula>"Napkin Hs"</formula>
    </cfRule>
  </conditionalFormatting>
  <conditionalFormatting sqref="B71:C71">
    <cfRule type="cellIs" dxfId="20109" priority="8665" stopIfTrue="1" operator="equal">
      <formula>"Towel"</formula>
    </cfRule>
    <cfRule type="cellIs" dxfId="20108" priority="8666" stopIfTrue="1" operator="equal">
      <formula>"Napkin Hs"</formula>
    </cfRule>
    <cfRule type="cellIs" dxfId="20107" priority="8671" stopIfTrue="1" operator="equal">
      <formula>"Towel"</formula>
    </cfRule>
    <cfRule type="cellIs" dxfId="20106" priority="8672" stopIfTrue="1" operator="equal">
      <formula>"Napkin Hs"</formula>
    </cfRule>
    <cfRule type="cellIs" dxfId="20105" priority="8677" stopIfTrue="1" operator="equal">
      <formula>"Towel"</formula>
    </cfRule>
    <cfRule type="cellIs" dxfId="20104" priority="8678" stopIfTrue="1" operator="equal">
      <formula>"Napkin Hs"</formula>
    </cfRule>
  </conditionalFormatting>
  <conditionalFormatting sqref="C71">
    <cfRule type="cellIs" dxfId="20103" priority="8659" stopIfTrue="1" operator="equal">
      <formula>"Towel"</formula>
    </cfRule>
    <cfRule type="cellIs" dxfId="20102" priority="8660" stopIfTrue="1" operator="equal">
      <formula>"Napkin Hs"</formula>
    </cfRule>
    <cfRule type="cellIs" dxfId="20101" priority="8661" stopIfTrue="1" operator="equal">
      <formula>"Towel"</formula>
    </cfRule>
    <cfRule type="cellIs" dxfId="20100" priority="8662" stopIfTrue="1" operator="equal">
      <formula>"Napkin Hs"</formula>
    </cfRule>
    <cfRule type="cellIs" dxfId="20099" priority="8669" stopIfTrue="1" operator="equal">
      <formula>"Towel"</formula>
    </cfRule>
    <cfRule type="cellIs" dxfId="20098" priority="8670" stopIfTrue="1" operator="equal">
      <formula>"Napkin Hs"</formula>
    </cfRule>
    <cfRule type="cellIs" dxfId="20097" priority="8673" stopIfTrue="1" operator="equal">
      <formula>"Towel"</formula>
    </cfRule>
    <cfRule type="cellIs" dxfId="20096" priority="8674" stopIfTrue="1" operator="equal">
      <formula>"Napkin Hs"</formula>
    </cfRule>
  </conditionalFormatting>
  <conditionalFormatting sqref="C71">
    <cfRule type="cellIs" dxfId="20095" priority="8663" stopIfTrue="1" operator="equal">
      <formula>"Towel"</formula>
    </cfRule>
    <cfRule type="cellIs" dxfId="20094" priority="8664" stopIfTrue="1" operator="equal">
      <formula>"Napkin Hs"</formula>
    </cfRule>
    <cfRule type="cellIs" dxfId="20093" priority="8667" stopIfTrue="1" operator="equal">
      <formula>"Towel"</formula>
    </cfRule>
    <cfRule type="cellIs" dxfId="20092" priority="8668" stopIfTrue="1" operator="equal">
      <formula>"Napkin Hs"</formula>
    </cfRule>
    <cfRule type="cellIs" dxfId="20091" priority="8675" stopIfTrue="1" operator="equal">
      <formula>"Towel"</formula>
    </cfRule>
    <cfRule type="cellIs" dxfId="20090" priority="8676" stopIfTrue="1" operator="equal">
      <formula>"Napkin Hs"</formula>
    </cfRule>
  </conditionalFormatting>
  <conditionalFormatting sqref="B71:C71">
    <cfRule type="cellIs" dxfId="20089" priority="8657" stopIfTrue="1" operator="equal">
      <formula>"Towel"</formula>
    </cfRule>
    <cfRule type="cellIs" dxfId="20088" priority="8658" stopIfTrue="1" operator="equal">
      <formula>"Napkin Hs"</formula>
    </cfRule>
  </conditionalFormatting>
  <conditionalFormatting sqref="B71:C71">
    <cfRule type="cellIs" dxfId="20087" priority="8649" stopIfTrue="1" operator="equal">
      <formula>"Towel"</formula>
    </cfRule>
    <cfRule type="cellIs" dxfId="20086" priority="8650" stopIfTrue="1" operator="equal">
      <formula>"Napkin Hs"</formula>
    </cfRule>
    <cfRule type="cellIs" dxfId="20085" priority="8655" stopIfTrue="1" operator="equal">
      <formula>"Towel"</formula>
    </cfRule>
    <cfRule type="cellIs" dxfId="20084" priority="8656" stopIfTrue="1" operator="equal">
      <formula>"Napkin Hs"</formula>
    </cfRule>
  </conditionalFormatting>
  <conditionalFormatting sqref="C71">
    <cfRule type="cellIs" dxfId="20083" priority="8645" stopIfTrue="1" operator="equal">
      <formula>"Towel"</formula>
    </cfRule>
    <cfRule type="cellIs" dxfId="20082" priority="8646" stopIfTrue="1" operator="equal">
      <formula>"Napkin Hs"</formula>
    </cfRule>
  </conditionalFormatting>
  <conditionalFormatting sqref="C71">
    <cfRule type="cellIs" dxfId="20081" priority="8643" stopIfTrue="1" operator="equal">
      <formula>"Towel"</formula>
    </cfRule>
    <cfRule type="cellIs" dxfId="20080" priority="8644" stopIfTrue="1" operator="equal">
      <formula>"Napkin Hs"</formula>
    </cfRule>
    <cfRule type="cellIs" dxfId="20079" priority="8653" stopIfTrue="1" operator="equal">
      <formula>"Towel"</formula>
    </cfRule>
    <cfRule type="cellIs" dxfId="20078" priority="8654" stopIfTrue="1" operator="equal">
      <formula>"Napkin Hs"</formula>
    </cfRule>
  </conditionalFormatting>
  <conditionalFormatting sqref="C71">
    <cfRule type="cellIs" dxfId="20077" priority="8647" stopIfTrue="1" operator="equal">
      <formula>"Towel"</formula>
    </cfRule>
    <cfRule type="cellIs" dxfId="20076" priority="8648" stopIfTrue="1" operator="equal">
      <formula>"Napkin Hs"</formula>
    </cfRule>
    <cfRule type="cellIs" dxfId="20075" priority="8651" stopIfTrue="1" operator="equal">
      <formula>"Towel"</formula>
    </cfRule>
    <cfRule type="cellIs" dxfId="20074" priority="8652" stopIfTrue="1" operator="equal">
      <formula>"Napkin Hs"</formula>
    </cfRule>
  </conditionalFormatting>
  <conditionalFormatting sqref="C71">
    <cfRule type="cellIs" dxfId="20073" priority="8642" stopIfTrue="1" operator="equal">
      <formula>"Napkin Hs"</formula>
    </cfRule>
  </conditionalFormatting>
  <conditionalFormatting sqref="C71">
    <cfRule type="cellIs" dxfId="20072" priority="8641" stopIfTrue="1" operator="equal">
      <formula>"Towel"</formula>
    </cfRule>
  </conditionalFormatting>
  <conditionalFormatting sqref="C71">
    <cfRule type="cellIs" dxfId="20071" priority="8637" stopIfTrue="1" operator="equal">
      <formula>"Towel"</formula>
    </cfRule>
    <cfRule type="cellIs" dxfId="20070" priority="8638" stopIfTrue="1" operator="equal">
      <formula>"Napkin Hs"</formula>
    </cfRule>
    <cfRule type="cellIs" dxfId="20069" priority="8639" stopIfTrue="1" operator="equal">
      <formula>"Towel"</formula>
    </cfRule>
    <cfRule type="cellIs" dxfId="20068" priority="8640" stopIfTrue="1" operator="equal">
      <formula>"Napkin Hs"</formula>
    </cfRule>
  </conditionalFormatting>
  <conditionalFormatting sqref="B71:C71">
    <cfRule type="cellIs" dxfId="20067" priority="8635" stopIfTrue="1" operator="equal">
      <formula>"Towel"</formula>
    </cfRule>
    <cfRule type="cellIs" dxfId="20066" priority="8636" stopIfTrue="1" operator="equal">
      <formula>"Napkin Hs"</formula>
    </cfRule>
  </conditionalFormatting>
  <conditionalFormatting sqref="C71">
    <cfRule type="cellIs" dxfId="20065" priority="8631" stopIfTrue="1" operator="equal">
      <formula>"Towel"</formula>
    </cfRule>
    <cfRule type="cellIs" dxfId="20064" priority="8632" stopIfTrue="1" operator="equal">
      <formula>"Napkin Hs"</formula>
    </cfRule>
  </conditionalFormatting>
  <conditionalFormatting sqref="C71">
    <cfRule type="cellIs" dxfId="20063" priority="8633" stopIfTrue="1" operator="equal">
      <formula>"Towel"</formula>
    </cfRule>
    <cfRule type="cellIs" dxfId="20062" priority="8634" stopIfTrue="1" operator="equal">
      <formula>"Napkin Hs"</formula>
    </cfRule>
  </conditionalFormatting>
  <conditionalFormatting sqref="B71:C71">
    <cfRule type="cellIs" dxfId="20061" priority="8629" stopIfTrue="1" operator="equal">
      <formula>"Towel"</formula>
    </cfRule>
    <cfRule type="cellIs" dxfId="20060" priority="8630" stopIfTrue="1" operator="equal">
      <formula>"Napkin Hs"</formula>
    </cfRule>
  </conditionalFormatting>
  <conditionalFormatting sqref="C71">
    <cfRule type="cellIs" dxfId="20059" priority="8625" stopIfTrue="1" operator="equal">
      <formula>"Towel"</formula>
    </cfRule>
    <cfRule type="cellIs" dxfId="20058" priority="8626" stopIfTrue="1" operator="equal">
      <formula>"Napkin Hs"</formula>
    </cfRule>
  </conditionalFormatting>
  <conditionalFormatting sqref="C71">
    <cfRule type="cellIs" dxfId="20057" priority="8627" stopIfTrue="1" operator="equal">
      <formula>"Towel"</formula>
    </cfRule>
    <cfRule type="cellIs" dxfId="20056" priority="8628" stopIfTrue="1" operator="equal">
      <formula>"Napkin Hs"</formula>
    </cfRule>
  </conditionalFormatting>
  <conditionalFormatting sqref="B71:C71">
    <cfRule type="cellIs" dxfId="20055" priority="8623" stopIfTrue="1" operator="equal">
      <formula>"Towel"</formula>
    </cfRule>
    <cfRule type="cellIs" dxfId="20054" priority="8624" stopIfTrue="1" operator="equal">
      <formula>"Napkin Hs"</formula>
    </cfRule>
  </conditionalFormatting>
  <conditionalFormatting sqref="C71">
    <cfRule type="cellIs" dxfId="20053" priority="8619" stopIfTrue="1" operator="equal">
      <formula>"Towel"</formula>
    </cfRule>
    <cfRule type="cellIs" dxfId="20052" priority="8620" stopIfTrue="1" operator="equal">
      <formula>"Napkin Hs"</formula>
    </cfRule>
  </conditionalFormatting>
  <conditionalFormatting sqref="C71">
    <cfRule type="cellIs" dxfId="20051" priority="8621" stopIfTrue="1" operator="equal">
      <formula>"Towel"</formula>
    </cfRule>
    <cfRule type="cellIs" dxfId="20050" priority="8622" stopIfTrue="1" operator="equal">
      <formula>"Napkin Hs"</formula>
    </cfRule>
  </conditionalFormatting>
  <conditionalFormatting sqref="B71:C71">
    <cfRule type="cellIs" dxfId="20049" priority="8617" stopIfTrue="1" operator="equal">
      <formula>"Towel"</formula>
    </cfRule>
    <cfRule type="cellIs" dxfId="20048" priority="8618" stopIfTrue="1" operator="equal">
      <formula>"Napkin Hs"</formula>
    </cfRule>
  </conditionalFormatting>
  <conditionalFormatting sqref="C71">
    <cfRule type="cellIs" dxfId="20047" priority="8615" stopIfTrue="1" operator="equal">
      <formula>"Towel"</formula>
    </cfRule>
    <cfRule type="cellIs" dxfId="20046" priority="8616" stopIfTrue="1" operator="equal">
      <formula>"Napkin Hs"</formula>
    </cfRule>
  </conditionalFormatting>
  <conditionalFormatting sqref="C71">
    <cfRule type="cellIs" dxfId="20045" priority="8613" stopIfTrue="1" operator="equal">
      <formula>"Towel"</formula>
    </cfRule>
    <cfRule type="cellIs" dxfId="20044" priority="8614" stopIfTrue="1" operator="equal">
      <formula>"Napkin Hs"</formula>
    </cfRule>
  </conditionalFormatting>
  <conditionalFormatting sqref="B71:C71">
    <cfRule type="cellIs" dxfId="20043" priority="8611" stopIfTrue="1" operator="equal">
      <formula>"Towel"</formula>
    </cfRule>
    <cfRule type="cellIs" dxfId="20042" priority="8612" stopIfTrue="1" operator="equal">
      <formula>"Napkin Hs"</formula>
    </cfRule>
  </conditionalFormatting>
  <conditionalFormatting sqref="C71">
    <cfRule type="cellIs" dxfId="20041" priority="8610" stopIfTrue="1" operator="equal">
      <formula>"Napkin Hs"</formula>
    </cfRule>
  </conditionalFormatting>
  <conditionalFormatting sqref="C71">
    <cfRule type="cellIs" dxfId="20040" priority="8607" stopIfTrue="1" operator="equal">
      <formula>"Towel"</formula>
    </cfRule>
    <cfRule type="cellIs" dxfId="20039" priority="8608" stopIfTrue="1" operator="equal">
      <formula>"Napkin Hs"</formula>
    </cfRule>
  </conditionalFormatting>
  <conditionalFormatting sqref="C71">
    <cfRule type="cellIs" dxfId="20038" priority="8609" stopIfTrue="1" operator="equal">
      <formula>"Towel"</formula>
    </cfRule>
  </conditionalFormatting>
  <conditionalFormatting sqref="B75:C76">
    <cfRule type="cellIs" dxfId="20037" priority="8605" stopIfTrue="1" operator="equal">
      <formula>"Towel"</formula>
    </cfRule>
    <cfRule type="cellIs" dxfId="20036" priority="8606" stopIfTrue="1" operator="equal">
      <formula>"Napkin Hs"</formula>
    </cfRule>
  </conditionalFormatting>
  <conditionalFormatting sqref="B77:C77">
    <cfRule type="cellIs" dxfId="20035" priority="8557" stopIfTrue="1" operator="equal">
      <formula>"Towel"</formula>
    </cfRule>
    <cfRule type="cellIs" dxfId="20034" priority="8558" stopIfTrue="1" operator="equal">
      <formula>"Napkin Hs"</formula>
    </cfRule>
    <cfRule type="cellIs" dxfId="20033" priority="8563" stopIfTrue="1" operator="equal">
      <formula>"Towel"</formula>
    </cfRule>
    <cfRule type="cellIs" dxfId="20032" priority="8564" stopIfTrue="1" operator="equal">
      <formula>"Napkin Hs"</formula>
    </cfRule>
    <cfRule type="cellIs" dxfId="20031" priority="8569" stopIfTrue="1" operator="equal">
      <formula>"Towel"</formula>
    </cfRule>
    <cfRule type="cellIs" dxfId="20030" priority="8570" stopIfTrue="1" operator="equal">
      <formula>"Napkin Hs"</formula>
    </cfRule>
    <cfRule type="cellIs" dxfId="20029" priority="8575" stopIfTrue="1" operator="equal">
      <formula>"Towel"</formula>
    </cfRule>
    <cfRule type="cellIs" dxfId="20028" priority="8576" stopIfTrue="1" operator="equal">
      <formula>"Napkin Hs"</formula>
    </cfRule>
    <cfRule type="cellIs" dxfId="20027" priority="8581" stopIfTrue="1" operator="equal">
      <formula>"Towel"</formula>
    </cfRule>
    <cfRule type="cellIs" dxfId="20026" priority="8582" stopIfTrue="1" operator="equal">
      <formula>"Napkin Hs"</formula>
    </cfRule>
    <cfRule type="cellIs" dxfId="20025" priority="8587" stopIfTrue="1" operator="equal">
      <formula>"Towel"</formula>
    </cfRule>
    <cfRule type="cellIs" dxfId="20024" priority="8588" stopIfTrue="1" operator="equal">
      <formula>"Napkin Hs"</formula>
    </cfRule>
    <cfRule type="cellIs" dxfId="20023" priority="8593" stopIfTrue="1" operator="equal">
      <formula>"Towel"</formula>
    </cfRule>
    <cfRule type="cellIs" dxfId="20022" priority="8594" stopIfTrue="1" operator="equal">
      <formula>"Napkin Hs"</formula>
    </cfRule>
    <cfRule type="cellIs" dxfId="20021" priority="8599" stopIfTrue="1" operator="equal">
      <formula>"Towel"</formula>
    </cfRule>
    <cfRule type="cellIs" dxfId="20020" priority="8600" stopIfTrue="1" operator="equal">
      <formula>"Napkin Hs"</formula>
    </cfRule>
  </conditionalFormatting>
  <conditionalFormatting sqref="C75:C76">
    <cfRule type="cellIs" dxfId="20019" priority="8601" stopIfTrue="1" operator="equal">
      <formula>"Towel"</formula>
    </cfRule>
    <cfRule type="cellIs" dxfId="20018" priority="8602" stopIfTrue="1" operator="equal">
      <formula>"Napkin Hs"</formula>
    </cfRule>
  </conditionalFormatting>
  <conditionalFormatting sqref="C75:C76">
    <cfRule type="cellIs" dxfId="20017" priority="8603" stopIfTrue="1" operator="equal">
      <formula>"Towel"</formula>
    </cfRule>
    <cfRule type="cellIs" dxfId="20016" priority="8604" stopIfTrue="1" operator="equal">
      <formula>"Napkin Hs"</formula>
    </cfRule>
  </conditionalFormatting>
  <conditionalFormatting sqref="C77">
    <cfRule type="cellIs" dxfId="20015" priority="8551" stopIfTrue="1" operator="equal">
      <formula>"Towel"</formula>
    </cfRule>
    <cfRule type="cellIs" dxfId="20014" priority="8552" stopIfTrue="1" operator="equal">
      <formula>"Napkin Hs"</formula>
    </cfRule>
  </conditionalFormatting>
  <conditionalFormatting sqref="C77">
    <cfRule type="cellIs" dxfId="20013" priority="8555" stopIfTrue="1" operator="equal">
      <formula>"Towel"</formula>
    </cfRule>
    <cfRule type="cellIs" dxfId="20012" priority="8556" stopIfTrue="1" operator="equal">
      <formula>"Napkin Hs"</formula>
    </cfRule>
    <cfRule type="cellIs" dxfId="20011" priority="8559" stopIfTrue="1" operator="equal">
      <formula>"Towel"</formula>
    </cfRule>
    <cfRule type="cellIs" dxfId="20010" priority="8560" stopIfTrue="1" operator="equal">
      <formula>"Napkin Hs"</formula>
    </cfRule>
    <cfRule type="cellIs" dxfId="20009" priority="8561" stopIfTrue="1" operator="equal">
      <formula>"Towel"</formula>
    </cfRule>
    <cfRule type="cellIs" dxfId="20008" priority="8562" stopIfTrue="1" operator="equal">
      <formula>"Napkin Hs"</formula>
    </cfRule>
    <cfRule type="cellIs" dxfId="20007" priority="8565" stopIfTrue="1" operator="equal">
      <formula>"Towel"</formula>
    </cfRule>
    <cfRule type="cellIs" dxfId="20006" priority="8566" stopIfTrue="1" operator="equal">
      <formula>"Napkin Hs"</formula>
    </cfRule>
    <cfRule type="cellIs" dxfId="20005" priority="8567" stopIfTrue="1" operator="equal">
      <formula>"Towel"</formula>
    </cfRule>
    <cfRule type="cellIs" dxfId="20004" priority="8568" stopIfTrue="1" operator="equal">
      <formula>"Napkin Hs"</formula>
    </cfRule>
    <cfRule type="cellIs" dxfId="20003" priority="8571" stopIfTrue="1" operator="equal">
      <formula>"Towel"</formula>
    </cfRule>
    <cfRule type="cellIs" dxfId="20002" priority="8572" stopIfTrue="1" operator="equal">
      <formula>"Napkin Hs"</formula>
    </cfRule>
    <cfRule type="cellIs" dxfId="20001" priority="8573" stopIfTrue="1" operator="equal">
      <formula>"Towel"</formula>
    </cfRule>
    <cfRule type="cellIs" dxfId="20000" priority="8574" stopIfTrue="1" operator="equal">
      <formula>"Napkin Hs"</formula>
    </cfRule>
    <cfRule type="cellIs" dxfId="19999" priority="8577" stopIfTrue="1" operator="equal">
      <formula>"Towel"</formula>
    </cfRule>
    <cfRule type="cellIs" dxfId="19998" priority="8578" stopIfTrue="1" operator="equal">
      <formula>"Napkin Hs"</formula>
    </cfRule>
    <cfRule type="cellIs" dxfId="19997" priority="8579" stopIfTrue="1" operator="equal">
      <formula>"Towel"</formula>
    </cfRule>
    <cfRule type="cellIs" dxfId="19996" priority="8580" stopIfTrue="1" operator="equal">
      <formula>"Napkin Hs"</formula>
    </cfRule>
    <cfRule type="cellIs" dxfId="19995" priority="8583" stopIfTrue="1" operator="equal">
      <formula>"Towel"</formula>
    </cfRule>
    <cfRule type="cellIs" dxfId="19994" priority="8584" stopIfTrue="1" operator="equal">
      <formula>"Napkin Hs"</formula>
    </cfRule>
    <cfRule type="cellIs" dxfId="19993" priority="8585" stopIfTrue="1" operator="equal">
      <formula>"Towel"</formula>
    </cfRule>
    <cfRule type="cellIs" dxfId="19992" priority="8586" stopIfTrue="1" operator="equal">
      <formula>"Napkin Hs"</formula>
    </cfRule>
    <cfRule type="cellIs" dxfId="19991" priority="8589" stopIfTrue="1" operator="equal">
      <formula>"Towel"</formula>
    </cfRule>
    <cfRule type="cellIs" dxfId="19990" priority="8590" stopIfTrue="1" operator="equal">
      <formula>"Napkin Hs"</formula>
    </cfRule>
  </conditionalFormatting>
  <conditionalFormatting sqref="C77">
    <cfRule type="cellIs" dxfId="19989" priority="8591" stopIfTrue="1" operator="equal">
      <formula>"Towel"</formula>
    </cfRule>
    <cfRule type="cellIs" dxfId="19988" priority="8592" stopIfTrue="1" operator="equal">
      <formula>"Napkin Hs"</formula>
    </cfRule>
    <cfRule type="cellIs" dxfId="19987" priority="8595" stopIfTrue="1" operator="equal">
      <formula>"Towel"</formula>
    </cfRule>
    <cfRule type="cellIs" dxfId="19986" priority="8596" stopIfTrue="1" operator="equal">
      <formula>"Napkin Hs"</formula>
    </cfRule>
    <cfRule type="cellIs" dxfId="19985" priority="8597" stopIfTrue="1" operator="equal">
      <formula>"Towel"</formula>
    </cfRule>
    <cfRule type="cellIs" dxfId="19984" priority="8598" stopIfTrue="1" operator="equal">
      <formula>"Napkin Hs"</formula>
    </cfRule>
  </conditionalFormatting>
  <conditionalFormatting sqref="B75:C76">
    <cfRule type="cellIs" dxfId="19983" priority="8417" stopIfTrue="1" operator="equal">
      <formula>"Towel"</formula>
    </cfRule>
    <cfRule type="cellIs" dxfId="19982" priority="8418" stopIfTrue="1" operator="equal">
      <formula>"Napkin Hs"</formula>
    </cfRule>
    <cfRule type="cellIs" dxfId="19981" priority="8423" stopIfTrue="1" operator="equal">
      <formula>"Towel"</formula>
    </cfRule>
    <cfRule type="cellIs" dxfId="19980" priority="8424" stopIfTrue="1" operator="equal">
      <formula>"Napkin Hs"</formula>
    </cfRule>
    <cfRule type="cellIs" dxfId="19979" priority="8429" stopIfTrue="1" operator="equal">
      <formula>"Towel"</formula>
    </cfRule>
    <cfRule type="cellIs" dxfId="19978" priority="8430" stopIfTrue="1" operator="equal">
      <formula>"Napkin Hs"</formula>
    </cfRule>
    <cfRule type="cellIs" dxfId="19977" priority="8435" stopIfTrue="1" operator="equal">
      <formula>"Towel"</formula>
    </cfRule>
    <cfRule type="cellIs" dxfId="19976" priority="8436" stopIfTrue="1" operator="equal">
      <formula>"Napkin Hs"</formula>
    </cfRule>
    <cfRule type="cellIs" dxfId="19975" priority="8441" stopIfTrue="1" operator="equal">
      <formula>"Towel"</formula>
    </cfRule>
    <cfRule type="cellIs" dxfId="19974" priority="8442" stopIfTrue="1" operator="equal">
      <formula>"Napkin Hs"</formula>
    </cfRule>
    <cfRule type="cellIs" dxfId="19973" priority="8447" stopIfTrue="1" operator="equal">
      <formula>"Towel"</formula>
    </cfRule>
    <cfRule type="cellIs" dxfId="19972" priority="8448" stopIfTrue="1" operator="equal">
      <formula>"Napkin Hs"</formula>
    </cfRule>
    <cfRule type="cellIs" dxfId="19971" priority="8453" stopIfTrue="1" operator="equal">
      <formula>"Towel"</formula>
    </cfRule>
    <cfRule type="cellIs" dxfId="19970" priority="8454" stopIfTrue="1" operator="equal">
      <formula>"Napkin Hs"</formula>
    </cfRule>
    <cfRule type="cellIs" dxfId="19969" priority="8459" stopIfTrue="1" operator="equal">
      <formula>"Towel"</formula>
    </cfRule>
    <cfRule type="cellIs" dxfId="19968" priority="8460" stopIfTrue="1" operator="equal">
      <formula>"Napkin Hs"</formula>
    </cfRule>
  </conditionalFormatting>
  <conditionalFormatting sqref="C75:C76">
    <cfRule type="cellIs" dxfId="19967" priority="8413" stopIfTrue="1" operator="equal">
      <formula>"Towel"</formula>
    </cfRule>
    <cfRule type="cellIs" dxfId="19966" priority="8414" stopIfTrue="1" operator="equal">
      <formula>"Napkin Hs"</formula>
    </cfRule>
    <cfRule type="cellIs" dxfId="19965" priority="8415" stopIfTrue="1" operator="equal">
      <formula>"Towel"</formula>
    </cfRule>
    <cfRule type="cellIs" dxfId="19964" priority="8416" stopIfTrue="1" operator="equal">
      <formula>"Napkin Hs"</formula>
    </cfRule>
    <cfRule type="cellIs" dxfId="19963" priority="8419" stopIfTrue="1" operator="equal">
      <formula>"Towel"</formula>
    </cfRule>
    <cfRule type="cellIs" dxfId="19962" priority="8420" stopIfTrue="1" operator="equal">
      <formula>"Napkin Hs"</formula>
    </cfRule>
    <cfRule type="cellIs" dxfId="19961" priority="8421" stopIfTrue="1" operator="equal">
      <formula>"Towel"</formula>
    </cfRule>
    <cfRule type="cellIs" dxfId="19960" priority="8422" stopIfTrue="1" operator="equal">
      <formula>"Napkin Hs"</formula>
    </cfRule>
    <cfRule type="cellIs" dxfId="19959" priority="8425" stopIfTrue="1" operator="equal">
      <formula>"Towel"</formula>
    </cfRule>
    <cfRule type="cellIs" dxfId="19958" priority="8426" stopIfTrue="1" operator="equal">
      <formula>"Napkin Hs"</formula>
    </cfRule>
    <cfRule type="cellIs" dxfId="19957" priority="8427" stopIfTrue="1" operator="equal">
      <formula>"Towel"</formula>
    </cfRule>
    <cfRule type="cellIs" dxfId="19956" priority="8428" stopIfTrue="1" operator="equal">
      <formula>"Napkin Hs"</formula>
    </cfRule>
    <cfRule type="cellIs" dxfId="19955" priority="8431" stopIfTrue="1" operator="equal">
      <formula>"Towel"</formula>
    </cfRule>
    <cfRule type="cellIs" dxfId="19954" priority="8432" stopIfTrue="1" operator="equal">
      <formula>"Napkin Hs"</formula>
    </cfRule>
    <cfRule type="cellIs" dxfId="19953" priority="8433" stopIfTrue="1" operator="equal">
      <formula>"Towel"</formula>
    </cfRule>
    <cfRule type="cellIs" dxfId="19952" priority="8434" stopIfTrue="1" operator="equal">
      <formula>"Napkin Hs"</formula>
    </cfRule>
    <cfRule type="cellIs" dxfId="19951" priority="8437" stopIfTrue="1" operator="equal">
      <formula>"Towel"</formula>
    </cfRule>
    <cfRule type="cellIs" dxfId="19950" priority="8438" stopIfTrue="1" operator="equal">
      <formula>"Napkin Hs"</formula>
    </cfRule>
    <cfRule type="cellIs" dxfId="19949" priority="8439" stopIfTrue="1" operator="equal">
      <formula>"Towel"</formula>
    </cfRule>
    <cfRule type="cellIs" dxfId="19948" priority="8440" stopIfTrue="1" operator="equal">
      <formula>"Napkin Hs"</formula>
    </cfRule>
    <cfRule type="cellIs" dxfId="19947" priority="8443" stopIfTrue="1" operator="equal">
      <formula>"Towel"</formula>
    </cfRule>
    <cfRule type="cellIs" dxfId="19946" priority="8444" stopIfTrue="1" operator="equal">
      <formula>"Napkin Hs"</formula>
    </cfRule>
    <cfRule type="cellIs" dxfId="19945" priority="8445" stopIfTrue="1" operator="equal">
      <formula>"Towel"</formula>
    </cfRule>
    <cfRule type="cellIs" dxfId="19944" priority="8446" stopIfTrue="1" operator="equal">
      <formula>"Napkin Hs"</formula>
    </cfRule>
    <cfRule type="cellIs" dxfId="19943" priority="8449" stopIfTrue="1" operator="equal">
      <formula>"Towel"</formula>
    </cfRule>
    <cfRule type="cellIs" dxfId="19942" priority="8450" stopIfTrue="1" operator="equal">
      <formula>"Napkin Hs"</formula>
    </cfRule>
    <cfRule type="cellIs" dxfId="19941" priority="8451" stopIfTrue="1" operator="equal">
      <formula>"Towel"</formula>
    </cfRule>
    <cfRule type="cellIs" dxfId="19940" priority="8452" stopIfTrue="1" operator="equal">
      <formula>"Napkin Hs"</formula>
    </cfRule>
    <cfRule type="cellIs" dxfId="19939" priority="8455" stopIfTrue="1" operator="equal">
      <formula>"Towel"</formula>
    </cfRule>
    <cfRule type="cellIs" dxfId="19938" priority="8456" stopIfTrue="1" operator="equal">
      <formula>"Napkin Hs"</formula>
    </cfRule>
  </conditionalFormatting>
  <conditionalFormatting sqref="C75:C76">
    <cfRule type="cellIs" dxfId="19937" priority="8457" stopIfTrue="1" operator="equal">
      <formula>"Towel"</formula>
    </cfRule>
    <cfRule type="cellIs" dxfId="19936" priority="8458" stopIfTrue="1" operator="equal">
      <formula>"Napkin Hs"</formula>
    </cfRule>
  </conditionalFormatting>
  <conditionalFormatting sqref="B75:C76">
    <cfRule type="cellIs" dxfId="19935" priority="8293" stopIfTrue="1" operator="equal">
      <formula>"Towel"</formula>
    </cfRule>
    <cfRule type="cellIs" dxfId="19934" priority="8294" stopIfTrue="1" operator="equal">
      <formula>"Napkin Hs"</formula>
    </cfRule>
    <cfRule type="cellIs" dxfId="19933" priority="8299" stopIfTrue="1" operator="equal">
      <formula>"Towel"</formula>
    </cfRule>
    <cfRule type="cellIs" dxfId="19932" priority="8300" stopIfTrue="1" operator="equal">
      <formula>"Napkin Hs"</formula>
    </cfRule>
    <cfRule type="cellIs" dxfId="19931" priority="8305" stopIfTrue="1" operator="equal">
      <formula>"Towel"</formula>
    </cfRule>
    <cfRule type="cellIs" dxfId="19930" priority="8306" stopIfTrue="1" operator="equal">
      <formula>"Napkin Hs"</formula>
    </cfRule>
    <cfRule type="cellIs" dxfId="19929" priority="8311" stopIfTrue="1" operator="equal">
      <formula>"Towel"</formula>
    </cfRule>
    <cfRule type="cellIs" dxfId="19928" priority="8312" stopIfTrue="1" operator="equal">
      <formula>"Napkin Hs"</formula>
    </cfRule>
    <cfRule type="cellIs" dxfId="19927" priority="8317" stopIfTrue="1" operator="equal">
      <formula>"Towel"</formula>
    </cfRule>
    <cfRule type="cellIs" dxfId="19926" priority="8318" stopIfTrue="1" operator="equal">
      <formula>"Napkin Hs"</formula>
    </cfRule>
    <cfRule type="cellIs" dxfId="19925" priority="8323" stopIfTrue="1" operator="equal">
      <formula>"Towel"</formula>
    </cfRule>
    <cfRule type="cellIs" dxfId="19924" priority="8324" stopIfTrue="1" operator="equal">
      <formula>"Napkin Hs"</formula>
    </cfRule>
    <cfRule type="cellIs" dxfId="19923" priority="8329" stopIfTrue="1" operator="equal">
      <formula>"Towel"</formula>
    </cfRule>
    <cfRule type="cellIs" dxfId="19922" priority="8330" stopIfTrue="1" operator="equal">
      <formula>"Napkin Hs"</formula>
    </cfRule>
    <cfRule type="cellIs" dxfId="19921" priority="8335" stopIfTrue="1" operator="equal">
      <formula>"Towel"</formula>
    </cfRule>
    <cfRule type="cellIs" dxfId="19920" priority="8336" stopIfTrue="1" operator="equal">
      <formula>"Napkin Hs"</formula>
    </cfRule>
  </conditionalFormatting>
  <conditionalFormatting sqref="B77:C77">
    <cfRule type="cellIs" dxfId="19919" priority="8379" stopIfTrue="1" operator="equal">
      <formula>"Towel"</formula>
    </cfRule>
    <cfRule type="cellIs" dxfId="19918" priority="8380" stopIfTrue="1" operator="equal">
      <formula>"Napkin Hs"</formula>
    </cfRule>
    <cfRule type="cellIs" dxfId="19917" priority="8385" stopIfTrue="1" operator="equal">
      <formula>"Towel"</formula>
    </cfRule>
    <cfRule type="cellIs" dxfId="19916" priority="8386" stopIfTrue="1" operator="equal">
      <formula>"Napkin Hs"</formula>
    </cfRule>
    <cfRule type="cellIs" dxfId="19915" priority="8391" stopIfTrue="1" operator="equal">
      <formula>"Towel"</formula>
    </cfRule>
    <cfRule type="cellIs" dxfId="19914" priority="8392" stopIfTrue="1" operator="equal">
      <formula>"Napkin Hs"</formula>
    </cfRule>
    <cfRule type="cellIs" dxfId="19913" priority="8397" stopIfTrue="1" operator="equal">
      <formula>"Towel"</formula>
    </cfRule>
    <cfRule type="cellIs" dxfId="19912" priority="8398" stopIfTrue="1" operator="equal">
      <formula>"Napkin Hs"</formula>
    </cfRule>
    <cfRule type="cellIs" dxfId="19911" priority="8403" stopIfTrue="1" operator="equal">
      <formula>"Towel"</formula>
    </cfRule>
    <cfRule type="cellIs" dxfId="19910" priority="8404" stopIfTrue="1" operator="equal">
      <formula>"Napkin Hs"</formula>
    </cfRule>
    <cfRule type="cellIs" dxfId="19909" priority="8411" stopIfTrue="1" operator="equal">
      <formula>"Towel"</formula>
    </cfRule>
    <cfRule type="cellIs" dxfId="19908" priority="8412" stopIfTrue="1" operator="equal">
      <formula>"Napkin Hs"</formula>
    </cfRule>
  </conditionalFormatting>
  <conditionalFormatting sqref="C75:C76">
    <cfRule type="cellIs" dxfId="19907" priority="8289" stopIfTrue="1" operator="equal">
      <formula>"Towel"</formula>
    </cfRule>
    <cfRule type="cellIs" dxfId="19906" priority="8290" stopIfTrue="1" operator="equal">
      <formula>"Napkin Hs"</formula>
    </cfRule>
    <cfRule type="cellIs" dxfId="19905" priority="8291" stopIfTrue="1" operator="equal">
      <formula>"Towel"</formula>
    </cfRule>
    <cfRule type="cellIs" dxfId="19904" priority="8292" stopIfTrue="1" operator="equal">
      <formula>"Napkin Hs"</formula>
    </cfRule>
    <cfRule type="cellIs" dxfId="19903" priority="8295" stopIfTrue="1" operator="equal">
      <formula>"Towel"</formula>
    </cfRule>
    <cfRule type="cellIs" dxfId="19902" priority="8296" stopIfTrue="1" operator="equal">
      <formula>"Napkin Hs"</formula>
    </cfRule>
    <cfRule type="cellIs" dxfId="19901" priority="8297" stopIfTrue="1" operator="equal">
      <formula>"Towel"</formula>
    </cfRule>
    <cfRule type="cellIs" dxfId="19900" priority="8298" stopIfTrue="1" operator="equal">
      <formula>"Napkin Hs"</formula>
    </cfRule>
    <cfRule type="cellIs" dxfId="19899" priority="8301" stopIfTrue="1" operator="equal">
      <formula>"Towel"</formula>
    </cfRule>
    <cfRule type="cellIs" dxfId="19898" priority="8302" stopIfTrue="1" operator="equal">
      <formula>"Napkin Hs"</formula>
    </cfRule>
    <cfRule type="cellIs" dxfId="19897" priority="8303" stopIfTrue="1" operator="equal">
      <formula>"Towel"</formula>
    </cfRule>
    <cfRule type="cellIs" dxfId="19896" priority="8304" stopIfTrue="1" operator="equal">
      <formula>"Napkin Hs"</formula>
    </cfRule>
    <cfRule type="cellIs" dxfId="19895" priority="8307" stopIfTrue="1" operator="equal">
      <formula>"Towel"</formula>
    </cfRule>
    <cfRule type="cellIs" dxfId="19894" priority="8308" stopIfTrue="1" operator="equal">
      <formula>"Napkin Hs"</formula>
    </cfRule>
    <cfRule type="cellIs" dxfId="19893" priority="8309" stopIfTrue="1" operator="equal">
      <formula>"Towel"</formula>
    </cfRule>
    <cfRule type="cellIs" dxfId="19892" priority="8310" stopIfTrue="1" operator="equal">
      <formula>"Napkin Hs"</formula>
    </cfRule>
    <cfRule type="cellIs" dxfId="19891" priority="8313" stopIfTrue="1" operator="equal">
      <formula>"Towel"</formula>
    </cfRule>
    <cfRule type="cellIs" dxfId="19890" priority="8314" stopIfTrue="1" operator="equal">
      <formula>"Napkin Hs"</formula>
    </cfRule>
    <cfRule type="cellIs" dxfId="19889" priority="8315" stopIfTrue="1" operator="equal">
      <formula>"Towel"</formula>
    </cfRule>
    <cfRule type="cellIs" dxfId="19888" priority="8316" stopIfTrue="1" operator="equal">
      <formula>"Napkin Hs"</formula>
    </cfRule>
    <cfRule type="cellIs" dxfId="19887" priority="8319" stopIfTrue="1" operator="equal">
      <formula>"Towel"</formula>
    </cfRule>
    <cfRule type="cellIs" dxfId="19886" priority="8320" stopIfTrue="1" operator="equal">
      <formula>"Napkin Hs"</formula>
    </cfRule>
    <cfRule type="cellIs" dxfId="19885" priority="8321" stopIfTrue="1" operator="equal">
      <formula>"Towel"</formula>
    </cfRule>
    <cfRule type="cellIs" dxfId="19884" priority="8322" stopIfTrue="1" operator="equal">
      <formula>"Napkin Hs"</formula>
    </cfRule>
    <cfRule type="cellIs" dxfId="19883" priority="8325" stopIfTrue="1" operator="equal">
      <formula>"Towel"</formula>
    </cfRule>
    <cfRule type="cellIs" dxfId="19882" priority="8326" stopIfTrue="1" operator="equal">
      <formula>"Napkin Hs"</formula>
    </cfRule>
    <cfRule type="cellIs" dxfId="19881" priority="8327" stopIfTrue="1" operator="equal">
      <formula>"Towel"</formula>
    </cfRule>
    <cfRule type="cellIs" dxfId="19880" priority="8328" stopIfTrue="1" operator="equal">
      <formula>"Napkin Hs"</formula>
    </cfRule>
    <cfRule type="cellIs" dxfId="19879" priority="8331" stopIfTrue="1" operator="equal">
      <formula>"Towel"</formula>
    </cfRule>
    <cfRule type="cellIs" dxfId="19878" priority="8332" stopIfTrue="1" operator="equal">
      <formula>"Napkin Hs"</formula>
    </cfRule>
  </conditionalFormatting>
  <conditionalFormatting sqref="C75:C76">
    <cfRule type="cellIs" dxfId="19877" priority="8333" stopIfTrue="1" operator="equal">
      <formula>"Towel"</formula>
    </cfRule>
    <cfRule type="cellIs" dxfId="19876" priority="8334" stopIfTrue="1" operator="equal">
      <formula>"Napkin Hs"</formula>
    </cfRule>
  </conditionalFormatting>
  <conditionalFormatting sqref="C77">
    <cfRule type="cellIs" dxfId="19875" priority="8373" stopIfTrue="1" operator="equal">
      <formula>"Towel"</formula>
    </cfRule>
    <cfRule type="cellIs" dxfId="19874" priority="8374" stopIfTrue="1" operator="equal">
      <formula>"Napkin Hs"</formula>
    </cfRule>
    <cfRule type="cellIs" dxfId="19873" priority="8401" stopIfTrue="1" operator="equal">
      <formula>"Towel"</formula>
    </cfRule>
    <cfRule type="cellIs" dxfId="19872" priority="8402" stopIfTrue="1" operator="equal">
      <formula>"Napkin Hs"</formula>
    </cfRule>
    <cfRule type="cellIs" dxfId="19871" priority="8405" stopIfTrue="1" operator="equal">
      <formula>"Towel"</formula>
    </cfRule>
    <cfRule type="cellIs" dxfId="19870" priority="8406" stopIfTrue="1" operator="equal">
      <formula>"Napkin Hs"</formula>
    </cfRule>
  </conditionalFormatting>
  <conditionalFormatting sqref="C77">
    <cfRule type="cellIs" dxfId="19869" priority="8377" stopIfTrue="1" operator="equal">
      <formula>"Towel"</formula>
    </cfRule>
    <cfRule type="cellIs" dxfId="19868" priority="8378" stopIfTrue="1" operator="equal">
      <formula>"Napkin Hs"</formula>
    </cfRule>
    <cfRule type="cellIs" dxfId="19867" priority="8381" stopIfTrue="1" operator="equal">
      <formula>"Towel"</formula>
    </cfRule>
    <cfRule type="cellIs" dxfId="19866" priority="8382" stopIfTrue="1" operator="equal">
      <formula>"Napkin Hs"</formula>
    </cfRule>
    <cfRule type="cellIs" dxfId="19865" priority="8383" stopIfTrue="1" operator="equal">
      <formula>"Towel"</formula>
    </cfRule>
    <cfRule type="cellIs" dxfId="19864" priority="8384" stopIfTrue="1" operator="equal">
      <formula>"Napkin Hs"</formula>
    </cfRule>
    <cfRule type="cellIs" dxfId="19863" priority="8387" stopIfTrue="1" operator="equal">
      <formula>"Towel"</formula>
    </cfRule>
    <cfRule type="cellIs" dxfId="19862" priority="8388" stopIfTrue="1" operator="equal">
      <formula>"Napkin Hs"</formula>
    </cfRule>
    <cfRule type="cellIs" dxfId="19861" priority="8389" stopIfTrue="1" operator="equal">
      <formula>"Towel"</formula>
    </cfRule>
    <cfRule type="cellIs" dxfId="19860" priority="8390" stopIfTrue="1" operator="equal">
      <formula>"Napkin Hs"</formula>
    </cfRule>
    <cfRule type="cellIs" dxfId="19859" priority="8393" stopIfTrue="1" operator="equal">
      <formula>"Towel"</formula>
    </cfRule>
    <cfRule type="cellIs" dxfId="19858" priority="8394" stopIfTrue="1" operator="equal">
      <formula>"Napkin Hs"</formula>
    </cfRule>
    <cfRule type="cellIs" dxfId="19857" priority="8395" stopIfTrue="1" operator="equal">
      <formula>"Towel"</formula>
    </cfRule>
    <cfRule type="cellIs" dxfId="19856" priority="8396" stopIfTrue="1" operator="equal">
      <formula>"Napkin Hs"</formula>
    </cfRule>
    <cfRule type="cellIs" dxfId="19855" priority="8399" stopIfTrue="1" operator="equal">
      <formula>"Towel"</formula>
    </cfRule>
    <cfRule type="cellIs" dxfId="19854" priority="8400" stopIfTrue="1" operator="equal">
      <formula>"Napkin Hs"</formula>
    </cfRule>
  </conditionalFormatting>
  <conditionalFormatting sqref="C77">
    <cfRule type="cellIs" dxfId="19853" priority="8409" stopIfTrue="1" operator="equal">
      <formula>"Towel"</formula>
    </cfRule>
    <cfRule type="cellIs" dxfId="19852" priority="8410" stopIfTrue="1" operator="equal">
      <formula>"Napkin Hs"</formula>
    </cfRule>
  </conditionalFormatting>
  <conditionalFormatting sqref="B77:C77">
    <cfRule type="cellIs" dxfId="19851" priority="8287" stopIfTrue="1" operator="equal">
      <formula>"Towel"</formula>
    </cfRule>
    <cfRule type="cellIs" dxfId="19850" priority="8288" stopIfTrue="1" operator="equal">
      <formula>"Napkin Hs"</formula>
    </cfRule>
  </conditionalFormatting>
  <conditionalFormatting sqref="C77">
    <cfRule type="cellIs" dxfId="19849" priority="8281" stopIfTrue="1" operator="equal">
      <formula>"Towel"</formula>
    </cfRule>
    <cfRule type="cellIs" dxfId="19848" priority="8282" stopIfTrue="1" operator="equal">
      <formula>"Napkin Hs"</formula>
    </cfRule>
  </conditionalFormatting>
  <conditionalFormatting sqref="C77">
    <cfRule type="cellIs" dxfId="19847" priority="8285" stopIfTrue="1" operator="equal">
      <formula>"Towel"</formula>
    </cfRule>
    <cfRule type="cellIs" dxfId="19846" priority="8286" stopIfTrue="1" operator="equal">
      <formula>"Napkin Hs"</formula>
    </cfRule>
  </conditionalFormatting>
  <conditionalFormatting sqref="B77:C77">
    <cfRule type="cellIs" dxfId="19845" priority="8209" stopIfTrue="1" operator="equal">
      <formula>"Towel"</formula>
    </cfRule>
    <cfRule type="cellIs" dxfId="19844" priority="8210" stopIfTrue="1" operator="equal">
      <formula>"Napkin Hs"</formula>
    </cfRule>
    <cfRule type="cellIs" dxfId="19843" priority="8215" stopIfTrue="1" operator="equal">
      <formula>"Towel"</formula>
    </cfRule>
    <cfRule type="cellIs" dxfId="19842" priority="8216" stopIfTrue="1" operator="equal">
      <formula>"Napkin Hs"</formula>
    </cfRule>
    <cfRule type="cellIs" dxfId="19841" priority="8221" stopIfTrue="1" operator="equal">
      <formula>"Towel"</formula>
    </cfRule>
    <cfRule type="cellIs" dxfId="19840" priority="8222" stopIfTrue="1" operator="equal">
      <formula>"Napkin Hs"</formula>
    </cfRule>
    <cfRule type="cellIs" dxfId="19839" priority="8227" stopIfTrue="1" operator="equal">
      <formula>"Towel"</formula>
    </cfRule>
    <cfRule type="cellIs" dxfId="19838" priority="8228" stopIfTrue="1" operator="equal">
      <formula>"Napkin Hs"</formula>
    </cfRule>
    <cfRule type="cellIs" dxfId="19837" priority="8233" stopIfTrue="1" operator="equal">
      <formula>"Towel"</formula>
    </cfRule>
    <cfRule type="cellIs" dxfId="19836" priority="8234" stopIfTrue="1" operator="equal">
      <formula>"Napkin Hs"</formula>
    </cfRule>
    <cfRule type="cellIs" dxfId="19835" priority="8239" stopIfTrue="1" operator="equal">
      <formula>"Towel"</formula>
    </cfRule>
    <cfRule type="cellIs" dxfId="19834" priority="8240" stopIfTrue="1" operator="equal">
      <formula>"Napkin Hs"</formula>
    </cfRule>
    <cfRule type="cellIs" dxfId="19833" priority="8245" stopIfTrue="1" operator="equal">
      <formula>"Towel"</formula>
    </cfRule>
    <cfRule type="cellIs" dxfId="19832" priority="8246" stopIfTrue="1" operator="equal">
      <formula>"Napkin Hs"</formula>
    </cfRule>
    <cfRule type="cellIs" dxfId="19831" priority="8251" stopIfTrue="1" operator="equal">
      <formula>"Towel"</formula>
    </cfRule>
    <cfRule type="cellIs" dxfId="19830" priority="8252" stopIfTrue="1" operator="equal">
      <formula>"Napkin Hs"</formula>
    </cfRule>
  </conditionalFormatting>
  <conditionalFormatting sqref="C77">
    <cfRule type="cellIs" dxfId="19829" priority="8205" stopIfTrue="1" operator="equal">
      <formula>"Towel"</formula>
    </cfRule>
    <cfRule type="cellIs" dxfId="19828" priority="8206" stopIfTrue="1" operator="equal">
      <formula>"Napkin Hs"</formula>
    </cfRule>
    <cfRule type="cellIs" dxfId="19827" priority="8207" stopIfTrue="1" operator="equal">
      <formula>"Towel"</formula>
    </cfRule>
    <cfRule type="cellIs" dxfId="19826" priority="8208" stopIfTrue="1" operator="equal">
      <formula>"Napkin Hs"</formula>
    </cfRule>
    <cfRule type="cellIs" dxfId="19825" priority="8211" stopIfTrue="1" operator="equal">
      <formula>"Towel"</formula>
    </cfRule>
    <cfRule type="cellIs" dxfId="19824" priority="8212" stopIfTrue="1" operator="equal">
      <formula>"Napkin Hs"</formula>
    </cfRule>
    <cfRule type="cellIs" dxfId="19823" priority="8213" stopIfTrue="1" operator="equal">
      <formula>"Towel"</formula>
    </cfRule>
    <cfRule type="cellIs" dxfId="19822" priority="8214" stopIfTrue="1" operator="equal">
      <formula>"Napkin Hs"</formula>
    </cfRule>
    <cfRule type="cellIs" dxfId="19821" priority="8217" stopIfTrue="1" operator="equal">
      <formula>"Towel"</formula>
    </cfRule>
    <cfRule type="cellIs" dxfId="19820" priority="8218" stopIfTrue="1" operator="equal">
      <formula>"Napkin Hs"</formula>
    </cfRule>
    <cfRule type="cellIs" dxfId="19819" priority="8219" stopIfTrue="1" operator="equal">
      <formula>"Towel"</formula>
    </cfRule>
    <cfRule type="cellIs" dxfId="19818" priority="8220" stopIfTrue="1" operator="equal">
      <formula>"Napkin Hs"</formula>
    </cfRule>
    <cfRule type="cellIs" dxfId="19817" priority="8223" stopIfTrue="1" operator="equal">
      <formula>"Towel"</formula>
    </cfRule>
    <cfRule type="cellIs" dxfId="19816" priority="8224" stopIfTrue="1" operator="equal">
      <formula>"Napkin Hs"</formula>
    </cfRule>
    <cfRule type="cellIs" dxfId="19815" priority="8225" stopIfTrue="1" operator="equal">
      <formula>"Towel"</formula>
    </cfRule>
    <cfRule type="cellIs" dxfId="19814" priority="8226" stopIfTrue="1" operator="equal">
      <formula>"Napkin Hs"</formula>
    </cfRule>
    <cfRule type="cellIs" dxfId="19813" priority="8229" stopIfTrue="1" operator="equal">
      <formula>"Towel"</formula>
    </cfRule>
    <cfRule type="cellIs" dxfId="19812" priority="8230" stopIfTrue="1" operator="equal">
      <formula>"Napkin Hs"</formula>
    </cfRule>
    <cfRule type="cellIs" dxfId="19811" priority="8231" stopIfTrue="1" operator="equal">
      <formula>"Towel"</formula>
    </cfRule>
    <cfRule type="cellIs" dxfId="19810" priority="8232" stopIfTrue="1" operator="equal">
      <formula>"Napkin Hs"</formula>
    </cfRule>
    <cfRule type="cellIs" dxfId="19809" priority="8235" stopIfTrue="1" operator="equal">
      <formula>"Towel"</formula>
    </cfRule>
    <cfRule type="cellIs" dxfId="19808" priority="8236" stopIfTrue="1" operator="equal">
      <formula>"Napkin Hs"</formula>
    </cfRule>
    <cfRule type="cellIs" dxfId="19807" priority="8237" stopIfTrue="1" operator="equal">
      <formula>"Towel"</formula>
    </cfRule>
    <cfRule type="cellIs" dxfId="19806" priority="8238" stopIfTrue="1" operator="equal">
      <formula>"Napkin Hs"</formula>
    </cfRule>
    <cfRule type="cellIs" dxfId="19805" priority="8241" stopIfTrue="1" operator="equal">
      <formula>"Towel"</formula>
    </cfRule>
    <cfRule type="cellIs" dxfId="19804" priority="8242" stopIfTrue="1" operator="equal">
      <formula>"Napkin Hs"</formula>
    </cfRule>
    <cfRule type="cellIs" dxfId="19803" priority="8243" stopIfTrue="1" operator="equal">
      <formula>"Towel"</formula>
    </cfRule>
    <cfRule type="cellIs" dxfId="19802" priority="8244" stopIfTrue="1" operator="equal">
      <formula>"Napkin Hs"</formula>
    </cfRule>
    <cfRule type="cellIs" dxfId="19801" priority="8247" stopIfTrue="1" operator="equal">
      <formula>"Towel"</formula>
    </cfRule>
    <cfRule type="cellIs" dxfId="19800" priority="8248" stopIfTrue="1" operator="equal">
      <formula>"Napkin Hs"</formula>
    </cfRule>
  </conditionalFormatting>
  <conditionalFormatting sqref="C77">
    <cfRule type="cellIs" dxfId="19799" priority="8249" stopIfTrue="1" operator="equal">
      <formula>"Towel"</formula>
    </cfRule>
    <cfRule type="cellIs" dxfId="19798" priority="8250" stopIfTrue="1" operator="equal">
      <formula>"Napkin Hs"</formula>
    </cfRule>
  </conditionalFormatting>
  <conditionalFormatting sqref="B77">
    <cfRule type="cellIs" dxfId="19797" priority="8199" stopIfTrue="1" operator="equal">
      <formula>"Towel"</formula>
    </cfRule>
    <cfRule type="cellIs" dxfId="19796" priority="8200" stopIfTrue="1" operator="equal">
      <formula>"Napkin Hs"</formula>
    </cfRule>
    <cfRule type="cellIs" dxfId="19795" priority="8201" stopIfTrue="1" operator="equal">
      <formula>"Towel"</formula>
    </cfRule>
    <cfRule type="cellIs" dxfId="19794" priority="8202" stopIfTrue="1" operator="equal">
      <formula>"Napkin Hs"</formula>
    </cfRule>
    <cfRule type="cellIs" dxfId="19793" priority="8203" stopIfTrue="1" operator="equal">
      <formula>"Towel"</formula>
    </cfRule>
    <cfRule type="cellIs" dxfId="19792" priority="8204" stopIfTrue="1" operator="equal">
      <formula>"Napkin Hs"</formula>
    </cfRule>
  </conditionalFormatting>
  <conditionalFormatting sqref="B77:C77">
    <cfRule type="cellIs" dxfId="19791" priority="8161" stopIfTrue="1" operator="equal">
      <formula>"Towel"</formula>
    </cfRule>
    <cfRule type="cellIs" dxfId="19790" priority="8162" stopIfTrue="1" operator="equal">
      <formula>"Napkin Hs"</formula>
    </cfRule>
    <cfRule type="cellIs" dxfId="19789" priority="8167" stopIfTrue="1" operator="equal">
      <formula>"Towel"</formula>
    </cfRule>
    <cfRule type="cellIs" dxfId="19788" priority="8168" stopIfTrue="1" operator="equal">
      <formula>"Napkin Hs"</formula>
    </cfRule>
    <cfRule type="cellIs" dxfId="19787" priority="8173" stopIfTrue="1" operator="equal">
      <formula>"Towel"</formula>
    </cfRule>
    <cfRule type="cellIs" dxfId="19786" priority="8174" stopIfTrue="1" operator="equal">
      <formula>"Napkin Hs"</formula>
    </cfRule>
    <cfRule type="cellIs" dxfId="19785" priority="8179" stopIfTrue="1" operator="equal">
      <formula>"Towel"</formula>
    </cfRule>
    <cfRule type="cellIs" dxfId="19784" priority="8180" stopIfTrue="1" operator="equal">
      <formula>"Napkin Hs"</formula>
    </cfRule>
    <cfRule type="cellIs" dxfId="19783" priority="8185" stopIfTrue="1" operator="equal">
      <formula>"Towel"</formula>
    </cfRule>
    <cfRule type="cellIs" dxfId="19782" priority="8186" stopIfTrue="1" operator="equal">
      <formula>"Napkin Hs"</formula>
    </cfRule>
    <cfRule type="cellIs" dxfId="19781" priority="8191" stopIfTrue="1" operator="equal">
      <formula>"Towel"</formula>
    </cfRule>
    <cfRule type="cellIs" dxfId="19780" priority="8192" stopIfTrue="1" operator="equal">
      <formula>"Napkin Hs"</formula>
    </cfRule>
    <cfRule type="cellIs" dxfId="19779" priority="8197" stopIfTrue="1" operator="equal">
      <formula>"Towel"</formula>
    </cfRule>
    <cfRule type="cellIs" dxfId="19778" priority="8198" stopIfTrue="1" operator="equal">
      <formula>"Napkin Hs"</formula>
    </cfRule>
  </conditionalFormatting>
  <conditionalFormatting sqref="C77">
    <cfRule type="cellIs" dxfId="19777" priority="8157" stopIfTrue="1" operator="equal">
      <formula>"Towel"</formula>
    </cfRule>
    <cfRule type="cellIs" dxfId="19776" priority="8158" stopIfTrue="1" operator="equal">
      <formula>"Napkin Hs"</formula>
    </cfRule>
    <cfRule type="cellIs" dxfId="19775" priority="8159" stopIfTrue="1" operator="equal">
      <formula>"Towel"</formula>
    </cfRule>
    <cfRule type="cellIs" dxfId="19774" priority="8160" stopIfTrue="1" operator="equal">
      <formula>"Napkin Hs"</formula>
    </cfRule>
    <cfRule type="cellIs" dxfId="19773" priority="8163" stopIfTrue="1" operator="equal">
      <formula>"Towel"</formula>
    </cfRule>
    <cfRule type="cellIs" dxfId="19772" priority="8164" stopIfTrue="1" operator="equal">
      <formula>"Napkin Hs"</formula>
    </cfRule>
    <cfRule type="cellIs" dxfId="19771" priority="8165" stopIfTrue="1" operator="equal">
      <formula>"Towel"</formula>
    </cfRule>
    <cfRule type="cellIs" dxfId="19770" priority="8166" stopIfTrue="1" operator="equal">
      <formula>"Napkin Hs"</formula>
    </cfRule>
    <cfRule type="cellIs" dxfId="19769" priority="8169" stopIfTrue="1" operator="equal">
      <formula>"Towel"</formula>
    </cfRule>
    <cfRule type="cellIs" dxfId="19768" priority="8170" stopIfTrue="1" operator="equal">
      <formula>"Napkin Hs"</formula>
    </cfRule>
    <cfRule type="cellIs" dxfId="19767" priority="8171" stopIfTrue="1" operator="equal">
      <formula>"Towel"</formula>
    </cfRule>
    <cfRule type="cellIs" dxfId="19766" priority="8172" stopIfTrue="1" operator="equal">
      <formula>"Napkin Hs"</formula>
    </cfRule>
    <cfRule type="cellIs" dxfId="19765" priority="8175" stopIfTrue="1" operator="equal">
      <formula>"Towel"</formula>
    </cfRule>
    <cfRule type="cellIs" dxfId="19764" priority="8176" stopIfTrue="1" operator="equal">
      <formula>"Napkin Hs"</formula>
    </cfRule>
    <cfRule type="cellIs" dxfId="19763" priority="8177" stopIfTrue="1" operator="equal">
      <formula>"Towel"</formula>
    </cfRule>
    <cfRule type="cellIs" dxfId="19762" priority="8178" stopIfTrue="1" operator="equal">
      <formula>"Napkin Hs"</formula>
    </cfRule>
    <cfRule type="cellIs" dxfId="19761" priority="8181" stopIfTrue="1" operator="equal">
      <formula>"Towel"</formula>
    </cfRule>
    <cfRule type="cellIs" dxfId="19760" priority="8182" stopIfTrue="1" operator="equal">
      <formula>"Napkin Hs"</formula>
    </cfRule>
    <cfRule type="cellIs" dxfId="19759" priority="8183" stopIfTrue="1" operator="equal">
      <formula>"Towel"</formula>
    </cfRule>
    <cfRule type="cellIs" dxfId="19758" priority="8184" stopIfTrue="1" operator="equal">
      <formula>"Napkin Hs"</formula>
    </cfRule>
    <cfRule type="cellIs" dxfId="19757" priority="8187" stopIfTrue="1" operator="equal">
      <formula>"Towel"</formula>
    </cfRule>
    <cfRule type="cellIs" dxfId="19756" priority="8188" stopIfTrue="1" operator="equal">
      <formula>"Napkin Hs"</formula>
    </cfRule>
    <cfRule type="cellIs" dxfId="19755" priority="8189" stopIfTrue="1" operator="equal">
      <formula>"Towel"</formula>
    </cfRule>
    <cfRule type="cellIs" dxfId="19754" priority="8190" stopIfTrue="1" operator="equal">
      <formula>"Napkin Hs"</formula>
    </cfRule>
    <cfRule type="cellIs" dxfId="19753" priority="8193" stopIfTrue="1" operator="equal">
      <formula>"Towel"</formula>
    </cfRule>
    <cfRule type="cellIs" dxfId="19752" priority="8194" stopIfTrue="1" operator="equal">
      <formula>"Napkin Hs"</formula>
    </cfRule>
  </conditionalFormatting>
  <conditionalFormatting sqref="C77">
    <cfRule type="cellIs" dxfId="19751" priority="8195" stopIfTrue="1" operator="equal">
      <formula>"Towel"</formula>
    </cfRule>
    <cfRule type="cellIs" dxfId="19750" priority="8196" stopIfTrue="1" operator="equal">
      <formula>"Napkin Hs"</formula>
    </cfRule>
  </conditionalFormatting>
  <conditionalFormatting sqref="B77:C77">
    <cfRule type="cellIs" dxfId="19749" priority="8155" stopIfTrue="1" operator="equal">
      <formula>"Towel"</formula>
    </cfRule>
    <cfRule type="cellIs" dxfId="19748" priority="8156" stopIfTrue="1" operator="equal">
      <formula>"Napkin Hs"</formula>
    </cfRule>
  </conditionalFormatting>
  <conditionalFormatting sqref="B77:C77">
    <cfRule type="cellIs" dxfId="19747" priority="8119" stopIfTrue="1" operator="equal">
      <formula>"Towel"</formula>
    </cfRule>
    <cfRule type="cellIs" dxfId="19746" priority="8120" stopIfTrue="1" operator="equal">
      <formula>"Napkin Hs"</formula>
    </cfRule>
    <cfRule type="cellIs" dxfId="19745" priority="8125" stopIfTrue="1" operator="equal">
      <formula>"Towel"</formula>
    </cfRule>
    <cfRule type="cellIs" dxfId="19744" priority="8126" stopIfTrue="1" operator="equal">
      <formula>"Napkin Hs"</formula>
    </cfRule>
    <cfRule type="cellIs" dxfId="19743" priority="8131" stopIfTrue="1" operator="equal">
      <formula>"Towel"</formula>
    </cfRule>
    <cfRule type="cellIs" dxfId="19742" priority="8132" stopIfTrue="1" operator="equal">
      <formula>"Napkin Hs"</formula>
    </cfRule>
    <cfRule type="cellIs" dxfId="19741" priority="8137" stopIfTrue="1" operator="equal">
      <formula>"Towel"</formula>
    </cfRule>
    <cfRule type="cellIs" dxfId="19740" priority="8138" stopIfTrue="1" operator="equal">
      <formula>"Napkin Hs"</formula>
    </cfRule>
    <cfRule type="cellIs" dxfId="19739" priority="8143" stopIfTrue="1" operator="equal">
      <formula>"Towel"</formula>
    </cfRule>
    <cfRule type="cellIs" dxfId="19738" priority="8144" stopIfTrue="1" operator="equal">
      <formula>"Napkin Hs"</formula>
    </cfRule>
    <cfRule type="cellIs" dxfId="19737" priority="8149" stopIfTrue="1" operator="equal">
      <formula>"Towel"</formula>
    </cfRule>
    <cfRule type="cellIs" dxfId="19736" priority="8150" stopIfTrue="1" operator="equal">
      <formula>"Napkin Hs"</formula>
    </cfRule>
  </conditionalFormatting>
  <conditionalFormatting sqref="C77">
    <cfRule type="cellIs" dxfId="19735" priority="8154" stopIfTrue="1" operator="equal">
      <formula>"Napkin Hs"</formula>
    </cfRule>
  </conditionalFormatting>
  <conditionalFormatting sqref="C77">
    <cfRule type="cellIs" dxfId="19734" priority="8153" stopIfTrue="1" operator="equal">
      <formula>"Towel"</formula>
    </cfRule>
  </conditionalFormatting>
  <conditionalFormatting sqref="C77">
    <cfRule type="cellIs" dxfId="19733" priority="8147" stopIfTrue="1" operator="equal">
      <formula>"Towel"</formula>
    </cfRule>
    <cfRule type="cellIs" dxfId="19732" priority="8148" stopIfTrue="1" operator="equal">
      <formula>"Napkin Hs"</formula>
    </cfRule>
  </conditionalFormatting>
  <conditionalFormatting sqref="C77">
    <cfRule type="cellIs" dxfId="19731" priority="8145" stopIfTrue="1" operator="equal">
      <formula>"Towel"</formula>
    </cfRule>
    <cfRule type="cellIs" dxfId="19730" priority="8146" stopIfTrue="1" operator="equal">
      <formula>"Napkin Hs"</formula>
    </cfRule>
    <cfRule type="cellIs" dxfId="19729" priority="8151" stopIfTrue="1" operator="equal">
      <formula>"Towel"</formula>
    </cfRule>
    <cfRule type="cellIs" dxfId="19728" priority="8152" stopIfTrue="1" operator="equal">
      <formula>"Napkin Hs"</formula>
    </cfRule>
  </conditionalFormatting>
  <conditionalFormatting sqref="C77">
    <cfRule type="cellIs" dxfId="19727" priority="8117" stopIfTrue="1" operator="equal">
      <formula>"Towel"</formula>
    </cfRule>
    <cfRule type="cellIs" dxfId="19726" priority="8118" stopIfTrue="1" operator="equal">
      <formula>"Napkin Hs"</formula>
    </cfRule>
    <cfRule type="cellIs" dxfId="19725" priority="8121" stopIfTrue="1" operator="equal">
      <formula>"Towel"</formula>
    </cfRule>
    <cfRule type="cellIs" dxfId="19724" priority="8122" stopIfTrue="1" operator="equal">
      <formula>"Napkin Hs"</formula>
    </cfRule>
    <cfRule type="cellIs" dxfId="19723" priority="8123" stopIfTrue="1" operator="equal">
      <formula>"Towel"</formula>
    </cfRule>
    <cfRule type="cellIs" dxfId="19722" priority="8124" stopIfTrue="1" operator="equal">
      <formula>"Napkin Hs"</formula>
    </cfRule>
    <cfRule type="cellIs" dxfId="19721" priority="8127" stopIfTrue="1" operator="equal">
      <formula>"Towel"</formula>
    </cfRule>
    <cfRule type="cellIs" dxfId="19720" priority="8128" stopIfTrue="1" operator="equal">
      <formula>"Napkin Hs"</formula>
    </cfRule>
    <cfRule type="cellIs" dxfId="19719" priority="8129" stopIfTrue="1" operator="equal">
      <formula>"Towel"</formula>
    </cfRule>
    <cfRule type="cellIs" dxfId="19718" priority="8130" stopIfTrue="1" operator="equal">
      <formula>"Napkin Hs"</formula>
    </cfRule>
    <cfRule type="cellIs" dxfId="19717" priority="8133" stopIfTrue="1" operator="equal">
      <formula>"Towel"</formula>
    </cfRule>
    <cfRule type="cellIs" dxfId="19716" priority="8134" stopIfTrue="1" operator="equal">
      <formula>"Napkin Hs"</formula>
    </cfRule>
    <cfRule type="cellIs" dxfId="19715" priority="8135" stopIfTrue="1" operator="equal">
      <formula>"Towel"</formula>
    </cfRule>
    <cfRule type="cellIs" dxfId="19714" priority="8136" stopIfTrue="1" operator="equal">
      <formula>"Napkin Hs"</formula>
    </cfRule>
    <cfRule type="cellIs" dxfId="19713" priority="8139" stopIfTrue="1" operator="equal">
      <formula>"Towel"</formula>
    </cfRule>
    <cfRule type="cellIs" dxfId="19712" priority="8140" stopIfTrue="1" operator="equal">
      <formula>"Napkin Hs"</formula>
    </cfRule>
    <cfRule type="cellIs" dxfId="19711" priority="8141" stopIfTrue="1" operator="equal">
      <formula>"Towel"</formula>
    </cfRule>
    <cfRule type="cellIs" dxfId="19710" priority="8142" stopIfTrue="1" operator="equal">
      <formula>"Napkin Hs"</formula>
    </cfRule>
  </conditionalFormatting>
  <conditionalFormatting sqref="C77">
    <cfRule type="cellIs" dxfId="19709" priority="8115" stopIfTrue="1" operator="equal">
      <formula>"Towel"</formula>
    </cfRule>
    <cfRule type="cellIs" dxfId="19708" priority="8116" stopIfTrue="1" operator="equal">
      <formula>"Napkin Hs"</formula>
    </cfRule>
  </conditionalFormatting>
  <conditionalFormatting sqref="C77">
    <cfRule type="cellIs" dxfId="19707" priority="8095" stopIfTrue="1" operator="equal">
      <formula>"Towel"</formula>
    </cfRule>
    <cfRule type="cellIs" dxfId="19706" priority="8096" stopIfTrue="1" operator="equal">
      <formula>"Napkin Hs"</formula>
    </cfRule>
    <cfRule type="cellIs" dxfId="19705" priority="8101" stopIfTrue="1" operator="equal">
      <formula>"Towel"</formula>
    </cfRule>
    <cfRule type="cellIs" dxfId="19704" priority="8102" stopIfTrue="1" operator="equal">
      <formula>"Napkin Hs"</formula>
    </cfRule>
    <cfRule type="cellIs" dxfId="19703" priority="8107" stopIfTrue="1" operator="equal">
      <formula>"Towel"</formula>
    </cfRule>
    <cfRule type="cellIs" dxfId="19702" priority="8108" stopIfTrue="1" operator="equal">
      <formula>"Napkin Hs"</formula>
    </cfRule>
    <cfRule type="cellIs" dxfId="19701" priority="8113" stopIfTrue="1" operator="equal">
      <formula>"Towel"</formula>
    </cfRule>
    <cfRule type="cellIs" dxfId="19700" priority="8114" stopIfTrue="1" operator="equal">
      <formula>"Napkin Hs"</formula>
    </cfRule>
  </conditionalFormatting>
  <conditionalFormatting sqref="C77">
    <cfRule type="cellIs" dxfId="19699" priority="8105" stopIfTrue="1" operator="equal">
      <formula>"Towel"</formula>
    </cfRule>
    <cfRule type="cellIs" dxfId="19698" priority="8106" stopIfTrue="1" operator="equal">
      <formula>"Napkin Hs"</formula>
    </cfRule>
    <cfRule type="cellIs" dxfId="19697" priority="8111" stopIfTrue="1" operator="equal">
      <formula>"Towel"</formula>
    </cfRule>
    <cfRule type="cellIs" dxfId="19696" priority="8112" stopIfTrue="1" operator="equal">
      <formula>"Napkin Hs"</formula>
    </cfRule>
  </conditionalFormatting>
  <conditionalFormatting sqref="C77">
    <cfRule type="cellIs" dxfId="19695" priority="8091" stopIfTrue="1" operator="equal">
      <formula>"Towel"</formula>
    </cfRule>
    <cfRule type="cellIs" dxfId="19694" priority="8092" stopIfTrue="1" operator="equal">
      <formula>"Napkin Hs"</formula>
    </cfRule>
    <cfRule type="cellIs" dxfId="19693" priority="8099" stopIfTrue="1" operator="equal">
      <formula>"Towel"</formula>
    </cfRule>
    <cfRule type="cellIs" dxfId="19692" priority="8100" stopIfTrue="1" operator="equal">
      <formula>"Napkin Hs"</formula>
    </cfRule>
    <cfRule type="cellIs" dxfId="19691" priority="8103" stopIfTrue="1" operator="equal">
      <formula>"Towel"</formula>
    </cfRule>
    <cfRule type="cellIs" dxfId="19690" priority="8104" stopIfTrue="1" operator="equal">
      <formula>"Napkin Hs"</formula>
    </cfRule>
  </conditionalFormatting>
  <conditionalFormatting sqref="C77">
    <cfRule type="cellIs" dxfId="19689" priority="8093" stopIfTrue="1" operator="equal">
      <formula>"Towel"</formula>
    </cfRule>
    <cfRule type="cellIs" dxfId="19688" priority="8094" stopIfTrue="1" operator="equal">
      <formula>"Napkin Hs"</formula>
    </cfRule>
    <cfRule type="cellIs" dxfId="19687" priority="8097" stopIfTrue="1" operator="equal">
      <formula>"Towel"</formula>
    </cfRule>
    <cfRule type="cellIs" dxfId="19686" priority="8098" stopIfTrue="1" operator="equal">
      <formula>"Napkin Hs"</formula>
    </cfRule>
    <cfRule type="cellIs" dxfId="19685" priority="8109" stopIfTrue="1" operator="equal">
      <formula>"Towel"</formula>
    </cfRule>
    <cfRule type="cellIs" dxfId="19684" priority="8110" stopIfTrue="1" operator="equal">
      <formula>"Napkin Hs"</formula>
    </cfRule>
  </conditionalFormatting>
  <conditionalFormatting sqref="C77">
    <cfRule type="cellIs" dxfId="19683" priority="8089" stopIfTrue="1" operator="equal">
      <formula>"Towel"</formula>
    </cfRule>
    <cfRule type="cellIs" dxfId="19682" priority="8090" stopIfTrue="1" operator="equal">
      <formula>"Napkin Hs"</formula>
    </cfRule>
  </conditionalFormatting>
  <conditionalFormatting sqref="C77">
    <cfRule type="cellIs" dxfId="19681" priority="8085" stopIfTrue="1" operator="equal">
      <formula>"Towel"</formula>
    </cfRule>
    <cfRule type="cellIs" dxfId="19680" priority="8086" stopIfTrue="1" operator="equal">
      <formula>"Napkin Hs"</formula>
    </cfRule>
  </conditionalFormatting>
  <conditionalFormatting sqref="C77">
    <cfRule type="cellIs" dxfId="19679" priority="8087" stopIfTrue="1" operator="equal">
      <formula>"Towel"</formula>
    </cfRule>
    <cfRule type="cellIs" dxfId="19678" priority="8088" stopIfTrue="1" operator="equal">
      <formula>"Napkin Hs"</formula>
    </cfRule>
  </conditionalFormatting>
  <conditionalFormatting sqref="C77">
    <cfRule type="cellIs" dxfId="19677" priority="8083" stopIfTrue="1" operator="equal">
      <formula>"Towel"</formula>
    </cfRule>
    <cfRule type="cellIs" dxfId="19676" priority="8084" stopIfTrue="1" operator="equal">
      <formula>"Napkin Hs"</formula>
    </cfRule>
  </conditionalFormatting>
  <conditionalFormatting sqref="C77">
    <cfRule type="cellIs" dxfId="19675" priority="8079" stopIfTrue="1" operator="equal">
      <formula>"Towel"</formula>
    </cfRule>
    <cfRule type="cellIs" dxfId="19674" priority="8080" stopIfTrue="1" operator="equal">
      <formula>"Napkin Hs"</formula>
    </cfRule>
  </conditionalFormatting>
  <conditionalFormatting sqref="C77">
    <cfRule type="cellIs" dxfId="19673" priority="8081" stopIfTrue="1" operator="equal">
      <formula>"Towel"</formula>
    </cfRule>
    <cfRule type="cellIs" dxfId="19672" priority="8082" stopIfTrue="1" operator="equal">
      <formula>"Napkin Hs"</formula>
    </cfRule>
  </conditionalFormatting>
  <conditionalFormatting sqref="C77">
    <cfRule type="cellIs" dxfId="19671" priority="8077" stopIfTrue="1" operator="equal">
      <formula>"Towel"</formula>
    </cfRule>
    <cfRule type="cellIs" dxfId="19670" priority="8078" stopIfTrue="1" operator="equal">
      <formula>"Napkin Hs"</formula>
    </cfRule>
  </conditionalFormatting>
  <conditionalFormatting sqref="C77">
    <cfRule type="cellIs" dxfId="19669" priority="8073" stopIfTrue="1" operator="equal">
      <formula>"Towel"</formula>
    </cfRule>
    <cfRule type="cellIs" dxfId="19668" priority="8074" stopIfTrue="1" operator="equal">
      <formula>"Napkin Hs"</formula>
    </cfRule>
  </conditionalFormatting>
  <conditionalFormatting sqref="C77">
    <cfRule type="cellIs" dxfId="19667" priority="8075" stopIfTrue="1" operator="equal">
      <formula>"Towel"</formula>
    </cfRule>
    <cfRule type="cellIs" dxfId="19666" priority="8076" stopIfTrue="1" operator="equal">
      <formula>"Napkin Hs"</formula>
    </cfRule>
  </conditionalFormatting>
  <conditionalFormatting sqref="C77">
    <cfRule type="cellIs" dxfId="19665" priority="8071" stopIfTrue="1" operator="equal">
      <formula>"Towel"</formula>
    </cfRule>
    <cfRule type="cellIs" dxfId="19664" priority="8072" stopIfTrue="1" operator="equal">
      <formula>"Napkin Hs"</formula>
    </cfRule>
  </conditionalFormatting>
  <conditionalFormatting sqref="C77">
    <cfRule type="cellIs" dxfId="19663" priority="8069" stopIfTrue="1" operator="equal">
      <formula>"Towel"</formula>
    </cfRule>
    <cfRule type="cellIs" dxfId="19662" priority="8070" stopIfTrue="1" operator="equal">
      <formula>"Napkin Hs"</formula>
    </cfRule>
  </conditionalFormatting>
  <conditionalFormatting sqref="C77">
    <cfRule type="cellIs" dxfId="19661" priority="8067" stopIfTrue="1" operator="equal">
      <formula>"Towel"</formula>
    </cfRule>
    <cfRule type="cellIs" dxfId="19660" priority="8068" stopIfTrue="1" operator="equal">
      <formula>"Napkin Hs"</formula>
    </cfRule>
  </conditionalFormatting>
  <conditionalFormatting sqref="C77">
    <cfRule type="cellIs" dxfId="19659" priority="8065" stopIfTrue="1" operator="equal">
      <formula>"Towel"</formula>
    </cfRule>
    <cfRule type="cellIs" dxfId="19658" priority="8066" stopIfTrue="1" operator="equal">
      <formula>"Napkin Hs"</formula>
    </cfRule>
  </conditionalFormatting>
  <conditionalFormatting sqref="C77">
    <cfRule type="cellIs" dxfId="19657" priority="8064" stopIfTrue="1" operator="equal">
      <formula>"Napkin Hs"</formula>
    </cfRule>
  </conditionalFormatting>
  <conditionalFormatting sqref="C77">
    <cfRule type="cellIs" dxfId="19656" priority="8061" stopIfTrue="1" operator="equal">
      <formula>"Towel"</formula>
    </cfRule>
    <cfRule type="cellIs" dxfId="19655" priority="8062" stopIfTrue="1" operator="equal">
      <formula>"Napkin Hs"</formula>
    </cfRule>
  </conditionalFormatting>
  <conditionalFormatting sqref="C77">
    <cfRule type="cellIs" dxfId="19654" priority="8063" stopIfTrue="1" operator="equal">
      <formula>"Towel"</formula>
    </cfRule>
  </conditionalFormatting>
  <conditionalFormatting sqref="B77">
    <cfRule type="cellIs" dxfId="19653" priority="8059" stopIfTrue="1" operator="equal">
      <formula>"Towel"</formula>
    </cfRule>
    <cfRule type="cellIs" dxfId="19652" priority="8060" stopIfTrue="1" operator="equal">
      <formula>"Napkin Hs"</formula>
    </cfRule>
  </conditionalFormatting>
  <conditionalFormatting sqref="B77">
    <cfRule type="cellIs" dxfId="19651" priority="8057" stopIfTrue="1" operator="equal">
      <formula>"Towel"</formula>
    </cfRule>
    <cfRule type="cellIs" dxfId="19650" priority="8058" stopIfTrue="1" operator="equal">
      <formula>"Napkin Hs"</formula>
    </cfRule>
  </conditionalFormatting>
  <conditionalFormatting sqref="B77">
    <cfRule type="cellIs" dxfId="19649" priority="8055" stopIfTrue="1" operator="equal">
      <formula>"Towel"</formula>
    </cfRule>
    <cfRule type="cellIs" dxfId="19648" priority="8056" stopIfTrue="1" operator="equal">
      <formula>"Napkin Hs"</formula>
    </cfRule>
  </conditionalFormatting>
  <conditionalFormatting sqref="B77">
    <cfRule type="cellIs" dxfId="19647" priority="8053" stopIfTrue="1" operator="equal">
      <formula>"Towel"</formula>
    </cfRule>
    <cfRule type="cellIs" dxfId="19646" priority="8054" stopIfTrue="1" operator="equal">
      <formula>"Napkin Hs"</formula>
    </cfRule>
  </conditionalFormatting>
  <conditionalFormatting sqref="B77">
    <cfRule type="cellIs" dxfId="19645" priority="8051" stopIfTrue="1" operator="equal">
      <formula>"Towel"</formula>
    </cfRule>
    <cfRule type="cellIs" dxfId="19644" priority="8052" stopIfTrue="1" operator="equal">
      <formula>"Napkin Hs"</formula>
    </cfRule>
  </conditionalFormatting>
  <conditionalFormatting sqref="B77">
    <cfRule type="cellIs" dxfId="19643" priority="8049" stopIfTrue="1" operator="equal">
      <formula>"Towel"</formula>
    </cfRule>
    <cfRule type="cellIs" dxfId="19642" priority="8050" stopIfTrue="1" operator="equal">
      <formula>"Napkin Hs"</formula>
    </cfRule>
  </conditionalFormatting>
  <conditionalFormatting sqref="B77">
    <cfRule type="cellIs" dxfId="19641" priority="8045" stopIfTrue="1" operator="equal">
      <formula>"Towel"</formula>
    </cfRule>
    <cfRule type="cellIs" dxfId="19640" priority="8046" stopIfTrue="1" operator="equal">
      <formula>"Napkin Hs"</formula>
    </cfRule>
    <cfRule type="cellIs" dxfId="19639" priority="8047" stopIfTrue="1" operator="equal">
      <formula>"Towel"</formula>
    </cfRule>
    <cfRule type="cellIs" dxfId="19638" priority="8048" stopIfTrue="1" operator="equal">
      <formula>"Napkin Hs"</formula>
    </cfRule>
  </conditionalFormatting>
  <conditionalFormatting sqref="B77">
    <cfRule type="cellIs" dxfId="19637" priority="8043" stopIfTrue="1" operator="equal">
      <formula>"Towel"</formula>
    </cfRule>
    <cfRule type="cellIs" dxfId="19636" priority="8044" stopIfTrue="1" operator="equal">
      <formula>"Napkin Hs"</formula>
    </cfRule>
  </conditionalFormatting>
  <conditionalFormatting sqref="B77">
    <cfRule type="cellIs" dxfId="19635" priority="8041" stopIfTrue="1" operator="equal">
      <formula>"Towel"</formula>
    </cfRule>
    <cfRule type="cellIs" dxfId="19634" priority="8042" stopIfTrue="1" operator="equal">
      <formula>"Napkin Hs"</formula>
    </cfRule>
  </conditionalFormatting>
  <conditionalFormatting sqref="B77">
    <cfRule type="cellIs" dxfId="19633" priority="8039" stopIfTrue="1" operator="equal">
      <formula>"Towel"</formula>
    </cfRule>
    <cfRule type="cellIs" dxfId="19632" priority="8040" stopIfTrue="1" operator="equal">
      <formula>"Napkin Hs"</formula>
    </cfRule>
  </conditionalFormatting>
  <conditionalFormatting sqref="B77">
    <cfRule type="cellIs" dxfId="19631" priority="8037" stopIfTrue="1" operator="equal">
      <formula>"Towel"</formula>
    </cfRule>
    <cfRule type="cellIs" dxfId="19630" priority="8038" stopIfTrue="1" operator="equal">
      <formula>"Napkin Hs"</formula>
    </cfRule>
  </conditionalFormatting>
  <conditionalFormatting sqref="B77">
    <cfRule type="cellIs" dxfId="19629" priority="8035" stopIfTrue="1" operator="equal">
      <formula>"Towel"</formula>
    </cfRule>
    <cfRule type="cellIs" dxfId="19628" priority="8036" stopIfTrue="1" operator="equal">
      <formula>"Napkin Hs"</formula>
    </cfRule>
  </conditionalFormatting>
  <conditionalFormatting sqref="B77:C77">
    <cfRule type="cellIs" dxfId="19627" priority="8021" stopIfTrue="1" operator="equal">
      <formula>"Towel"</formula>
    </cfRule>
    <cfRule type="cellIs" dxfId="19626" priority="8022" stopIfTrue="1" operator="equal">
      <formula>"Napkin Hs"</formula>
    </cfRule>
    <cfRule type="cellIs" dxfId="19625" priority="8027" stopIfTrue="1" operator="equal">
      <formula>"Towel"</formula>
    </cfRule>
    <cfRule type="cellIs" dxfId="19624" priority="8028" stopIfTrue="1" operator="equal">
      <formula>"Napkin Hs"</formula>
    </cfRule>
    <cfRule type="cellIs" dxfId="19623" priority="8033" stopIfTrue="1" operator="equal">
      <formula>"Towel"</formula>
    </cfRule>
    <cfRule type="cellIs" dxfId="19622" priority="8034" stopIfTrue="1" operator="equal">
      <formula>"Napkin Hs"</formula>
    </cfRule>
  </conditionalFormatting>
  <conditionalFormatting sqref="C77">
    <cfRule type="cellIs" dxfId="19621" priority="8015" stopIfTrue="1" operator="equal">
      <formula>"Towel"</formula>
    </cfRule>
    <cfRule type="cellIs" dxfId="19620" priority="8016" stopIfTrue="1" operator="equal">
      <formula>"Napkin Hs"</formula>
    </cfRule>
    <cfRule type="cellIs" dxfId="19619" priority="8017" stopIfTrue="1" operator="equal">
      <formula>"Towel"</formula>
    </cfRule>
    <cfRule type="cellIs" dxfId="19618" priority="8018" stopIfTrue="1" operator="equal">
      <formula>"Napkin Hs"</formula>
    </cfRule>
    <cfRule type="cellIs" dxfId="19617" priority="8025" stopIfTrue="1" operator="equal">
      <formula>"Towel"</formula>
    </cfRule>
    <cfRule type="cellIs" dxfId="19616" priority="8026" stopIfTrue="1" operator="equal">
      <formula>"Napkin Hs"</formula>
    </cfRule>
    <cfRule type="cellIs" dxfId="19615" priority="8029" stopIfTrue="1" operator="equal">
      <formula>"Towel"</formula>
    </cfRule>
    <cfRule type="cellIs" dxfId="19614" priority="8030" stopIfTrue="1" operator="equal">
      <formula>"Napkin Hs"</formula>
    </cfRule>
  </conditionalFormatting>
  <conditionalFormatting sqref="C77">
    <cfRule type="cellIs" dxfId="19613" priority="8019" stopIfTrue="1" operator="equal">
      <formula>"Towel"</formula>
    </cfRule>
    <cfRule type="cellIs" dxfId="19612" priority="8020" stopIfTrue="1" operator="equal">
      <formula>"Napkin Hs"</formula>
    </cfRule>
    <cfRule type="cellIs" dxfId="19611" priority="8023" stopIfTrue="1" operator="equal">
      <formula>"Towel"</formula>
    </cfRule>
    <cfRule type="cellIs" dxfId="19610" priority="8024" stopIfTrue="1" operator="equal">
      <formula>"Napkin Hs"</formula>
    </cfRule>
    <cfRule type="cellIs" dxfId="19609" priority="8031" stopIfTrue="1" operator="equal">
      <formula>"Towel"</formula>
    </cfRule>
    <cfRule type="cellIs" dxfId="19608" priority="8032" stopIfTrue="1" operator="equal">
      <formula>"Napkin Hs"</formula>
    </cfRule>
  </conditionalFormatting>
  <conditionalFormatting sqref="B77:C77">
    <cfRule type="cellIs" dxfId="19607" priority="8013" stopIfTrue="1" operator="equal">
      <formula>"Towel"</formula>
    </cfRule>
    <cfRule type="cellIs" dxfId="19606" priority="8014" stopIfTrue="1" operator="equal">
      <formula>"Napkin Hs"</formula>
    </cfRule>
  </conditionalFormatting>
  <conditionalFormatting sqref="B77:C77">
    <cfRule type="cellIs" dxfId="19605" priority="8005" stopIfTrue="1" operator="equal">
      <formula>"Towel"</formula>
    </cfRule>
    <cfRule type="cellIs" dxfId="19604" priority="8006" stopIfTrue="1" operator="equal">
      <formula>"Napkin Hs"</formula>
    </cfRule>
    <cfRule type="cellIs" dxfId="19603" priority="8011" stopIfTrue="1" operator="equal">
      <formula>"Towel"</formula>
    </cfRule>
    <cfRule type="cellIs" dxfId="19602" priority="8012" stopIfTrue="1" operator="equal">
      <formula>"Napkin Hs"</formula>
    </cfRule>
  </conditionalFormatting>
  <conditionalFormatting sqref="C77">
    <cfRule type="cellIs" dxfId="19601" priority="8001" stopIfTrue="1" operator="equal">
      <formula>"Towel"</formula>
    </cfRule>
    <cfRule type="cellIs" dxfId="19600" priority="8002" stopIfTrue="1" operator="equal">
      <formula>"Napkin Hs"</formula>
    </cfRule>
  </conditionalFormatting>
  <conditionalFormatting sqref="C77">
    <cfRule type="cellIs" dxfId="19599" priority="7999" stopIfTrue="1" operator="equal">
      <formula>"Towel"</formula>
    </cfRule>
    <cfRule type="cellIs" dxfId="19598" priority="8000" stopIfTrue="1" operator="equal">
      <formula>"Napkin Hs"</formula>
    </cfRule>
    <cfRule type="cellIs" dxfId="19597" priority="8009" stopIfTrue="1" operator="equal">
      <formula>"Towel"</formula>
    </cfRule>
    <cfRule type="cellIs" dxfId="19596" priority="8010" stopIfTrue="1" operator="equal">
      <formula>"Napkin Hs"</formula>
    </cfRule>
  </conditionalFormatting>
  <conditionalFormatting sqref="C77">
    <cfRule type="cellIs" dxfId="19595" priority="8003" stopIfTrue="1" operator="equal">
      <formula>"Towel"</formula>
    </cfRule>
    <cfRule type="cellIs" dxfId="19594" priority="8004" stopIfTrue="1" operator="equal">
      <formula>"Napkin Hs"</formula>
    </cfRule>
    <cfRule type="cellIs" dxfId="19593" priority="8007" stopIfTrue="1" operator="equal">
      <formula>"Towel"</formula>
    </cfRule>
    <cfRule type="cellIs" dxfId="19592" priority="8008" stopIfTrue="1" operator="equal">
      <formula>"Napkin Hs"</formula>
    </cfRule>
  </conditionalFormatting>
  <conditionalFormatting sqref="C77">
    <cfRule type="cellIs" dxfId="19591" priority="7998" stopIfTrue="1" operator="equal">
      <formula>"Napkin Hs"</formula>
    </cfRule>
  </conditionalFormatting>
  <conditionalFormatting sqref="C77">
    <cfRule type="cellIs" dxfId="19590" priority="7997" stopIfTrue="1" operator="equal">
      <formula>"Towel"</formula>
    </cfRule>
  </conditionalFormatting>
  <conditionalFormatting sqref="C77">
    <cfRule type="cellIs" dxfId="19589" priority="7993" stopIfTrue="1" operator="equal">
      <formula>"Towel"</formula>
    </cfRule>
    <cfRule type="cellIs" dxfId="19588" priority="7994" stopIfTrue="1" operator="equal">
      <formula>"Napkin Hs"</formula>
    </cfRule>
    <cfRule type="cellIs" dxfId="19587" priority="7995" stopIfTrue="1" operator="equal">
      <formula>"Towel"</formula>
    </cfRule>
    <cfRule type="cellIs" dxfId="19586" priority="7996" stopIfTrue="1" operator="equal">
      <formula>"Napkin Hs"</formula>
    </cfRule>
  </conditionalFormatting>
  <conditionalFormatting sqref="B77:C77">
    <cfRule type="cellIs" dxfId="19585" priority="7991" stopIfTrue="1" operator="equal">
      <formula>"Towel"</formula>
    </cfRule>
    <cfRule type="cellIs" dxfId="19584" priority="7992" stopIfTrue="1" operator="equal">
      <formula>"Napkin Hs"</formula>
    </cfRule>
  </conditionalFormatting>
  <conditionalFormatting sqref="C77">
    <cfRule type="cellIs" dxfId="19583" priority="7987" stopIfTrue="1" operator="equal">
      <formula>"Towel"</formula>
    </cfRule>
    <cfRule type="cellIs" dxfId="19582" priority="7988" stopIfTrue="1" operator="equal">
      <formula>"Napkin Hs"</formula>
    </cfRule>
  </conditionalFormatting>
  <conditionalFormatting sqref="C77">
    <cfRule type="cellIs" dxfId="19581" priority="7989" stopIfTrue="1" operator="equal">
      <formula>"Towel"</formula>
    </cfRule>
    <cfRule type="cellIs" dxfId="19580" priority="7990" stopIfTrue="1" operator="equal">
      <formula>"Napkin Hs"</formula>
    </cfRule>
  </conditionalFormatting>
  <conditionalFormatting sqref="B77:C77">
    <cfRule type="cellIs" dxfId="19579" priority="7985" stopIfTrue="1" operator="equal">
      <formula>"Towel"</formula>
    </cfRule>
    <cfRule type="cellIs" dxfId="19578" priority="7986" stopIfTrue="1" operator="equal">
      <formula>"Napkin Hs"</formula>
    </cfRule>
  </conditionalFormatting>
  <conditionalFormatting sqref="C77">
    <cfRule type="cellIs" dxfId="19577" priority="7981" stopIfTrue="1" operator="equal">
      <formula>"Towel"</formula>
    </cfRule>
    <cfRule type="cellIs" dxfId="19576" priority="7982" stopIfTrue="1" operator="equal">
      <formula>"Napkin Hs"</formula>
    </cfRule>
  </conditionalFormatting>
  <conditionalFormatting sqref="C77">
    <cfRule type="cellIs" dxfId="19575" priority="7983" stopIfTrue="1" operator="equal">
      <formula>"Towel"</formula>
    </cfRule>
    <cfRule type="cellIs" dxfId="19574" priority="7984" stopIfTrue="1" operator="equal">
      <formula>"Napkin Hs"</formula>
    </cfRule>
  </conditionalFormatting>
  <conditionalFormatting sqref="B77:C77">
    <cfRule type="cellIs" dxfId="19573" priority="7979" stopIfTrue="1" operator="equal">
      <formula>"Towel"</formula>
    </cfRule>
    <cfRule type="cellIs" dxfId="19572" priority="7980" stopIfTrue="1" operator="equal">
      <formula>"Napkin Hs"</formula>
    </cfRule>
  </conditionalFormatting>
  <conditionalFormatting sqref="C77">
    <cfRule type="cellIs" dxfId="19571" priority="7975" stopIfTrue="1" operator="equal">
      <formula>"Towel"</formula>
    </cfRule>
    <cfRule type="cellIs" dxfId="19570" priority="7976" stopIfTrue="1" operator="equal">
      <formula>"Napkin Hs"</formula>
    </cfRule>
  </conditionalFormatting>
  <conditionalFormatting sqref="C77">
    <cfRule type="cellIs" dxfId="19569" priority="7977" stopIfTrue="1" operator="equal">
      <formula>"Towel"</formula>
    </cfRule>
    <cfRule type="cellIs" dxfId="19568" priority="7978" stopIfTrue="1" operator="equal">
      <formula>"Napkin Hs"</formula>
    </cfRule>
  </conditionalFormatting>
  <conditionalFormatting sqref="B77:C77">
    <cfRule type="cellIs" dxfId="19567" priority="7973" stopIfTrue="1" operator="equal">
      <formula>"Towel"</formula>
    </cfRule>
    <cfRule type="cellIs" dxfId="19566" priority="7974" stopIfTrue="1" operator="equal">
      <formula>"Napkin Hs"</formula>
    </cfRule>
  </conditionalFormatting>
  <conditionalFormatting sqref="C77">
    <cfRule type="cellIs" dxfId="19565" priority="7971" stopIfTrue="1" operator="equal">
      <formula>"Towel"</formula>
    </cfRule>
    <cfRule type="cellIs" dxfId="19564" priority="7972" stopIfTrue="1" operator="equal">
      <formula>"Napkin Hs"</formula>
    </cfRule>
  </conditionalFormatting>
  <conditionalFormatting sqref="C77">
    <cfRule type="cellIs" dxfId="19563" priority="7969" stopIfTrue="1" operator="equal">
      <formula>"Towel"</formula>
    </cfRule>
    <cfRule type="cellIs" dxfId="19562" priority="7970" stopIfTrue="1" operator="equal">
      <formula>"Napkin Hs"</formula>
    </cfRule>
  </conditionalFormatting>
  <conditionalFormatting sqref="B77:C77">
    <cfRule type="cellIs" dxfId="19561" priority="7967" stopIfTrue="1" operator="equal">
      <formula>"Towel"</formula>
    </cfRule>
    <cfRule type="cellIs" dxfId="19560" priority="7968" stopIfTrue="1" operator="equal">
      <formula>"Napkin Hs"</formula>
    </cfRule>
  </conditionalFormatting>
  <conditionalFormatting sqref="C77">
    <cfRule type="cellIs" dxfId="19559" priority="7966" stopIfTrue="1" operator="equal">
      <formula>"Napkin Hs"</formula>
    </cfRule>
  </conditionalFormatting>
  <conditionalFormatting sqref="C77">
    <cfRule type="cellIs" dxfId="19558" priority="7963" stopIfTrue="1" operator="equal">
      <formula>"Towel"</formula>
    </cfRule>
    <cfRule type="cellIs" dxfId="19557" priority="7964" stopIfTrue="1" operator="equal">
      <formula>"Napkin Hs"</formula>
    </cfRule>
  </conditionalFormatting>
  <conditionalFormatting sqref="C77">
    <cfRule type="cellIs" dxfId="19556" priority="7965" stopIfTrue="1" operator="equal">
      <formula>"Towel"</formula>
    </cfRule>
  </conditionalFormatting>
  <conditionalFormatting sqref="B75:C76">
    <cfRule type="cellIs" dxfId="19555" priority="7671" stopIfTrue="1" operator="equal">
      <formula>"Towel"</formula>
    </cfRule>
    <cfRule type="cellIs" dxfId="19554" priority="7672" stopIfTrue="1" operator="equal">
      <formula>"Napkin Hs"</formula>
    </cfRule>
  </conditionalFormatting>
  <conditionalFormatting sqref="B75:C76">
    <cfRule type="cellIs" dxfId="19553" priority="7647" stopIfTrue="1" operator="equal">
      <formula>"Towel"</formula>
    </cfRule>
    <cfRule type="cellIs" dxfId="19552" priority="7648" stopIfTrue="1" operator="equal">
      <formula>"Napkin Hs"</formula>
    </cfRule>
    <cfRule type="cellIs" dxfId="19551" priority="7653" stopIfTrue="1" operator="equal">
      <formula>"Towel"</formula>
    </cfRule>
    <cfRule type="cellIs" dxfId="19550" priority="7654" stopIfTrue="1" operator="equal">
      <formula>"Napkin Hs"</formula>
    </cfRule>
    <cfRule type="cellIs" dxfId="19549" priority="7659" stopIfTrue="1" operator="equal">
      <formula>"Towel"</formula>
    </cfRule>
    <cfRule type="cellIs" dxfId="19548" priority="7660" stopIfTrue="1" operator="equal">
      <formula>"Napkin Hs"</formula>
    </cfRule>
    <cfRule type="cellIs" dxfId="19547" priority="7665" stopIfTrue="1" operator="equal">
      <formula>"Towel"</formula>
    </cfRule>
    <cfRule type="cellIs" dxfId="19546" priority="7666" stopIfTrue="1" operator="equal">
      <formula>"Napkin Hs"</formula>
    </cfRule>
  </conditionalFormatting>
  <conditionalFormatting sqref="C75:C76">
    <cfRule type="cellIs" dxfId="19545" priority="7661" stopIfTrue="1" operator="equal">
      <formula>"Towel"</formula>
    </cfRule>
    <cfRule type="cellIs" dxfId="19544" priority="7662" stopIfTrue="1" operator="equal">
      <formula>"Napkin Hs"</formula>
    </cfRule>
    <cfRule type="cellIs" dxfId="19543" priority="7667" stopIfTrue="1" operator="equal">
      <formula>"Towel"</formula>
    </cfRule>
    <cfRule type="cellIs" dxfId="19542" priority="7668" stopIfTrue="1" operator="equal">
      <formula>"Napkin Hs"</formula>
    </cfRule>
  </conditionalFormatting>
  <conditionalFormatting sqref="C75:C76">
    <cfRule type="cellIs" dxfId="19541" priority="7641" stopIfTrue="1" operator="equal">
      <formula>"Towel"</formula>
    </cfRule>
    <cfRule type="cellIs" dxfId="19540" priority="7642" stopIfTrue="1" operator="equal">
      <formula>"Napkin Hs"</formula>
    </cfRule>
    <cfRule type="cellIs" dxfId="19539" priority="7643" stopIfTrue="1" operator="equal">
      <formula>"Towel"</formula>
    </cfRule>
    <cfRule type="cellIs" dxfId="19538" priority="7644" stopIfTrue="1" operator="equal">
      <formula>"Napkin Hs"</formula>
    </cfRule>
    <cfRule type="cellIs" dxfId="19537" priority="7651" stopIfTrue="1" operator="equal">
      <formula>"Towel"</formula>
    </cfRule>
    <cfRule type="cellIs" dxfId="19536" priority="7652" stopIfTrue="1" operator="equal">
      <formula>"Napkin Hs"</formula>
    </cfRule>
    <cfRule type="cellIs" dxfId="19535" priority="7655" stopIfTrue="1" operator="equal">
      <formula>"Towel"</formula>
    </cfRule>
    <cfRule type="cellIs" dxfId="19534" priority="7656" stopIfTrue="1" operator="equal">
      <formula>"Napkin Hs"</formula>
    </cfRule>
    <cfRule type="cellIs" dxfId="19533" priority="7657" stopIfTrue="1" operator="equal">
      <formula>"Towel"</formula>
    </cfRule>
    <cfRule type="cellIs" dxfId="19532" priority="7658" stopIfTrue="1" operator="equal">
      <formula>"Napkin Hs"</formula>
    </cfRule>
  </conditionalFormatting>
  <conditionalFormatting sqref="C75:C76">
    <cfRule type="cellIs" dxfId="19531" priority="7669" stopIfTrue="1" operator="equal">
      <formula>"Towel"</formula>
    </cfRule>
    <cfRule type="cellIs" dxfId="19530" priority="7670" stopIfTrue="1" operator="equal">
      <formula>"Napkin Hs"</formula>
    </cfRule>
  </conditionalFormatting>
  <conditionalFormatting sqref="C75:C76">
    <cfRule type="cellIs" dxfId="19529" priority="7645" stopIfTrue="1" operator="equal">
      <formula>"Towel"</formula>
    </cfRule>
    <cfRule type="cellIs" dxfId="19528" priority="7646" stopIfTrue="1" operator="equal">
      <formula>"Napkin Hs"</formula>
    </cfRule>
    <cfRule type="cellIs" dxfId="19527" priority="7649" stopIfTrue="1" operator="equal">
      <formula>"Towel"</formula>
    </cfRule>
    <cfRule type="cellIs" dxfId="19526" priority="7650" stopIfTrue="1" operator="equal">
      <formula>"Napkin Hs"</formula>
    </cfRule>
    <cfRule type="cellIs" dxfId="19525" priority="7663" stopIfTrue="1" operator="equal">
      <formula>"Towel"</formula>
    </cfRule>
    <cfRule type="cellIs" dxfId="19524" priority="7664" stopIfTrue="1" operator="equal">
      <formula>"Napkin Hs"</formula>
    </cfRule>
  </conditionalFormatting>
  <conditionalFormatting sqref="B75:C76">
    <cfRule type="cellIs" dxfId="19523" priority="7597" stopIfTrue="1" operator="equal">
      <formula>"Towel"</formula>
    </cfRule>
    <cfRule type="cellIs" dxfId="19522" priority="7598" stopIfTrue="1" operator="equal">
      <formula>"Napkin Hs"</formula>
    </cfRule>
    <cfRule type="cellIs" dxfId="19521" priority="7603" stopIfTrue="1" operator="equal">
      <formula>"Towel"</formula>
    </cfRule>
    <cfRule type="cellIs" dxfId="19520" priority="7604" stopIfTrue="1" operator="equal">
      <formula>"Napkin Hs"</formula>
    </cfRule>
    <cfRule type="cellIs" dxfId="19519" priority="7609" stopIfTrue="1" operator="equal">
      <formula>"Towel"</formula>
    </cfRule>
    <cfRule type="cellIs" dxfId="19518" priority="7610" stopIfTrue="1" operator="equal">
      <formula>"Napkin Hs"</formula>
    </cfRule>
    <cfRule type="cellIs" dxfId="19517" priority="7615" stopIfTrue="1" operator="equal">
      <formula>"Towel"</formula>
    </cfRule>
    <cfRule type="cellIs" dxfId="19516" priority="7616" stopIfTrue="1" operator="equal">
      <formula>"Napkin Hs"</formula>
    </cfRule>
    <cfRule type="cellIs" dxfId="19515" priority="7621" stopIfTrue="1" operator="equal">
      <formula>"Towel"</formula>
    </cfRule>
    <cfRule type="cellIs" dxfId="19514" priority="7622" stopIfTrue="1" operator="equal">
      <formula>"Napkin Hs"</formula>
    </cfRule>
    <cfRule type="cellIs" dxfId="19513" priority="7627" stopIfTrue="1" operator="equal">
      <formula>"Towel"</formula>
    </cfRule>
    <cfRule type="cellIs" dxfId="19512" priority="7628" stopIfTrue="1" operator="equal">
      <formula>"Napkin Hs"</formula>
    </cfRule>
    <cfRule type="cellIs" dxfId="19511" priority="7633" stopIfTrue="1" operator="equal">
      <formula>"Towel"</formula>
    </cfRule>
    <cfRule type="cellIs" dxfId="19510" priority="7634" stopIfTrue="1" operator="equal">
      <formula>"Napkin Hs"</formula>
    </cfRule>
    <cfRule type="cellIs" dxfId="19509" priority="7639" stopIfTrue="1" operator="equal">
      <formula>"Towel"</formula>
    </cfRule>
    <cfRule type="cellIs" dxfId="19508" priority="7640" stopIfTrue="1" operator="equal">
      <formula>"Napkin Hs"</formula>
    </cfRule>
  </conditionalFormatting>
  <conditionalFormatting sqref="C75:C76">
    <cfRule type="cellIs" dxfId="19507" priority="7593" stopIfTrue="1" operator="equal">
      <formula>"Towel"</formula>
    </cfRule>
    <cfRule type="cellIs" dxfId="19506" priority="7594" stopIfTrue="1" operator="equal">
      <formula>"Napkin Hs"</formula>
    </cfRule>
    <cfRule type="cellIs" dxfId="19505" priority="7595" stopIfTrue="1" operator="equal">
      <formula>"Towel"</formula>
    </cfRule>
    <cfRule type="cellIs" dxfId="19504" priority="7596" stopIfTrue="1" operator="equal">
      <formula>"Napkin Hs"</formula>
    </cfRule>
    <cfRule type="cellIs" dxfId="19503" priority="7599" stopIfTrue="1" operator="equal">
      <formula>"Towel"</formula>
    </cfRule>
    <cfRule type="cellIs" dxfId="19502" priority="7600" stopIfTrue="1" operator="equal">
      <formula>"Napkin Hs"</formula>
    </cfRule>
    <cfRule type="cellIs" dxfId="19501" priority="7601" stopIfTrue="1" operator="equal">
      <formula>"Towel"</formula>
    </cfRule>
    <cfRule type="cellIs" dxfId="19500" priority="7602" stopIfTrue="1" operator="equal">
      <formula>"Napkin Hs"</formula>
    </cfRule>
    <cfRule type="cellIs" dxfId="19499" priority="7605" stopIfTrue="1" operator="equal">
      <formula>"Towel"</formula>
    </cfRule>
    <cfRule type="cellIs" dxfId="19498" priority="7606" stopIfTrue="1" operator="equal">
      <formula>"Napkin Hs"</formula>
    </cfRule>
    <cfRule type="cellIs" dxfId="19497" priority="7607" stopIfTrue="1" operator="equal">
      <formula>"Towel"</formula>
    </cfRule>
    <cfRule type="cellIs" dxfId="19496" priority="7608" stopIfTrue="1" operator="equal">
      <formula>"Napkin Hs"</formula>
    </cfRule>
    <cfRule type="cellIs" dxfId="19495" priority="7611" stopIfTrue="1" operator="equal">
      <formula>"Towel"</formula>
    </cfRule>
    <cfRule type="cellIs" dxfId="19494" priority="7612" stopIfTrue="1" operator="equal">
      <formula>"Napkin Hs"</formula>
    </cfRule>
    <cfRule type="cellIs" dxfId="19493" priority="7613" stopIfTrue="1" operator="equal">
      <formula>"Towel"</formula>
    </cfRule>
    <cfRule type="cellIs" dxfId="19492" priority="7614" stopIfTrue="1" operator="equal">
      <formula>"Napkin Hs"</formula>
    </cfRule>
    <cfRule type="cellIs" dxfId="19491" priority="7617" stopIfTrue="1" operator="equal">
      <formula>"Towel"</formula>
    </cfRule>
    <cfRule type="cellIs" dxfId="19490" priority="7618" stopIfTrue="1" operator="equal">
      <formula>"Napkin Hs"</formula>
    </cfRule>
    <cfRule type="cellIs" dxfId="19489" priority="7619" stopIfTrue="1" operator="equal">
      <formula>"Towel"</formula>
    </cfRule>
    <cfRule type="cellIs" dxfId="19488" priority="7620" stopIfTrue="1" operator="equal">
      <formula>"Napkin Hs"</formula>
    </cfRule>
    <cfRule type="cellIs" dxfId="19487" priority="7623" stopIfTrue="1" operator="equal">
      <formula>"Towel"</formula>
    </cfRule>
    <cfRule type="cellIs" dxfId="19486" priority="7624" stopIfTrue="1" operator="equal">
      <formula>"Napkin Hs"</formula>
    </cfRule>
    <cfRule type="cellIs" dxfId="19485" priority="7625" stopIfTrue="1" operator="equal">
      <formula>"Towel"</formula>
    </cfRule>
    <cfRule type="cellIs" dxfId="19484" priority="7626" stopIfTrue="1" operator="equal">
      <formula>"Napkin Hs"</formula>
    </cfRule>
    <cfRule type="cellIs" dxfId="19483" priority="7629" stopIfTrue="1" operator="equal">
      <formula>"Towel"</formula>
    </cfRule>
    <cfRule type="cellIs" dxfId="19482" priority="7630" stopIfTrue="1" operator="equal">
      <formula>"Napkin Hs"</formula>
    </cfRule>
    <cfRule type="cellIs" dxfId="19481" priority="7631" stopIfTrue="1" operator="equal">
      <formula>"Towel"</formula>
    </cfRule>
    <cfRule type="cellIs" dxfId="19480" priority="7632" stopIfTrue="1" operator="equal">
      <formula>"Napkin Hs"</formula>
    </cfRule>
    <cfRule type="cellIs" dxfId="19479" priority="7635" stopIfTrue="1" operator="equal">
      <formula>"Towel"</formula>
    </cfRule>
    <cfRule type="cellIs" dxfId="19478" priority="7636" stopIfTrue="1" operator="equal">
      <formula>"Napkin Hs"</formula>
    </cfRule>
  </conditionalFormatting>
  <conditionalFormatting sqref="C75:C76">
    <cfRule type="cellIs" dxfId="19477" priority="7637" stopIfTrue="1" operator="equal">
      <formula>"Towel"</formula>
    </cfRule>
    <cfRule type="cellIs" dxfId="19476" priority="7638" stopIfTrue="1" operator="equal">
      <formula>"Napkin Hs"</formula>
    </cfRule>
  </conditionalFormatting>
  <conditionalFormatting sqref="B75:B76">
    <cfRule type="cellIs" dxfId="19475" priority="7587" stopIfTrue="1" operator="equal">
      <formula>"Towel"</formula>
    </cfRule>
    <cfRule type="cellIs" dxfId="19474" priority="7588" stopIfTrue="1" operator="equal">
      <formula>"Napkin Hs"</formula>
    </cfRule>
    <cfRule type="cellIs" dxfId="19473" priority="7589" stopIfTrue="1" operator="equal">
      <formula>"Towel"</formula>
    </cfRule>
    <cfRule type="cellIs" dxfId="19472" priority="7590" stopIfTrue="1" operator="equal">
      <formula>"Napkin Hs"</formula>
    </cfRule>
    <cfRule type="cellIs" dxfId="19471" priority="7591" stopIfTrue="1" operator="equal">
      <formula>"Towel"</formula>
    </cfRule>
    <cfRule type="cellIs" dxfId="19470" priority="7592" stopIfTrue="1" operator="equal">
      <formula>"Napkin Hs"</formula>
    </cfRule>
  </conditionalFormatting>
  <conditionalFormatting sqref="B75:C76">
    <cfRule type="cellIs" dxfId="19469" priority="7549" stopIfTrue="1" operator="equal">
      <formula>"Towel"</formula>
    </cfRule>
    <cfRule type="cellIs" dxfId="19468" priority="7550" stopIfTrue="1" operator="equal">
      <formula>"Napkin Hs"</formula>
    </cfRule>
    <cfRule type="cellIs" dxfId="19467" priority="7555" stopIfTrue="1" operator="equal">
      <formula>"Towel"</formula>
    </cfRule>
    <cfRule type="cellIs" dxfId="19466" priority="7556" stopIfTrue="1" operator="equal">
      <formula>"Napkin Hs"</formula>
    </cfRule>
    <cfRule type="cellIs" dxfId="19465" priority="7561" stopIfTrue="1" operator="equal">
      <formula>"Towel"</formula>
    </cfRule>
    <cfRule type="cellIs" dxfId="19464" priority="7562" stopIfTrue="1" operator="equal">
      <formula>"Napkin Hs"</formula>
    </cfRule>
    <cfRule type="cellIs" dxfId="19463" priority="7567" stopIfTrue="1" operator="equal">
      <formula>"Towel"</formula>
    </cfRule>
    <cfRule type="cellIs" dxfId="19462" priority="7568" stopIfTrue="1" operator="equal">
      <formula>"Napkin Hs"</formula>
    </cfRule>
    <cfRule type="cellIs" dxfId="19461" priority="7573" stopIfTrue="1" operator="equal">
      <formula>"Towel"</formula>
    </cfRule>
    <cfRule type="cellIs" dxfId="19460" priority="7574" stopIfTrue="1" operator="equal">
      <formula>"Napkin Hs"</formula>
    </cfRule>
    <cfRule type="cellIs" dxfId="19459" priority="7579" stopIfTrue="1" operator="equal">
      <formula>"Towel"</formula>
    </cfRule>
    <cfRule type="cellIs" dxfId="19458" priority="7580" stopIfTrue="1" operator="equal">
      <formula>"Napkin Hs"</formula>
    </cfRule>
    <cfRule type="cellIs" dxfId="19457" priority="7585" stopIfTrue="1" operator="equal">
      <formula>"Towel"</formula>
    </cfRule>
    <cfRule type="cellIs" dxfId="19456" priority="7586" stopIfTrue="1" operator="equal">
      <formula>"Napkin Hs"</formula>
    </cfRule>
  </conditionalFormatting>
  <conditionalFormatting sqref="C75:C76">
    <cfRule type="cellIs" dxfId="19455" priority="7545" stopIfTrue="1" operator="equal">
      <formula>"Towel"</formula>
    </cfRule>
    <cfRule type="cellIs" dxfId="19454" priority="7546" stopIfTrue="1" operator="equal">
      <formula>"Napkin Hs"</formula>
    </cfRule>
    <cfRule type="cellIs" dxfId="19453" priority="7547" stopIfTrue="1" operator="equal">
      <formula>"Towel"</formula>
    </cfRule>
    <cfRule type="cellIs" dxfId="19452" priority="7548" stopIfTrue="1" operator="equal">
      <formula>"Napkin Hs"</formula>
    </cfRule>
    <cfRule type="cellIs" dxfId="19451" priority="7551" stopIfTrue="1" operator="equal">
      <formula>"Towel"</formula>
    </cfRule>
    <cfRule type="cellIs" dxfId="19450" priority="7552" stopIfTrue="1" operator="equal">
      <formula>"Napkin Hs"</formula>
    </cfRule>
    <cfRule type="cellIs" dxfId="19449" priority="7553" stopIfTrue="1" operator="equal">
      <formula>"Towel"</formula>
    </cfRule>
    <cfRule type="cellIs" dxfId="19448" priority="7554" stopIfTrue="1" operator="equal">
      <formula>"Napkin Hs"</formula>
    </cfRule>
    <cfRule type="cellIs" dxfId="19447" priority="7557" stopIfTrue="1" operator="equal">
      <formula>"Towel"</formula>
    </cfRule>
    <cfRule type="cellIs" dxfId="19446" priority="7558" stopIfTrue="1" operator="equal">
      <formula>"Napkin Hs"</formula>
    </cfRule>
    <cfRule type="cellIs" dxfId="19445" priority="7559" stopIfTrue="1" operator="equal">
      <formula>"Towel"</formula>
    </cfRule>
    <cfRule type="cellIs" dxfId="19444" priority="7560" stopIfTrue="1" operator="equal">
      <formula>"Napkin Hs"</formula>
    </cfRule>
    <cfRule type="cellIs" dxfId="19443" priority="7563" stopIfTrue="1" operator="equal">
      <formula>"Towel"</formula>
    </cfRule>
    <cfRule type="cellIs" dxfId="19442" priority="7564" stopIfTrue="1" operator="equal">
      <formula>"Napkin Hs"</formula>
    </cfRule>
    <cfRule type="cellIs" dxfId="19441" priority="7565" stopIfTrue="1" operator="equal">
      <formula>"Towel"</formula>
    </cfRule>
    <cfRule type="cellIs" dxfId="19440" priority="7566" stopIfTrue="1" operator="equal">
      <formula>"Napkin Hs"</formula>
    </cfRule>
    <cfRule type="cellIs" dxfId="19439" priority="7569" stopIfTrue="1" operator="equal">
      <formula>"Towel"</formula>
    </cfRule>
    <cfRule type="cellIs" dxfId="19438" priority="7570" stopIfTrue="1" operator="equal">
      <formula>"Napkin Hs"</formula>
    </cfRule>
    <cfRule type="cellIs" dxfId="19437" priority="7571" stopIfTrue="1" operator="equal">
      <formula>"Towel"</formula>
    </cfRule>
    <cfRule type="cellIs" dxfId="19436" priority="7572" stopIfTrue="1" operator="equal">
      <formula>"Napkin Hs"</formula>
    </cfRule>
    <cfRule type="cellIs" dxfId="19435" priority="7575" stopIfTrue="1" operator="equal">
      <formula>"Towel"</formula>
    </cfRule>
    <cfRule type="cellIs" dxfId="19434" priority="7576" stopIfTrue="1" operator="equal">
      <formula>"Napkin Hs"</formula>
    </cfRule>
    <cfRule type="cellIs" dxfId="19433" priority="7577" stopIfTrue="1" operator="equal">
      <formula>"Towel"</formula>
    </cfRule>
    <cfRule type="cellIs" dxfId="19432" priority="7578" stopIfTrue="1" operator="equal">
      <formula>"Napkin Hs"</formula>
    </cfRule>
    <cfRule type="cellIs" dxfId="19431" priority="7581" stopIfTrue="1" operator="equal">
      <formula>"Towel"</formula>
    </cfRule>
    <cfRule type="cellIs" dxfId="19430" priority="7582" stopIfTrue="1" operator="equal">
      <formula>"Napkin Hs"</formula>
    </cfRule>
  </conditionalFormatting>
  <conditionalFormatting sqref="C75:C76">
    <cfRule type="cellIs" dxfId="19429" priority="7583" stopIfTrue="1" operator="equal">
      <formula>"Towel"</formula>
    </cfRule>
    <cfRule type="cellIs" dxfId="19428" priority="7584" stopIfTrue="1" operator="equal">
      <formula>"Napkin Hs"</formula>
    </cfRule>
  </conditionalFormatting>
  <conditionalFormatting sqref="B75:C76">
    <cfRule type="cellIs" dxfId="19427" priority="7543" stopIfTrue="1" operator="equal">
      <formula>"Towel"</formula>
    </cfRule>
    <cfRule type="cellIs" dxfId="19426" priority="7544" stopIfTrue="1" operator="equal">
      <formula>"Napkin Hs"</formula>
    </cfRule>
  </conditionalFormatting>
  <conditionalFormatting sqref="B75:C76">
    <cfRule type="cellIs" dxfId="19425" priority="7507" stopIfTrue="1" operator="equal">
      <formula>"Towel"</formula>
    </cfRule>
    <cfRule type="cellIs" dxfId="19424" priority="7508" stopIfTrue="1" operator="equal">
      <formula>"Napkin Hs"</formula>
    </cfRule>
    <cfRule type="cellIs" dxfId="19423" priority="7513" stopIfTrue="1" operator="equal">
      <formula>"Towel"</formula>
    </cfRule>
    <cfRule type="cellIs" dxfId="19422" priority="7514" stopIfTrue="1" operator="equal">
      <formula>"Napkin Hs"</formula>
    </cfRule>
    <cfRule type="cellIs" dxfId="19421" priority="7519" stopIfTrue="1" operator="equal">
      <formula>"Towel"</formula>
    </cfRule>
    <cfRule type="cellIs" dxfId="19420" priority="7520" stopIfTrue="1" operator="equal">
      <formula>"Napkin Hs"</formula>
    </cfRule>
    <cfRule type="cellIs" dxfId="19419" priority="7525" stopIfTrue="1" operator="equal">
      <formula>"Towel"</formula>
    </cfRule>
    <cfRule type="cellIs" dxfId="19418" priority="7526" stopIfTrue="1" operator="equal">
      <formula>"Napkin Hs"</formula>
    </cfRule>
    <cfRule type="cellIs" dxfId="19417" priority="7531" stopIfTrue="1" operator="equal">
      <formula>"Towel"</formula>
    </cfRule>
    <cfRule type="cellIs" dxfId="19416" priority="7532" stopIfTrue="1" operator="equal">
      <formula>"Napkin Hs"</formula>
    </cfRule>
    <cfRule type="cellIs" dxfId="19415" priority="7537" stopIfTrue="1" operator="equal">
      <formula>"Towel"</formula>
    </cfRule>
    <cfRule type="cellIs" dxfId="19414" priority="7538" stopIfTrue="1" operator="equal">
      <formula>"Napkin Hs"</formula>
    </cfRule>
  </conditionalFormatting>
  <conditionalFormatting sqref="C75:C76">
    <cfRule type="cellIs" dxfId="19413" priority="7542" stopIfTrue="1" operator="equal">
      <formula>"Napkin Hs"</formula>
    </cfRule>
  </conditionalFormatting>
  <conditionalFormatting sqref="C75:C76">
    <cfRule type="cellIs" dxfId="19412" priority="7541" stopIfTrue="1" operator="equal">
      <formula>"Towel"</formula>
    </cfRule>
  </conditionalFormatting>
  <conditionalFormatting sqref="C75:C76">
    <cfRule type="cellIs" dxfId="19411" priority="7535" stopIfTrue="1" operator="equal">
      <formula>"Towel"</formula>
    </cfRule>
    <cfRule type="cellIs" dxfId="19410" priority="7536" stopIfTrue="1" operator="equal">
      <formula>"Napkin Hs"</formula>
    </cfRule>
  </conditionalFormatting>
  <conditionalFormatting sqref="C75:C76">
    <cfRule type="cellIs" dxfId="19409" priority="7533" stopIfTrue="1" operator="equal">
      <formula>"Towel"</formula>
    </cfRule>
    <cfRule type="cellIs" dxfId="19408" priority="7534" stopIfTrue="1" operator="equal">
      <formula>"Napkin Hs"</formula>
    </cfRule>
    <cfRule type="cellIs" dxfId="19407" priority="7539" stopIfTrue="1" operator="equal">
      <formula>"Towel"</formula>
    </cfRule>
    <cfRule type="cellIs" dxfId="19406" priority="7540" stopIfTrue="1" operator="equal">
      <formula>"Napkin Hs"</formula>
    </cfRule>
  </conditionalFormatting>
  <conditionalFormatting sqref="C75:C76">
    <cfRule type="cellIs" dxfId="19405" priority="7505" stopIfTrue="1" operator="equal">
      <formula>"Towel"</formula>
    </cfRule>
    <cfRule type="cellIs" dxfId="19404" priority="7506" stopIfTrue="1" operator="equal">
      <formula>"Napkin Hs"</formula>
    </cfRule>
    <cfRule type="cellIs" dxfId="19403" priority="7509" stopIfTrue="1" operator="equal">
      <formula>"Towel"</formula>
    </cfRule>
    <cfRule type="cellIs" dxfId="19402" priority="7510" stopIfTrue="1" operator="equal">
      <formula>"Napkin Hs"</formula>
    </cfRule>
    <cfRule type="cellIs" dxfId="19401" priority="7511" stopIfTrue="1" operator="equal">
      <formula>"Towel"</formula>
    </cfRule>
    <cfRule type="cellIs" dxfId="19400" priority="7512" stopIfTrue="1" operator="equal">
      <formula>"Napkin Hs"</formula>
    </cfRule>
    <cfRule type="cellIs" dxfId="19399" priority="7515" stopIfTrue="1" operator="equal">
      <formula>"Towel"</formula>
    </cfRule>
    <cfRule type="cellIs" dxfId="19398" priority="7516" stopIfTrue="1" operator="equal">
      <formula>"Napkin Hs"</formula>
    </cfRule>
    <cfRule type="cellIs" dxfId="19397" priority="7517" stopIfTrue="1" operator="equal">
      <formula>"Towel"</formula>
    </cfRule>
    <cfRule type="cellIs" dxfId="19396" priority="7518" stopIfTrue="1" operator="equal">
      <formula>"Napkin Hs"</formula>
    </cfRule>
    <cfRule type="cellIs" dxfId="19395" priority="7521" stopIfTrue="1" operator="equal">
      <formula>"Towel"</formula>
    </cfRule>
    <cfRule type="cellIs" dxfId="19394" priority="7522" stopIfTrue="1" operator="equal">
      <formula>"Napkin Hs"</formula>
    </cfRule>
    <cfRule type="cellIs" dxfId="19393" priority="7523" stopIfTrue="1" operator="equal">
      <formula>"Towel"</formula>
    </cfRule>
    <cfRule type="cellIs" dxfId="19392" priority="7524" stopIfTrue="1" operator="equal">
      <formula>"Napkin Hs"</formula>
    </cfRule>
    <cfRule type="cellIs" dxfId="19391" priority="7527" stopIfTrue="1" operator="equal">
      <formula>"Towel"</formula>
    </cfRule>
    <cfRule type="cellIs" dxfId="19390" priority="7528" stopIfTrue="1" operator="equal">
      <formula>"Napkin Hs"</formula>
    </cfRule>
    <cfRule type="cellIs" dxfId="19389" priority="7529" stopIfTrue="1" operator="equal">
      <formula>"Towel"</formula>
    </cfRule>
    <cfRule type="cellIs" dxfId="19388" priority="7530" stopIfTrue="1" operator="equal">
      <formula>"Napkin Hs"</formula>
    </cfRule>
  </conditionalFormatting>
  <conditionalFormatting sqref="C75:C76">
    <cfRule type="cellIs" dxfId="19387" priority="7503" stopIfTrue="1" operator="equal">
      <formula>"Towel"</formula>
    </cfRule>
    <cfRule type="cellIs" dxfId="19386" priority="7504" stopIfTrue="1" operator="equal">
      <formula>"Napkin Hs"</formula>
    </cfRule>
  </conditionalFormatting>
  <conditionalFormatting sqref="C75:C76">
    <cfRule type="cellIs" dxfId="19385" priority="7483" stopIfTrue="1" operator="equal">
      <formula>"Towel"</formula>
    </cfRule>
    <cfRule type="cellIs" dxfId="19384" priority="7484" stopIfTrue="1" operator="equal">
      <formula>"Napkin Hs"</formula>
    </cfRule>
    <cfRule type="cellIs" dxfId="19383" priority="7489" stopIfTrue="1" operator="equal">
      <formula>"Towel"</formula>
    </cfRule>
    <cfRule type="cellIs" dxfId="19382" priority="7490" stopIfTrue="1" operator="equal">
      <formula>"Napkin Hs"</formula>
    </cfRule>
    <cfRule type="cellIs" dxfId="19381" priority="7495" stopIfTrue="1" operator="equal">
      <formula>"Towel"</formula>
    </cfRule>
    <cfRule type="cellIs" dxfId="19380" priority="7496" stopIfTrue="1" operator="equal">
      <formula>"Napkin Hs"</formula>
    </cfRule>
    <cfRule type="cellIs" dxfId="19379" priority="7501" stopIfTrue="1" operator="equal">
      <formula>"Towel"</formula>
    </cfRule>
    <cfRule type="cellIs" dxfId="19378" priority="7502" stopIfTrue="1" operator="equal">
      <formula>"Napkin Hs"</formula>
    </cfRule>
  </conditionalFormatting>
  <conditionalFormatting sqref="C75:C76">
    <cfRule type="cellIs" dxfId="19377" priority="7493" stopIfTrue="1" operator="equal">
      <formula>"Towel"</formula>
    </cfRule>
    <cfRule type="cellIs" dxfId="19376" priority="7494" stopIfTrue="1" operator="equal">
      <formula>"Napkin Hs"</formula>
    </cfRule>
    <cfRule type="cellIs" dxfId="19375" priority="7499" stopIfTrue="1" operator="equal">
      <formula>"Towel"</formula>
    </cfRule>
    <cfRule type="cellIs" dxfId="19374" priority="7500" stopIfTrue="1" operator="equal">
      <formula>"Napkin Hs"</formula>
    </cfRule>
  </conditionalFormatting>
  <conditionalFormatting sqref="C75:C76">
    <cfRule type="cellIs" dxfId="19373" priority="7479" stopIfTrue="1" operator="equal">
      <formula>"Towel"</formula>
    </cfRule>
    <cfRule type="cellIs" dxfId="19372" priority="7480" stopIfTrue="1" operator="equal">
      <formula>"Napkin Hs"</formula>
    </cfRule>
    <cfRule type="cellIs" dxfId="19371" priority="7487" stopIfTrue="1" operator="equal">
      <formula>"Towel"</formula>
    </cfRule>
    <cfRule type="cellIs" dxfId="19370" priority="7488" stopIfTrue="1" operator="equal">
      <formula>"Napkin Hs"</formula>
    </cfRule>
    <cfRule type="cellIs" dxfId="19369" priority="7491" stopIfTrue="1" operator="equal">
      <formula>"Towel"</formula>
    </cfRule>
    <cfRule type="cellIs" dxfId="19368" priority="7492" stopIfTrue="1" operator="equal">
      <formula>"Napkin Hs"</formula>
    </cfRule>
  </conditionalFormatting>
  <conditionalFormatting sqref="C75:C76">
    <cfRule type="cellIs" dxfId="19367" priority="7481" stopIfTrue="1" operator="equal">
      <formula>"Towel"</formula>
    </cfRule>
    <cfRule type="cellIs" dxfId="19366" priority="7482" stopIfTrue="1" operator="equal">
      <formula>"Napkin Hs"</formula>
    </cfRule>
    <cfRule type="cellIs" dxfId="19365" priority="7485" stopIfTrue="1" operator="equal">
      <formula>"Towel"</formula>
    </cfRule>
    <cfRule type="cellIs" dxfId="19364" priority="7486" stopIfTrue="1" operator="equal">
      <formula>"Napkin Hs"</formula>
    </cfRule>
    <cfRule type="cellIs" dxfId="19363" priority="7497" stopIfTrue="1" operator="equal">
      <formula>"Towel"</formula>
    </cfRule>
    <cfRule type="cellIs" dxfId="19362" priority="7498" stopIfTrue="1" operator="equal">
      <formula>"Napkin Hs"</formula>
    </cfRule>
  </conditionalFormatting>
  <conditionalFormatting sqref="C75:C76">
    <cfRule type="cellIs" dxfId="19361" priority="7477" stopIfTrue="1" operator="equal">
      <formula>"Towel"</formula>
    </cfRule>
    <cfRule type="cellIs" dxfId="19360" priority="7478" stopIfTrue="1" operator="equal">
      <formula>"Napkin Hs"</formula>
    </cfRule>
  </conditionalFormatting>
  <conditionalFormatting sqref="C75:C76">
    <cfRule type="cellIs" dxfId="19359" priority="7473" stopIfTrue="1" operator="equal">
      <formula>"Towel"</formula>
    </cfRule>
    <cfRule type="cellIs" dxfId="19358" priority="7474" stopIfTrue="1" operator="equal">
      <formula>"Napkin Hs"</formula>
    </cfRule>
  </conditionalFormatting>
  <conditionalFormatting sqref="C75:C76">
    <cfRule type="cellIs" dxfId="19357" priority="7475" stopIfTrue="1" operator="equal">
      <formula>"Towel"</formula>
    </cfRule>
    <cfRule type="cellIs" dxfId="19356" priority="7476" stopIfTrue="1" operator="equal">
      <formula>"Napkin Hs"</formula>
    </cfRule>
  </conditionalFormatting>
  <conditionalFormatting sqref="C75:C76">
    <cfRule type="cellIs" dxfId="19355" priority="7471" stopIfTrue="1" operator="equal">
      <formula>"Towel"</formula>
    </cfRule>
    <cfRule type="cellIs" dxfId="19354" priority="7472" stopIfTrue="1" operator="equal">
      <formula>"Napkin Hs"</formula>
    </cfRule>
  </conditionalFormatting>
  <conditionalFormatting sqref="C75:C76">
    <cfRule type="cellIs" dxfId="19353" priority="7467" stopIfTrue="1" operator="equal">
      <formula>"Towel"</formula>
    </cfRule>
    <cfRule type="cellIs" dxfId="19352" priority="7468" stopIfTrue="1" operator="equal">
      <formula>"Napkin Hs"</formula>
    </cfRule>
  </conditionalFormatting>
  <conditionalFormatting sqref="C75:C76">
    <cfRule type="cellIs" dxfId="19351" priority="7469" stopIfTrue="1" operator="equal">
      <formula>"Towel"</formula>
    </cfRule>
    <cfRule type="cellIs" dxfId="19350" priority="7470" stopIfTrue="1" operator="equal">
      <formula>"Napkin Hs"</formula>
    </cfRule>
  </conditionalFormatting>
  <conditionalFormatting sqref="C75:C76">
    <cfRule type="cellIs" dxfId="19349" priority="7465" stopIfTrue="1" operator="equal">
      <formula>"Towel"</formula>
    </cfRule>
    <cfRule type="cellIs" dxfId="19348" priority="7466" stopIfTrue="1" operator="equal">
      <formula>"Napkin Hs"</formula>
    </cfRule>
  </conditionalFormatting>
  <conditionalFormatting sqref="C75:C76">
    <cfRule type="cellIs" dxfId="19347" priority="7461" stopIfTrue="1" operator="equal">
      <formula>"Towel"</formula>
    </cfRule>
    <cfRule type="cellIs" dxfId="19346" priority="7462" stopIfTrue="1" operator="equal">
      <formula>"Napkin Hs"</formula>
    </cfRule>
  </conditionalFormatting>
  <conditionalFormatting sqref="C75:C76">
    <cfRule type="cellIs" dxfId="19345" priority="7463" stopIfTrue="1" operator="equal">
      <formula>"Towel"</formula>
    </cfRule>
    <cfRule type="cellIs" dxfId="19344" priority="7464" stopIfTrue="1" operator="equal">
      <formula>"Napkin Hs"</formula>
    </cfRule>
  </conditionalFormatting>
  <conditionalFormatting sqref="C75:C76">
    <cfRule type="cellIs" dxfId="19343" priority="7459" stopIfTrue="1" operator="equal">
      <formula>"Towel"</formula>
    </cfRule>
    <cfRule type="cellIs" dxfId="19342" priority="7460" stopIfTrue="1" operator="equal">
      <formula>"Napkin Hs"</formula>
    </cfRule>
  </conditionalFormatting>
  <conditionalFormatting sqref="C75:C76">
    <cfRule type="cellIs" dxfId="19341" priority="7457" stopIfTrue="1" operator="equal">
      <formula>"Towel"</formula>
    </cfRule>
    <cfRule type="cellIs" dxfId="19340" priority="7458" stopIfTrue="1" operator="equal">
      <formula>"Napkin Hs"</formula>
    </cfRule>
  </conditionalFormatting>
  <conditionalFormatting sqref="C75:C76">
    <cfRule type="cellIs" dxfId="19339" priority="7455" stopIfTrue="1" operator="equal">
      <formula>"Towel"</formula>
    </cfRule>
    <cfRule type="cellIs" dxfId="19338" priority="7456" stopIfTrue="1" operator="equal">
      <formula>"Napkin Hs"</formula>
    </cfRule>
  </conditionalFormatting>
  <conditionalFormatting sqref="C75:C76">
    <cfRule type="cellIs" dxfId="19337" priority="7453" stopIfTrue="1" operator="equal">
      <formula>"Towel"</formula>
    </cfRule>
    <cfRule type="cellIs" dxfId="19336" priority="7454" stopIfTrue="1" operator="equal">
      <formula>"Napkin Hs"</formula>
    </cfRule>
  </conditionalFormatting>
  <conditionalFormatting sqref="C75:C76">
    <cfRule type="cellIs" dxfId="19335" priority="7452" stopIfTrue="1" operator="equal">
      <formula>"Napkin Hs"</formula>
    </cfRule>
  </conditionalFormatting>
  <conditionalFormatting sqref="C75:C76">
    <cfRule type="cellIs" dxfId="19334" priority="7449" stopIfTrue="1" operator="equal">
      <formula>"Towel"</formula>
    </cfRule>
    <cfRule type="cellIs" dxfId="19333" priority="7450" stopIfTrue="1" operator="equal">
      <formula>"Napkin Hs"</formula>
    </cfRule>
  </conditionalFormatting>
  <conditionalFormatting sqref="C75:C76">
    <cfRule type="cellIs" dxfId="19332" priority="7451" stopIfTrue="1" operator="equal">
      <formula>"Towel"</formula>
    </cfRule>
  </conditionalFormatting>
  <conditionalFormatting sqref="B75:B76">
    <cfRule type="cellIs" dxfId="19331" priority="7447" stopIfTrue="1" operator="equal">
      <formula>"Towel"</formula>
    </cfRule>
    <cfRule type="cellIs" dxfId="19330" priority="7448" stopIfTrue="1" operator="equal">
      <formula>"Napkin Hs"</formula>
    </cfRule>
  </conditionalFormatting>
  <conditionalFormatting sqref="B75:B76">
    <cfRule type="cellIs" dxfId="19329" priority="7445" stopIfTrue="1" operator="equal">
      <formula>"Towel"</formula>
    </cfRule>
    <cfRule type="cellIs" dxfId="19328" priority="7446" stopIfTrue="1" operator="equal">
      <formula>"Napkin Hs"</formula>
    </cfRule>
  </conditionalFormatting>
  <conditionalFormatting sqref="B75:B76">
    <cfRule type="cellIs" dxfId="19327" priority="7443" stopIfTrue="1" operator="equal">
      <formula>"Towel"</formula>
    </cfRule>
    <cfRule type="cellIs" dxfId="19326" priority="7444" stopIfTrue="1" operator="equal">
      <formula>"Napkin Hs"</formula>
    </cfRule>
  </conditionalFormatting>
  <conditionalFormatting sqref="B75:B76">
    <cfRule type="cellIs" dxfId="19325" priority="7441" stopIfTrue="1" operator="equal">
      <formula>"Towel"</formula>
    </cfRule>
    <cfRule type="cellIs" dxfId="19324" priority="7442" stopIfTrue="1" operator="equal">
      <formula>"Napkin Hs"</formula>
    </cfRule>
  </conditionalFormatting>
  <conditionalFormatting sqref="B75:B76">
    <cfRule type="cellIs" dxfId="19323" priority="7439" stopIfTrue="1" operator="equal">
      <formula>"Towel"</formula>
    </cfRule>
    <cfRule type="cellIs" dxfId="19322" priority="7440" stopIfTrue="1" operator="equal">
      <formula>"Napkin Hs"</formula>
    </cfRule>
  </conditionalFormatting>
  <conditionalFormatting sqref="B75:B76">
    <cfRule type="cellIs" dxfId="19321" priority="7437" stopIfTrue="1" operator="equal">
      <formula>"Towel"</formula>
    </cfRule>
    <cfRule type="cellIs" dxfId="19320" priority="7438" stopIfTrue="1" operator="equal">
      <formula>"Napkin Hs"</formula>
    </cfRule>
  </conditionalFormatting>
  <conditionalFormatting sqref="B75:B76">
    <cfRule type="cellIs" dxfId="19319" priority="7433" stopIfTrue="1" operator="equal">
      <formula>"Towel"</formula>
    </cfRule>
    <cfRule type="cellIs" dxfId="19318" priority="7434" stopIfTrue="1" operator="equal">
      <formula>"Napkin Hs"</formula>
    </cfRule>
    <cfRule type="cellIs" dxfId="19317" priority="7435" stopIfTrue="1" operator="equal">
      <formula>"Towel"</formula>
    </cfRule>
    <cfRule type="cellIs" dxfId="19316" priority="7436" stopIfTrue="1" operator="equal">
      <formula>"Napkin Hs"</formula>
    </cfRule>
  </conditionalFormatting>
  <conditionalFormatting sqref="B75:B76">
    <cfRule type="cellIs" dxfId="19315" priority="7431" stopIfTrue="1" operator="equal">
      <formula>"Towel"</formula>
    </cfRule>
    <cfRule type="cellIs" dxfId="19314" priority="7432" stopIfTrue="1" operator="equal">
      <formula>"Napkin Hs"</formula>
    </cfRule>
  </conditionalFormatting>
  <conditionalFormatting sqref="B75:B76">
    <cfRule type="cellIs" dxfId="19313" priority="7429" stopIfTrue="1" operator="equal">
      <formula>"Towel"</formula>
    </cfRule>
    <cfRule type="cellIs" dxfId="19312" priority="7430" stopIfTrue="1" operator="equal">
      <formula>"Napkin Hs"</formula>
    </cfRule>
  </conditionalFormatting>
  <conditionalFormatting sqref="B75:B76">
    <cfRule type="cellIs" dxfId="19311" priority="7427" stopIfTrue="1" operator="equal">
      <formula>"Towel"</formula>
    </cfRule>
    <cfRule type="cellIs" dxfId="19310" priority="7428" stopIfTrue="1" operator="equal">
      <formula>"Napkin Hs"</formula>
    </cfRule>
  </conditionalFormatting>
  <conditionalFormatting sqref="B75:B76">
    <cfRule type="cellIs" dxfId="19309" priority="7425" stopIfTrue="1" operator="equal">
      <formula>"Towel"</formula>
    </cfRule>
    <cfRule type="cellIs" dxfId="19308" priority="7426" stopIfTrue="1" operator="equal">
      <formula>"Napkin Hs"</formula>
    </cfRule>
  </conditionalFormatting>
  <conditionalFormatting sqref="B75:B76">
    <cfRule type="cellIs" dxfId="19307" priority="7423" stopIfTrue="1" operator="equal">
      <formula>"Towel"</formula>
    </cfRule>
    <cfRule type="cellIs" dxfId="19306" priority="7424" stopIfTrue="1" operator="equal">
      <formula>"Napkin Hs"</formula>
    </cfRule>
  </conditionalFormatting>
  <conditionalFormatting sqref="B75:C76">
    <cfRule type="cellIs" dxfId="19305" priority="7409" stopIfTrue="1" operator="equal">
      <formula>"Towel"</formula>
    </cfRule>
    <cfRule type="cellIs" dxfId="19304" priority="7410" stopIfTrue="1" operator="equal">
      <formula>"Napkin Hs"</formula>
    </cfRule>
    <cfRule type="cellIs" dxfId="19303" priority="7415" stopIfTrue="1" operator="equal">
      <formula>"Towel"</formula>
    </cfRule>
    <cfRule type="cellIs" dxfId="19302" priority="7416" stopIfTrue="1" operator="equal">
      <formula>"Napkin Hs"</formula>
    </cfRule>
    <cfRule type="cellIs" dxfId="19301" priority="7421" stopIfTrue="1" operator="equal">
      <formula>"Towel"</formula>
    </cfRule>
    <cfRule type="cellIs" dxfId="19300" priority="7422" stopIfTrue="1" operator="equal">
      <formula>"Napkin Hs"</formula>
    </cfRule>
  </conditionalFormatting>
  <conditionalFormatting sqref="C75:C76">
    <cfRule type="cellIs" dxfId="19299" priority="7403" stopIfTrue="1" operator="equal">
      <formula>"Towel"</formula>
    </cfRule>
    <cfRule type="cellIs" dxfId="19298" priority="7404" stopIfTrue="1" operator="equal">
      <formula>"Napkin Hs"</formula>
    </cfRule>
    <cfRule type="cellIs" dxfId="19297" priority="7405" stopIfTrue="1" operator="equal">
      <formula>"Towel"</formula>
    </cfRule>
    <cfRule type="cellIs" dxfId="19296" priority="7406" stopIfTrue="1" operator="equal">
      <formula>"Napkin Hs"</formula>
    </cfRule>
    <cfRule type="cellIs" dxfId="19295" priority="7413" stopIfTrue="1" operator="equal">
      <formula>"Towel"</formula>
    </cfRule>
    <cfRule type="cellIs" dxfId="19294" priority="7414" stopIfTrue="1" operator="equal">
      <formula>"Napkin Hs"</formula>
    </cfRule>
    <cfRule type="cellIs" dxfId="19293" priority="7417" stopIfTrue="1" operator="equal">
      <formula>"Towel"</formula>
    </cfRule>
    <cfRule type="cellIs" dxfId="19292" priority="7418" stopIfTrue="1" operator="equal">
      <formula>"Napkin Hs"</formula>
    </cfRule>
  </conditionalFormatting>
  <conditionalFormatting sqref="C75:C76">
    <cfRule type="cellIs" dxfId="19291" priority="7407" stopIfTrue="1" operator="equal">
      <formula>"Towel"</formula>
    </cfRule>
    <cfRule type="cellIs" dxfId="19290" priority="7408" stopIfTrue="1" operator="equal">
      <formula>"Napkin Hs"</formula>
    </cfRule>
    <cfRule type="cellIs" dxfId="19289" priority="7411" stopIfTrue="1" operator="equal">
      <formula>"Towel"</formula>
    </cfRule>
    <cfRule type="cellIs" dxfId="19288" priority="7412" stopIfTrue="1" operator="equal">
      <formula>"Napkin Hs"</formula>
    </cfRule>
    <cfRule type="cellIs" dxfId="19287" priority="7419" stopIfTrue="1" operator="equal">
      <formula>"Towel"</formula>
    </cfRule>
    <cfRule type="cellIs" dxfId="19286" priority="7420" stopIfTrue="1" operator="equal">
      <formula>"Napkin Hs"</formula>
    </cfRule>
  </conditionalFormatting>
  <conditionalFormatting sqref="B75:C76">
    <cfRule type="cellIs" dxfId="19285" priority="7401" stopIfTrue="1" operator="equal">
      <formula>"Towel"</formula>
    </cfRule>
    <cfRule type="cellIs" dxfId="19284" priority="7402" stopIfTrue="1" operator="equal">
      <formula>"Napkin Hs"</formula>
    </cfRule>
  </conditionalFormatting>
  <conditionalFormatting sqref="B75:C76">
    <cfRule type="cellIs" dxfId="19283" priority="7393" stopIfTrue="1" operator="equal">
      <formula>"Towel"</formula>
    </cfRule>
    <cfRule type="cellIs" dxfId="19282" priority="7394" stopIfTrue="1" operator="equal">
      <formula>"Napkin Hs"</formula>
    </cfRule>
    <cfRule type="cellIs" dxfId="19281" priority="7399" stopIfTrue="1" operator="equal">
      <formula>"Towel"</formula>
    </cfRule>
    <cfRule type="cellIs" dxfId="19280" priority="7400" stopIfTrue="1" operator="equal">
      <formula>"Napkin Hs"</formula>
    </cfRule>
  </conditionalFormatting>
  <conditionalFormatting sqref="C75:C76">
    <cfRule type="cellIs" dxfId="19279" priority="7389" stopIfTrue="1" operator="equal">
      <formula>"Towel"</formula>
    </cfRule>
    <cfRule type="cellIs" dxfId="19278" priority="7390" stopIfTrue="1" operator="equal">
      <formula>"Napkin Hs"</formula>
    </cfRule>
  </conditionalFormatting>
  <conditionalFormatting sqref="C75:C76">
    <cfRule type="cellIs" dxfId="19277" priority="7387" stopIfTrue="1" operator="equal">
      <formula>"Towel"</formula>
    </cfRule>
    <cfRule type="cellIs" dxfId="19276" priority="7388" stopIfTrue="1" operator="equal">
      <formula>"Napkin Hs"</formula>
    </cfRule>
    <cfRule type="cellIs" dxfId="19275" priority="7397" stopIfTrue="1" operator="equal">
      <formula>"Towel"</formula>
    </cfRule>
    <cfRule type="cellIs" dxfId="19274" priority="7398" stopIfTrue="1" operator="equal">
      <formula>"Napkin Hs"</formula>
    </cfRule>
  </conditionalFormatting>
  <conditionalFormatting sqref="C75:C76">
    <cfRule type="cellIs" dxfId="19273" priority="7391" stopIfTrue="1" operator="equal">
      <formula>"Towel"</formula>
    </cfRule>
    <cfRule type="cellIs" dxfId="19272" priority="7392" stopIfTrue="1" operator="equal">
      <formula>"Napkin Hs"</formula>
    </cfRule>
    <cfRule type="cellIs" dxfId="19271" priority="7395" stopIfTrue="1" operator="equal">
      <formula>"Towel"</formula>
    </cfRule>
    <cfRule type="cellIs" dxfId="19270" priority="7396" stopIfTrue="1" operator="equal">
      <formula>"Napkin Hs"</formula>
    </cfRule>
  </conditionalFormatting>
  <conditionalFormatting sqref="C75:C76">
    <cfRule type="cellIs" dxfId="19269" priority="7386" stopIfTrue="1" operator="equal">
      <formula>"Napkin Hs"</formula>
    </cfRule>
  </conditionalFormatting>
  <conditionalFormatting sqref="C75:C76">
    <cfRule type="cellIs" dxfId="19268" priority="7385" stopIfTrue="1" operator="equal">
      <formula>"Towel"</formula>
    </cfRule>
  </conditionalFormatting>
  <conditionalFormatting sqref="C75:C76">
    <cfRule type="cellIs" dxfId="19267" priority="7381" stopIfTrue="1" operator="equal">
      <formula>"Towel"</formula>
    </cfRule>
    <cfRule type="cellIs" dxfId="19266" priority="7382" stopIfTrue="1" operator="equal">
      <formula>"Napkin Hs"</formula>
    </cfRule>
    <cfRule type="cellIs" dxfId="19265" priority="7383" stopIfTrue="1" operator="equal">
      <formula>"Towel"</formula>
    </cfRule>
    <cfRule type="cellIs" dxfId="19264" priority="7384" stopIfTrue="1" operator="equal">
      <formula>"Napkin Hs"</formula>
    </cfRule>
  </conditionalFormatting>
  <conditionalFormatting sqref="B75:C76">
    <cfRule type="cellIs" dxfId="19263" priority="7379" stopIfTrue="1" operator="equal">
      <formula>"Towel"</formula>
    </cfRule>
    <cfRule type="cellIs" dxfId="19262" priority="7380" stopIfTrue="1" operator="equal">
      <formula>"Napkin Hs"</formula>
    </cfRule>
  </conditionalFormatting>
  <conditionalFormatting sqref="C75:C76">
    <cfRule type="cellIs" dxfId="19261" priority="7375" stopIfTrue="1" operator="equal">
      <formula>"Towel"</formula>
    </cfRule>
    <cfRule type="cellIs" dxfId="19260" priority="7376" stopIfTrue="1" operator="equal">
      <formula>"Napkin Hs"</formula>
    </cfRule>
  </conditionalFormatting>
  <conditionalFormatting sqref="C75:C76">
    <cfRule type="cellIs" dxfId="19259" priority="7377" stopIfTrue="1" operator="equal">
      <formula>"Towel"</formula>
    </cfRule>
    <cfRule type="cellIs" dxfId="19258" priority="7378" stopIfTrue="1" operator="equal">
      <formula>"Napkin Hs"</formula>
    </cfRule>
  </conditionalFormatting>
  <conditionalFormatting sqref="B75:C76">
    <cfRule type="cellIs" dxfId="19257" priority="7373" stopIfTrue="1" operator="equal">
      <formula>"Towel"</formula>
    </cfRule>
    <cfRule type="cellIs" dxfId="19256" priority="7374" stopIfTrue="1" operator="equal">
      <formula>"Napkin Hs"</formula>
    </cfRule>
  </conditionalFormatting>
  <conditionalFormatting sqref="C75:C76">
    <cfRule type="cellIs" dxfId="19255" priority="7369" stopIfTrue="1" operator="equal">
      <formula>"Towel"</formula>
    </cfRule>
    <cfRule type="cellIs" dxfId="19254" priority="7370" stopIfTrue="1" operator="equal">
      <formula>"Napkin Hs"</formula>
    </cfRule>
  </conditionalFormatting>
  <conditionalFormatting sqref="C75:C76">
    <cfRule type="cellIs" dxfId="19253" priority="7371" stopIfTrue="1" operator="equal">
      <formula>"Towel"</formula>
    </cfRule>
    <cfRule type="cellIs" dxfId="19252" priority="7372" stopIfTrue="1" operator="equal">
      <formula>"Napkin Hs"</formula>
    </cfRule>
  </conditionalFormatting>
  <conditionalFormatting sqref="B75:C76">
    <cfRule type="cellIs" dxfId="19251" priority="7367" stopIfTrue="1" operator="equal">
      <formula>"Towel"</formula>
    </cfRule>
    <cfRule type="cellIs" dxfId="19250" priority="7368" stopIfTrue="1" operator="equal">
      <formula>"Napkin Hs"</formula>
    </cfRule>
  </conditionalFormatting>
  <conditionalFormatting sqref="C75:C76">
    <cfRule type="cellIs" dxfId="19249" priority="7363" stopIfTrue="1" operator="equal">
      <formula>"Towel"</formula>
    </cfRule>
    <cfRule type="cellIs" dxfId="19248" priority="7364" stopIfTrue="1" operator="equal">
      <formula>"Napkin Hs"</formula>
    </cfRule>
  </conditionalFormatting>
  <conditionalFormatting sqref="C75:C76">
    <cfRule type="cellIs" dxfId="19247" priority="7365" stopIfTrue="1" operator="equal">
      <formula>"Towel"</formula>
    </cfRule>
    <cfRule type="cellIs" dxfId="19246" priority="7366" stopIfTrue="1" operator="equal">
      <formula>"Napkin Hs"</formula>
    </cfRule>
  </conditionalFormatting>
  <conditionalFormatting sqref="B75:C76">
    <cfRule type="cellIs" dxfId="19245" priority="7361" stopIfTrue="1" operator="equal">
      <formula>"Towel"</formula>
    </cfRule>
    <cfRule type="cellIs" dxfId="19244" priority="7362" stopIfTrue="1" operator="equal">
      <formula>"Napkin Hs"</formula>
    </cfRule>
  </conditionalFormatting>
  <conditionalFormatting sqref="C75:C76">
    <cfRule type="cellIs" dxfId="19243" priority="7359" stopIfTrue="1" operator="equal">
      <formula>"Towel"</formula>
    </cfRule>
    <cfRule type="cellIs" dxfId="19242" priority="7360" stopIfTrue="1" operator="equal">
      <formula>"Napkin Hs"</formula>
    </cfRule>
  </conditionalFormatting>
  <conditionalFormatting sqref="C75:C76">
    <cfRule type="cellIs" dxfId="19241" priority="7357" stopIfTrue="1" operator="equal">
      <formula>"Towel"</formula>
    </cfRule>
    <cfRule type="cellIs" dxfId="19240" priority="7358" stopIfTrue="1" operator="equal">
      <formula>"Napkin Hs"</formula>
    </cfRule>
  </conditionalFormatting>
  <conditionalFormatting sqref="B75:C76">
    <cfRule type="cellIs" dxfId="19239" priority="7355" stopIfTrue="1" operator="equal">
      <formula>"Towel"</formula>
    </cfRule>
    <cfRule type="cellIs" dxfId="19238" priority="7356" stopIfTrue="1" operator="equal">
      <formula>"Napkin Hs"</formula>
    </cfRule>
  </conditionalFormatting>
  <conditionalFormatting sqref="C75:C76">
    <cfRule type="cellIs" dxfId="19237" priority="7354" stopIfTrue="1" operator="equal">
      <formula>"Napkin Hs"</formula>
    </cfRule>
  </conditionalFormatting>
  <conditionalFormatting sqref="C75:C76">
    <cfRule type="cellIs" dxfId="19236" priority="7351" stopIfTrue="1" operator="equal">
      <formula>"Towel"</formula>
    </cfRule>
    <cfRule type="cellIs" dxfId="19235" priority="7352" stopIfTrue="1" operator="equal">
      <formula>"Napkin Hs"</formula>
    </cfRule>
  </conditionalFormatting>
  <conditionalFormatting sqref="C75:C76">
    <cfRule type="cellIs" dxfId="19234" priority="7353" stopIfTrue="1" operator="equal">
      <formula>"Towel"</formula>
    </cfRule>
  </conditionalFormatting>
  <conditionalFormatting sqref="B82:C82">
    <cfRule type="cellIs" dxfId="19233" priority="7319" stopIfTrue="1" operator="equal">
      <formula>"Towel"</formula>
    </cfRule>
    <cfRule type="cellIs" dxfId="19232" priority="7320" stopIfTrue="1" operator="equal">
      <formula>"Napkin Hs"</formula>
    </cfRule>
    <cfRule type="cellIs" dxfId="19231" priority="7325" stopIfTrue="1" operator="equal">
      <formula>"Towel"</formula>
    </cfRule>
    <cfRule type="cellIs" dxfId="19230" priority="7326" stopIfTrue="1" operator="equal">
      <formula>"Napkin Hs"</formula>
    </cfRule>
    <cfRule type="cellIs" dxfId="19229" priority="7331" stopIfTrue="1" operator="equal">
      <formula>"Towel"</formula>
    </cfRule>
    <cfRule type="cellIs" dxfId="19228" priority="7332" stopIfTrue="1" operator="equal">
      <formula>"Napkin Hs"</formula>
    </cfRule>
    <cfRule type="cellIs" dxfId="19227" priority="7337" stopIfTrue="1" operator="equal">
      <formula>"Towel"</formula>
    </cfRule>
    <cfRule type="cellIs" dxfId="19226" priority="7338" stopIfTrue="1" operator="equal">
      <formula>"Napkin Hs"</formula>
    </cfRule>
    <cfRule type="cellIs" dxfId="19225" priority="7343" stopIfTrue="1" operator="equal">
      <formula>"Towel"</formula>
    </cfRule>
    <cfRule type="cellIs" dxfId="19224" priority="7344" stopIfTrue="1" operator="equal">
      <formula>"Napkin Hs"</formula>
    </cfRule>
    <cfRule type="cellIs" dxfId="19223" priority="7349" stopIfTrue="1" operator="equal">
      <formula>"Towel"</formula>
    </cfRule>
    <cfRule type="cellIs" dxfId="19222" priority="7350" stopIfTrue="1" operator="equal">
      <formula>"Napkin Hs"</formula>
    </cfRule>
  </conditionalFormatting>
  <conditionalFormatting sqref="C82">
    <cfRule type="cellIs" dxfId="19221" priority="7315" stopIfTrue="1" operator="equal">
      <formula>"Towel"</formula>
    </cfRule>
    <cfRule type="cellIs" dxfId="19220" priority="7316" stopIfTrue="1" operator="equal">
      <formula>"Napkin Hs"</formula>
    </cfRule>
  </conditionalFormatting>
  <conditionalFormatting sqref="C82">
    <cfRule type="cellIs" dxfId="19219" priority="7317" stopIfTrue="1" operator="equal">
      <formula>"Towel"</formula>
    </cfRule>
    <cfRule type="cellIs" dxfId="19218" priority="7318" stopIfTrue="1" operator="equal">
      <formula>"Napkin Hs"</formula>
    </cfRule>
    <cfRule type="cellIs" dxfId="19217" priority="7321" stopIfTrue="1" operator="equal">
      <formula>"Towel"</formula>
    </cfRule>
    <cfRule type="cellIs" dxfId="19216" priority="7322" stopIfTrue="1" operator="equal">
      <formula>"Napkin Hs"</formula>
    </cfRule>
    <cfRule type="cellIs" dxfId="19215" priority="7323" stopIfTrue="1" operator="equal">
      <formula>"Towel"</formula>
    </cfRule>
    <cfRule type="cellIs" dxfId="19214" priority="7324" stopIfTrue="1" operator="equal">
      <formula>"Napkin Hs"</formula>
    </cfRule>
    <cfRule type="cellIs" dxfId="19213" priority="7327" stopIfTrue="1" operator="equal">
      <formula>"Towel"</formula>
    </cfRule>
    <cfRule type="cellIs" dxfId="19212" priority="7328" stopIfTrue="1" operator="equal">
      <formula>"Napkin Hs"</formula>
    </cfRule>
    <cfRule type="cellIs" dxfId="19211" priority="7329" stopIfTrue="1" operator="equal">
      <formula>"Towel"</formula>
    </cfRule>
    <cfRule type="cellIs" dxfId="19210" priority="7330" stopIfTrue="1" operator="equal">
      <formula>"Napkin Hs"</formula>
    </cfRule>
    <cfRule type="cellIs" dxfId="19209" priority="7333" stopIfTrue="1" operator="equal">
      <formula>"Towel"</formula>
    </cfRule>
    <cfRule type="cellIs" dxfId="19208" priority="7334" stopIfTrue="1" operator="equal">
      <formula>"Napkin Hs"</formula>
    </cfRule>
    <cfRule type="cellIs" dxfId="19207" priority="7335" stopIfTrue="1" operator="equal">
      <formula>"Towel"</formula>
    </cfRule>
    <cfRule type="cellIs" dxfId="19206" priority="7336" stopIfTrue="1" operator="equal">
      <formula>"Napkin Hs"</formula>
    </cfRule>
    <cfRule type="cellIs" dxfId="19205" priority="7339" stopIfTrue="1" operator="equal">
      <formula>"Towel"</formula>
    </cfRule>
    <cfRule type="cellIs" dxfId="19204" priority="7340" stopIfTrue="1" operator="equal">
      <formula>"Napkin Hs"</formula>
    </cfRule>
    <cfRule type="cellIs" dxfId="19203" priority="7341" stopIfTrue="1" operator="equal">
      <formula>"Towel"</formula>
    </cfRule>
    <cfRule type="cellIs" dxfId="19202" priority="7342" stopIfTrue="1" operator="equal">
      <formula>"Napkin Hs"</formula>
    </cfRule>
    <cfRule type="cellIs" dxfId="19201" priority="7345" stopIfTrue="1" operator="equal">
      <formula>"Towel"</formula>
    </cfRule>
    <cfRule type="cellIs" dxfId="19200" priority="7346" stopIfTrue="1" operator="equal">
      <formula>"Napkin Hs"</formula>
    </cfRule>
  </conditionalFormatting>
  <conditionalFormatting sqref="C82">
    <cfRule type="cellIs" dxfId="19199" priority="7347" stopIfTrue="1" operator="equal">
      <formula>"Towel"</formula>
    </cfRule>
    <cfRule type="cellIs" dxfId="19198" priority="7348" stopIfTrue="1" operator="equal">
      <formula>"Napkin Hs"</formula>
    </cfRule>
  </conditionalFormatting>
  <conditionalFormatting sqref="B79:C80">
    <cfRule type="cellIs" dxfId="19197" priority="7313" stopIfTrue="1" operator="equal">
      <formula>"Towel"</formula>
    </cfRule>
    <cfRule type="cellIs" dxfId="19196" priority="7314" stopIfTrue="1" operator="equal">
      <formula>"Napkin Hs"</formula>
    </cfRule>
  </conditionalFormatting>
  <conditionalFormatting sqref="B81:C81">
    <cfRule type="cellIs" dxfId="19195" priority="7265" stopIfTrue="1" operator="equal">
      <formula>"Towel"</formula>
    </cfRule>
    <cfRule type="cellIs" dxfId="19194" priority="7266" stopIfTrue="1" operator="equal">
      <formula>"Napkin Hs"</formula>
    </cfRule>
    <cfRule type="cellIs" dxfId="19193" priority="7271" stopIfTrue="1" operator="equal">
      <formula>"Towel"</formula>
    </cfRule>
    <cfRule type="cellIs" dxfId="19192" priority="7272" stopIfTrue="1" operator="equal">
      <formula>"Napkin Hs"</formula>
    </cfRule>
    <cfRule type="cellIs" dxfId="19191" priority="7277" stopIfTrue="1" operator="equal">
      <formula>"Towel"</formula>
    </cfRule>
    <cfRule type="cellIs" dxfId="19190" priority="7278" stopIfTrue="1" operator="equal">
      <formula>"Napkin Hs"</formula>
    </cfRule>
    <cfRule type="cellIs" dxfId="19189" priority="7283" stopIfTrue="1" operator="equal">
      <formula>"Towel"</formula>
    </cfRule>
    <cfRule type="cellIs" dxfId="19188" priority="7284" stopIfTrue="1" operator="equal">
      <formula>"Napkin Hs"</formula>
    </cfRule>
    <cfRule type="cellIs" dxfId="19187" priority="7289" stopIfTrue="1" operator="equal">
      <formula>"Towel"</formula>
    </cfRule>
    <cfRule type="cellIs" dxfId="19186" priority="7290" stopIfTrue="1" operator="equal">
      <formula>"Napkin Hs"</formula>
    </cfRule>
    <cfRule type="cellIs" dxfId="19185" priority="7295" stopIfTrue="1" operator="equal">
      <formula>"Towel"</formula>
    </cfRule>
    <cfRule type="cellIs" dxfId="19184" priority="7296" stopIfTrue="1" operator="equal">
      <formula>"Napkin Hs"</formula>
    </cfRule>
    <cfRule type="cellIs" dxfId="19183" priority="7301" stopIfTrue="1" operator="equal">
      <formula>"Towel"</formula>
    </cfRule>
    <cfRule type="cellIs" dxfId="19182" priority="7302" stopIfTrue="1" operator="equal">
      <formula>"Napkin Hs"</formula>
    </cfRule>
    <cfRule type="cellIs" dxfId="19181" priority="7307" stopIfTrue="1" operator="equal">
      <formula>"Towel"</formula>
    </cfRule>
    <cfRule type="cellIs" dxfId="19180" priority="7308" stopIfTrue="1" operator="equal">
      <formula>"Napkin Hs"</formula>
    </cfRule>
  </conditionalFormatting>
  <conditionalFormatting sqref="C79:C80">
    <cfRule type="cellIs" dxfId="19179" priority="7309" stopIfTrue="1" operator="equal">
      <formula>"Towel"</formula>
    </cfRule>
    <cfRule type="cellIs" dxfId="19178" priority="7310" stopIfTrue="1" operator="equal">
      <formula>"Napkin Hs"</formula>
    </cfRule>
  </conditionalFormatting>
  <conditionalFormatting sqref="C79:C80">
    <cfRule type="cellIs" dxfId="19177" priority="7311" stopIfTrue="1" operator="equal">
      <formula>"Towel"</formula>
    </cfRule>
    <cfRule type="cellIs" dxfId="19176" priority="7312" stopIfTrue="1" operator="equal">
      <formula>"Napkin Hs"</formula>
    </cfRule>
  </conditionalFormatting>
  <conditionalFormatting sqref="C81">
    <cfRule type="cellIs" dxfId="19175" priority="7261" stopIfTrue="1" operator="equal">
      <formula>"Towel"</formula>
    </cfRule>
    <cfRule type="cellIs" dxfId="19174" priority="7262" stopIfTrue="1" operator="equal">
      <formula>"Napkin Hs"</formula>
    </cfRule>
  </conditionalFormatting>
  <conditionalFormatting sqref="C81">
    <cfRule type="cellIs" dxfId="19173" priority="7263" stopIfTrue="1" operator="equal">
      <formula>"Towel"</formula>
    </cfRule>
    <cfRule type="cellIs" dxfId="19172" priority="7264" stopIfTrue="1" operator="equal">
      <formula>"Napkin Hs"</formula>
    </cfRule>
    <cfRule type="cellIs" dxfId="19171" priority="7267" stopIfTrue="1" operator="equal">
      <formula>"Towel"</formula>
    </cfRule>
    <cfRule type="cellIs" dxfId="19170" priority="7268" stopIfTrue="1" operator="equal">
      <formula>"Napkin Hs"</formula>
    </cfRule>
    <cfRule type="cellIs" dxfId="19169" priority="7269" stopIfTrue="1" operator="equal">
      <formula>"Towel"</formula>
    </cfRule>
    <cfRule type="cellIs" dxfId="19168" priority="7270" stopIfTrue="1" operator="equal">
      <formula>"Napkin Hs"</formula>
    </cfRule>
    <cfRule type="cellIs" dxfId="19167" priority="7273" stopIfTrue="1" operator="equal">
      <formula>"Towel"</formula>
    </cfRule>
    <cfRule type="cellIs" dxfId="19166" priority="7274" stopIfTrue="1" operator="equal">
      <formula>"Napkin Hs"</formula>
    </cfRule>
    <cfRule type="cellIs" dxfId="19165" priority="7275" stopIfTrue="1" operator="equal">
      <formula>"Towel"</formula>
    </cfRule>
    <cfRule type="cellIs" dxfId="19164" priority="7276" stopIfTrue="1" operator="equal">
      <formula>"Napkin Hs"</formula>
    </cfRule>
    <cfRule type="cellIs" dxfId="19163" priority="7279" stopIfTrue="1" operator="equal">
      <formula>"Towel"</formula>
    </cfRule>
    <cfRule type="cellIs" dxfId="19162" priority="7280" stopIfTrue="1" operator="equal">
      <formula>"Napkin Hs"</formula>
    </cfRule>
    <cfRule type="cellIs" dxfId="19161" priority="7281" stopIfTrue="1" operator="equal">
      <formula>"Towel"</formula>
    </cfRule>
    <cfRule type="cellIs" dxfId="19160" priority="7282" stopIfTrue="1" operator="equal">
      <formula>"Napkin Hs"</formula>
    </cfRule>
    <cfRule type="cellIs" dxfId="19159" priority="7285" stopIfTrue="1" operator="equal">
      <formula>"Towel"</formula>
    </cfRule>
    <cfRule type="cellIs" dxfId="19158" priority="7286" stopIfTrue="1" operator="equal">
      <formula>"Napkin Hs"</formula>
    </cfRule>
    <cfRule type="cellIs" dxfId="19157" priority="7287" stopIfTrue="1" operator="equal">
      <formula>"Towel"</formula>
    </cfRule>
    <cfRule type="cellIs" dxfId="19156" priority="7288" stopIfTrue="1" operator="equal">
      <formula>"Napkin Hs"</formula>
    </cfRule>
    <cfRule type="cellIs" dxfId="19155" priority="7291" stopIfTrue="1" operator="equal">
      <formula>"Towel"</formula>
    </cfRule>
    <cfRule type="cellIs" dxfId="19154" priority="7292" stopIfTrue="1" operator="equal">
      <formula>"Napkin Hs"</formula>
    </cfRule>
    <cfRule type="cellIs" dxfId="19153" priority="7293" stopIfTrue="1" operator="equal">
      <formula>"Towel"</formula>
    </cfRule>
    <cfRule type="cellIs" dxfId="19152" priority="7294" stopIfTrue="1" operator="equal">
      <formula>"Napkin Hs"</formula>
    </cfRule>
    <cfRule type="cellIs" dxfId="19151" priority="7297" stopIfTrue="1" operator="equal">
      <formula>"Towel"</formula>
    </cfRule>
    <cfRule type="cellIs" dxfId="19150" priority="7298" stopIfTrue="1" operator="equal">
      <formula>"Napkin Hs"</formula>
    </cfRule>
  </conditionalFormatting>
  <conditionalFormatting sqref="C81">
    <cfRule type="cellIs" dxfId="19149" priority="7299" stopIfTrue="1" operator="equal">
      <formula>"Towel"</formula>
    </cfRule>
    <cfRule type="cellIs" dxfId="19148" priority="7300" stopIfTrue="1" operator="equal">
      <formula>"Napkin Hs"</formula>
    </cfRule>
    <cfRule type="cellIs" dxfId="19147" priority="7303" stopIfTrue="1" operator="equal">
      <formula>"Towel"</formula>
    </cfRule>
    <cfRule type="cellIs" dxfId="19146" priority="7304" stopIfTrue="1" operator="equal">
      <formula>"Napkin Hs"</formula>
    </cfRule>
    <cfRule type="cellIs" dxfId="19145" priority="7305" stopIfTrue="1" operator="equal">
      <formula>"Towel"</formula>
    </cfRule>
    <cfRule type="cellIs" dxfId="19144" priority="7306" stopIfTrue="1" operator="equal">
      <formula>"Napkin Hs"</formula>
    </cfRule>
  </conditionalFormatting>
  <conditionalFormatting sqref="B79:C80">
    <cfRule type="cellIs" dxfId="19143" priority="7217" stopIfTrue="1" operator="equal">
      <formula>"Towel"</formula>
    </cfRule>
    <cfRule type="cellIs" dxfId="19142" priority="7218" stopIfTrue="1" operator="equal">
      <formula>"Napkin Hs"</formula>
    </cfRule>
    <cfRule type="cellIs" dxfId="19141" priority="7223" stopIfTrue="1" operator="equal">
      <formula>"Towel"</formula>
    </cfRule>
    <cfRule type="cellIs" dxfId="19140" priority="7224" stopIfTrue="1" operator="equal">
      <formula>"Napkin Hs"</formula>
    </cfRule>
    <cfRule type="cellIs" dxfId="19139" priority="7229" stopIfTrue="1" operator="equal">
      <formula>"Towel"</formula>
    </cfRule>
    <cfRule type="cellIs" dxfId="19138" priority="7230" stopIfTrue="1" operator="equal">
      <formula>"Napkin Hs"</formula>
    </cfRule>
    <cfRule type="cellIs" dxfId="19137" priority="7235" stopIfTrue="1" operator="equal">
      <formula>"Towel"</formula>
    </cfRule>
    <cfRule type="cellIs" dxfId="19136" priority="7236" stopIfTrue="1" operator="equal">
      <formula>"Napkin Hs"</formula>
    </cfRule>
    <cfRule type="cellIs" dxfId="19135" priority="7241" stopIfTrue="1" operator="equal">
      <formula>"Towel"</formula>
    </cfRule>
    <cfRule type="cellIs" dxfId="19134" priority="7242" stopIfTrue="1" operator="equal">
      <formula>"Napkin Hs"</formula>
    </cfRule>
    <cfRule type="cellIs" dxfId="19133" priority="7247" stopIfTrue="1" operator="equal">
      <formula>"Towel"</formula>
    </cfRule>
    <cfRule type="cellIs" dxfId="19132" priority="7248" stopIfTrue="1" operator="equal">
      <formula>"Napkin Hs"</formula>
    </cfRule>
    <cfRule type="cellIs" dxfId="19131" priority="7253" stopIfTrue="1" operator="equal">
      <formula>"Towel"</formula>
    </cfRule>
    <cfRule type="cellIs" dxfId="19130" priority="7254" stopIfTrue="1" operator="equal">
      <formula>"Napkin Hs"</formula>
    </cfRule>
    <cfRule type="cellIs" dxfId="19129" priority="7259" stopIfTrue="1" operator="equal">
      <formula>"Towel"</formula>
    </cfRule>
    <cfRule type="cellIs" dxfId="19128" priority="7260" stopIfTrue="1" operator="equal">
      <formula>"Napkin Hs"</formula>
    </cfRule>
  </conditionalFormatting>
  <conditionalFormatting sqref="C79:C80">
    <cfRule type="cellIs" dxfId="19127" priority="7213" stopIfTrue="1" operator="equal">
      <formula>"Towel"</formula>
    </cfRule>
    <cfRule type="cellIs" dxfId="19126" priority="7214" stopIfTrue="1" operator="equal">
      <formula>"Napkin Hs"</formula>
    </cfRule>
    <cfRule type="cellIs" dxfId="19125" priority="7215" stopIfTrue="1" operator="equal">
      <formula>"Towel"</formula>
    </cfRule>
    <cfRule type="cellIs" dxfId="19124" priority="7216" stopIfTrue="1" operator="equal">
      <formula>"Napkin Hs"</formula>
    </cfRule>
    <cfRule type="cellIs" dxfId="19123" priority="7219" stopIfTrue="1" operator="equal">
      <formula>"Towel"</formula>
    </cfRule>
    <cfRule type="cellIs" dxfId="19122" priority="7220" stopIfTrue="1" operator="equal">
      <formula>"Napkin Hs"</formula>
    </cfRule>
    <cfRule type="cellIs" dxfId="19121" priority="7221" stopIfTrue="1" operator="equal">
      <formula>"Towel"</formula>
    </cfRule>
    <cfRule type="cellIs" dxfId="19120" priority="7222" stopIfTrue="1" operator="equal">
      <formula>"Napkin Hs"</formula>
    </cfRule>
    <cfRule type="cellIs" dxfId="19119" priority="7225" stopIfTrue="1" operator="equal">
      <formula>"Towel"</formula>
    </cfRule>
    <cfRule type="cellIs" dxfId="19118" priority="7226" stopIfTrue="1" operator="equal">
      <formula>"Napkin Hs"</formula>
    </cfRule>
    <cfRule type="cellIs" dxfId="19117" priority="7227" stopIfTrue="1" operator="equal">
      <formula>"Towel"</formula>
    </cfRule>
    <cfRule type="cellIs" dxfId="19116" priority="7228" stopIfTrue="1" operator="equal">
      <formula>"Napkin Hs"</formula>
    </cfRule>
    <cfRule type="cellIs" dxfId="19115" priority="7231" stopIfTrue="1" operator="equal">
      <formula>"Towel"</formula>
    </cfRule>
    <cfRule type="cellIs" dxfId="19114" priority="7232" stopIfTrue="1" operator="equal">
      <formula>"Napkin Hs"</formula>
    </cfRule>
    <cfRule type="cellIs" dxfId="19113" priority="7233" stopIfTrue="1" operator="equal">
      <formula>"Towel"</formula>
    </cfRule>
    <cfRule type="cellIs" dxfId="19112" priority="7234" stopIfTrue="1" operator="equal">
      <formula>"Napkin Hs"</formula>
    </cfRule>
    <cfRule type="cellIs" dxfId="19111" priority="7237" stopIfTrue="1" operator="equal">
      <formula>"Towel"</formula>
    </cfRule>
    <cfRule type="cellIs" dxfId="19110" priority="7238" stopIfTrue="1" operator="equal">
      <formula>"Napkin Hs"</formula>
    </cfRule>
    <cfRule type="cellIs" dxfId="19109" priority="7239" stopIfTrue="1" operator="equal">
      <formula>"Towel"</formula>
    </cfRule>
    <cfRule type="cellIs" dxfId="19108" priority="7240" stopIfTrue="1" operator="equal">
      <formula>"Napkin Hs"</formula>
    </cfRule>
    <cfRule type="cellIs" dxfId="19107" priority="7243" stopIfTrue="1" operator="equal">
      <formula>"Towel"</formula>
    </cfRule>
    <cfRule type="cellIs" dxfId="19106" priority="7244" stopIfTrue="1" operator="equal">
      <formula>"Napkin Hs"</formula>
    </cfRule>
    <cfRule type="cellIs" dxfId="19105" priority="7245" stopIfTrue="1" operator="equal">
      <formula>"Towel"</formula>
    </cfRule>
    <cfRule type="cellIs" dxfId="19104" priority="7246" stopIfTrue="1" operator="equal">
      <formula>"Napkin Hs"</formula>
    </cfRule>
    <cfRule type="cellIs" dxfId="19103" priority="7249" stopIfTrue="1" operator="equal">
      <formula>"Towel"</formula>
    </cfRule>
    <cfRule type="cellIs" dxfId="19102" priority="7250" stopIfTrue="1" operator="equal">
      <formula>"Napkin Hs"</formula>
    </cfRule>
    <cfRule type="cellIs" dxfId="19101" priority="7251" stopIfTrue="1" operator="equal">
      <formula>"Towel"</formula>
    </cfRule>
    <cfRule type="cellIs" dxfId="19100" priority="7252" stopIfTrue="1" operator="equal">
      <formula>"Napkin Hs"</formula>
    </cfRule>
    <cfRule type="cellIs" dxfId="19099" priority="7255" stopIfTrue="1" operator="equal">
      <formula>"Towel"</formula>
    </cfRule>
    <cfRule type="cellIs" dxfId="19098" priority="7256" stopIfTrue="1" operator="equal">
      <formula>"Napkin Hs"</formula>
    </cfRule>
  </conditionalFormatting>
  <conditionalFormatting sqref="C79:C80">
    <cfRule type="cellIs" dxfId="19097" priority="7257" stopIfTrue="1" operator="equal">
      <formula>"Towel"</formula>
    </cfRule>
    <cfRule type="cellIs" dxfId="19096" priority="7258" stopIfTrue="1" operator="equal">
      <formula>"Napkin Hs"</formula>
    </cfRule>
  </conditionalFormatting>
  <conditionalFormatting sqref="B79:C80">
    <cfRule type="cellIs" dxfId="19095" priority="7133" stopIfTrue="1" operator="equal">
      <formula>"Towel"</formula>
    </cfRule>
    <cfRule type="cellIs" dxfId="19094" priority="7134" stopIfTrue="1" operator="equal">
      <formula>"Napkin Hs"</formula>
    </cfRule>
    <cfRule type="cellIs" dxfId="19093" priority="7139" stopIfTrue="1" operator="equal">
      <formula>"Towel"</formula>
    </cfRule>
    <cfRule type="cellIs" dxfId="19092" priority="7140" stopIfTrue="1" operator="equal">
      <formula>"Napkin Hs"</formula>
    </cfRule>
    <cfRule type="cellIs" dxfId="19091" priority="7145" stopIfTrue="1" operator="equal">
      <formula>"Towel"</formula>
    </cfRule>
    <cfRule type="cellIs" dxfId="19090" priority="7146" stopIfTrue="1" operator="equal">
      <formula>"Napkin Hs"</formula>
    </cfRule>
    <cfRule type="cellIs" dxfId="19089" priority="7151" stopIfTrue="1" operator="equal">
      <formula>"Towel"</formula>
    </cfRule>
    <cfRule type="cellIs" dxfId="19088" priority="7152" stopIfTrue="1" operator="equal">
      <formula>"Napkin Hs"</formula>
    </cfRule>
    <cfRule type="cellIs" dxfId="19087" priority="7157" stopIfTrue="1" operator="equal">
      <formula>"Towel"</formula>
    </cfRule>
    <cfRule type="cellIs" dxfId="19086" priority="7158" stopIfTrue="1" operator="equal">
      <formula>"Napkin Hs"</formula>
    </cfRule>
    <cfRule type="cellIs" dxfId="19085" priority="7163" stopIfTrue="1" operator="equal">
      <formula>"Towel"</formula>
    </cfRule>
    <cfRule type="cellIs" dxfId="19084" priority="7164" stopIfTrue="1" operator="equal">
      <formula>"Napkin Hs"</formula>
    </cfRule>
    <cfRule type="cellIs" dxfId="19083" priority="7169" stopIfTrue="1" operator="equal">
      <formula>"Towel"</formula>
    </cfRule>
    <cfRule type="cellIs" dxfId="19082" priority="7170" stopIfTrue="1" operator="equal">
      <formula>"Napkin Hs"</formula>
    </cfRule>
    <cfRule type="cellIs" dxfId="19081" priority="7175" stopIfTrue="1" operator="equal">
      <formula>"Towel"</formula>
    </cfRule>
    <cfRule type="cellIs" dxfId="19080" priority="7176" stopIfTrue="1" operator="equal">
      <formula>"Napkin Hs"</formula>
    </cfRule>
  </conditionalFormatting>
  <conditionalFormatting sqref="B81:C81">
    <cfRule type="cellIs" dxfId="19079" priority="7181" stopIfTrue="1" operator="equal">
      <formula>"Towel"</formula>
    </cfRule>
    <cfRule type="cellIs" dxfId="19078" priority="7182" stopIfTrue="1" operator="equal">
      <formula>"Napkin Hs"</formula>
    </cfRule>
    <cfRule type="cellIs" dxfId="19077" priority="7187" stopIfTrue="1" operator="equal">
      <formula>"Towel"</formula>
    </cfRule>
    <cfRule type="cellIs" dxfId="19076" priority="7188" stopIfTrue="1" operator="equal">
      <formula>"Napkin Hs"</formula>
    </cfRule>
    <cfRule type="cellIs" dxfId="19075" priority="7193" stopIfTrue="1" operator="equal">
      <formula>"Towel"</formula>
    </cfRule>
    <cfRule type="cellIs" dxfId="19074" priority="7194" stopIfTrue="1" operator="equal">
      <formula>"Napkin Hs"</formula>
    </cfRule>
    <cfRule type="cellIs" dxfId="19073" priority="7199" stopIfTrue="1" operator="equal">
      <formula>"Towel"</formula>
    </cfRule>
    <cfRule type="cellIs" dxfId="19072" priority="7200" stopIfTrue="1" operator="equal">
      <formula>"Napkin Hs"</formula>
    </cfRule>
    <cfRule type="cellIs" dxfId="19071" priority="7205" stopIfTrue="1" operator="equal">
      <formula>"Towel"</formula>
    </cfRule>
    <cfRule type="cellIs" dxfId="19070" priority="7206" stopIfTrue="1" operator="equal">
      <formula>"Napkin Hs"</formula>
    </cfRule>
    <cfRule type="cellIs" dxfId="19069" priority="7211" stopIfTrue="1" operator="equal">
      <formula>"Towel"</formula>
    </cfRule>
    <cfRule type="cellIs" dxfId="19068" priority="7212" stopIfTrue="1" operator="equal">
      <formula>"Napkin Hs"</formula>
    </cfRule>
  </conditionalFormatting>
  <conditionalFormatting sqref="C79:C80">
    <cfRule type="cellIs" dxfId="19067" priority="7129" stopIfTrue="1" operator="equal">
      <formula>"Towel"</formula>
    </cfRule>
    <cfRule type="cellIs" dxfId="19066" priority="7130" stopIfTrue="1" operator="equal">
      <formula>"Napkin Hs"</formula>
    </cfRule>
    <cfRule type="cellIs" dxfId="19065" priority="7131" stopIfTrue="1" operator="equal">
      <formula>"Towel"</formula>
    </cfRule>
    <cfRule type="cellIs" dxfId="19064" priority="7132" stopIfTrue="1" operator="equal">
      <formula>"Napkin Hs"</formula>
    </cfRule>
    <cfRule type="cellIs" dxfId="19063" priority="7135" stopIfTrue="1" operator="equal">
      <formula>"Towel"</formula>
    </cfRule>
    <cfRule type="cellIs" dxfId="19062" priority="7136" stopIfTrue="1" operator="equal">
      <formula>"Napkin Hs"</formula>
    </cfRule>
    <cfRule type="cellIs" dxfId="19061" priority="7137" stopIfTrue="1" operator="equal">
      <formula>"Towel"</formula>
    </cfRule>
    <cfRule type="cellIs" dxfId="19060" priority="7138" stopIfTrue="1" operator="equal">
      <formula>"Napkin Hs"</formula>
    </cfRule>
    <cfRule type="cellIs" dxfId="19059" priority="7141" stopIfTrue="1" operator="equal">
      <formula>"Towel"</formula>
    </cfRule>
    <cfRule type="cellIs" dxfId="19058" priority="7142" stopIfTrue="1" operator="equal">
      <formula>"Napkin Hs"</formula>
    </cfRule>
    <cfRule type="cellIs" dxfId="19057" priority="7143" stopIfTrue="1" operator="equal">
      <formula>"Towel"</formula>
    </cfRule>
    <cfRule type="cellIs" dxfId="19056" priority="7144" stopIfTrue="1" operator="equal">
      <formula>"Napkin Hs"</formula>
    </cfRule>
    <cfRule type="cellIs" dxfId="19055" priority="7147" stopIfTrue="1" operator="equal">
      <formula>"Towel"</formula>
    </cfRule>
    <cfRule type="cellIs" dxfId="19054" priority="7148" stopIfTrue="1" operator="equal">
      <formula>"Napkin Hs"</formula>
    </cfRule>
    <cfRule type="cellIs" dxfId="19053" priority="7149" stopIfTrue="1" operator="equal">
      <formula>"Towel"</formula>
    </cfRule>
    <cfRule type="cellIs" dxfId="19052" priority="7150" stopIfTrue="1" operator="equal">
      <formula>"Napkin Hs"</formula>
    </cfRule>
    <cfRule type="cellIs" dxfId="19051" priority="7153" stopIfTrue="1" operator="equal">
      <formula>"Towel"</formula>
    </cfRule>
    <cfRule type="cellIs" dxfId="19050" priority="7154" stopIfTrue="1" operator="equal">
      <formula>"Napkin Hs"</formula>
    </cfRule>
    <cfRule type="cellIs" dxfId="19049" priority="7155" stopIfTrue="1" operator="equal">
      <formula>"Towel"</formula>
    </cfRule>
    <cfRule type="cellIs" dxfId="19048" priority="7156" stopIfTrue="1" operator="equal">
      <formula>"Napkin Hs"</formula>
    </cfRule>
    <cfRule type="cellIs" dxfId="19047" priority="7159" stopIfTrue="1" operator="equal">
      <formula>"Towel"</formula>
    </cfRule>
    <cfRule type="cellIs" dxfId="19046" priority="7160" stopIfTrue="1" operator="equal">
      <formula>"Napkin Hs"</formula>
    </cfRule>
    <cfRule type="cellIs" dxfId="19045" priority="7161" stopIfTrue="1" operator="equal">
      <formula>"Towel"</formula>
    </cfRule>
    <cfRule type="cellIs" dxfId="19044" priority="7162" stopIfTrue="1" operator="equal">
      <formula>"Napkin Hs"</formula>
    </cfRule>
    <cfRule type="cellIs" dxfId="19043" priority="7165" stopIfTrue="1" operator="equal">
      <formula>"Towel"</formula>
    </cfRule>
    <cfRule type="cellIs" dxfId="19042" priority="7166" stopIfTrue="1" operator="equal">
      <formula>"Napkin Hs"</formula>
    </cfRule>
    <cfRule type="cellIs" dxfId="19041" priority="7167" stopIfTrue="1" operator="equal">
      <formula>"Towel"</formula>
    </cfRule>
    <cfRule type="cellIs" dxfId="19040" priority="7168" stopIfTrue="1" operator="equal">
      <formula>"Napkin Hs"</formula>
    </cfRule>
    <cfRule type="cellIs" dxfId="19039" priority="7171" stopIfTrue="1" operator="equal">
      <formula>"Towel"</formula>
    </cfRule>
    <cfRule type="cellIs" dxfId="19038" priority="7172" stopIfTrue="1" operator="equal">
      <formula>"Napkin Hs"</formula>
    </cfRule>
  </conditionalFormatting>
  <conditionalFormatting sqref="C79:C80">
    <cfRule type="cellIs" dxfId="19037" priority="7173" stopIfTrue="1" operator="equal">
      <formula>"Towel"</formula>
    </cfRule>
    <cfRule type="cellIs" dxfId="19036" priority="7174" stopIfTrue="1" operator="equal">
      <formula>"Napkin Hs"</formula>
    </cfRule>
  </conditionalFormatting>
  <conditionalFormatting sqref="C81">
    <cfRule type="cellIs" dxfId="19035" priority="7177" stopIfTrue="1" operator="equal">
      <formula>"Towel"</formula>
    </cfRule>
    <cfRule type="cellIs" dxfId="19034" priority="7178" stopIfTrue="1" operator="equal">
      <formula>"Napkin Hs"</formula>
    </cfRule>
    <cfRule type="cellIs" dxfId="19033" priority="7203" stopIfTrue="1" operator="equal">
      <formula>"Towel"</formula>
    </cfRule>
    <cfRule type="cellIs" dxfId="19032" priority="7204" stopIfTrue="1" operator="equal">
      <formula>"Napkin Hs"</formula>
    </cfRule>
    <cfRule type="cellIs" dxfId="19031" priority="7207" stopIfTrue="1" operator="equal">
      <formula>"Towel"</formula>
    </cfRule>
    <cfRule type="cellIs" dxfId="19030" priority="7208" stopIfTrue="1" operator="equal">
      <formula>"Napkin Hs"</formula>
    </cfRule>
  </conditionalFormatting>
  <conditionalFormatting sqref="C81">
    <cfRule type="cellIs" dxfId="19029" priority="7179" stopIfTrue="1" operator="equal">
      <formula>"Towel"</formula>
    </cfRule>
    <cfRule type="cellIs" dxfId="19028" priority="7180" stopIfTrue="1" operator="equal">
      <formula>"Napkin Hs"</formula>
    </cfRule>
    <cfRule type="cellIs" dxfId="19027" priority="7183" stopIfTrue="1" operator="equal">
      <formula>"Towel"</formula>
    </cfRule>
    <cfRule type="cellIs" dxfId="19026" priority="7184" stopIfTrue="1" operator="equal">
      <formula>"Napkin Hs"</formula>
    </cfRule>
    <cfRule type="cellIs" dxfId="19025" priority="7185" stopIfTrue="1" operator="equal">
      <formula>"Towel"</formula>
    </cfRule>
    <cfRule type="cellIs" dxfId="19024" priority="7186" stopIfTrue="1" operator="equal">
      <formula>"Napkin Hs"</formula>
    </cfRule>
    <cfRule type="cellIs" dxfId="19023" priority="7189" stopIfTrue="1" operator="equal">
      <formula>"Towel"</formula>
    </cfRule>
    <cfRule type="cellIs" dxfId="19022" priority="7190" stopIfTrue="1" operator="equal">
      <formula>"Napkin Hs"</formula>
    </cfRule>
    <cfRule type="cellIs" dxfId="19021" priority="7191" stopIfTrue="1" operator="equal">
      <formula>"Towel"</formula>
    </cfRule>
    <cfRule type="cellIs" dxfId="19020" priority="7192" stopIfTrue="1" operator="equal">
      <formula>"Napkin Hs"</formula>
    </cfRule>
    <cfRule type="cellIs" dxfId="19019" priority="7195" stopIfTrue="1" operator="equal">
      <formula>"Towel"</formula>
    </cfRule>
    <cfRule type="cellIs" dxfId="19018" priority="7196" stopIfTrue="1" operator="equal">
      <formula>"Napkin Hs"</formula>
    </cfRule>
    <cfRule type="cellIs" dxfId="19017" priority="7197" stopIfTrue="1" operator="equal">
      <formula>"Towel"</formula>
    </cfRule>
    <cfRule type="cellIs" dxfId="19016" priority="7198" stopIfTrue="1" operator="equal">
      <formula>"Napkin Hs"</formula>
    </cfRule>
    <cfRule type="cellIs" dxfId="19015" priority="7201" stopIfTrue="1" operator="equal">
      <formula>"Towel"</formula>
    </cfRule>
    <cfRule type="cellIs" dxfId="19014" priority="7202" stopIfTrue="1" operator="equal">
      <formula>"Napkin Hs"</formula>
    </cfRule>
  </conditionalFormatting>
  <conditionalFormatting sqref="C81">
    <cfRule type="cellIs" dxfId="19013" priority="7209" stopIfTrue="1" operator="equal">
      <formula>"Towel"</formula>
    </cfRule>
    <cfRule type="cellIs" dxfId="19012" priority="7210" stopIfTrue="1" operator="equal">
      <formula>"Napkin Hs"</formula>
    </cfRule>
  </conditionalFormatting>
  <conditionalFormatting sqref="B81:C81">
    <cfRule type="cellIs" dxfId="19011" priority="7127" stopIfTrue="1" operator="equal">
      <formula>"Towel"</formula>
    </cfRule>
    <cfRule type="cellIs" dxfId="19010" priority="7128" stopIfTrue="1" operator="equal">
      <formula>"Napkin Hs"</formula>
    </cfRule>
  </conditionalFormatting>
  <conditionalFormatting sqref="C81">
    <cfRule type="cellIs" dxfId="19009" priority="7123" stopIfTrue="1" operator="equal">
      <formula>"Towel"</formula>
    </cfRule>
    <cfRule type="cellIs" dxfId="19008" priority="7124" stopIfTrue="1" operator="equal">
      <formula>"Napkin Hs"</formula>
    </cfRule>
  </conditionalFormatting>
  <conditionalFormatting sqref="C81">
    <cfRule type="cellIs" dxfId="19007" priority="7125" stopIfTrue="1" operator="equal">
      <formula>"Towel"</formula>
    </cfRule>
    <cfRule type="cellIs" dxfId="19006" priority="7126" stopIfTrue="1" operator="equal">
      <formula>"Napkin Hs"</formula>
    </cfRule>
  </conditionalFormatting>
  <conditionalFormatting sqref="B81:C81">
    <cfRule type="cellIs" dxfId="19005" priority="7079" stopIfTrue="1" operator="equal">
      <formula>"Towel"</formula>
    </cfRule>
    <cfRule type="cellIs" dxfId="19004" priority="7080" stopIfTrue="1" operator="equal">
      <formula>"Napkin Hs"</formula>
    </cfRule>
    <cfRule type="cellIs" dxfId="19003" priority="7085" stopIfTrue="1" operator="equal">
      <formula>"Towel"</formula>
    </cfRule>
    <cfRule type="cellIs" dxfId="19002" priority="7086" stopIfTrue="1" operator="equal">
      <formula>"Napkin Hs"</formula>
    </cfRule>
    <cfRule type="cellIs" dxfId="19001" priority="7091" stopIfTrue="1" operator="equal">
      <formula>"Towel"</formula>
    </cfRule>
    <cfRule type="cellIs" dxfId="19000" priority="7092" stopIfTrue="1" operator="equal">
      <formula>"Napkin Hs"</formula>
    </cfRule>
    <cfRule type="cellIs" dxfId="18999" priority="7097" stopIfTrue="1" operator="equal">
      <formula>"Towel"</formula>
    </cfRule>
    <cfRule type="cellIs" dxfId="18998" priority="7098" stopIfTrue="1" operator="equal">
      <formula>"Napkin Hs"</formula>
    </cfRule>
    <cfRule type="cellIs" dxfId="18997" priority="7103" stopIfTrue="1" operator="equal">
      <formula>"Towel"</formula>
    </cfRule>
    <cfRule type="cellIs" dxfId="18996" priority="7104" stopIfTrue="1" operator="equal">
      <formula>"Napkin Hs"</formula>
    </cfRule>
    <cfRule type="cellIs" dxfId="18995" priority="7109" stopIfTrue="1" operator="equal">
      <formula>"Towel"</formula>
    </cfRule>
    <cfRule type="cellIs" dxfId="18994" priority="7110" stopIfTrue="1" operator="equal">
      <formula>"Napkin Hs"</formula>
    </cfRule>
    <cfRule type="cellIs" dxfId="18993" priority="7115" stopIfTrue="1" operator="equal">
      <formula>"Towel"</formula>
    </cfRule>
    <cfRule type="cellIs" dxfId="18992" priority="7116" stopIfTrue="1" operator="equal">
      <formula>"Napkin Hs"</formula>
    </cfRule>
    <cfRule type="cellIs" dxfId="18991" priority="7121" stopIfTrue="1" operator="equal">
      <formula>"Towel"</formula>
    </cfRule>
    <cfRule type="cellIs" dxfId="18990" priority="7122" stopIfTrue="1" operator="equal">
      <formula>"Napkin Hs"</formula>
    </cfRule>
  </conditionalFormatting>
  <conditionalFormatting sqref="C81">
    <cfRule type="cellIs" dxfId="18989" priority="7075" stopIfTrue="1" operator="equal">
      <formula>"Towel"</formula>
    </cfRule>
    <cfRule type="cellIs" dxfId="18988" priority="7076" stopIfTrue="1" operator="equal">
      <formula>"Napkin Hs"</formula>
    </cfRule>
    <cfRule type="cellIs" dxfId="18987" priority="7077" stopIfTrue="1" operator="equal">
      <formula>"Towel"</formula>
    </cfRule>
    <cfRule type="cellIs" dxfId="18986" priority="7078" stopIfTrue="1" operator="equal">
      <formula>"Napkin Hs"</formula>
    </cfRule>
    <cfRule type="cellIs" dxfId="18985" priority="7081" stopIfTrue="1" operator="equal">
      <formula>"Towel"</formula>
    </cfRule>
    <cfRule type="cellIs" dxfId="18984" priority="7082" stopIfTrue="1" operator="equal">
      <formula>"Napkin Hs"</formula>
    </cfRule>
    <cfRule type="cellIs" dxfId="18983" priority="7083" stopIfTrue="1" operator="equal">
      <formula>"Towel"</formula>
    </cfRule>
    <cfRule type="cellIs" dxfId="18982" priority="7084" stopIfTrue="1" operator="equal">
      <formula>"Napkin Hs"</formula>
    </cfRule>
    <cfRule type="cellIs" dxfId="18981" priority="7087" stopIfTrue="1" operator="equal">
      <formula>"Towel"</formula>
    </cfRule>
    <cfRule type="cellIs" dxfId="18980" priority="7088" stopIfTrue="1" operator="equal">
      <formula>"Napkin Hs"</formula>
    </cfRule>
    <cfRule type="cellIs" dxfId="18979" priority="7089" stopIfTrue="1" operator="equal">
      <formula>"Towel"</formula>
    </cfRule>
    <cfRule type="cellIs" dxfId="18978" priority="7090" stopIfTrue="1" operator="equal">
      <formula>"Napkin Hs"</formula>
    </cfRule>
    <cfRule type="cellIs" dxfId="18977" priority="7093" stopIfTrue="1" operator="equal">
      <formula>"Towel"</formula>
    </cfRule>
    <cfRule type="cellIs" dxfId="18976" priority="7094" stopIfTrue="1" operator="equal">
      <formula>"Napkin Hs"</formula>
    </cfRule>
    <cfRule type="cellIs" dxfId="18975" priority="7095" stopIfTrue="1" operator="equal">
      <formula>"Towel"</formula>
    </cfRule>
    <cfRule type="cellIs" dxfId="18974" priority="7096" stopIfTrue="1" operator="equal">
      <formula>"Napkin Hs"</formula>
    </cfRule>
    <cfRule type="cellIs" dxfId="18973" priority="7099" stopIfTrue="1" operator="equal">
      <formula>"Towel"</formula>
    </cfRule>
    <cfRule type="cellIs" dxfId="18972" priority="7100" stopIfTrue="1" operator="equal">
      <formula>"Napkin Hs"</formula>
    </cfRule>
    <cfRule type="cellIs" dxfId="18971" priority="7101" stopIfTrue="1" operator="equal">
      <formula>"Towel"</formula>
    </cfRule>
    <cfRule type="cellIs" dxfId="18970" priority="7102" stopIfTrue="1" operator="equal">
      <formula>"Napkin Hs"</formula>
    </cfRule>
    <cfRule type="cellIs" dxfId="18969" priority="7105" stopIfTrue="1" operator="equal">
      <formula>"Towel"</formula>
    </cfRule>
    <cfRule type="cellIs" dxfId="18968" priority="7106" stopIfTrue="1" operator="equal">
      <formula>"Napkin Hs"</formula>
    </cfRule>
    <cfRule type="cellIs" dxfId="18967" priority="7107" stopIfTrue="1" operator="equal">
      <formula>"Towel"</formula>
    </cfRule>
    <cfRule type="cellIs" dxfId="18966" priority="7108" stopIfTrue="1" operator="equal">
      <formula>"Napkin Hs"</formula>
    </cfRule>
    <cfRule type="cellIs" dxfId="18965" priority="7111" stopIfTrue="1" operator="equal">
      <formula>"Towel"</formula>
    </cfRule>
    <cfRule type="cellIs" dxfId="18964" priority="7112" stopIfTrue="1" operator="equal">
      <formula>"Napkin Hs"</formula>
    </cfRule>
    <cfRule type="cellIs" dxfId="18963" priority="7113" stopIfTrue="1" operator="equal">
      <formula>"Towel"</formula>
    </cfRule>
    <cfRule type="cellIs" dxfId="18962" priority="7114" stopIfTrue="1" operator="equal">
      <formula>"Napkin Hs"</formula>
    </cfRule>
    <cfRule type="cellIs" dxfId="18961" priority="7117" stopIfTrue="1" operator="equal">
      <formula>"Towel"</formula>
    </cfRule>
    <cfRule type="cellIs" dxfId="18960" priority="7118" stopIfTrue="1" operator="equal">
      <formula>"Napkin Hs"</formula>
    </cfRule>
  </conditionalFormatting>
  <conditionalFormatting sqref="C81">
    <cfRule type="cellIs" dxfId="18959" priority="7119" stopIfTrue="1" operator="equal">
      <formula>"Towel"</formula>
    </cfRule>
    <cfRule type="cellIs" dxfId="18958" priority="7120" stopIfTrue="1" operator="equal">
      <formula>"Napkin Hs"</formula>
    </cfRule>
  </conditionalFormatting>
  <conditionalFormatting sqref="B81">
    <cfRule type="cellIs" dxfId="18957" priority="7069" stopIfTrue="1" operator="equal">
      <formula>"Towel"</formula>
    </cfRule>
    <cfRule type="cellIs" dxfId="18956" priority="7070" stopIfTrue="1" operator="equal">
      <formula>"Napkin Hs"</formula>
    </cfRule>
    <cfRule type="cellIs" dxfId="18955" priority="7071" stopIfTrue="1" operator="equal">
      <formula>"Towel"</formula>
    </cfRule>
    <cfRule type="cellIs" dxfId="18954" priority="7072" stopIfTrue="1" operator="equal">
      <formula>"Napkin Hs"</formula>
    </cfRule>
    <cfRule type="cellIs" dxfId="18953" priority="7073" stopIfTrue="1" operator="equal">
      <formula>"Towel"</formula>
    </cfRule>
    <cfRule type="cellIs" dxfId="18952" priority="7074" stopIfTrue="1" operator="equal">
      <formula>"Napkin Hs"</formula>
    </cfRule>
  </conditionalFormatting>
  <conditionalFormatting sqref="B81:C81">
    <cfRule type="cellIs" dxfId="18951" priority="7031" stopIfTrue="1" operator="equal">
      <formula>"Towel"</formula>
    </cfRule>
    <cfRule type="cellIs" dxfId="18950" priority="7032" stopIfTrue="1" operator="equal">
      <formula>"Napkin Hs"</formula>
    </cfRule>
    <cfRule type="cellIs" dxfId="18949" priority="7037" stopIfTrue="1" operator="equal">
      <formula>"Towel"</formula>
    </cfRule>
    <cfRule type="cellIs" dxfId="18948" priority="7038" stopIfTrue="1" operator="equal">
      <formula>"Napkin Hs"</formula>
    </cfRule>
    <cfRule type="cellIs" dxfId="18947" priority="7043" stopIfTrue="1" operator="equal">
      <formula>"Towel"</formula>
    </cfRule>
    <cfRule type="cellIs" dxfId="18946" priority="7044" stopIfTrue="1" operator="equal">
      <formula>"Napkin Hs"</formula>
    </cfRule>
    <cfRule type="cellIs" dxfId="18945" priority="7049" stopIfTrue="1" operator="equal">
      <formula>"Towel"</formula>
    </cfRule>
    <cfRule type="cellIs" dxfId="18944" priority="7050" stopIfTrue="1" operator="equal">
      <formula>"Napkin Hs"</formula>
    </cfRule>
    <cfRule type="cellIs" dxfId="18943" priority="7055" stopIfTrue="1" operator="equal">
      <formula>"Towel"</formula>
    </cfRule>
    <cfRule type="cellIs" dxfId="18942" priority="7056" stopIfTrue="1" operator="equal">
      <formula>"Napkin Hs"</formula>
    </cfRule>
    <cfRule type="cellIs" dxfId="18941" priority="7061" stopIfTrue="1" operator="equal">
      <formula>"Towel"</formula>
    </cfRule>
    <cfRule type="cellIs" dxfId="18940" priority="7062" stopIfTrue="1" operator="equal">
      <formula>"Napkin Hs"</formula>
    </cfRule>
    <cfRule type="cellIs" dxfId="18939" priority="7067" stopIfTrue="1" operator="equal">
      <formula>"Towel"</formula>
    </cfRule>
    <cfRule type="cellIs" dxfId="18938" priority="7068" stopIfTrue="1" operator="equal">
      <formula>"Napkin Hs"</formula>
    </cfRule>
  </conditionalFormatting>
  <conditionalFormatting sqref="C81">
    <cfRule type="cellIs" dxfId="18937" priority="7027" stopIfTrue="1" operator="equal">
      <formula>"Towel"</formula>
    </cfRule>
    <cfRule type="cellIs" dxfId="18936" priority="7028" stopIfTrue="1" operator="equal">
      <formula>"Napkin Hs"</formula>
    </cfRule>
    <cfRule type="cellIs" dxfId="18935" priority="7029" stopIfTrue="1" operator="equal">
      <formula>"Towel"</formula>
    </cfRule>
    <cfRule type="cellIs" dxfId="18934" priority="7030" stopIfTrue="1" operator="equal">
      <formula>"Napkin Hs"</formula>
    </cfRule>
    <cfRule type="cellIs" dxfId="18933" priority="7033" stopIfTrue="1" operator="equal">
      <formula>"Towel"</formula>
    </cfRule>
    <cfRule type="cellIs" dxfId="18932" priority="7034" stopIfTrue="1" operator="equal">
      <formula>"Napkin Hs"</formula>
    </cfRule>
    <cfRule type="cellIs" dxfId="18931" priority="7035" stopIfTrue="1" operator="equal">
      <formula>"Towel"</formula>
    </cfRule>
    <cfRule type="cellIs" dxfId="18930" priority="7036" stopIfTrue="1" operator="equal">
      <formula>"Napkin Hs"</formula>
    </cfRule>
    <cfRule type="cellIs" dxfId="18929" priority="7039" stopIfTrue="1" operator="equal">
      <formula>"Towel"</formula>
    </cfRule>
    <cfRule type="cellIs" dxfId="18928" priority="7040" stopIfTrue="1" operator="equal">
      <formula>"Napkin Hs"</formula>
    </cfRule>
    <cfRule type="cellIs" dxfId="18927" priority="7041" stopIfTrue="1" operator="equal">
      <formula>"Towel"</formula>
    </cfRule>
    <cfRule type="cellIs" dxfId="18926" priority="7042" stopIfTrue="1" operator="equal">
      <formula>"Napkin Hs"</formula>
    </cfRule>
    <cfRule type="cellIs" dxfId="18925" priority="7045" stopIfTrue="1" operator="equal">
      <formula>"Towel"</formula>
    </cfRule>
    <cfRule type="cellIs" dxfId="18924" priority="7046" stopIfTrue="1" operator="equal">
      <formula>"Napkin Hs"</formula>
    </cfRule>
    <cfRule type="cellIs" dxfId="18923" priority="7047" stopIfTrue="1" operator="equal">
      <formula>"Towel"</formula>
    </cfRule>
    <cfRule type="cellIs" dxfId="18922" priority="7048" stopIfTrue="1" operator="equal">
      <formula>"Napkin Hs"</formula>
    </cfRule>
    <cfRule type="cellIs" dxfId="18921" priority="7051" stopIfTrue="1" operator="equal">
      <formula>"Towel"</formula>
    </cfRule>
    <cfRule type="cellIs" dxfId="18920" priority="7052" stopIfTrue="1" operator="equal">
      <formula>"Napkin Hs"</formula>
    </cfRule>
    <cfRule type="cellIs" dxfId="18919" priority="7053" stopIfTrue="1" operator="equal">
      <formula>"Towel"</formula>
    </cfRule>
    <cfRule type="cellIs" dxfId="18918" priority="7054" stopIfTrue="1" operator="equal">
      <formula>"Napkin Hs"</formula>
    </cfRule>
    <cfRule type="cellIs" dxfId="18917" priority="7057" stopIfTrue="1" operator="equal">
      <formula>"Towel"</formula>
    </cfRule>
    <cfRule type="cellIs" dxfId="18916" priority="7058" stopIfTrue="1" operator="equal">
      <formula>"Napkin Hs"</formula>
    </cfRule>
    <cfRule type="cellIs" dxfId="18915" priority="7059" stopIfTrue="1" operator="equal">
      <formula>"Towel"</formula>
    </cfRule>
    <cfRule type="cellIs" dxfId="18914" priority="7060" stopIfTrue="1" operator="equal">
      <formula>"Napkin Hs"</formula>
    </cfRule>
    <cfRule type="cellIs" dxfId="18913" priority="7063" stopIfTrue="1" operator="equal">
      <formula>"Towel"</formula>
    </cfRule>
    <cfRule type="cellIs" dxfId="18912" priority="7064" stopIfTrue="1" operator="equal">
      <formula>"Napkin Hs"</formula>
    </cfRule>
  </conditionalFormatting>
  <conditionalFormatting sqref="C81">
    <cfRule type="cellIs" dxfId="18911" priority="7065" stopIfTrue="1" operator="equal">
      <formula>"Towel"</formula>
    </cfRule>
    <cfRule type="cellIs" dxfId="18910" priority="7066" stopIfTrue="1" operator="equal">
      <formula>"Napkin Hs"</formula>
    </cfRule>
  </conditionalFormatting>
  <conditionalFormatting sqref="B81:C81">
    <cfRule type="cellIs" dxfId="18909" priority="7025" stopIfTrue="1" operator="equal">
      <formula>"Towel"</formula>
    </cfRule>
    <cfRule type="cellIs" dxfId="18908" priority="7026" stopIfTrue="1" operator="equal">
      <formula>"Napkin Hs"</formula>
    </cfRule>
  </conditionalFormatting>
  <conditionalFormatting sqref="B81:C81">
    <cfRule type="cellIs" dxfId="18907" priority="6989" stopIfTrue="1" operator="equal">
      <formula>"Towel"</formula>
    </cfRule>
    <cfRule type="cellIs" dxfId="18906" priority="6990" stopIfTrue="1" operator="equal">
      <formula>"Napkin Hs"</formula>
    </cfRule>
    <cfRule type="cellIs" dxfId="18905" priority="6995" stopIfTrue="1" operator="equal">
      <formula>"Towel"</formula>
    </cfRule>
    <cfRule type="cellIs" dxfId="18904" priority="6996" stopIfTrue="1" operator="equal">
      <formula>"Napkin Hs"</formula>
    </cfRule>
    <cfRule type="cellIs" dxfId="18903" priority="7001" stopIfTrue="1" operator="equal">
      <formula>"Towel"</formula>
    </cfRule>
    <cfRule type="cellIs" dxfId="18902" priority="7002" stopIfTrue="1" operator="equal">
      <formula>"Napkin Hs"</formula>
    </cfRule>
    <cfRule type="cellIs" dxfId="18901" priority="7007" stopIfTrue="1" operator="equal">
      <formula>"Towel"</formula>
    </cfRule>
    <cfRule type="cellIs" dxfId="18900" priority="7008" stopIfTrue="1" operator="equal">
      <formula>"Napkin Hs"</formula>
    </cfRule>
    <cfRule type="cellIs" dxfId="18899" priority="7013" stopIfTrue="1" operator="equal">
      <formula>"Towel"</formula>
    </cfRule>
    <cfRule type="cellIs" dxfId="18898" priority="7014" stopIfTrue="1" operator="equal">
      <formula>"Napkin Hs"</formula>
    </cfRule>
    <cfRule type="cellIs" dxfId="18897" priority="7019" stopIfTrue="1" operator="equal">
      <formula>"Towel"</formula>
    </cfRule>
    <cfRule type="cellIs" dxfId="18896" priority="7020" stopIfTrue="1" operator="equal">
      <formula>"Napkin Hs"</formula>
    </cfRule>
  </conditionalFormatting>
  <conditionalFormatting sqref="C81">
    <cfRule type="cellIs" dxfId="18895" priority="7024" stopIfTrue="1" operator="equal">
      <formula>"Napkin Hs"</formula>
    </cfRule>
  </conditionalFormatting>
  <conditionalFormatting sqref="C81">
    <cfRule type="cellIs" dxfId="18894" priority="7023" stopIfTrue="1" operator="equal">
      <formula>"Towel"</formula>
    </cfRule>
  </conditionalFormatting>
  <conditionalFormatting sqref="C81">
    <cfRule type="cellIs" dxfId="18893" priority="7017" stopIfTrue="1" operator="equal">
      <formula>"Towel"</formula>
    </cfRule>
    <cfRule type="cellIs" dxfId="18892" priority="7018" stopIfTrue="1" operator="equal">
      <formula>"Napkin Hs"</formula>
    </cfRule>
  </conditionalFormatting>
  <conditionalFormatting sqref="C81">
    <cfRule type="cellIs" dxfId="18891" priority="7015" stopIfTrue="1" operator="equal">
      <formula>"Towel"</formula>
    </cfRule>
    <cfRule type="cellIs" dxfId="18890" priority="7016" stopIfTrue="1" operator="equal">
      <formula>"Napkin Hs"</formula>
    </cfRule>
    <cfRule type="cellIs" dxfId="18889" priority="7021" stopIfTrue="1" operator="equal">
      <formula>"Towel"</formula>
    </cfRule>
    <cfRule type="cellIs" dxfId="18888" priority="7022" stopIfTrue="1" operator="equal">
      <formula>"Napkin Hs"</formula>
    </cfRule>
  </conditionalFormatting>
  <conditionalFormatting sqref="C81">
    <cfRule type="cellIs" dxfId="18887" priority="6987" stopIfTrue="1" operator="equal">
      <formula>"Towel"</formula>
    </cfRule>
    <cfRule type="cellIs" dxfId="18886" priority="6988" stopIfTrue="1" operator="equal">
      <formula>"Napkin Hs"</formula>
    </cfRule>
    <cfRule type="cellIs" dxfId="18885" priority="6991" stopIfTrue="1" operator="equal">
      <formula>"Towel"</formula>
    </cfRule>
    <cfRule type="cellIs" dxfId="18884" priority="6992" stopIfTrue="1" operator="equal">
      <formula>"Napkin Hs"</formula>
    </cfRule>
    <cfRule type="cellIs" dxfId="18883" priority="6993" stopIfTrue="1" operator="equal">
      <formula>"Towel"</formula>
    </cfRule>
    <cfRule type="cellIs" dxfId="18882" priority="6994" stopIfTrue="1" operator="equal">
      <formula>"Napkin Hs"</formula>
    </cfRule>
    <cfRule type="cellIs" dxfId="18881" priority="6997" stopIfTrue="1" operator="equal">
      <formula>"Towel"</formula>
    </cfRule>
    <cfRule type="cellIs" dxfId="18880" priority="6998" stopIfTrue="1" operator="equal">
      <formula>"Napkin Hs"</formula>
    </cfRule>
    <cfRule type="cellIs" dxfId="18879" priority="6999" stopIfTrue="1" operator="equal">
      <formula>"Towel"</formula>
    </cfRule>
    <cfRule type="cellIs" dxfId="18878" priority="7000" stopIfTrue="1" operator="equal">
      <formula>"Napkin Hs"</formula>
    </cfRule>
    <cfRule type="cellIs" dxfId="18877" priority="7003" stopIfTrue="1" operator="equal">
      <formula>"Towel"</formula>
    </cfRule>
    <cfRule type="cellIs" dxfId="18876" priority="7004" stopIfTrue="1" operator="equal">
      <formula>"Napkin Hs"</formula>
    </cfRule>
    <cfRule type="cellIs" dxfId="18875" priority="7005" stopIfTrue="1" operator="equal">
      <formula>"Towel"</formula>
    </cfRule>
    <cfRule type="cellIs" dxfId="18874" priority="7006" stopIfTrue="1" operator="equal">
      <formula>"Napkin Hs"</formula>
    </cfRule>
    <cfRule type="cellIs" dxfId="18873" priority="7009" stopIfTrue="1" operator="equal">
      <formula>"Towel"</formula>
    </cfRule>
    <cfRule type="cellIs" dxfId="18872" priority="7010" stopIfTrue="1" operator="equal">
      <formula>"Napkin Hs"</formula>
    </cfRule>
    <cfRule type="cellIs" dxfId="18871" priority="7011" stopIfTrue="1" operator="equal">
      <formula>"Towel"</formula>
    </cfRule>
    <cfRule type="cellIs" dxfId="18870" priority="7012" stopIfTrue="1" operator="equal">
      <formula>"Napkin Hs"</formula>
    </cfRule>
  </conditionalFormatting>
  <conditionalFormatting sqref="C81">
    <cfRule type="cellIs" dxfId="18869" priority="6985" stopIfTrue="1" operator="equal">
      <formula>"Towel"</formula>
    </cfRule>
    <cfRule type="cellIs" dxfId="18868" priority="6986" stopIfTrue="1" operator="equal">
      <formula>"Napkin Hs"</formula>
    </cfRule>
  </conditionalFormatting>
  <conditionalFormatting sqref="C81">
    <cfRule type="cellIs" dxfId="18867" priority="6965" stopIfTrue="1" operator="equal">
      <formula>"Towel"</formula>
    </cfRule>
    <cfRule type="cellIs" dxfId="18866" priority="6966" stopIfTrue="1" operator="equal">
      <formula>"Napkin Hs"</formula>
    </cfRule>
    <cfRule type="cellIs" dxfId="18865" priority="6971" stopIfTrue="1" operator="equal">
      <formula>"Towel"</formula>
    </cfRule>
    <cfRule type="cellIs" dxfId="18864" priority="6972" stopIfTrue="1" operator="equal">
      <formula>"Napkin Hs"</formula>
    </cfRule>
    <cfRule type="cellIs" dxfId="18863" priority="6977" stopIfTrue="1" operator="equal">
      <formula>"Towel"</formula>
    </cfRule>
    <cfRule type="cellIs" dxfId="18862" priority="6978" stopIfTrue="1" operator="equal">
      <formula>"Napkin Hs"</formula>
    </cfRule>
    <cfRule type="cellIs" dxfId="18861" priority="6983" stopIfTrue="1" operator="equal">
      <formula>"Towel"</formula>
    </cfRule>
    <cfRule type="cellIs" dxfId="18860" priority="6984" stopIfTrue="1" operator="equal">
      <formula>"Napkin Hs"</formula>
    </cfRule>
  </conditionalFormatting>
  <conditionalFormatting sqref="C81">
    <cfRule type="cellIs" dxfId="18859" priority="6975" stopIfTrue="1" operator="equal">
      <formula>"Towel"</formula>
    </cfRule>
    <cfRule type="cellIs" dxfId="18858" priority="6976" stopIfTrue="1" operator="equal">
      <formula>"Napkin Hs"</formula>
    </cfRule>
    <cfRule type="cellIs" dxfId="18857" priority="6981" stopIfTrue="1" operator="equal">
      <formula>"Towel"</formula>
    </cfRule>
    <cfRule type="cellIs" dxfId="18856" priority="6982" stopIfTrue="1" operator="equal">
      <formula>"Napkin Hs"</formula>
    </cfRule>
  </conditionalFormatting>
  <conditionalFormatting sqref="C81">
    <cfRule type="cellIs" dxfId="18855" priority="6961" stopIfTrue="1" operator="equal">
      <formula>"Towel"</formula>
    </cfRule>
    <cfRule type="cellIs" dxfId="18854" priority="6962" stopIfTrue="1" operator="equal">
      <formula>"Napkin Hs"</formula>
    </cfRule>
    <cfRule type="cellIs" dxfId="18853" priority="6969" stopIfTrue="1" operator="equal">
      <formula>"Towel"</formula>
    </cfRule>
    <cfRule type="cellIs" dxfId="18852" priority="6970" stopIfTrue="1" operator="equal">
      <formula>"Napkin Hs"</formula>
    </cfRule>
    <cfRule type="cellIs" dxfId="18851" priority="6973" stopIfTrue="1" operator="equal">
      <formula>"Towel"</formula>
    </cfRule>
    <cfRule type="cellIs" dxfId="18850" priority="6974" stopIfTrue="1" operator="equal">
      <formula>"Napkin Hs"</formula>
    </cfRule>
  </conditionalFormatting>
  <conditionalFormatting sqref="C81">
    <cfRule type="cellIs" dxfId="18849" priority="6963" stopIfTrue="1" operator="equal">
      <formula>"Towel"</formula>
    </cfRule>
    <cfRule type="cellIs" dxfId="18848" priority="6964" stopIfTrue="1" operator="equal">
      <formula>"Napkin Hs"</formula>
    </cfRule>
    <cfRule type="cellIs" dxfId="18847" priority="6967" stopIfTrue="1" operator="equal">
      <formula>"Towel"</formula>
    </cfRule>
    <cfRule type="cellIs" dxfId="18846" priority="6968" stopIfTrue="1" operator="equal">
      <formula>"Napkin Hs"</formula>
    </cfRule>
    <cfRule type="cellIs" dxfId="18845" priority="6979" stopIfTrue="1" operator="equal">
      <formula>"Towel"</formula>
    </cfRule>
    <cfRule type="cellIs" dxfId="18844" priority="6980" stopIfTrue="1" operator="equal">
      <formula>"Napkin Hs"</formula>
    </cfRule>
  </conditionalFormatting>
  <conditionalFormatting sqref="C81">
    <cfRule type="cellIs" dxfId="18843" priority="6959" stopIfTrue="1" operator="equal">
      <formula>"Towel"</formula>
    </cfRule>
    <cfRule type="cellIs" dxfId="18842" priority="6960" stopIfTrue="1" operator="equal">
      <formula>"Napkin Hs"</formula>
    </cfRule>
  </conditionalFormatting>
  <conditionalFormatting sqref="C81">
    <cfRule type="cellIs" dxfId="18841" priority="6955" stopIfTrue="1" operator="equal">
      <formula>"Towel"</formula>
    </cfRule>
    <cfRule type="cellIs" dxfId="18840" priority="6956" stopIfTrue="1" operator="equal">
      <formula>"Napkin Hs"</formula>
    </cfRule>
  </conditionalFormatting>
  <conditionalFormatting sqref="C81">
    <cfRule type="cellIs" dxfId="18839" priority="6957" stopIfTrue="1" operator="equal">
      <formula>"Towel"</formula>
    </cfRule>
    <cfRule type="cellIs" dxfId="18838" priority="6958" stopIfTrue="1" operator="equal">
      <formula>"Napkin Hs"</formula>
    </cfRule>
  </conditionalFormatting>
  <conditionalFormatting sqref="C81">
    <cfRule type="cellIs" dxfId="18837" priority="6953" stopIfTrue="1" operator="equal">
      <formula>"Towel"</formula>
    </cfRule>
    <cfRule type="cellIs" dxfId="18836" priority="6954" stopIfTrue="1" operator="equal">
      <formula>"Napkin Hs"</formula>
    </cfRule>
  </conditionalFormatting>
  <conditionalFormatting sqref="C81">
    <cfRule type="cellIs" dxfId="18835" priority="6949" stopIfTrue="1" operator="equal">
      <formula>"Towel"</formula>
    </cfRule>
    <cfRule type="cellIs" dxfId="18834" priority="6950" stopIfTrue="1" operator="equal">
      <formula>"Napkin Hs"</formula>
    </cfRule>
  </conditionalFormatting>
  <conditionalFormatting sqref="C81">
    <cfRule type="cellIs" dxfId="18833" priority="6951" stopIfTrue="1" operator="equal">
      <formula>"Towel"</formula>
    </cfRule>
    <cfRule type="cellIs" dxfId="18832" priority="6952" stopIfTrue="1" operator="equal">
      <formula>"Napkin Hs"</formula>
    </cfRule>
  </conditionalFormatting>
  <conditionalFormatting sqref="C81">
    <cfRule type="cellIs" dxfId="18831" priority="6947" stopIfTrue="1" operator="equal">
      <formula>"Towel"</formula>
    </cfRule>
    <cfRule type="cellIs" dxfId="18830" priority="6948" stopIfTrue="1" operator="equal">
      <formula>"Napkin Hs"</formula>
    </cfRule>
  </conditionalFormatting>
  <conditionalFormatting sqref="C81">
    <cfRule type="cellIs" dxfId="18829" priority="6943" stopIfTrue="1" operator="equal">
      <formula>"Towel"</formula>
    </cfRule>
    <cfRule type="cellIs" dxfId="18828" priority="6944" stopIfTrue="1" operator="equal">
      <formula>"Napkin Hs"</formula>
    </cfRule>
  </conditionalFormatting>
  <conditionalFormatting sqref="C81">
    <cfRule type="cellIs" dxfId="18827" priority="6945" stopIfTrue="1" operator="equal">
      <formula>"Towel"</formula>
    </cfRule>
    <cfRule type="cellIs" dxfId="18826" priority="6946" stopIfTrue="1" operator="equal">
      <formula>"Napkin Hs"</formula>
    </cfRule>
  </conditionalFormatting>
  <conditionalFormatting sqref="C81">
    <cfRule type="cellIs" dxfId="18825" priority="6941" stopIfTrue="1" operator="equal">
      <formula>"Towel"</formula>
    </cfRule>
    <cfRule type="cellIs" dxfId="18824" priority="6942" stopIfTrue="1" operator="equal">
      <formula>"Napkin Hs"</formula>
    </cfRule>
  </conditionalFormatting>
  <conditionalFormatting sqref="C81">
    <cfRule type="cellIs" dxfId="18823" priority="6939" stopIfTrue="1" operator="equal">
      <formula>"Towel"</formula>
    </cfRule>
    <cfRule type="cellIs" dxfId="18822" priority="6940" stopIfTrue="1" operator="equal">
      <formula>"Napkin Hs"</formula>
    </cfRule>
  </conditionalFormatting>
  <conditionalFormatting sqref="C81">
    <cfRule type="cellIs" dxfId="18821" priority="6937" stopIfTrue="1" operator="equal">
      <formula>"Towel"</formula>
    </cfRule>
    <cfRule type="cellIs" dxfId="18820" priority="6938" stopIfTrue="1" operator="equal">
      <formula>"Napkin Hs"</formula>
    </cfRule>
  </conditionalFormatting>
  <conditionalFormatting sqref="C81">
    <cfRule type="cellIs" dxfId="18819" priority="6935" stopIfTrue="1" operator="equal">
      <formula>"Towel"</formula>
    </cfRule>
    <cfRule type="cellIs" dxfId="18818" priority="6936" stopIfTrue="1" operator="equal">
      <formula>"Napkin Hs"</formula>
    </cfRule>
  </conditionalFormatting>
  <conditionalFormatting sqref="C81">
    <cfRule type="cellIs" dxfId="18817" priority="6934" stopIfTrue="1" operator="equal">
      <formula>"Napkin Hs"</formula>
    </cfRule>
  </conditionalFormatting>
  <conditionalFormatting sqref="C81">
    <cfRule type="cellIs" dxfId="18816" priority="6931" stopIfTrue="1" operator="equal">
      <formula>"Towel"</formula>
    </cfRule>
    <cfRule type="cellIs" dxfId="18815" priority="6932" stopIfTrue="1" operator="equal">
      <formula>"Napkin Hs"</formula>
    </cfRule>
  </conditionalFormatting>
  <conditionalFormatting sqref="C81">
    <cfRule type="cellIs" dxfId="18814" priority="6933" stopIfTrue="1" operator="equal">
      <formula>"Towel"</formula>
    </cfRule>
  </conditionalFormatting>
  <conditionalFormatting sqref="B81">
    <cfRule type="cellIs" dxfId="18813" priority="6929" stopIfTrue="1" operator="equal">
      <formula>"Towel"</formula>
    </cfRule>
    <cfRule type="cellIs" dxfId="18812" priority="6930" stopIfTrue="1" operator="equal">
      <formula>"Napkin Hs"</formula>
    </cfRule>
  </conditionalFormatting>
  <conditionalFormatting sqref="B81">
    <cfRule type="cellIs" dxfId="18811" priority="6927" stopIfTrue="1" operator="equal">
      <formula>"Towel"</formula>
    </cfRule>
    <cfRule type="cellIs" dxfId="18810" priority="6928" stopIfTrue="1" operator="equal">
      <formula>"Napkin Hs"</formula>
    </cfRule>
  </conditionalFormatting>
  <conditionalFormatting sqref="B81">
    <cfRule type="cellIs" dxfId="18809" priority="6925" stopIfTrue="1" operator="equal">
      <formula>"Towel"</formula>
    </cfRule>
    <cfRule type="cellIs" dxfId="18808" priority="6926" stopIfTrue="1" operator="equal">
      <formula>"Napkin Hs"</formula>
    </cfRule>
  </conditionalFormatting>
  <conditionalFormatting sqref="B81">
    <cfRule type="cellIs" dxfId="18807" priority="6923" stopIfTrue="1" operator="equal">
      <formula>"Towel"</formula>
    </cfRule>
    <cfRule type="cellIs" dxfId="18806" priority="6924" stopIfTrue="1" operator="equal">
      <formula>"Napkin Hs"</formula>
    </cfRule>
  </conditionalFormatting>
  <conditionalFormatting sqref="B81">
    <cfRule type="cellIs" dxfId="18805" priority="6921" stopIfTrue="1" operator="equal">
      <formula>"Towel"</formula>
    </cfRule>
    <cfRule type="cellIs" dxfId="18804" priority="6922" stopIfTrue="1" operator="equal">
      <formula>"Napkin Hs"</formula>
    </cfRule>
  </conditionalFormatting>
  <conditionalFormatting sqref="B81">
    <cfRule type="cellIs" dxfId="18803" priority="6919" stopIfTrue="1" operator="equal">
      <formula>"Towel"</formula>
    </cfRule>
    <cfRule type="cellIs" dxfId="18802" priority="6920" stopIfTrue="1" operator="equal">
      <formula>"Napkin Hs"</formula>
    </cfRule>
  </conditionalFormatting>
  <conditionalFormatting sqref="B81">
    <cfRule type="cellIs" dxfId="18801" priority="6915" stopIfTrue="1" operator="equal">
      <formula>"Towel"</formula>
    </cfRule>
    <cfRule type="cellIs" dxfId="18800" priority="6916" stopIfTrue="1" operator="equal">
      <formula>"Napkin Hs"</formula>
    </cfRule>
    <cfRule type="cellIs" dxfId="18799" priority="6917" stopIfTrue="1" operator="equal">
      <formula>"Towel"</formula>
    </cfRule>
    <cfRule type="cellIs" dxfId="18798" priority="6918" stopIfTrue="1" operator="equal">
      <formula>"Napkin Hs"</formula>
    </cfRule>
  </conditionalFormatting>
  <conditionalFormatting sqref="B81">
    <cfRule type="cellIs" dxfId="18797" priority="6913" stopIfTrue="1" operator="equal">
      <formula>"Towel"</formula>
    </cfRule>
    <cfRule type="cellIs" dxfId="18796" priority="6914" stopIfTrue="1" operator="equal">
      <formula>"Napkin Hs"</formula>
    </cfRule>
  </conditionalFormatting>
  <conditionalFormatting sqref="B81">
    <cfRule type="cellIs" dxfId="18795" priority="6911" stopIfTrue="1" operator="equal">
      <formula>"Towel"</formula>
    </cfRule>
    <cfRule type="cellIs" dxfId="18794" priority="6912" stopIfTrue="1" operator="equal">
      <formula>"Napkin Hs"</formula>
    </cfRule>
  </conditionalFormatting>
  <conditionalFormatting sqref="B81">
    <cfRule type="cellIs" dxfId="18793" priority="6909" stopIfTrue="1" operator="equal">
      <formula>"Towel"</formula>
    </cfRule>
    <cfRule type="cellIs" dxfId="18792" priority="6910" stopIfTrue="1" operator="equal">
      <formula>"Napkin Hs"</formula>
    </cfRule>
  </conditionalFormatting>
  <conditionalFormatting sqref="B81">
    <cfRule type="cellIs" dxfId="18791" priority="6907" stopIfTrue="1" operator="equal">
      <formula>"Towel"</formula>
    </cfRule>
    <cfRule type="cellIs" dxfId="18790" priority="6908" stopIfTrue="1" operator="equal">
      <formula>"Napkin Hs"</formula>
    </cfRule>
  </conditionalFormatting>
  <conditionalFormatting sqref="B81">
    <cfRule type="cellIs" dxfId="18789" priority="6905" stopIfTrue="1" operator="equal">
      <formula>"Towel"</formula>
    </cfRule>
    <cfRule type="cellIs" dxfId="18788" priority="6906" stopIfTrue="1" operator="equal">
      <formula>"Napkin Hs"</formula>
    </cfRule>
  </conditionalFormatting>
  <conditionalFormatting sqref="B81:C81">
    <cfRule type="cellIs" dxfId="18787" priority="6891" stopIfTrue="1" operator="equal">
      <formula>"Towel"</formula>
    </cfRule>
    <cfRule type="cellIs" dxfId="18786" priority="6892" stopIfTrue="1" operator="equal">
      <formula>"Napkin Hs"</formula>
    </cfRule>
    <cfRule type="cellIs" dxfId="18785" priority="6897" stopIfTrue="1" operator="equal">
      <formula>"Towel"</formula>
    </cfRule>
    <cfRule type="cellIs" dxfId="18784" priority="6898" stopIfTrue="1" operator="equal">
      <formula>"Napkin Hs"</formula>
    </cfRule>
    <cfRule type="cellIs" dxfId="18783" priority="6903" stopIfTrue="1" operator="equal">
      <formula>"Towel"</formula>
    </cfRule>
    <cfRule type="cellIs" dxfId="18782" priority="6904" stopIfTrue="1" operator="equal">
      <formula>"Napkin Hs"</formula>
    </cfRule>
  </conditionalFormatting>
  <conditionalFormatting sqref="C81">
    <cfRule type="cellIs" dxfId="18781" priority="6885" stopIfTrue="1" operator="equal">
      <formula>"Towel"</formula>
    </cfRule>
    <cfRule type="cellIs" dxfId="18780" priority="6886" stopIfTrue="1" operator="equal">
      <formula>"Napkin Hs"</formula>
    </cfRule>
    <cfRule type="cellIs" dxfId="18779" priority="6887" stopIfTrue="1" operator="equal">
      <formula>"Towel"</formula>
    </cfRule>
    <cfRule type="cellIs" dxfId="18778" priority="6888" stopIfTrue="1" operator="equal">
      <formula>"Napkin Hs"</formula>
    </cfRule>
    <cfRule type="cellIs" dxfId="18777" priority="6895" stopIfTrue="1" operator="equal">
      <formula>"Towel"</formula>
    </cfRule>
    <cfRule type="cellIs" dxfId="18776" priority="6896" stopIfTrue="1" operator="equal">
      <formula>"Napkin Hs"</formula>
    </cfRule>
    <cfRule type="cellIs" dxfId="18775" priority="6899" stopIfTrue="1" operator="equal">
      <formula>"Towel"</formula>
    </cfRule>
    <cfRule type="cellIs" dxfId="18774" priority="6900" stopIfTrue="1" operator="equal">
      <formula>"Napkin Hs"</formula>
    </cfRule>
  </conditionalFormatting>
  <conditionalFormatting sqref="C81">
    <cfRule type="cellIs" dxfId="18773" priority="6889" stopIfTrue="1" operator="equal">
      <formula>"Towel"</formula>
    </cfRule>
    <cfRule type="cellIs" dxfId="18772" priority="6890" stopIfTrue="1" operator="equal">
      <formula>"Napkin Hs"</formula>
    </cfRule>
    <cfRule type="cellIs" dxfId="18771" priority="6893" stopIfTrue="1" operator="equal">
      <formula>"Towel"</formula>
    </cfRule>
    <cfRule type="cellIs" dxfId="18770" priority="6894" stopIfTrue="1" operator="equal">
      <formula>"Napkin Hs"</formula>
    </cfRule>
    <cfRule type="cellIs" dxfId="18769" priority="6901" stopIfTrue="1" operator="equal">
      <formula>"Towel"</formula>
    </cfRule>
    <cfRule type="cellIs" dxfId="18768" priority="6902" stopIfTrue="1" operator="equal">
      <formula>"Napkin Hs"</formula>
    </cfRule>
  </conditionalFormatting>
  <conditionalFormatting sqref="B81:C81">
    <cfRule type="cellIs" dxfId="18767" priority="6883" stopIfTrue="1" operator="equal">
      <formula>"Towel"</formula>
    </cfRule>
    <cfRule type="cellIs" dxfId="18766" priority="6884" stopIfTrue="1" operator="equal">
      <formula>"Napkin Hs"</formula>
    </cfRule>
  </conditionalFormatting>
  <conditionalFormatting sqref="B81:C81">
    <cfRule type="cellIs" dxfId="18765" priority="6875" stopIfTrue="1" operator="equal">
      <formula>"Towel"</formula>
    </cfRule>
    <cfRule type="cellIs" dxfId="18764" priority="6876" stopIfTrue="1" operator="equal">
      <formula>"Napkin Hs"</formula>
    </cfRule>
    <cfRule type="cellIs" dxfId="18763" priority="6881" stopIfTrue="1" operator="equal">
      <formula>"Towel"</formula>
    </cfRule>
    <cfRule type="cellIs" dxfId="18762" priority="6882" stopIfTrue="1" operator="equal">
      <formula>"Napkin Hs"</formula>
    </cfRule>
  </conditionalFormatting>
  <conditionalFormatting sqref="C81">
    <cfRule type="cellIs" dxfId="18761" priority="6871" stopIfTrue="1" operator="equal">
      <formula>"Towel"</formula>
    </cfRule>
    <cfRule type="cellIs" dxfId="18760" priority="6872" stopIfTrue="1" operator="equal">
      <formula>"Napkin Hs"</formula>
    </cfRule>
  </conditionalFormatting>
  <conditionalFormatting sqref="C81">
    <cfRule type="cellIs" dxfId="18759" priority="6869" stopIfTrue="1" operator="equal">
      <formula>"Towel"</formula>
    </cfRule>
    <cfRule type="cellIs" dxfId="18758" priority="6870" stopIfTrue="1" operator="equal">
      <formula>"Napkin Hs"</formula>
    </cfRule>
    <cfRule type="cellIs" dxfId="18757" priority="6879" stopIfTrue="1" operator="equal">
      <formula>"Towel"</formula>
    </cfRule>
    <cfRule type="cellIs" dxfId="18756" priority="6880" stopIfTrue="1" operator="equal">
      <formula>"Napkin Hs"</formula>
    </cfRule>
  </conditionalFormatting>
  <conditionalFormatting sqref="C81">
    <cfRule type="cellIs" dxfId="18755" priority="6873" stopIfTrue="1" operator="equal">
      <formula>"Towel"</formula>
    </cfRule>
    <cfRule type="cellIs" dxfId="18754" priority="6874" stopIfTrue="1" operator="equal">
      <formula>"Napkin Hs"</formula>
    </cfRule>
    <cfRule type="cellIs" dxfId="18753" priority="6877" stopIfTrue="1" operator="equal">
      <formula>"Towel"</formula>
    </cfRule>
    <cfRule type="cellIs" dxfId="18752" priority="6878" stopIfTrue="1" operator="equal">
      <formula>"Napkin Hs"</formula>
    </cfRule>
  </conditionalFormatting>
  <conditionalFormatting sqref="C81">
    <cfRule type="cellIs" dxfId="18751" priority="6868" stopIfTrue="1" operator="equal">
      <formula>"Napkin Hs"</formula>
    </cfRule>
  </conditionalFormatting>
  <conditionalFormatting sqref="C81">
    <cfRule type="cellIs" dxfId="18750" priority="6867" stopIfTrue="1" operator="equal">
      <formula>"Towel"</formula>
    </cfRule>
  </conditionalFormatting>
  <conditionalFormatting sqref="C81">
    <cfRule type="cellIs" dxfId="18749" priority="6863" stopIfTrue="1" operator="equal">
      <formula>"Towel"</formula>
    </cfRule>
    <cfRule type="cellIs" dxfId="18748" priority="6864" stopIfTrue="1" operator="equal">
      <formula>"Napkin Hs"</formula>
    </cfRule>
    <cfRule type="cellIs" dxfId="18747" priority="6865" stopIfTrue="1" operator="equal">
      <formula>"Towel"</formula>
    </cfRule>
    <cfRule type="cellIs" dxfId="18746" priority="6866" stopIfTrue="1" operator="equal">
      <formula>"Napkin Hs"</formula>
    </cfRule>
  </conditionalFormatting>
  <conditionalFormatting sqref="B81:C81">
    <cfRule type="cellIs" dxfId="18745" priority="6861" stopIfTrue="1" operator="equal">
      <formula>"Towel"</formula>
    </cfRule>
    <cfRule type="cellIs" dxfId="18744" priority="6862" stopIfTrue="1" operator="equal">
      <formula>"Napkin Hs"</formula>
    </cfRule>
  </conditionalFormatting>
  <conditionalFormatting sqref="C81">
    <cfRule type="cellIs" dxfId="18743" priority="6857" stopIfTrue="1" operator="equal">
      <formula>"Towel"</formula>
    </cfRule>
    <cfRule type="cellIs" dxfId="18742" priority="6858" stopIfTrue="1" operator="equal">
      <formula>"Napkin Hs"</formula>
    </cfRule>
  </conditionalFormatting>
  <conditionalFormatting sqref="C81">
    <cfRule type="cellIs" dxfId="18741" priority="6859" stopIfTrue="1" operator="equal">
      <formula>"Towel"</formula>
    </cfRule>
    <cfRule type="cellIs" dxfId="18740" priority="6860" stopIfTrue="1" operator="equal">
      <formula>"Napkin Hs"</formula>
    </cfRule>
  </conditionalFormatting>
  <conditionalFormatting sqref="B81:C81">
    <cfRule type="cellIs" dxfId="18739" priority="6855" stopIfTrue="1" operator="equal">
      <formula>"Towel"</formula>
    </cfRule>
    <cfRule type="cellIs" dxfId="18738" priority="6856" stopIfTrue="1" operator="equal">
      <formula>"Napkin Hs"</formula>
    </cfRule>
  </conditionalFormatting>
  <conditionalFormatting sqref="C81">
    <cfRule type="cellIs" dxfId="18737" priority="6851" stopIfTrue="1" operator="equal">
      <formula>"Towel"</formula>
    </cfRule>
    <cfRule type="cellIs" dxfId="18736" priority="6852" stopIfTrue="1" operator="equal">
      <formula>"Napkin Hs"</formula>
    </cfRule>
  </conditionalFormatting>
  <conditionalFormatting sqref="C81">
    <cfRule type="cellIs" dxfId="18735" priority="6853" stopIfTrue="1" operator="equal">
      <formula>"Towel"</formula>
    </cfRule>
    <cfRule type="cellIs" dxfId="18734" priority="6854" stopIfTrue="1" operator="equal">
      <formula>"Napkin Hs"</formula>
    </cfRule>
  </conditionalFormatting>
  <conditionalFormatting sqref="B81:C81">
    <cfRule type="cellIs" dxfId="18733" priority="6849" stopIfTrue="1" operator="equal">
      <formula>"Towel"</formula>
    </cfRule>
    <cfRule type="cellIs" dxfId="18732" priority="6850" stopIfTrue="1" operator="equal">
      <formula>"Napkin Hs"</formula>
    </cfRule>
  </conditionalFormatting>
  <conditionalFormatting sqref="C81">
    <cfRule type="cellIs" dxfId="18731" priority="6845" stopIfTrue="1" operator="equal">
      <formula>"Towel"</formula>
    </cfRule>
    <cfRule type="cellIs" dxfId="18730" priority="6846" stopIfTrue="1" operator="equal">
      <formula>"Napkin Hs"</formula>
    </cfRule>
  </conditionalFormatting>
  <conditionalFormatting sqref="C81">
    <cfRule type="cellIs" dxfId="18729" priority="6847" stopIfTrue="1" operator="equal">
      <formula>"Towel"</formula>
    </cfRule>
    <cfRule type="cellIs" dxfId="18728" priority="6848" stopIfTrue="1" operator="equal">
      <formula>"Napkin Hs"</formula>
    </cfRule>
  </conditionalFormatting>
  <conditionalFormatting sqref="B81:C81">
    <cfRule type="cellIs" dxfId="18727" priority="6843" stopIfTrue="1" operator="equal">
      <formula>"Towel"</formula>
    </cfRule>
    <cfRule type="cellIs" dxfId="18726" priority="6844" stopIfTrue="1" operator="equal">
      <formula>"Napkin Hs"</formula>
    </cfRule>
  </conditionalFormatting>
  <conditionalFormatting sqref="C81">
    <cfRule type="cellIs" dxfId="18725" priority="6841" stopIfTrue="1" operator="equal">
      <formula>"Towel"</formula>
    </cfRule>
    <cfRule type="cellIs" dxfId="18724" priority="6842" stopIfTrue="1" operator="equal">
      <formula>"Napkin Hs"</formula>
    </cfRule>
  </conditionalFormatting>
  <conditionalFormatting sqref="C81">
    <cfRule type="cellIs" dxfId="18723" priority="6839" stopIfTrue="1" operator="equal">
      <formula>"Towel"</formula>
    </cfRule>
    <cfRule type="cellIs" dxfId="18722" priority="6840" stopIfTrue="1" operator="equal">
      <formula>"Napkin Hs"</formula>
    </cfRule>
  </conditionalFormatting>
  <conditionalFormatting sqref="B81:C81">
    <cfRule type="cellIs" dxfId="18721" priority="6837" stopIfTrue="1" operator="equal">
      <formula>"Towel"</formula>
    </cfRule>
    <cfRule type="cellIs" dxfId="18720" priority="6838" stopIfTrue="1" operator="equal">
      <formula>"Napkin Hs"</formula>
    </cfRule>
  </conditionalFormatting>
  <conditionalFormatting sqref="C81">
    <cfRule type="cellIs" dxfId="18719" priority="6836" stopIfTrue="1" operator="equal">
      <formula>"Napkin Hs"</formula>
    </cfRule>
  </conditionalFormatting>
  <conditionalFormatting sqref="C81">
    <cfRule type="cellIs" dxfId="18718" priority="6833" stopIfTrue="1" operator="equal">
      <formula>"Towel"</formula>
    </cfRule>
    <cfRule type="cellIs" dxfId="18717" priority="6834" stopIfTrue="1" operator="equal">
      <formula>"Napkin Hs"</formula>
    </cfRule>
  </conditionalFormatting>
  <conditionalFormatting sqref="C81">
    <cfRule type="cellIs" dxfId="18716" priority="6835" stopIfTrue="1" operator="equal">
      <formula>"Towel"</formula>
    </cfRule>
  </conditionalFormatting>
  <conditionalFormatting sqref="B79:C80">
    <cfRule type="cellIs" dxfId="18715" priority="6831" stopIfTrue="1" operator="equal">
      <formula>"Towel"</formula>
    </cfRule>
    <cfRule type="cellIs" dxfId="18714" priority="6832" stopIfTrue="1" operator="equal">
      <formula>"Napkin Hs"</formula>
    </cfRule>
  </conditionalFormatting>
  <conditionalFormatting sqref="B79:C80">
    <cfRule type="cellIs" dxfId="18713" priority="6807" stopIfTrue="1" operator="equal">
      <formula>"Towel"</formula>
    </cfRule>
    <cfRule type="cellIs" dxfId="18712" priority="6808" stopIfTrue="1" operator="equal">
      <formula>"Napkin Hs"</formula>
    </cfRule>
    <cfRule type="cellIs" dxfId="18711" priority="6813" stopIfTrue="1" operator="equal">
      <formula>"Towel"</formula>
    </cfRule>
    <cfRule type="cellIs" dxfId="18710" priority="6814" stopIfTrue="1" operator="equal">
      <formula>"Napkin Hs"</formula>
    </cfRule>
    <cfRule type="cellIs" dxfId="18709" priority="6819" stopIfTrue="1" operator="equal">
      <formula>"Towel"</formula>
    </cfRule>
    <cfRule type="cellIs" dxfId="18708" priority="6820" stopIfTrue="1" operator="equal">
      <formula>"Napkin Hs"</formula>
    </cfRule>
    <cfRule type="cellIs" dxfId="18707" priority="6825" stopIfTrue="1" operator="equal">
      <formula>"Towel"</formula>
    </cfRule>
    <cfRule type="cellIs" dxfId="18706" priority="6826" stopIfTrue="1" operator="equal">
      <formula>"Napkin Hs"</formula>
    </cfRule>
  </conditionalFormatting>
  <conditionalFormatting sqref="C79:C80">
    <cfRule type="cellIs" dxfId="18705" priority="6821" stopIfTrue="1" operator="equal">
      <formula>"Towel"</formula>
    </cfRule>
    <cfRule type="cellIs" dxfId="18704" priority="6822" stopIfTrue="1" operator="equal">
      <formula>"Napkin Hs"</formula>
    </cfRule>
    <cfRule type="cellIs" dxfId="18703" priority="6827" stopIfTrue="1" operator="equal">
      <formula>"Towel"</formula>
    </cfRule>
    <cfRule type="cellIs" dxfId="18702" priority="6828" stopIfTrue="1" operator="equal">
      <formula>"Napkin Hs"</formula>
    </cfRule>
  </conditionalFormatting>
  <conditionalFormatting sqref="C79:C80">
    <cfRule type="cellIs" dxfId="18701" priority="6801" stopIfTrue="1" operator="equal">
      <formula>"Towel"</formula>
    </cfRule>
    <cfRule type="cellIs" dxfId="18700" priority="6802" stopIfTrue="1" operator="equal">
      <formula>"Napkin Hs"</formula>
    </cfRule>
    <cfRule type="cellIs" dxfId="18699" priority="6803" stopIfTrue="1" operator="equal">
      <formula>"Towel"</formula>
    </cfRule>
    <cfRule type="cellIs" dxfId="18698" priority="6804" stopIfTrue="1" operator="equal">
      <formula>"Napkin Hs"</formula>
    </cfRule>
    <cfRule type="cellIs" dxfId="18697" priority="6811" stopIfTrue="1" operator="equal">
      <formula>"Towel"</formula>
    </cfRule>
    <cfRule type="cellIs" dxfId="18696" priority="6812" stopIfTrue="1" operator="equal">
      <formula>"Napkin Hs"</formula>
    </cfRule>
    <cfRule type="cellIs" dxfId="18695" priority="6815" stopIfTrue="1" operator="equal">
      <formula>"Towel"</formula>
    </cfRule>
    <cfRule type="cellIs" dxfId="18694" priority="6816" stopIfTrue="1" operator="equal">
      <formula>"Napkin Hs"</formula>
    </cfRule>
    <cfRule type="cellIs" dxfId="18693" priority="6817" stopIfTrue="1" operator="equal">
      <formula>"Towel"</formula>
    </cfRule>
    <cfRule type="cellIs" dxfId="18692" priority="6818" stopIfTrue="1" operator="equal">
      <formula>"Napkin Hs"</formula>
    </cfRule>
  </conditionalFormatting>
  <conditionalFormatting sqref="C79:C80">
    <cfRule type="cellIs" dxfId="18691" priority="6829" stopIfTrue="1" operator="equal">
      <formula>"Towel"</formula>
    </cfRule>
    <cfRule type="cellIs" dxfId="18690" priority="6830" stopIfTrue="1" operator="equal">
      <formula>"Napkin Hs"</formula>
    </cfRule>
  </conditionalFormatting>
  <conditionalFormatting sqref="C79:C80">
    <cfRule type="cellIs" dxfId="18689" priority="6805" stopIfTrue="1" operator="equal">
      <formula>"Towel"</formula>
    </cfRule>
    <cfRule type="cellIs" dxfId="18688" priority="6806" stopIfTrue="1" operator="equal">
      <formula>"Napkin Hs"</formula>
    </cfRule>
    <cfRule type="cellIs" dxfId="18687" priority="6809" stopIfTrue="1" operator="equal">
      <formula>"Towel"</formula>
    </cfRule>
    <cfRule type="cellIs" dxfId="18686" priority="6810" stopIfTrue="1" operator="equal">
      <formula>"Napkin Hs"</formula>
    </cfRule>
    <cfRule type="cellIs" dxfId="18685" priority="6823" stopIfTrue="1" operator="equal">
      <formula>"Towel"</formula>
    </cfRule>
    <cfRule type="cellIs" dxfId="18684" priority="6824" stopIfTrue="1" operator="equal">
      <formula>"Napkin Hs"</formula>
    </cfRule>
  </conditionalFormatting>
  <conditionalFormatting sqref="B79:C80">
    <cfRule type="cellIs" dxfId="18683" priority="6757" stopIfTrue="1" operator="equal">
      <formula>"Towel"</formula>
    </cfRule>
    <cfRule type="cellIs" dxfId="18682" priority="6758" stopIfTrue="1" operator="equal">
      <formula>"Napkin Hs"</formula>
    </cfRule>
    <cfRule type="cellIs" dxfId="18681" priority="6763" stopIfTrue="1" operator="equal">
      <formula>"Towel"</formula>
    </cfRule>
    <cfRule type="cellIs" dxfId="18680" priority="6764" stopIfTrue="1" operator="equal">
      <formula>"Napkin Hs"</formula>
    </cfRule>
    <cfRule type="cellIs" dxfId="18679" priority="6769" stopIfTrue="1" operator="equal">
      <formula>"Towel"</formula>
    </cfRule>
    <cfRule type="cellIs" dxfId="18678" priority="6770" stopIfTrue="1" operator="equal">
      <formula>"Napkin Hs"</formula>
    </cfRule>
    <cfRule type="cellIs" dxfId="18677" priority="6775" stopIfTrue="1" operator="equal">
      <formula>"Towel"</formula>
    </cfRule>
    <cfRule type="cellIs" dxfId="18676" priority="6776" stopIfTrue="1" operator="equal">
      <formula>"Napkin Hs"</formula>
    </cfRule>
    <cfRule type="cellIs" dxfId="18675" priority="6781" stopIfTrue="1" operator="equal">
      <formula>"Towel"</formula>
    </cfRule>
    <cfRule type="cellIs" dxfId="18674" priority="6782" stopIfTrue="1" operator="equal">
      <formula>"Napkin Hs"</formula>
    </cfRule>
    <cfRule type="cellIs" dxfId="18673" priority="6787" stopIfTrue="1" operator="equal">
      <formula>"Towel"</formula>
    </cfRule>
    <cfRule type="cellIs" dxfId="18672" priority="6788" stopIfTrue="1" operator="equal">
      <formula>"Napkin Hs"</formula>
    </cfRule>
    <cfRule type="cellIs" dxfId="18671" priority="6793" stopIfTrue="1" operator="equal">
      <formula>"Towel"</formula>
    </cfRule>
    <cfRule type="cellIs" dxfId="18670" priority="6794" stopIfTrue="1" operator="equal">
      <formula>"Napkin Hs"</formula>
    </cfRule>
    <cfRule type="cellIs" dxfId="18669" priority="6799" stopIfTrue="1" operator="equal">
      <formula>"Towel"</formula>
    </cfRule>
    <cfRule type="cellIs" dxfId="18668" priority="6800" stopIfTrue="1" operator="equal">
      <formula>"Napkin Hs"</formula>
    </cfRule>
  </conditionalFormatting>
  <conditionalFormatting sqref="C79:C80">
    <cfRule type="cellIs" dxfId="18667" priority="6753" stopIfTrue="1" operator="equal">
      <formula>"Towel"</formula>
    </cfRule>
    <cfRule type="cellIs" dxfId="18666" priority="6754" stopIfTrue="1" operator="equal">
      <formula>"Napkin Hs"</formula>
    </cfRule>
    <cfRule type="cellIs" dxfId="18665" priority="6755" stopIfTrue="1" operator="equal">
      <formula>"Towel"</formula>
    </cfRule>
    <cfRule type="cellIs" dxfId="18664" priority="6756" stopIfTrue="1" operator="equal">
      <formula>"Napkin Hs"</formula>
    </cfRule>
    <cfRule type="cellIs" dxfId="18663" priority="6759" stopIfTrue="1" operator="equal">
      <formula>"Towel"</formula>
    </cfRule>
    <cfRule type="cellIs" dxfId="18662" priority="6760" stopIfTrue="1" operator="equal">
      <formula>"Napkin Hs"</formula>
    </cfRule>
    <cfRule type="cellIs" dxfId="18661" priority="6761" stopIfTrue="1" operator="equal">
      <formula>"Towel"</formula>
    </cfRule>
    <cfRule type="cellIs" dxfId="18660" priority="6762" stopIfTrue="1" operator="equal">
      <formula>"Napkin Hs"</formula>
    </cfRule>
    <cfRule type="cellIs" dxfId="18659" priority="6765" stopIfTrue="1" operator="equal">
      <formula>"Towel"</formula>
    </cfRule>
    <cfRule type="cellIs" dxfId="18658" priority="6766" stopIfTrue="1" operator="equal">
      <formula>"Napkin Hs"</formula>
    </cfRule>
    <cfRule type="cellIs" dxfId="18657" priority="6767" stopIfTrue="1" operator="equal">
      <formula>"Towel"</formula>
    </cfRule>
    <cfRule type="cellIs" dxfId="18656" priority="6768" stopIfTrue="1" operator="equal">
      <formula>"Napkin Hs"</formula>
    </cfRule>
    <cfRule type="cellIs" dxfId="18655" priority="6771" stopIfTrue="1" operator="equal">
      <formula>"Towel"</formula>
    </cfRule>
    <cfRule type="cellIs" dxfId="18654" priority="6772" stopIfTrue="1" operator="equal">
      <formula>"Napkin Hs"</formula>
    </cfRule>
    <cfRule type="cellIs" dxfId="18653" priority="6773" stopIfTrue="1" operator="equal">
      <formula>"Towel"</formula>
    </cfRule>
    <cfRule type="cellIs" dxfId="18652" priority="6774" stopIfTrue="1" operator="equal">
      <formula>"Napkin Hs"</formula>
    </cfRule>
    <cfRule type="cellIs" dxfId="18651" priority="6777" stopIfTrue="1" operator="equal">
      <formula>"Towel"</formula>
    </cfRule>
    <cfRule type="cellIs" dxfId="18650" priority="6778" stopIfTrue="1" operator="equal">
      <formula>"Napkin Hs"</formula>
    </cfRule>
    <cfRule type="cellIs" dxfId="18649" priority="6779" stopIfTrue="1" operator="equal">
      <formula>"Towel"</formula>
    </cfRule>
    <cfRule type="cellIs" dxfId="18648" priority="6780" stopIfTrue="1" operator="equal">
      <formula>"Napkin Hs"</formula>
    </cfRule>
    <cfRule type="cellIs" dxfId="18647" priority="6783" stopIfTrue="1" operator="equal">
      <formula>"Towel"</formula>
    </cfRule>
    <cfRule type="cellIs" dxfId="18646" priority="6784" stopIfTrue="1" operator="equal">
      <formula>"Napkin Hs"</formula>
    </cfRule>
    <cfRule type="cellIs" dxfId="18645" priority="6785" stopIfTrue="1" operator="equal">
      <formula>"Towel"</formula>
    </cfRule>
    <cfRule type="cellIs" dxfId="18644" priority="6786" stopIfTrue="1" operator="equal">
      <formula>"Napkin Hs"</formula>
    </cfRule>
    <cfRule type="cellIs" dxfId="18643" priority="6789" stopIfTrue="1" operator="equal">
      <formula>"Towel"</formula>
    </cfRule>
    <cfRule type="cellIs" dxfId="18642" priority="6790" stopIfTrue="1" operator="equal">
      <formula>"Napkin Hs"</formula>
    </cfRule>
    <cfRule type="cellIs" dxfId="18641" priority="6791" stopIfTrue="1" operator="equal">
      <formula>"Towel"</formula>
    </cfRule>
    <cfRule type="cellIs" dxfId="18640" priority="6792" stopIfTrue="1" operator="equal">
      <formula>"Napkin Hs"</formula>
    </cfRule>
    <cfRule type="cellIs" dxfId="18639" priority="6795" stopIfTrue="1" operator="equal">
      <formula>"Towel"</formula>
    </cfRule>
    <cfRule type="cellIs" dxfId="18638" priority="6796" stopIfTrue="1" operator="equal">
      <formula>"Napkin Hs"</formula>
    </cfRule>
  </conditionalFormatting>
  <conditionalFormatting sqref="C79:C80">
    <cfRule type="cellIs" dxfId="18637" priority="6797" stopIfTrue="1" operator="equal">
      <formula>"Towel"</formula>
    </cfRule>
    <cfRule type="cellIs" dxfId="18636" priority="6798" stopIfTrue="1" operator="equal">
      <formula>"Napkin Hs"</formula>
    </cfRule>
  </conditionalFormatting>
  <conditionalFormatting sqref="B79:B80">
    <cfRule type="cellIs" dxfId="18635" priority="6747" stopIfTrue="1" operator="equal">
      <formula>"Towel"</formula>
    </cfRule>
    <cfRule type="cellIs" dxfId="18634" priority="6748" stopIfTrue="1" operator="equal">
      <formula>"Napkin Hs"</formula>
    </cfRule>
    <cfRule type="cellIs" dxfId="18633" priority="6749" stopIfTrue="1" operator="equal">
      <formula>"Towel"</formula>
    </cfRule>
    <cfRule type="cellIs" dxfId="18632" priority="6750" stopIfTrue="1" operator="equal">
      <formula>"Napkin Hs"</formula>
    </cfRule>
    <cfRule type="cellIs" dxfId="18631" priority="6751" stopIfTrue="1" operator="equal">
      <formula>"Towel"</formula>
    </cfRule>
    <cfRule type="cellIs" dxfId="18630" priority="6752" stopIfTrue="1" operator="equal">
      <formula>"Napkin Hs"</formula>
    </cfRule>
  </conditionalFormatting>
  <conditionalFormatting sqref="B79:C80">
    <cfRule type="cellIs" dxfId="18629" priority="6709" stopIfTrue="1" operator="equal">
      <formula>"Towel"</formula>
    </cfRule>
    <cfRule type="cellIs" dxfId="18628" priority="6710" stopIfTrue="1" operator="equal">
      <formula>"Napkin Hs"</formula>
    </cfRule>
    <cfRule type="cellIs" dxfId="18627" priority="6715" stopIfTrue="1" operator="equal">
      <formula>"Towel"</formula>
    </cfRule>
    <cfRule type="cellIs" dxfId="18626" priority="6716" stopIfTrue="1" operator="equal">
      <formula>"Napkin Hs"</formula>
    </cfRule>
    <cfRule type="cellIs" dxfId="18625" priority="6721" stopIfTrue="1" operator="equal">
      <formula>"Towel"</formula>
    </cfRule>
    <cfRule type="cellIs" dxfId="18624" priority="6722" stopIfTrue="1" operator="equal">
      <formula>"Napkin Hs"</formula>
    </cfRule>
    <cfRule type="cellIs" dxfId="18623" priority="6727" stopIfTrue="1" operator="equal">
      <formula>"Towel"</formula>
    </cfRule>
    <cfRule type="cellIs" dxfId="18622" priority="6728" stopIfTrue="1" operator="equal">
      <formula>"Napkin Hs"</formula>
    </cfRule>
    <cfRule type="cellIs" dxfId="18621" priority="6733" stopIfTrue="1" operator="equal">
      <formula>"Towel"</formula>
    </cfRule>
    <cfRule type="cellIs" dxfId="18620" priority="6734" stopIfTrue="1" operator="equal">
      <formula>"Napkin Hs"</formula>
    </cfRule>
    <cfRule type="cellIs" dxfId="18619" priority="6739" stopIfTrue="1" operator="equal">
      <formula>"Towel"</formula>
    </cfRule>
    <cfRule type="cellIs" dxfId="18618" priority="6740" stopIfTrue="1" operator="equal">
      <formula>"Napkin Hs"</formula>
    </cfRule>
    <cfRule type="cellIs" dxfId="18617" priority="6745" stopIfTrue="1" operator="equal">
      <formula>"Towel"</formula>
    </cfRule>
    <cfRule type="cellIs" dxfId="18616" priority="6746" stopIfTrue="1" operator="equal">
      <formula>"Napkin Hs"</formula>
    </cfRule>
  </conditionalFormatting>
  <conditionalFormatting sqref="C79:C80">
    <cfRule type="cellIs" dxfId="18615" priority="6705" stopIfTrue="1" operator="equal">
      <formula>"Towel"</formula>
    </cfRule>
    <cfRule type="cellIs" dxfId="18614" priority="6706" stopIfTrue="1" operator="equal">
      <formula>"Napkin Hs"</formula>
    </cfRule>
    <cfRule type="cellIs" dxfId="18613" priority="6707" stopIfTrue="1" operator="equal">
      <formula>"Towel"</formula>
    </cfRule>
    <cfRule type="cellIs" dxfId="18612" priority="6708" stopIfTrue="1" operator="equal">
      <formula>"Napkin Hs"</formula>
    </cfRule>
    <cfRule type="cellIs" dxfId="18611" priority="6711" stopIfTrue="1" operator="equal">
      <formula>"Towel"</formula>
    </cfRule>
    <cfRule type="cellIs" dxfId="18610" priority="6712" stopIfTrue="1" operator="equal">
      <formula>"Napkin Hs"</formula>
    </cfRule>
    <cfRule type="cellIs" dxfId="18609" priority="6713" stopIfTrue="1" operator="equal">
      <formula>"Towel"</formula>
    </cfRule>
    <cfRule type="cellIs" dxfId="18608" priority="6714" stopIfTrue="1" operator="equal">
      <formula>"Napkin Hs"</formula>
    </cfRule>
    <cfRule type="cellIs" dxfId="18607" priority="6717" stopIfTrue="1" operator="equal">
      <formula>"Towel"</formula>
    </cfRule>
    <cfRule type="cellIs" dxfId="18606" priority="6718" stopIfTrue="1" operator="equal">
      <formula>"Napkin Hs"</formula>
    </cfRule>
    <cfRule type="cellIs" dxfId="18605" priority="6719" stopIfTrue="1" operator="equal">
      <formula>"Towel"</formula>
    </cfRule>
    <cfRule type="cellIs" dxfId="18604" priority="6720" stopIfTrue="1" operator="equal">
      <formula>"Napkin Hs"</formula>
    </cfRule>
    <cfRule type="cellIs" dxfId="18603" priority="6723" stopIfTrue="1" operator="equal">
      <formula>"Towel"</formula>
    </cfRule>
    <cfRule type="cellIs" dxfId="18602" priority="6724" stopIfTrue="1" operator="equal">
      <formula>"Napkin Hs"</formula>
    </cfRule>
    <cfRule type="cellIs" dxfId="18601" priority="6725" stopIfTrue="1" operator="equal">
      <formula>"Towel"</formula>
    </cfRule>
    <cfRule type="cellIs" dxfId="18600" priority="6726" stopIfTrue="1" operator="equal">
      <formula>"Napkin Hs"</formula>
    </cfRule>
    <cfRule type="cellIs" dxfId="18599" priority="6729" stopIfTrue="1" operator="equal">
      <formula>"Towel"</formula>
    </cfRule>
    <cfRule type="cellIs" dxfId="18598" priority="6730" stopIfTrue="1" operator="equal">
      <formula>"Napkin Hs"</formula>
    </cfRule>
    <cfRule type="cellIs" dxfId="18597" priority="6731" stopIfTrue="1" operator="equal">
      <formula>"Towel"</formula>
    </cfRule>
    <cfRule type="cellIs" dxfId="18596" priority="6732" stopIfTrue="1" operator="equal">
      <formula>"Napkin Hs"</formula>
    </cfRule>
    <cfRule type="cellIs" dxfId="18595" priority="6735" stopIfTrue="1" operator="equal">
      <formula>"Towel"</formula>
    </cfRule>
    <cfRule type="cellIs" dxfId="18594" priority="6736" stopIfTrue="1" operator="equal">
      <formula>"Napkin Hs"</formula>
    </cfRule>
    <cfRule type="cellIs" dxfId="18593" priority="6737" stopIfTrue="1" operator="equal">
      <formula>"Towel"</formula>
    </cfRule>
    <cfRule type="cellIs" dxfId="18592" priority="6738" stopIfTrue="1" operator="equal">
      <formula>"Napkin Hs"</formula>
    </cfRule>
    <cfRule type="cellIs" dxfId="18591" priority="6741" stopIfTrue="1" operator="equal">
      <formula>"Towel"</formula>
    </cfRule>
    <cfRule type="cellIs" dxfId="18590" priority="6742" stopIfTrue="1" operator="equal">
      <formula>"Napkin Hs"</formula>
    </cfRule>
  </conditionalFormatting>
  <conditionalFormatting sqref="C79:C80">
    <cfRule type="cellIs" dxfId="18589" priority="6743" stopIfTrue="1" operator="equal">
      <formula>"Towel"</formula>
    </cfRule>
    <cfRule type="cellIs" dxfId="18588" priority="6744" stopIfTrue="1" operator="equal">
      <formula>"Napkin Hs"</formula>
    </cfRule>
  </conditionalFormatting>
  <conditionalFormatting sqref="B79:C80">
    <cfRule type="cellIs" dxfId="18587" priority="6703" stopIfTrue="1" operator="equal">
      <formula>"Towel"</formula>
    </cfRule>
    <cfRule type="cellIs" dxfId="18586" priority="6704" stopIfTrue="1" operator="equal">
      <formula>"Napkin Hs"</formula>
    </cfRule>
  </conditionalFormatting>
  <conditionalFormatting sqref="B79:C80">
    <cfRule type="cellIs" dxfId="18585" priority="6667" stopIfTrue="1" operator="equal">
      <formula>"Towel"</formula>
    </cfRule>
    <cfRule type="cellIs" dxfId="18584" priority="6668" stopIfTrue="1" operator="equal">
      <formula>"Napkin Hs"</formula>
    </cfRule>
    <cfRule type="cellIs" dxfId="18583" priority="6673" stopIfTrue="1" operator="equal">
      <formula>"Towel"</formula>
    </cfRule>
    <cfRule type="cellIs" dxfId="18582" priority="6674" stopIfTrue="1" operator="equal">
      <formula>"Napkin Hs"</formula>
    </cfRule>
    <cfRule type="cellIs" dxfId="18581" priority="6679" stopIfTrue="1" operator="equal">
      <formula>"Towel"</formula>
    </cfRule>
    <cfRule type="cellIs" dxfId="18580" priority="6680" stopIfTrue="1" operator="equal">
      <formula>"Napkin Hs"</formula>
    </cfRule>
    <cfRule type="cellIs" dxfId="18579" priority="6685" stopIfTrue="1" operator="equal">
      <formula>"Towel"</formula>
    </cfRule>
    <cfRule type="cellIs" dxfId="18578" priority="6686" stopIfTrue="1" operator="equal">
      <formula>"Napkin Hs"</formula>
    </cfRule>
    <cfRule type="cellIs" dxfId="18577" priority="6691" stopIfTrue="1" operator="equal">
      <formula>"Towel"</formula>
    </cfRule>
    <cfRule type="cellIs" dxfId="18576" priority="6692" stopIfTrue="1" operator="equal">
      <formula>"Napkin Hs"</formula>
    </cfRule>
    <cfRule type="cellIs" dxfId="18575" priority="6697" stopIfTrue="1" operator="equal">
      <formula>"Towel"</formula>
    </cfRule>
    <cfRule type="cellIs" dxfId="18574" priority="6698" stopIfTrue="1" operator="equal">
      <formula>"Napkin Hs"</formula>
    </cfRule>
  </conditionalFormatting>
  <conditionalFormatting sqref="C79:C80">
    <cfRule type="cellIs" dxfId="18573" priority="6702" stopIfTrue="1" operator="equal">
      <formula>"Napkin Hs"</formula>
    </cfRule>
  </conditionalFormatting>
  <conditionalFormatting sqref="C79:C80">
    <cfRule type="cellIs" dxfId="18572" priority="6701" stopIfTrue="1" operator="equal">
      <formula>"Towel"</formula>
    </cfRule>
  </conditionalFormatting>
  <conditionalFormatting sqref="C79:C80">
    <cfRule type="cellIs" dxfId="18571" priority="6695" stopIfTrue="1" operator="equal">
      <formula>"Towel"</formula>
    </cfRule>
    <cfRule type="cellIs" dxfId="18570" priority="6696" stopIfTrue="1" operator="equal">
      <formula>"Napkin Hs"</formula>
    </cfRule>
  </conditionalFormatting>
  <conditionalFormatting sqref="C79:C80">
    <cfRule type="cellIs" dxfId="18569" priority="6693" stopIfTrue="1" operator="equal">
      <formula>"Towel"</formula>
    </cfRule>
    <cfRule type="cellIs" dxfId="18568" priority="6694" stopIfTrue="1" operator="equal">
      <formula>"Napkin Hs"</formula>
    </cfRule>
    <cfRule type="cellIs" dxfId="18567" priority="6699" stopIfTrue="1" operator="equal">
      <formula>"Towel"</formula>
    </cfRule>
    <cfRule type="cellIs" dxfId="18566" priority="6700" stopIfTrue="1" operator="equal">
      <formula>"Napkin Hs"</formula>
    </cfRule>
  </conditionalFormatting>
  <conditionalFormatting sqref="C79:C80">
    <cfRule type="cellIs" dxfId="18565" priority="6665" stopIfTrue="1" operator="equal">
      <formula>"Towel"</formula>
    </cfRule>
    <cfRule type="cellIs" dxfId="18564" priority="6666" stopIfTrue="1" operator="equal">
      <formula>"Napkin Hs"</formula>
    </cfRule>
    <cfRule type="cellIs" dxfId="18563" priority="6669" stopIfTrue="1" operator="equal">
      <formula>"Towel"</formula>
    </cfRule>
    <cfRule type="cellIs" dxfId="18562" priority="6670" stopIfTrue="1" operator="equal">
      <formula>"Napkin Hs"</formula>
    </cfRule>
    <cfRule type="cellIs" dxfId="18561" priority="6671" stopIfTrue="1" operator="equal">
      <formula>"Towel"</formula>
    </cfRule>
    <cfRule type="cellIs" dxfId="18560" priority="6672" stopIfTrue="1" operator="equal">
      <formula>"Napkin Hs"</formula>
    </cfRule>
    <cfRule type="cellIs" dxfId="18559" priority="6675" stopIfTrue="1" operator="equal">
      <formula>"Towel"</formula>
    </cfRule>
    <cfRule type="cellIs" dxfId="18558" priority="6676" stopIfTrue="1" operator="equal">
      <formula>"Napkin Hs"</formula>
    </cfRule>
    <cfRule type="cellIs" dxfId="18557" priority="6677" stopIfTrue="1" operator="equal">
      <formula>"Towel"</formula>
    </cfRule>
    <cfRule type="cellIs" dxfId="18556" priority="6678" stopIfTrue="1" operator="equal">
      <formula>"Napkin Hs"</formula>
    </cfRule>
    <cfRule type="cellIs" dxfId="18555" priority="6681" stopIfTrue="1" operator="equal">
      <formula>"Towel"</formula>
    </cfRule>
    <cfRule type="cellIs" dxfId="18554" priority="6682" stopIfTrue="1" operator="equal">
      <formula>"Napkin Hs"</formula>
    </cfRule>
    <cfRule type="cellIs" dxfId="18553" priority="6683" stopIfTrue="1" operator="equal">
      <formula>"Towel"</formula>
    </cfRule>
    <cfRule type="cellIs" dxfId="18552" priority="6684" stopIfTrue="1" operator="equal">
      <formula>"Napkin Hs"</formula>
    </cfRule>
    <cfRule type="cellIs" dxfId="18551" priority="6687" stopIfTrue="1" operator="equal">
      <formula>"Towel"</formula>
    </cfRule>
    <cfRule type="cellIs" dxfId="18550" priority="6688" stopIfTrue="1" operator="equal">
      <formula>"Napkin Hs"</formula>
    </cfRule>
    <cfRule type="cellIs" dxfId="18549" priority="6689" stopIfTrue="1" operator="equal">
      <formula>"Towel"</formula>
    </cfRule>
    <cfRule type="cellIs" dxfId="18548" priority="6690" stopIfTrue="1" operator="equal">
      <formula>"Napkin Hs"</formula>
    </cfRule>
  </conditionalFormatting>
  <conditionalFormatting sqref="C79:C80">
    <cfRule type="cellIs" dxfId="18547" priority="6663" stopIfTrue="1" operator="equal">
      <formula>"Towel"</formula>
    </cfRule>
    <cfRule type="cellIs" dxfId="18546" priority="6664" stopIfTrue="1" operator="equal">
      <formula>"Napkin Hs"</formula>
    </cfRule>
  </conditionalFormatting>
  <conditionalFormatting sqref="C79:C80">
    <cfRule type="cellIs" dxfId="18545" priority="6643" stopIfTrue="1" operator="equal">
      <formula>"Towel"</formula>
    </cfRule>
    <cfRule type="cellIs" dxfId="18544" priority="6644" stopIfTrue="1" operator="equal">
      <formula>"Napkin Hs"</formula>
    </cfRule>
    <cfRule type="cellIs" dxfId="18543" priority="6649" stopIfTrue="1" operator="equal">
      <formula>"Towel"</formula>
    </cfRule>
    <cfRule type="cellIs" dxfId="18542" priority="6650" stopIfTrue="1" operator="equal">
      <formula>"Napkin Hs"</formula>
    </cfRule>
    <cfRule type="cellIs" dxfId="18541" priority="6655" stopIfTrue="1" operator="equal">
      <formula>"Towel"</formula>
    </cfRule>
    <cfRule type="cellIs" dxfId="18540" priority="6656" stopIfTrue="1" operator="equal">
      <formula>"Napkin Hs"</formula>
    </cfRule>
    <cfRule type="cellIs" dxfId="18539" priority="6661" stopIfTrue="1" operator="equal">
      <formula>"Towel"</formula>
    </cfRule>
    <cfRule type="cellIs" dxfId="18538" priority="6662" stopIfTrue="1" operator="equal">
      <formula>"Napkin Hs"</formula>
    </cfRule>
  </conditionalFormatting>
  <conditionalFormatting sqref="C79:C80">
    <cfRule type="cellIs" dxfId="18537" priority="6653" stopIfTrue="1" operator="equal">
      <formula>"Towel"</formula>
    </cfRule>
    <cfRule type="cellIs" dxfId="18536" priority="6654" stopIfTrue="1" operator="equal">
      <formula>"Napkin Hs"</formula>
    </cfRule>
    <cfRule type="cellIs" dxfId="18535" priority="6659" stopIfTrue="1" operator="equal">
      <formula>"Towel"</formula>
    </cfRule>
    <cfRule type="cellIs" dxfId="18534" priority="6660" stopIfTrue="1" operator="equal">
      <formula>"Napkin Hs"</formula>
    </cfRule>
  </conditionalFormatting>
  <conditionalFormatting sqref="C79:C80">
    <cfRule type="cellIs" dxfId="18533" priority="6639" stopIfTrue="1" operator="equal">
      <formula>"Towel"</formula>
    </cfRule>
    <cfRule type="cellIs" dxfId="18532" priority="6640" stopIfTrue="1" operator="equal">
      <formula>"Napkin Hs"</formula>
    </cfRule>
    <cfRule type="cellIs" dxfId="18531" priority="6647" stopIfTrue="1" operator="equal">
      <formula>"Towel"</formula>
    </cfRule>
    <cfRule type="cellIs" dxfId="18530" priority="6648" stopIfTrue="1" operator="equal">
      <formula>"Napkin Hs"</formula>
    </cfRule>
    <cfRule type="cellIs" dxfId="18529" priority="6651" stopIfTrue="1" operator="equal">
      <formula>"Towel"</formula>
    </cfRule>
    <cfRule type="cellIs" dxfId="18528" priority="6652" stopIfTrue="1" operator="equal">
      <formula>"Napkin Hs"</formula>
    </cfRule>
  </conditionalFormatting>
  <conditionalFormatting sqref="C79:C80">
    <cfRule type="cellIs" dxfId="18527" priority="6641" stopIfTrue="1" operator="equal">
      <formula>"Towel"</formula>
    </cfRule>
    <cfRule type="cellIs" dxfId="18526" priority="6642" stopIfTrue="1" operator="equal">
      <formula>"Napkin Hs"</formula>
    </cfRule>
    <cfRule type="cellIs" dxfId="18525" priority="6645" stopIfTrue="1" operator="equal">
      <formula>"Towel"</formula>
    </cfRule>
    <cfRule type="cellIs" dxfId="18524" priority="6646" stopIfTrue="1" operator="equal">
      <formula>"Napkin Hs"</formula>
    </cfRule>
    <cfRule type="cellIs" dxfId="18523" priority="6657" stopIfTrue="1" operator="equal">
      <formula>"Towel"</formula>
    </cfRule>
    <cfRule type="cellIs" dxfId="18522" priority="6658" stopIfTrue="1" operator="equal">
      <formula>"Napkin Hs"</formula>
    </cfRule>
  </conditionalFormatting>
  <conditionalFormatting sqref="C79:C80">
    <cfRule type="cellIs" dxfId="18521" priority="6637" stopIfTrue="1" operator="equal">
      <formula>"Towel"</formula>
    </cfRule>
    <cfRule type="cellIs" dxfId="18520" priority="6638" stopIfTrue="1" operator="equal">
      <formula>"Napkin Hs"</formula>
    </cfRule>
  </conditionalFormatting>
  <conditionalFormatting sqref="C79:C80">
    <cfRule type="cellIs" dxfId="18519" priority="6633" stopIfTrue="1" operator="equal">
      <formula>"Towel"</formula>
    </cfRule>
    <cfRule type="cellIs" dxfId="18518" priority="6634" stopIfTrue="1" operator="equal">
      <formula>"Napkin Hs"</formula>
    </cfRule>
  </conditionalFormatting>
  <conditionalFormatting sqref="C79:C80">
    <cfRule type="cellIs" dxfId="18517" priority="6635" stopIfTrue="1" operator="equal">
      <formula>"Towel"</formula>
    </cfRule>
    <cfRule type="cellIs" dxfId="18516" priority="6636" stopIfTrue="1" operator="equal">
      <formula>"Napkin Hs"</formula>
    </cfRule>
  </conditionalFormatting>
  <conditionalFormatting sqref="C79:C80">
    <cfRule type="cellIs" dxfId="18515" priority="6631" stopIfTrue="1" operator="equal">
      <formula>"Towel"</formula>
    </cfRule>
    <cfRule type="cellIs" dxfId="18514" priority="6632" stopIfTrue="1" operator="equal">
      <formula>"Napkin Hs"</formula>
    </cfRule>
  </conditionalFormatting>
  <conditionalFormatting sqref="C79:C80">
    <cfRule type="cellIs" dxfId="18513" priority="6627" stopIfTrue="1" operator="equal">
      <formula>"Towel"</formula>
    </cfRule>
    <cfRule type="cellIs" dxfId="18512" priority="6628" stopIfTrue="1" operator="equal">
      <formula>"Napkin Hs"</formula>
    </cfRule>
  </conditionalFormatting>
  <conditionalFormatting sqref="C79:C80">
    <cfRule type="cellIs" dxfId="18511" priority="6629" stopIfTrue="1" operator="equal">
      <formula>"Towel"</formula>
    </cfRule>
    <cfRule type="cellIs" dxfId="18510" priority="6630" stopIfTrue="1" operator="equal">
      <formula>"Napkin Hs"</formula>
    </cfRule>
  </conditionalFormatting>
  <conditionalFormatting sqref="C79:C80">
    <cfRule type="cellIs" dxfId="18509" priority="6625" stopIfTrue="1" operator="equal">
      <formula>"Towel"</formula>
    </cfRule>
    <cfRule type="cellIs" dxfId="18508" priority="6626" stopIfTrue="1" operator="equal">
      <formula>"Napkin Hs"</formula>
    </cfRule>
  </conditionalFormatting>
  <conditionalFormatting sqref="C79:C80">
    <cfRule type="cellIs" dxfId="18507" priority="6621" stopIfTrue="1" operator="equal">
      <formula>"Towel"</formula>
    </cfRule>
    <cfRule type="cellIs" dxfId="18506" priority="6622" stopIfTrue="1" operator="equal">
      <formula>"Napkin Hs"</formula>
    </cfRule>
  </conditionalFormatting>
  <conditionalFormatting sqref="C79:C80">
    <cfRule type="cellIs" dxfId="18505" priority="6623" stopIfTrue="1" operator="equal">
      <formula>"Towel"</formula>
    </cfRule>
    <cfRule type="cellIs" dxfId="18504" priority="6624" stopIfTrue="1" operator="equal">
      <formula>"Napkin Hs"</formula>
    </cfRule>
  </conditionalFormatting>
  <conditionalFormatting sqref="C79:C80">
    <cfRule type="cellIs" dxfId="18503" priority="6619" stopIfTrue="1" operator="equal">
      <formula>"Towel"</formula>
    </cfRule>
    <cfRule type="cellIs" dxfId="18502" priority="6620" stopIfTrue="1" operator="equal">
      <formula>"Napkin Hs"</formula>
    </cfRule>
  </conditionalFormatting>
  <conditionalFormatting sqref="C79:C80">
    <cfRule type="cellIs" dxfId="18501" priority="6617" stopIfTrue="1" operator="equal">
      <formula>"Towel"</formula>
    </cfRule>
    <cfRule type="cellIs" dxfId="18500" priority="6618" stopIfTrue="1" operator="equal">
      <formula>"Napkin Hs"</formula>
    </cfRule>
  </conditionalFormatting>
  <conditionalFormatting sqref="C79:C80">
    <cfRule type="cellIs" dxfId="18499" priority="6615" stopIfTrue="1" operator="equal">
      <formula>"Towel"</formula>
    </cfRule>
    <cfRule type="cellIs" dxfId="18498" priority="6616" stopIfTrue="1" operator="equal">
      <formula>"Napkin Hs"</formula>
    </cfRule>
  </conditionalFormatting>
  <conditionalFormatting sqref="C79:C80">
    <cfRule type="cellIs" dxfId="18497" priority="6613" stopIfTrue="1" operator="equal">
      <formula>"Towel"</formula>
    </cfRule>
    <cfRule type="cellIs" dxfId="18496" priority="6614" stopIfTrue="1" operator="equal">
      <formula>"Napkin Hs"</formula>
    </cfRule>
  </conditionalFormatting>
  <conditionalFormatting sqref="C79:C80">
    <cfRule type="cellIs" dxfId="18495" priority="6612" stopIfTrue="1" operator="equal">
      <formula>"Napkin Hs"</formula>
    </cfRule>
  </conditionalFormatting>
  <conditionalFormatting sqref="C79:C80">
    <cfRule type="cellIs" dxfId="18494" priority="6609" stopIfTrue="1" operator="equal">
      <formula>"Towel"</formula>
    </cfRule>
    <cfRule type="cellIs" dxfId="18493" priority="6610" stopIfTrue="1" operator="equal">
      <formula>"Napkin Hs"</formula>
    </cfRule>
  </conditionalFormatting>
  <conditionalFormatting sqref="C79:C80">
    <cfRule type="cellIs" dxfId="18492" priority="6611" stopIfTrue="1" operator="equal">
      <formula>"Towel"</formula>
    </cfRule>
  </conditionalFormatting>
  <conditionalFormatting sqref="B79:B80">
    <cfRule type="cellIs" dxfId="18491" priority="6607" stopIfTrue="1" operator="equal">
      <formula>"Towel"</formula>
    </cfRule>
    <cfRule type="cellIs" dxfId="18490" priority="6608" stopIfTrue="1" operator="equal">
      <formula>"Napkin Hs"</formula>
    </cfRule>
  </conditionalFormatting>
  <conditionalFormatting sqref="B79:B80">
    <cfRule type="cellIs" dxfId="18489" priority="6605" stopIfTrue="1" operator="equal">
      <formula>"Towel"</formula>
    </cfRule>
    <cfRule type="cellIs" dxfId="18488" priority="6606" stopIfTrue="1" operator="equal">
      <formula>"Napkin Hs"</formula>
    </cfRule>
  </conditionalFormatting>
  <conditionalFormatting sqref="B79:B80">
    <cfRule type="cellIs" dxfId="18487" priority="6603" stopIfTrue="1" operator="equal">
      <formula>"Towel"</formula>
    </cfRule>
    <cfRule type="cellIs" dxfId="18486" priority="6604" stopIfTrue="1" operator="equal">
      <formula>"Napkin Hs"</formula>
    </cfRule>
  </conditionalFormatting>
  <conditionalFormatting sqref="B79:B80">
    <cfRule type="cellIs" dxfId="18485" priority="6601" stopIfTrue="1" operator="equal">
      <formula>"Towel"</formula>
    </cfRule>
    <cfRule type="cellIs" dxfId="18484" priority="6602" stopIfTrue="1" operator="equal">
      <formula>"Napkin Hs"</formula>
    </cfRule>
  </conditionalFormatting>
  <conditionalFormatting sqref="B79:B80">
    <cfRule type="cellIs" dxfId="18483" priority="6599" stopIfTrue="1" operator="equal">
      <formula>"Towel"</formula>
    </cfRule>
    <cfRule type="cellIs" dxfId="18482" priority="6600" stopIfTrue="1" operator="equal">
      <formula>"Napkin Hs"</formula>
    </cfRule>
  </conditionalFormatting>
  <conditionalFormatting sqref="B79:B80">
    <cfRule type="cellIs" dxfId="18481" priority="6597" stopIfTrue="1" operator="equal">
      <formula>"Towel"</formula>
    </cfRule>
    <cfRule type="cellIs" dxfId="18480" priority="6598" stopIfTrue="1" operator="equal">
      <formula>"Napkin Hs"</formula>
    </cfRule>
  </conditionalFormatting>
  <conditionalFormatting sqref="B79:B80">
    <cfRule type="cellIs" dxfId="18479" priority="6593" stopIfTrue="1" operator="equal">
      <formula>"Towel"</formula>
    </cfRule>
    <cfRule type="cellIs" dxfId="18478" priority="6594" stopIfTrue="1" operator="equal">
      <formula>"Napkin Hs"</formula>
    </cfRule>
    <cfRule type="cellIs" dxfId="18477" priority="6595" stopIfTrue="1" operator="equal">
      <formula>"Towel"</formula>
    </cfRule>
    <cfRule type="cellIs" dxfId="18476" priority="6596" stopIfTrue="1" operator="equal">
      <formula>"Napkin Hs"</formula>
    </cfRule>
  </conditionalFormatting>
  <conditionalFormatting sqref="B79:B80">
    <cfRule type="cellIs" dxfId="18475" priority="6591" stopIfTrue="1" operator="equal">
      <formula>"Towel"</formula>
    </cfRule>
    <cfRule type="cellIs" dxfId="18474" priority="6592" stopIfTrue="1" operator="equal">
      <formula>"Napkin Hs"</formula>
    </cfRule>
  </conditionalFormatting>
  <conditionalFormatting sqref="B79:B80">
    <cfRule type="cellIs" dxfId="18473" priority="6589" stopIfTrue="1" operator="equal">
      <formula>"Towel"</formula>
    </cfRule>
    <cfRule type="cellIs" dxfId="18472" priority="6590" stopIfTrue="1" operator="equal">
      <formula>"Napkin Hs"</formula>
    </cfRule>
  </conditionalFormatting>
  <conditionalFormatting sqref="B79:B80">
    <cfRule type="cellIs" dxfId="18471" priority="6587" stopIfTrue="1" operator="equal">
      <formula>"Towel"</formula>
    </cfRule>
    <cfRule type="cellIs" dxfId="18470" priority="6588" stopIfTrue="1" operator="equal">
      <formula>"Napkin Hs"</formula>
    </cfRule>
  </conditionalFormatting>
  <conditionalFormatting sqref="B79:B80">
    <cfRule type="cellIs" dxfId="18469" priority="6585" stopIfTrue="1" operator="equal">
      <formula>"Towel"</formula>
    </cfRule>
    <cfRule type="cellIs" dxfId="18468" priority="6586" stopIfTrue="1" operator="equal">
      <formula>"Napkin Hs"</formula>
    </cfRule>
  </conditionalFormatting>
  <conditionalFormatting sqref="B79:B80">
    <cfRule type="cellIs" dxfId="18467" priority="6583" stopIfTrue="1" operator="equal">
      <formula>"Towel"</formula>
    </cfRule>
    <cfRule type="cellIs" dxfId="18466" priority="6584" stopIfTrue="1" operator="equal">
      <formula>"Napkin Hs"</formula>
    </cfRule>
  </conditionalFormatting>
  <conditionalFormatting sqref="B79:C80">
    <cfRule type="cellIs" dxfId="18465" priority="6569" stopIfTrue="1" operator="equal">
      <formula>"Towel"</formula>
    </cfRule>
    <cfRule type="cellIs" dxfId="18464" priority="6570" stopIfTrue="1" operator="equal">
      <formula>"Napkin Hs"</formula>
    </cfRule>
    <cfRule type="cellIs" dxfId="18463" priority="6575" stopIfTrue="1" operator="equal">
      <formula>"Towel"</formula>
    </cfRule>
    <cfRule type="cellIs" dxfId="18462" priority="6576" stopIfTrue="1" operator="equal">
      <formula>"Napkin Hs"</formula>
    </cfRule>
    <cfRule type="cellIs" dxfId="18461" priority="6581" stopIfTrue="1" operator="equal">
      <formula>"Towel"</formula>
    </cfRule>
    <cfRule type="cellIs" dxfId="18460" priority="6582" stopIfTrue="1" operator="equal">
      <formula>"Napkin Hs"</formula>
    </cfRule>
  </conditionalFormatting>
  <conditionalFormatting sqref="C79:C80">
    <cfRule type="cellIs" dxfId="18459" priority="6563" stopIfTrue="1" operator="equal">
      <formula>"Towel"</formula>
    </cfRule>
    <cfRule type="cellIs" dxfId="18458" priority="6564" stopIfTrue="1" operator="equal">
      <formula>"Napkin Hs"</formula>
    </cfRule>
    <cfRule type="cellIs" dxfId="18457" priority="6565" stopIfTrue="1" operator="equal">
      <formula>"Towel"</formula>
    </cfRule>
    <cfRule type="cellIs" dxfId="18456" priority="6566" stopIfTrue="1" operator="equal">
      <formula>"Napkin Hs"</formula>
    </cfRule>
    <cfRule type="cellIs" dxfId="18455" priority="6573" stopIfTrue="1" operator="equal">
      <formula>"Towel"</formula>
    </cfRule>
    <cfRule type="cellIs" dxfId="18454" priority="6574" stopIfTrue="1" operator="equal">
      <formula>"Napkin Hs"</formula>
    </cfRule>
    <cfRule type="cellIs" dxfId="18453" priority="6577" stopIfTrue="1" operator="equal">
      <formula>"Towel"</formula>
    </cfRule>
    <cfRule type="cellIs" dxfId="18452" priority="6578" stopIfTrue="1" operator="equal">
      <formula>"Napkin Hs"</formula>
    </cfRule>
  </conditionalFormatting>
  <conditionalFormatting sqref="C79:C80">
    <cfRule type="cellIs" dxfId="18451" priority="6567" stopIfTrue="1" operator="equal">
      <formula>"Towel"</formula>
    </cfRule>
    <cfRule type="cellIs" dxfId="18450" priority="6568" stopIfTrue="1" operator="equal">
      <formula>"Napkin Hs"</formula>
    </cfRule>
    <cfRule type="cellIs" dxfId="18449" priority="6571" stopIfTrue="1" operator="equal">
      <formula>"Towel"</formula>
    </cfRule>
    <cfRule type="cellIs" dxfId="18448" priority="6572" stopIfTrue="1" operator="equal">
      <formula>"Napkin Hs"</formula>
    </cfRule>
    <cfRule type="cellIs" dxfId="18447" priority="6579" stopIfTrue="1" operator="equal">
      <formula>"Towel"</formula>
    </cfRule>
    <cfRule type="cellIs" dxfId="18446" priority="6580" stopIfTrue="1" operator="equal">
      <formula>"Napkin Hs"</formula>
    </cfRule>
  </conditionalFormatting>
  <conditionalFormatting sqref="B79:C80">
    <cfRule type="cellIs" dxfId="18445" priority="6561" stopIfTrue="1" operator="equal">
      <formula>"Towel"</formula>
    </cfRule>
    <cfRule type="cellIs" dxfId="18444" priority="6562" stopIfTrue="1" operator="equal">
      <formula>"Napkin Hs"</formula>
    </cfRule>
  </conditionalFormatting>
  <conditionalFormatting sqref="B79:C80">
    <cfRule type="cellIs" dxfId="18443" priority="6553" stopIfTrue="1" operator="equal">
      <formula>"Towel"</formula>
    </cfRule>
    <cfRule type="cellIs" dxfId="18442" priority="6554" stopIfTrue="1" operator="equal">
      <formula>"Napkin Hs"</formula>
    </cfRule>
    <cfRule type="cellIs" dxfId="18441" priority="6559" stopIfTrue="1" operator="equal">
      <formula>"Towel"</formula>
    </cfRule>
    <cfRule type="cellIs" dxfId="18440" priority="6560" stopIfTrue="1" operator="equal">
      <formula>"Napkin Hs"</formula>
    </cfRule>
  </conditionalFormatting>
  <conditionalFormatting sqref="C79:C80">
    <cfRule type="cellIs" dxfId="18439" priority="6549" stopIfTrue="1" operator="equal">
      <formula>"Towel"</formula>
    </cfRule>
    <cfRule type="cellIs" dxfId="18438" priority="6550" stopIfTrue="1" operator="equal">
      <formula>"Napkin Hs"</formula>
    </cfRule>
  </conditionalFormatting>
  <conditionalFormatting sqref="C79:C80">
    <cfRule type="cellIs" dxfId="18437" priority="6547" stopIfTrue="1" operator="equal">
      <formula>"Towel"</formula>
    </cfRule>
    <cfRule type="cellIs" dxfId="18436" priority="6548" stopIfTrue="1" operator="equal">
      <formula>"Napkin Hs"</formula>
    </cfRule>
    <cfRule type="cellIs" dxfId="18435" priority="6557" stopIfTrue="1" operator="equal">
      <formula>"Towel"</formula>
    </cfRule>
    <cfRule type="cellIs" dxfId="18434" priority="6558" stopIfTrue="1" operator="equal">
      <formula>"Napkin Hs"</formula>
    </cfRule>
  </conditionalFormatting>
  <conditionalFormatting sqref="C79:C80">
    <cfRule type="cellIs" dxfId="18433" priority="6551" stopIfTrue="1" operator="equal">
      <formula>"Towel"</formula>
    </cfRule>
    <cfRule type="cellIs" dxfId="18432" priority="6552" stopIfTrue="1" operator="equal">
      <formula>"Napkin Hs"</formula>
    </cfRule>
    <cfRule type="cellIs" dxfId="18431" priority="6555" stopIfTrue="1" operator="equal">
      <formula>"Towel"</formula>
    </cfRule>
    <cfRule type="cellIs" dxfId="18430" priority="6556" stopIfTrue="1" operator="equal">
      <formula>"Napkin Hs"</formula>
    </cfRule>
  </conditionalFormatting>
  <conditionalFormatting sqref="C79:C80">
    <cfRule type="cellIs" dxfId="18429" priority="6546" stopIfTrue="1" operator="equal">
      <formula>"Napkin Hs"</formula>
    </cfRule>
  </conditionalFormatting>
  <conditionalFormatting sqref="C79:C80">
    <cfRule type="cellIs" dxfId="18428" priority="6545" stopIfTrue="1" operator="equal">
      <formula>"Towel"</formula>
    </cfRule>
  </conditionalFormatting>
  <conditionalFormatting sqref="C79:C80">
    <cfRule type="cellIs" dxfId="18427" priority="6541" stopIfTrue="1" operator="equal">
      <formula>"Towel"</formula>
    </cfRule>
    <cfRule type="cellIs" dxfId="18426" priority="6542" stopIfTrue="1" operator="equal">
      <formula>"Napkin Hs"</formula>
    </cfRule>
    <cfRule type="cellIs" dxfId="18425" priority="6543" stopIfTrue="1" operator="equal">
      <formula>"Towel"</formula>
    </cfRule>
    <cfRule type="cellIs" dxfId="18424" priority="6544" stopIfTrue="1" operator="equal">
      <formula>"Napkin Hs"</formula>
    </cfRule>
  </conditionalFormatting>
  <conditionalFormatting sqref="B79:C80">
    <cfRule type="cellIs" dxfId="18423" priority="6539" stopIfTrue="1" operator="equal">
      <formula>"Towel"</formula>
    </cfRule>
    <cfRule type="cellIs" dxfId="18422" priority="6540" stopIfTrue="1" operator="equal">
      <formula>"Napkin Hs"</formula>
    </cfRule>
  </conditionalFormatting>
  <conditionalFormatting sqref="C79:C80">
    <cfRule type="cellIs" dxfId="18421" priority="6535" stopIfTrue="1" operator="equal">
      <formula>"Towel"</formula>
    </cfRule>
    <cfRule type="cellIs" dxfId="18420" priority="6536" stopIfTrue="1" operator="equal">
      <formula>"Napkin Hs"</formula>
    </cfRule>
  </conditionalFormatting>
  <conditionalFormatting sqref="C79:C80">
    <cfRule type="cellIs" dxfId="18419" priority="6537" stopIfTrue="1" operator="equal">
      <formula>"Towel"</formula>
    </cfRule>
    <cfRule type="cellIs" dxfId="18418" priority="6538" stopIfTrue="1" operator="equal">
      <formula>"Napkin Hs"</formula>
    </cfRule>
  </conditionalFormatting>
  <conditionalFormatting sqref="B79:C80">
    <cfRule type="cellIs" dxfId="18417" priority="6533" stopIfTrue="1" operator="equal">
      <formula>"Towel"</formula>
    </cfRule>
    <cfRule type="cellIs" dxfId="18416" priority="6534" stopIfTrue="1" operator="equal">
      <formula>"Napkin Hs"</formula>
    </cfRule>
  </conditionalFormatting>
  <conditionalFormatting sqref="C79:C80">
    <cfRule type="cellIs" dxfId="18415" priority="6529" stopIfTrue="1" operator="equal">
      <formula>"Towel"</formula>
    </cfRule>
    <cfRule type="cellIs" dxfId="18414" priority="6530" stopIfTrue="1" operator="equal">
      <formula>"Napkin Hs"</formula>
    </cfRule>
  </conditionalFormatting>
  <conditionalFormatting sqref="C79:C80">
    <cfRule type="cellIs" dxfId="18413" priority="6531" stopIfTrue="1" operator="equal">
      <formula>"Towel"</formula>
    </cfRule>
    <cfRule type="cellIs" dxfId="18412" priority="6532" stopIfTrue="1" operator="equal">
      <formula>"Napkin Hs"</formula>
    </cfRule>
  </conditionalFormatting>
  <conditionalFormatting sqref="B79:C80">
    <cfRule type="cellIs" dxfId="18411" priority="6527" stopIfTrue="1" operator="equal">
      <formula>"Towel"</formula>
    </cfRule>
    <cfRule type="cellIs" dxfId="18410" priority="6528" stopIfTrue="1" operator="equal">
      <formula>"Napkin Hs"</formula>
    </cfRule>
  </conditionalFormatting>
  <conditionalFormatting sqref="C79:C80">
    <cfRule type="cellIs" dxfId="18409" priority="6523" stopIfTrue="1" operator="equal">
      <formula>"Towel"</formula>
    </cfRule>
    <cfRule type="cellIs" dxfId="18408" priority="6524" stopIfTrue="1" operator="equal">
      <formula>"Napkin Hs"</formula>
    </cfRule>
  </conditionalFormatting>
  <conditionalFormatting sqref="C79:C80">
    <cfRule type="cellIs" dxfId="18407" priority="6525" stopIfTrue="1" operator="equal">
      <formula>"Towel"</formula>
    </cfRule>
    <cfRule type="cellIs" dxfId="18406" priority="6526" stopIfTrue="1" operator="equal">
      <formula>"Napkin Hs"</formula>
    </cfRule>
  </conditionalFormatting>
  <conditionalFormatting sqref="B79:C80">
    <cfRule type="cellIs" dxfId="18405" priority="6521" stopIfTrue="1" operator="equal">
      <formula>"Towel"</formula>
    </cfRule>
    <cfRule type="cellIs" dxfId="18404" priority="6522" stopIfTrue="1" operator="equal">
      <formula>"Napkin Hs"</formula>
    </cfRule>
  </conditionalFormatting>
  <conditionalFormatting sqref="C79:C80">
    <cfRule type="cellIs" dxfId="18403" priority="6519" stopIfTrue="1" operator="equal">
      <formula>"Towel"</formula>
    </cfRule>
    <cfRule type="cellIs" dxfId="18402" priority="6520" stopIfTrue="1" operator="equal">
      <formula>"Napkin Hs"</formula>
    </cfRule>
  </conditionalFormatting>
  <conditionalFormatting sqref="C79:C80">
    <cfRule type="cellIs" dxfId="18401" priority="6517" stopIfTrue="1" operator="equal">
      <formula>"Towel"</formula>
    </cfRule>
    <cfRule type="cellIs" dxfId="18400" priority="6518" stopIfTrue="1" operator="equal">
      <formula>"Napkin Hs"</formula>
    </cfRule>
  </conditionalFormatting>
  <conditionalFormatting sqref="B79:C80">
    <cfRule type="cellIs" dxfId="18399" priority="6515" stopIfTrue="1" operator="equal">
      <formula>"Towel"</formula>
    </cfRule>
    <cfRule type="cellIs" dxfId="18398" priority="6516" stopIfTrue="1" operator="equal">
      <formula>"Napkin Hs"</formula>
    </cfRule>
  </conditionalFormatting>
  <conditionalFormatting sqref="C79:C80">
    <cfRule type="cellIs" dxfId="18397" priority="6514" stopIfTrue="1" operator="equal">
      <formula>"Napkin Hs"</formula>
    </cfRule>
  </conditionalFormatting>
  <conditionalFormatting sqref="C79:C80">
    <cfRule type="cellIs" dxfId="18396" priority="6511" stopIfTrue="1" operator="equal">
      <formula>"Towel"</formula>
    </cfRule>
    <cfRule type="cellIs" dxfId="18395" priority="6512" stopIfTrue="1" operator="equal">
      <formula>"Napkin Hs"</formula>
    </cfRule>
  </conditionalFormatting>
  <conditionalFormatting sqref="C79:C80">
    <cfRule type="cellIs" dxfId="18394" priority="6513" stopIfTrue="1" operator="equal">
      <formula>"Towel"</formula>
    </cfRule>
  </conditionalFormatting>
  <conditionalFormatting sqref="B83:C84 B85">
    <cfRule type="cellIs" dxfId="18393" priority="6509" stopIfTrue="1" operator="equal">
      <formula>"Towel"</formula>
    </cfRule>
    <cfRule type="cellIs" dxfId="18392" priority="6510" stopIfTrue="1" operator="equal">
      <formula>"Napkin Hs"</formula>
    </cfRule>
  </conditionalFormatting>
  <conditionalFormatting sqref="C85">
    <cfRule type="cellIs" dxfId="18391" priority="6461" stopIfTrue="1" operator="equal">
      <formula>"Towel"</formula>
    </cfRule>
    <cfRule type="cellIs" dxfId="18390" priority="6462" stopIfTrue="1" operator="equal">
      <formula>"Napkin Hs"</formula>
    </cfRule>
    <cfRule type="cellIs" dxfId="18389" priority="6467" stopIfTrue="1" operator="equal">
      <formula>"Towel"</formula>
    </cfRule>
    <cfRule type="cellIs" dxfId="18388" priority="6468" stopIfTrue="1" operator="equal">
      <formula>"Napkin Hs"</formula>
    </cfRule>
    <cfRule type="cellIs" dxfId="18387" priority="6473" stopIfTrue="1" operator="equal">
      <formula>"Towel"</formula>
    </cfRule>
    <cfRule type="cellIs" dxfId="18386" priority="6474" stopIfTrue="1" operator="equal">
      <formula>"Napkin Hs"</formula>
    </cfRule>
    <cfRule type="cellIs" dxfId="18385" priority="6479" stopIfTrue="1" operator="equal">
      <formula>"Towel"</formula>
    </cfRule>
    <cfRule type="cellIs" dxfId="18384" priority="6480" stopIfTrue="1" operator="equal">
      <formula>"Napkin Hs"</formula>
    </cfRule>
    <cfRule type="cellIs" dxfId="18383" priority="6485" stopIfTrue="1" operator="equal">
      <formula>"Towel"</formula>
    </cfRule>
    <cfRule type="cellIs" dxfId="18382" priority="6486" stopIfTrue="1" operator="equal">
      <formula>"Napkin Hs"</formula>
    </cfRule>
    <cfRule type="cellIs" dxfId="18381" priority="6491" stopIfTrue="1" operator="equal">
      <formula>"Towel"</formula>
    </cfRule>
    <cfRule type="cellIs" dxfId="18380" priority="6492" stopIfTrue="1" operator="equal">
      <formula>"Napkin Hs"</formula>
    </cfRule>
    <cfRule type="cellIs" dxfId="18379" priority="6497" stopIfTrue="1" operator="equal">
      <formula>"Towel"</formula>
    </cfRule>
    <cfRule type="cellIs" dxfId="18378" priority="6498" stopIfTrue="1" operator="equal">
      <formula>"Napkin Hs"</formula>
    </cfRule>
    <cfRule type="cellIs" dxfId="18377" priority="6503" stopIfTrue="1" operator="equal">
      <formula>"Towel"</formula>
    </cfRule>
    <cfRule type="cellIs" dxfId="18376" priority="6504" stopIfTrue="1" operator="equal">
      <formula>"Napkin Hs"</formula>
    </cfRule>
  </conditionalFormatting>
  <conditionalFormatting sqref="C83:C84">
    <cfRule type="cellIs" dxfId="18375" priority="6505" stopIfTrue="1" operator="equal">
      <formula>"Towel"</formula>
    </cfRule>
    <cfRule type="cellIs" dxfId="18374" priority="6506" stopIfTrue="1" operator="equal">
      <formula>"Napkin Hs"</formula>
    </cfRule>
  </conditionalFormatting>
  <conditionalFormatting sqref="C83:C84">
    <cfRule type="cellIs" dxfId="18373" priority="6507" stopIfTrue="1" operator="equal">
      <formula>"Towel"</formula>
    </cfRule>
    <cfRule type="cellIs" dxfId="18372" priority="6508" stopIfTrue="1" operator="equal">
      <formula>"Napkin Hs"</formula>
    </cfRule>
  </conditionalFormatting>
  <conditionalFormatting sqref="C85">
    <cfRule type="cellIs" dxfId="18371" priority="6457" stopIfTrue="1" operator="equal">
      <formula>"Towel"</formula>
    </cfRule>
    <cfRule type="cellIs" dxfId="18370" priority="6458" stopIfTrue="1" operator="equal">
      <formula>"Napkin Hs"</formula>
    </cfRule>
  </conditionalFormatting>
  <conditionalFormatting sqref="C85">
    <cfRule type="cellIs" dxfId="18369" priority="6459" stopIfTrue="1" operator="equal">
      <formula>"Towel"</formula>
    </cfRule>
    <cfRule type="cellIs" dxfId="18368" priority="6460" stopIfTrue="1" operator="equal">
      <formula>"Napkin Hs"</formula>
    </cfRule>
    <cfRule type="cellIs" dxfId="18367" priority="6463" stopIfTrue="1" operator="equal">
      <formula>"Towel"</formula>
    </cfRule>
    <cfRule type="cellIs" dxfId="18366" priority="6464" stopIfTrue="1" operator="equal">
      <formula>"Napkin Hs"</formula>
    </cfRule>
    <cfRule type="cellIs" dxfId="18365" priority="6465" stopIfTrue="1" operator="equal">
      <formula>"Towel"</formula>
    </cfRule>
    <cfRule type="cellIs" dxfId="18364" priority="6466" stopIfTrue="1" operator="equal">
      <formula>"Napkin Hs"</formula>
    </cfRule>
    <cfRule type="cellIs" dxfId="18363" priority="6469" stopIfTrue="1" operator="equal">
      <formula>"Towel"</formula>
    </cfRule>
    <cfRule type="cellIs" dxfId="18362" priority="6470" stopIfTrue="1" operator="equal">
      <formula>"Napkin Hs"</formula>
    </cfRule>
    <cfRule type="cellIs" dxfId="18361" priority="6471" stopIfTrue="1" operator="equal">
      <formula>"Towel"</formula>
    </cfRule>
    <cfRule type="cellIs" dxfId="18360" priority="6472" stopIfTrue="1" operator="equal">
      <formula>"Napkin Hs"</formula>
    </cfRule>
    <cfRule type="cellIs" dxfId="18359" priority="6475" stopIfTrue="1" operator="equal">
      <formula>"Towel"</formula>
    </cfRule>
    <cfRule type="cellIs" dxfId="18358" priority="6476" stopIfTrue="1" operator="equal">
      <formula>"Napkin Hs"</formula>
    </cfRule>
    <cfRule type="cellIs" dxfId="18357" priority="6477" stopIfTrue="1" operator="equal">
      <formula>"Towel"</formula>
    </cfRule>
    <cfRule type="cellIs" dxfId="18356" priority="6478" stopIfTrue="1" operator="equal">
      <formula>"Napkin Hs"</formula>
    </cfRule>
    <cfRule type="cellIs" dxfId="18355" priority="6481" stopIfTrue="1" operator="equal">
      <formula>"Towel"</formula>
    </cfRule>
    <cfRule type="cellIs" dxfId="18354" priority="6482" stopIfTrue="1" operator="equal">
      <formula>"Napkin Hs"</formula>
    </cfRule>
    <cfRule type="cellIs" dxfId="18353" priority="6483" stopIfTrue="1" operator="equal">
      <formula>"Towel"</formula>
    </cfRule>
    <cfRule type="cellIs" dxfId="18352" priority="6484" stopIfTrue="1" operator="equal">
      <formula>"Napkin Hs"</formula>
    </cfRule>
    <cfRule type="cellIs" dxfId="18351" priority="6487" stopIfTrue="1" operator="equal">
      <formula>"Towel"</formula>
    </cfRule>
    <cfRule type="cellIs" dxfId="18350" priority="6488" stopIfTrue="1" operator="equal">
      <formula>"Napkin Hs"</formula>
    </cfRule>
    <cfRule type="cellIs" dxfId="18349" priority="6489" stopIfTrue="1" operator="equal">
      <formula>"Towel"</formula>
    </cfRule>
    <cfRule type="cellIs" dxfId="18348" priority="6490" stopIfTrue="1" operator="equal">
      <formula>"Napkin Hs"</formula>
    </cfRule>
    <cfRule type="cellIs" dxfId="18347" priority="6493" stopIfTrue="1" operator="equal">
      <formula>"Towel"</formula>
    </cfRule>
    <cfRule type="cellIs" dxfId="18346" priority="6494" stopIfTrue="1" operator="equal">
      <formula>"Napkin Hs"</formula>
    </cfRule>
  </conditionalFormatting>
  <conditionalFormatting sqref="C85">
    <cfRule type="cellIs" dxfId="18345" priority="6495" stopIfTrue="1" operator="equal">
      <formula>"Towel"</formula>
    </cfRule>
    <cfRule type="cellIs" dxfId="18344" priority="6496" stopIfTrue="1" operator="equal">
      <formula>"Napkin Hs"</formula>
    </cfRule>
    <cfRule type="cellIs" dxfId="18343" priority="6499" stopIfTrue="1" operator="equal">
      <formula>"Towel"</formula>
    </cfRule>
    <cfRule type="cellIs" dxfId="18342" priority="6500" stopIfTrue="1" operator="equal">
      <formula>"Napkin Hs"</formula>
    </cfRule>
    <cfRule type="cellIs" dxfId="18341" priority="6501" stopIfTrue="1" operator="equal">
      <formula>"Towel"</formula>
    </cfRule>
    <cfRule type="cellIs" dxfId="18340" priority="6502" stopIfTrue="1" operator="equal">
      <formula>"Napkin Hs"</formula>
    </cfRule>
  </conditionalFormatting>
  <conditionalFormatting sqref="B83:C84 B85">
    <cfRule type="cellIs" dxfId="18339" priority="6413" stopIfTrue="1" operator="equal">
      <formula>"Towel"</formula>
    </cfRule>
    <cfRule type="cellIs" dxfId="18338" priority="6414" stopIfTrue="1" operator="equal">
      <formula>"Napkin Hs"</formula>
    </cfRule>
    <cfRule type="cellIs" dxfId="18337" priority="6419" stopIfTrue="1" operator="equal">
      <formula>"Towel"</formula>
    </cfRule>
    <cfRule type="cellIs" dxfId="18336" priority="6420" stopIfTrue="1" operator="equal">
      <formula>"Napkin Hs"</formula>
    </cfRule>
    <cfRule type="cellIs" dxfId="18335" priority="6425" stopIfTrue="1" operator="equal">
      <formula>"Towel"</formula>
    </cfRule>
    <cfRule type="cellIs" dxfId="18334" priority="6426" stopIfTrue="1" operator="equal">
      <formula>"Napkin Hs"</formula>
    </cfRule>
    <cfRule type="cellIs" dxfId="18333" priority="6431" stopIfTrue="1" operator="equal">
      <formula>"Towel"</formula>
    </cfRule>
    <cfRule type="cellIs" dxfId="18332" priority="6432" stopIfTrue="1" operator="equal">
      <formula>"Napkin Hs"</formula>
    </cfRule>
    <cfRule type="cellIs" dxfId="18331" priority="6437" stopIfTrue="1" operator="equal">
      <formula>"Towel"</formula>
    </cfRule>
    <cfRule type="cellIs" dxfId="18330" priority="6438" stopIfTrue="1" operator="equal">
      <formula>"Napkin Hs"</formula>
    </cfRule>
    <cfRule type="cellIs" dxfId="18329" priority="6443" stopIfTrue="1" operator="equal">
      <formula>"Towel"</formula>
    </cfRule>
    <cfRule type="cellIs" dxfId="18328" priority="6444" stopIfTrue="1" operator="equal">
      <formula>"Napkin Hs"</formula>
    </cfRule>
    <cfRule type="cellIs" dxfId="18327" priority="6449" stopIfTrue="1" operator="equal">
      <formula>"Towel"</formula>
    </cfRule>
    <cfRule type="cellIs" dxfId="18326" priority="6450" stopIfTrue="1" operator="equal">
      <formula>"Napkin Hs"</formula>
    </cfRule>
    <cfRule type="cellIs" dxfId="18325" priority="6455" stopIfTrue="1" operator="equal">
      <formula>"Towel"</formula>
    </cfRule>
    <cfRule type="cellIs" dxfId="18324" priority="6456" stopIfTrue="1" operator="equal">
      <formula>"Napkin Hs"</formula>
    </cfRule>
  </conditionalFormatting>
  <conditionalFormatting sqref="C83:C84">
    <cfRule type="cellIs" dxfId="18323" priority="6409" stopIfTrue="1" operator="equal">
      <formula>"Towel"</formula>
    </cfRule>
    <cfRule type="cellIs" dxfId="18322" priority="6410" stopIfTrue="1" operator="equal">
      <formula>"Napkin Hs"</formula>
    </cfRule>
    <cfRule type="cellIs" dxfId="18321" priority="6411" stopIfTrue="1" operator="equal">
      <formula>"Towel"</formula>
    </cfRule>
    <cfRule type="cellIs" dxfId="18320" priority="6412" stopIfTrue="1" operator="equal">
      <formula>"Napkin Hs"</formula>
    </cfRule>
    <cfRule type="cellIs" dxfId="18319" priority="6415" stopIfTrue="1" operator="equal">
      <formula>"Towel"</formula>
    </cfRule>
    <cfRule type="cellIs" dxfId="18318" priority="6416" stopIfTrue="1" operator="equal">
      <formula>"Napkin Hs"</formula>
    </cfRule>
    <cfRule type="cellIs" dxfId="18317" priority="6417" stopIfTrue="1" operator="equal">
      <formula>"Towel"</formula>
    </cfRule>
    <cfRule type="cellIs" dxfId="18316" priority="6418" stopIfTrue="1" operator="equal">
      <formula>"Napkin Hs"</formula>
    </cfRule>
    <cfRule type="cellIs" dxfId="18315" priority="6421" stopIfTrue="1" operator="equal">
      <formula>"Towel"</formula>
    </cfRule>
    <cfRule type="cellIs" dxfId="18314" priority="6422" stopIfTrue="1" operator="equal">
      <formula>"Napkin Hs"</formula>
    </cfRule>
    <cfRule type="cellIs" dxfId="18313" priority="6423" stopIfTrue="1" operator="equal">
      <formula>"Towel"</formula>
    </cfRule>
    <cfRule type="cellIs" dxfId="18312" priority="6424" stopIfTrue="1" operator="equal">
      <formula>"Napkin Hs"</formula>
    </cfRule>
    <cfRule type="cellIs" dxfId="18311" priority="6427" stopIfTrue="1" operator="equal">
      <formula>"Towel"</formula>
    </cfRule>
    <cfRule type="cellIs" dxfId="18310" priority="6428" stopIfTrue="1" operator="equal">
      <formula>"Napkin Hs"</formula>
    </cfRule>
    <cfRule type="cellIs" dxfId="18309" priority="6429" stopIfTrue="1" operator="equal">
      <formula>"Towel"</formula>
    </cfRule>
    <cfRule type="cellIs" dxfId="18308" priority="6430" stopIfTrue="1" operator="equal">
      <formula>"Napkin Hs"</formula>
    </cfRule>
    <cfRule type="cellIs" dxfId="18307" priority="6433" stopIfTrue="1" operator="equal">
      <formula>"Towel"</formula>
    </cfRule>
    <cfRule type="cellIs" dxfId="18306" priority="6434" stopIfTrue="1" operator="equal">
      <formula>"Napkin Hs"</formula>
    </cfRule>
    <cfRule type="cellIs" dxfId="18305" priority="6435" stopIfTrue="1" operator="equal">
      <formula>"Towel"</formula>
    </cfRule>
    <cfRule type="cellIs" dxfId="18304" priority="6436" stopIfTrue="1" operator="equal">
      <formula>"Napkin Hs"</formula>
    </cfRule>
    <cfRule type="cellIs" dxfId="18303" priority="6439" stopIfTrue="1" operator="equal">
      <formula>"Towel"</formula>
    </cfRule>
    <cfRule type="cellIs" dxfId="18302" priority="6440" stopIfTrue="1" operator="equal">
      <formula>"Napkin Hs"</formula>
    </cfRule>
    <cfRule type="cellIs" dxfId="18301" priority="6441" stopIfTrue="1" operator="equal">
      <formula>"Towel"</formula>
    </cfRule>
    <cfRule type="cellIs" dxfId="18300" priority="6442" stopIfTrue="1" operator="equal">
      <formula>"Napkin Hs"</formula>
    </cfRule>
    <cfRule type="cellIs" dxfId="18299" priority="6445" stopIfTrue="1" operator="equal">
      <formula>"Towel"</formula>
    </cfRule>
    <cfRule type="cellIs" dxfId="18298" priority="6446" stopIfTrue="1" operator="equal">
      <formula>"Napkin Hs"</formula>
    </cfRule>
    <cfRule type="cellIs" dxfId="18297" priority="6447" stopIfTrue="1" operator="equal">
      <formula>"Towel"</formula>
    </cfRule>
    <cfRule type="cellIs" dxfId="18296" priority="6448" stopIfTrue="1" operator="equal">
      <formula>"Napkin Hs"</formula>
    </cfRule>
    <cfRule type="cellIs" dxfId="18295" priority="6451" stopIfTrue="1" operator="equal">
      <formula>"Towel"</formula>
    </cfRule>
    <cfRule type="cellIs" dxfId="18294" priority="6452" stopIfTrue="1" operator="equal">
      <formula>"Napkin Hs"</formula>
    </cfRule>
  </conditionalFormatting>
  <conditionalFormatting sqref="C83:C84">
    <cfRule type="cellIs" dxfId="18293" priority="6453" stopIfTrue="1" operator="equal">
      <formula>"Towel"</formula>
    </cfRule>
    <cfRule type="cellIs" dxfId="18292" priority="6454" stopIfTrue="1" operator="equal">
      <formula>"Napkin Hs"</formula>
    </cfRule>
  </conditionalFormatting>
  <conditionalFormatting sqref="B83:C84 B85">
    <cfRule type="cellIs" dxfId="18291" priority="6329" stopIfTrue="1" operator="equal">
      <formula>"Towel"</formula>
    </cfRule>
    <cfRule type="cellIs" dxfId="18290" priority="6330" stopIfTrue="1" operator="equal">
      <formula>"Napkin Hs"</formula>
    </cfRule>
    <cfRule type="cellIs" dxfId="18289" priority="6335" stopIfTrue="1" operator="equal">
      <formula>"Towel"</formula>
    </cfRule>
    <cfRule type="cellIs" dxfId="18288" priority="6336" stopIfTrue="1" operator="equal">
      <formula>"Napkin Hs"</formula>
    </cfRule>
    <cfRule type="cellIs" dxfId="18287" priority="6341" stopIfTrue="1" operator="equal">
      <formula>"Towel"</formula>
    </cfRule>
    <cfRule type="cellIs" dxfId="18286" priority="6342" stopIfTrue="1" operator="equal">
      <formula>"Napkin Hs"</formula>
    </cfRule>
    <cfRule type="cellIs" dxfId="18285" priority="6347" stopIfTrue="1" operator="equal">
      <formula>"Towel"</formula>
    </cfRule>
    <cfRule type="cellIs" dxfId="18284" priority="6348" stopIfTrue="1" operator="equal">
      <formula>"Napkin Hs"</formula>
    </cfRule>
    <cfRule type="cellIs" dxfId="18283" priority="6353" stopIfTrue="1" operator="equal">
      <formula>"Towel"</formula>
    </cfRule>
    <cfRule type="cellIs" dxfId="18282" priority="6354" stopIfTrue="1" operator="equal">
      <formula>"Napkin Hs"</formula>
    </cfRule>
    <cfRule type="cellIs" dxfId="18281" priority="6359" stopIfTrue="1" operator="equal">
      <formula>"Towel"</formula>
    </cfRule>
    <cfRule type="cellIs" dxfId="18280" priority="6360" stopIfTrue="1" operator="equal">
      <formula>"Napkin Hs"</formula>
    </cfRule>
    <cfRule type="cellIs" dxfId="18279" priority="6365" stopIfTrue="1" operator="equal">
      <formula>"Towel"</formula>
    </cfRule>
    <cfRule type="cellIs" dxfId="18278" priority="6366" stopIfTrue="1" operator="equal">
      <formula>"Napkin Hs"</formula>
    </cfRule>
    <cfRule type="cellIs" dxfId="18277" priority="6371" stopIfTrue="1" operator="equal">
      <formula>"Towel"</formula>
    </cfRule>
    <cfRule type="cellIs" dxfId="18276" priority="6372" stopIfTrue="1" operator="equal">
      <formula>"Napkin Hs"</formula>
    </cfRule>
  </conditionalFormatting>
  <conditionalFormatting sqref="C85">
    <cfRule type="cellIs" dxfId="18275" priority="6377" stopIfTrue="1" operator="equal">
      <formula>"Towel"</formula>
    </cfRule>
    <cfRule type="cellIs" dxfId="18274" priority="6378" stopIfTrue="1" operator="equal">
      <formula>"Napkin Hs"</formula>
    </cfRule>
    <cfRule type="cellIs" dxfId="18273" priority="6383" stopIfTrue="1" operator="equal">
      <formula>"Towel"</formula>
    </cfRule>
    <cfRule type="cellIs" dxfId="18272" priority="6384" stopIfTrue="1" operator="equal">
      <formula>"Napkin Hs"</formula>
    </cfRule>
    <cfRule type="cellIs" dxfId="18271" priority="6389" stopIfTrue="1" operator="equal">
      <formula>"Towel"</formula>
    </cfRule>
    <cfRule type="cellIs" dxfId="18270" priority="6390" stopIfTrue="1" operator="equal">
      <formula>"Napkin Hs"</formula>
    </cfRule>
    <cfRule type="cellIs" dxfId="18269" priority="6395" stopIfTrue="1" operator="equal">
      <formula>"Towel"</formula>
    </cfRule>
    <cfRule type="cellIs" dxfId="18268" priority="6396" stopIfTrue="1" operator="equal">
      <formula>"Napkin Hs"</formula>
    </cfRule>
    <cfRule type="cellIs" dxfId="18267" priority="6401" stopIfTrue="1" operator="equal">
      <formula>"Towel"</formula>
    </cfRule>
    <cfRule type="cellIs" dxfId="18266" priority="6402" stopIfTrue="1" operator="equal">
      <formula>"Napkin Hs"</formula>
    </cfRule>
    <cfRule type="cellIs" dxfId="18265" priority="6407" stopIfTrue="1" operator="equal">
      <formula>"Towel"</formula>
    </cfRule>
    <cfRule type="cellIs" dxfId="18264" priority="6408" stopIfTrue="1" operator="equal">
      <formula>"Napkin Hs"</formula>
    </cfRule>
  </conditionalFormatting>
  <conditionalFormatting sqref="C83:C84">
    <cfRule type="cellIs" dxfId="18263" priority="6325" stopIfTrue="1" operator="equal">
      <formula>"Towel"</formula>
    </cfRule>
    <cfRule type="cellIs" dxfId="18262" priority="6326" stopIfTrue="1" operator="equal">
      <formula>"Napkin Hs"</formula>
    </cfRule>
    <cfRule type="cellIs" dxfId="18261" priority="6327" stopIfTrue="1" operator="equal">
      <formula>"Towel"</formula>
    </cfRule>
    <cfRule type="cellIs" dxfId="18260" priority="6328" stopIfTrue="1" operator="equal">
      <formula>"Napkin Hs"</formula>
    </cfRule>
    <cfRule type="cellIs" dxfId="18259" priority="6331" stopIfTrue="1" operator="equal">
      <formula>"Towel"</formula>
    </cfRule>
    <cfRule type="cellIs" dxfId="18258" priority="6332" stopIfTrue="1" operator="equal">
      <formula>"Napkin Hs"</formula>
    </cfRule>
    <cfRule type="cellIs" dxfId="18257" priority="6333" stopIfTrue="1" operator="equal">
      <formula>"Towel"</formula>
    </cfRule>
    <cfRule type="cellIs" dxfId="18256" priority="6334" stopIfTrue="1" operator="equal">
      <formula>"Napkin Hs"</formula>
    </cfRule>
    <cfRule type="cellIs" dxfId="18255" priority="6337" stopIfTrue="1" operator="equal">
      <formula>"Towel"</formula>
    </cfRule>
    <cfRule type="cellIs" dxfId="18254" priority="6338" stopIfTrue="1" operator="equal">
      <formula>"Napkin Hs"</formula>
    </cfRule>
    <cfRule type="cellIs" dxfId="18253" priority="6339" stopIfTrue="1" operator="equal">
      <formula>"Towel"</formula>
    </cfRule>
    <cfRule type="cellIs" dxfId="18252" priority="6340" stopIfTrue="1" operator="equal">
      <formula>"Napkin Hs"</formula>
    </cfRule>
    <cfRule type="cellIs" dxfId="18251" priority="6343" stopIfTrue="1" operator="equal">
      <formula>"Towel"</formula>
    </cfRule>
    <cfRule type="cellIs" dxfId="18250" priority="6344" stopIfTrue="1" operator="equal">
      <formula>"Napkin Hs"</formula>
    </cfRule>
    <cfRule type="cellIs" dxfId="18249" priority="6345" stopIfTrue="1" operator="equal">
      <formula>"Towel"</formula>
    </cfRule>
    <cfRule type="cellIs" dxfId="18248" priority="6346" stopIfTrue="1" operator="equal">
      <formula>"Napkin Hs"</formula>
    </cfRule>
    <cfRule type="cellIs" dxfId="18247" priority="6349" stopIfTrue="1" operator="equal">
      <formula>"Towel"</formula>
    </cfRule>
    <cfRule type="cellIs" dxfId="18246" priority="6350" stopIfTrue="1" operator="equal">
      <formula>"Napkin Hs"</formula>
    </cfRule>
    <cfRule type="cellIs" dxfId="18245" priority="6351" stopIfTrue="1" operator="equal">
      <formula>"Towel"</formula>
    </cfRule>
    <cfRule type="cellIs" dxfId="18244" priority="6352" stopIfTrue="1" operator="equal">
      <formula>"Napkin Hs"</formula>
    </cfRule>
    <cfRule type="cellIs" dxfId="18243" priority="6355" stopIfTrue="1" operator="equal">
      <formula>"Towel"</formula>
    </cfRule>
    <cfRule type="cellIs" dxfId="18242" priority="6356" stopIfTrue="1" operator="equal">
      <formula>"Napkin Hs"</formula>
    </cfRule>
    <cfRule type="cellIs" dxfId="18241" priority="6357" stopIfTrue="1" operator="equal">
      <formula>"Towel"</formula>
    </cfRule>
    <cfRule type="cellIs" dxfId="18240" priority="6358" stopIfTrue="1" operator="equal">
      <formula>"Napkin Hs"</formula>
    </cfRule>
    <cfRule type="cellIs" dxfId="18239" priority="6361" stopIfTrue="1" operator="equal">
      <formula>"Towel"</formula>
    </cfRule>
    <cfRule type="cellIs" dxfId="18238" priority="6362" stopIfTrue="1" operator="equal">
      <formula>"Napkin Hs"</formula>
    </cfRule>
    <cfRule type="cellIs" dxfId="18237" priority="6363" stopIfTrue="1" operator="equal">
      <formula>"Towel"</formula>
    </cfRule>
    <cfRule type="cellIs" dxfId="18236" priority="6364" stopIfTrue="1" operator="equal">
      <formula>"Napkin Hs"</formula>
    </cfRule>
    <cfRule type="cellIs" dxfId="18235" priority="6367" stopIfTrue="1" operator="equal">
      <formula>"Towel"</formula>
    </cfRule>
    <cfRule type="cellIs" dxfId="18234" priority="6368" stopIfTrue="1" operator="equal">
      <formula>"Napkin Hs"</formula>
    </cfRule>
  </conditionalFormatting>
  <conditionalFormatting sqref="C83:C84">
    <cfRule type="cellIs" dxfId="18233" priority="6369" stopIfTrue="1" operator="equal">
      <formula>"Towel"</formula>
    </cfRule>
    <cfRule type="cellIs" dxfId="18232" priority="6370" stopIfTrue="1" operator="equal">
      <formula>"Napkin Hs"</formula>
    </cfRule>
  </conditionalFormatting>
  <conditionalFormatting sqref="C85">
    <cfRule type="cellIs" dxfId="18231" priority="6373" stopIfTrue="1" operator="equal">
      <formula>"Towel"</formula>
    </cfRule>
    <cfRule type="cellIs" dxfId="18230" priority="6374" stopIfTrue="1" operator="equal">
      <formula>"Napkin Hs"</formula>
    </cfRule>
    <cfRule type="cellIs" dxfId="18229" priority="6399" stopIfTrue="1" operator="equal">
      <formula>"Towel"</formula>
    </cfRule>
    <cfRule type="cellIs" dxfId="18228" priority="6400" stopIfTrue="1" operator="equal">
      <formula>"Napkin Hs"</formula>
    </cfRule>
    <cfRule type="cellIs" dxfId="18227" priority="6403" stopIfTrue="1" operator="equal">
      <formula>"Towel"</formula>
    </cfRule>
    <cfRule type="cellIs" dxfId="18226" priority="6404" stopIfTrue="1" operator="equal">
      <formula>"Napkin Hs"</formula>
    </cfRule>
  </conditionalFormatting>
  <conditionalFormatting sqref="C85">
    <cfRule type="cellIs" dxfId="18225" priority="6375" stopIfTrue="1" operator="equal">
      <formula>"Towel"</formula>
    </cfRule>
    <cfRule type="cellIs" dxfId="18224" priority="6376" stopIfTrue="1" operator="equal">
      <formula>"Napkin Hs"</formula>
    </cfRule>
    <cfRule type="cellIs" dxfId="18223" priority="6379" stopIfTrue="1" operator="equal">
      <formula>"Towel"</formula>
    </cfRule>
    <cfRule type="cellIs" dxfId="18222" priority="6380" stopIfTrue="1" operator="equal">
      <formula>"Napkin Hs"</formula>
    </cfRule>
    <cfRule type="cellIs" dxfId="18221" priority="6381" stopIfTrue="1" operator="equal">
      <formula>"Towel"</formula>
    </cfRule>
    <cfRule type="cellIs" dxfId="18220" priority="6382" stopIfTrue="1" operator="equal">
      <formula>"Napkin Hs"</formula>
    </cfRule>
    <cfRule type="cellIs" dxfId="18219" priority="6385" stopIfTrue="1" operator="equal">
      <formula>"Towel"</formula>
    </cfRule>
    <cfRule type="cellIs" dxfId="18218" priority="6386" stopIfTrue="1" operator="equal">
      <formula>"Napkin Hs"</formula>
    </cfRule>
    <cfRule type="cellIs" dxfId="18217" priority="6387" stopIfTrue="1" operator="equal">
      <formula>"Towel"</formula>
    </cfRule>
    <cfRule type="cellIs" dxfId="18216" priority="6388" stopIfTrue="1" operator="equal">
      <formula>"Napkin Hs"</formula>
    </cfRule>
    <cfRule type="cellIs" dxfId="18215" priority="6391" stopIfTrue="1" operator="equal">
      <formula>"Towel"</formula>
    </cfRule>
    <cfRule type="cellIs" dxfId="18214" priority="6392" stopIfTrue="1" operator="equal">
      <formula>"Napkin Hs"</formula>
    </cfRule>
    <cfRule type="cellIs" dxfId="18213" priority="6393" stopIfTrue="1" operator="equal">
      <formula>"Towel"</formula>
    </cfRule>
    <cfRule type="cellIs" dxfId="18212" priority="6394" stopIfTrue="1" operator="equal">
      <formula>"Napkin Hs"</formula>
    </cfRule>
    <cfRule type="cellIs" dxfId="18211" priority="6397" stopIfTrue="1" operator="equal">
      <formula>"Towel"</formula>
    </cfRule>
    <cfRule type="cellIs" dxfId="18210" priority="6398" stopIfTrue="1" operator="equal">
      <formula>"Napkin Hs"</formula>
    </cfRule>
  </conditionalFormatting>
  <conditionalFormatting sqref="C85">
    <cfRule type="cellIs" dxfId="18209" priority="6405" stopIfTrue="1" operator="equal">
      <formula>"Towel"</formula>
    </cfRule>
    <cfRule type="cellIs" dxfId="18208" priority="6406" stopIfTrue="1" operator="equal">
      <formula>"Napkin Hs"</formula>
    </cfRule>
  </conditionalFormatting>
  <conditionalFormatting sqref="C85">
    <cfRule type="cellIs" dxfId="18207" priority="6323" stopIfTrue="1" operator="equal">
      <formula>"Towel"</formula>
    </cfRule>
    <cfRule type="cellIs" dxfId="18206" priority="6324" stopIfTrue="1" operator="equal">
      <formula>"Napkin Hs"</formula>
    </cfRule>
  </conditionalFormatting>
  <conditionalFormatting sqref="C85">
    <cfRule type="cellIs" dxfId="18205" priority="6319" stopIfTrue="1" operator="equal">
      <formula>"Towel"</formula>
    </cfRule>
    <cfRule type="cellIs" dxfId="18204" priority="6320" stopIfTrue="1" operator="equal">
      <formula>"Napkin Hs"</formula>
    </cfRule>
  </conditionalFormatting>
  <conditionalFormatting sqref="C85">
    <cfRule type="cellIs" dxfId="18203" priority="6321" stopIfTrue="1" operator="equal">
      <formula>"Towel"</formula>
    </cfRule>
    <cfRule type="cellIs" dxfId="18202" priority="6322" stopIfTrue="1" operator="equal">
      <formula>"Napkin Hs"</formula>
    </cfRule>
  </conditionalFormatting>
  <conditionalFormatting sqref="C85">
    <cfRule type="cellIs" dxfId="18201" priority="6275" stopIfTrue="1" operator="equal">
      <formula>"Towel"</formula>
    </cfRule>
    <cfRule type="cellIs" dxfId="18200" priority="6276" stopIfTrue="1" operator="equal">
      <formula>"Napkin Hs"</formula>
    </cfRule>
    <cfRule type="cellIs" dxfId="18199" priority="6281" stopIfTrue="1" operator="equal">
      <formula>"Towel"</formula>
    </cfRule>
    <cfRule type="cellIs" dxfId="18198" priority="6282" stopIfTrue="1" operator="equal">
      <formula>"Napkin Hs"</formula>
    </cfRule>
    <cfRule type="cellIs" dxfId="18197" priority="6287" stopIfTrue="1" operator="equal">
      <formula>"Towel"</formula>
    </cfRule>
    <cfRule type="cellIs" dxfId="18196" priority="6288" stopIfTrue="1" operator="equal">
      <formula>"Napkin Hs"</formula>
    </cfRule>
    <cfRule type="cellIs" dxfId="18195" priority="6293" stopIfTrue="1" operator="equal">
      <formula>"Towel"</formula>
    </cfRule>
    <cfRule type="cellIs" dxfId="18194" priority="6294" stopIfTrue="1" operator="equal">
      <formula>"Napkin Hs"</formula>
    </cfRule>
    <cfRule type="cellIs" dxfId="18193" priority="6299" stopIfTrue="1" operator="equal">
      <formula>"Towel"</formula>
    </cfRule>
    <cfRule type="cellIs" dxfId="18192" priority="6300" stopIfTrue="1" operator="equal">
      <formula>"Napkin Hs"</formula>
    </cfRule>
    <cfRule type="cellIs" dxfId="18191" priority="6305" stopIfTrue="1" operator="equal">
      <formula>"Towel"</formula>
    </cfRule>
    <cfRule type="cellIs" dxfId="18190" priority="6306" stopIfTrue="1" operator="equal">
      <formula>"Napkin Hs"</formula>
    </cfRule>
    <cfRule type="cellIs" dxfId="18189" priority="6311" stopIfTrue="1" operator="equal">
      <formula>"Towel"</formula>
    </cfRule>
    <cfRule type="cellIs" dxfId="18188" priority="6312" stopIfTrue="1" operator="equal">
      <formula>"Napkin Hs"</formula>
    </cfRule>
    <cfRule type="cellIs" dxfId="18187" priority="6317" stopIfTrue="1" operator="equal">
      <formula>"Towel"</formula>
    </cfRule>
    <cfRule type="cellIs" dxfId="18186" priority="6318" stopIfTrue="1" operator="equal">
      <formula>"Napkin Hs"</formula>
    </cfRule>
  </conditionalFormatting>
  <conditionalFormatting sqref="C85">
    <cfRule type="cellIs" dxfId="18185" priority="6271" stopIfTrue="1" operator="equal">
      <formula>"Towel"</formula>
    </cfRule>
    <cfRule type="cellIs" dxfId="18184" priority="6272" stopIfTrue="1" operator="equal">
      <formula>"Napkin Hs"</formula>
    </cfRule>
    <cfRule type="cellIs" dxfId="18183" priority="6273" stopIfTrue="1" operator="equal">
      <formula>"Towel"</formula>
    </cfRule>
    <cfRule type="cellIs" dxfId="18182" priority="6274" stopIfTrue="1" operator="equal">
      <formula>"Napkin Hs"</formula>
    </cfRule>
    <cfRule type="cellIs" dxfId="18181" priority="6277" stopIfTrue="1" operator="equal">
      <formula>"Towel"</formula>
    </cfRule>
    <cfRule type="cellIs" dxfId="18180" priority="6278" stopIfTrue="1" operator="equal">
      <formula>"Napkin Hs"</formula>
    </cfRule>
    <cfRule type="cellIs" dxfId="18179" priority="6279" stopIfTrue="1" operator="equal">
      <formula>"Towel"</formula>
    </cfRule>
    <cfRule type="cellIs" dxfId="18178" priority="6280" stopIfTrue="1" operator="equal">
      <formula>"Napkin Hs"</formula>
    </cfRule>
    <cfRule type="cellIs" dxfId="18177" priority="6283" stopIfTrue="1" operator="equal">
      <formula>"Towel"</formula>
    </cfRule>
    <cfRule type="cellIs" dxfId="18176" priority="6284" stopIfTrue="1" operator="equal">
      <formula>"Napkin Hs"</formula>
    </cfRule>
    <cfRule type="cellIs" dxfId="18175" priority="6285" stopIfTrue="1" operator="equal">
      <formula>"Towel"</formula>
    </cfRule>
    <cfRule type="cellIs" dxfId="18174" priority="6286" stopIfTrue="1" operator="equal">
      <formula>"Napkin Hs"</formula>
    </cfRule>
    <cfRule type="cellIs" dxfId="18173" priority="6289" stopIfTrue="1" operator="equal">
      <formula>"Towel"</formula>
    </cfRule>
    <cfRule type="cellIs" dxfId="18172" priority="6290" stopIfTrue="1" operator="equal">
      <formula>"Napkin Hs"</formula>
    </cfRule>
    <cfRule type="cellIs" dxfId="18171" priority="6291" stopIfTrue="1" operator="equal">
      <formula>"Towel"</formula>
    </cfRule>
    <cfRule type="cellIs" dxfId="18170" priority="6292" stopIfTrue="1" operator="equal">
      <formula>"Napkin Hs"</formula>
    </cfRule>
    <cfRule type="cellIs" dxfId="18169" priority="6295" stopIfTrue="1" operator="equal">
      <formula>"Towel"</formula>
    </cfRule>
    <cfRule type="cellIs" dxfId="18168" priority="6296" stopIfTrue="1" operator="equal">
      <formula>"Napkin Hs"</formula>
    </cfRule>
    <cfRule type="cellIs" dxfId="18167" priority="6297" stopIfTrue="1" operator="equal">
      <formula>"Towel"</formula>
    </cfRule>
    <cfRule type="cellIs" dxfId="18166" priority="6298" stopIfTrue="1" operator="equal">
      <formula>"Napkin Hs"</formula>
    </cfRule>
    <cfRule type="cellIs" dxfId="18165" priority="6301" stopIfTrue="1" operator="equal">
      <formula>"Towel"</formula>
    </cfRule>
    <cfRule type="cellIs" dxfId="18164" priority="6302" stopIfTrue="1" operator="equal">
      <formula>"Napkin Hs"</formula>
    </cfRule>
    <cfRule type="cellIs" dxfId="18163" priority="6303" stopIfTrue="1" operator="equal">
      <formula>"Towel"</formula>
    </cfRule>
    <cfRule type="cellIs" dxfId="18162" priority="6304" stopIfTrue="1" operator="equal">
      <formula>"Napkin Hs"</formula>
    </cfRule>
    <cfRule type="cellIs" dxfId="18161" priority="6307" stopIfTrue="1" operator="equal">
      <formula>"Towel"</formula>
    </cfRule>
    <cfRule type="cellIs" dxfId="18160" priority="6308" stopIfTrue="1" operator="equal">
      <formula>"Napkin Hs"</formula>
    </cfRule>
    <cfRule type="cellIs" dxfId="18159" priority="6309" stopIfTrue="1" operator="equal">
      <formula>"Towel"</formula>
    </cfRule>
    <cfRule type="cellIs" dxfId="18158" priority="6310" stopIfTrue="1" operator="equal">
      <formula>"Napkin Hs"</formula>
    </cfRule>
    <cfRule type="cellIs" dxfId="18157" priority="6313" stopIfTrue="1" operator="equal">
      <formula>"Towel"</formula>
    </cfRule>
    <cfRule type="cellIs" dxfId="18156" priority="6314" stopIfTrue="1" operator="equal">
      <formula>"Napkin Hs"</formula>
    </cfRule>
  </conditionalFormatting>
  <conditionalFormatting sqref="C85">
    <cfRule type="cellIs" dxfId="18155" priority="6315" stopIfTrue="1" operator="equal">
      <formula>"Towel"</formula>
    </cfRule>
    <cfRule type="cellIs" dxfId="18154" priority="6316" stopIfTrue="1" operator="equal">
      <formula>"Napkin Hs"</formula>
    </cfRule>
  </conditionalFormatting>
  <conditionalFormatting sqref="C85">
    <cfRule type="cellIs" dxfId="18153" priority="6227" stopIfTrue="1" operator="equal">
      <formula>"Towel"</formula>
    </cfRule>
    <cfRule type="cellIs" dxfId="18152" priority="6228" stopIfTrue="1" operator="equal">
      <formula>"Napkin Hs"</formula>
    </cfRule>
    <cfRule type="cellIs" dxfId="18151" priority="6233" stopIfTrue="1" operator="equal">
      <formula>"Towel"</formula>
    </cfRule>
    <cfRule type="cellIs" dxfId="18150" priority="6234" stopIfTrue="1" operator="equal">
      <formula>"Napkin Hs"</formula>
    </cfRule>
    <cfRule type="cellIs" dxfId="18149" priority="6239" stopIfTrue="1" operator="equal">
      <formula>"Towel"</formula>
    </cfRule>
    <cfRule type="cellIs" dxfId="18148" priority="6240" stopIfTrue="1" operator="equal">
      <formula>"Napkin Hs"</formula>
    </cfRule>
    <cfRule type="cellIs" dxfId="18147" priority="6245" stopIfTrue="1" operator="equal">
      <formula>"Towel"</formula>
    </cfRule>
    <cfRule type="cellIs" dxfId="18146" priority="6246" stopIfTrue="1" operator="equal">
      <formula>"Napkin Hs"</formula>
    </cfRule>
    <cfRule type="cellIs" dxfId="18145" priority="6251" stopIfTrue="1" operator="equal">
      <formula>"Towel"</formula>
    </cfRule>
    <cfRule type="cellIs" dxfId="18144" priority="6252" stopIfTrue="1" operator="equal">
      <formula>"Napkin Hs"</formula>
    </cfRule>
    <cfRule type="cellIs" dxfId="18143" priority="6257" stopIfTrue="1" operator="equal">
      <formula>"Towel"</formula>
    </cfRule>
    <cfRule type="cellIs" dxfId="18142" priority="6258" stopIfTrue="1" operator="equal">
      <formula>"Napkin Hs"</formula>
    </cfRule>
    <cfRule type="cellIs" dxfId="18141" priority="6263" stopIfTrue="1" operator="equal">
      <formula>"Towel"</formula>
    </cfRule>
    <cfRule type="cellIs" dxfId="18140" priority="6264" stopIfTrue="1" operator="equal">
      <formula>"Napkin Hs"</formula>
    </cfRule>
  </conditionalFormatting>
  <conditionalFormatting sqref="C85">
    <cfRule type="cellIs" dxfId="18139" priority="6223" stopIfTrue="1" operator="equal">
      <formula>"Towel"</formula>
    </cfRule>
    <cfRule type="cellIs" dxfId="18138" priority="6224" stopIfTrue="1" operator="equal">
      <formula>"Napkin Hs"</formula>
    </cfRule>
    <cfRule type="cellIs" dxfId="18137" priority="6225" stopIfTrue="1" operator="equal">
      <formula>"Towel"</formula>
    </cfRule>
    <cfRule type="cellIs" dxfId="18136" priority="6226" stopIfTrue="1" operator="equal">
      <formula>"Napkin Hs"</formula>
    </cfRule>
    <cfRule type="cellIs" dxfId="18135" priority="6229" stopIfTrue="1" operator="equal">
      <formula>"Towel"</formula>
    </cfRule>
    <cfRule type="cellIs" dxfId="18134" priority="6230" stopIfTrue="1" operator="equal">
      <formula>"Napkin Hs"</formula>
    </cfRule>
    <cfRule type="cellIs" dxfId="18133" priority="6231" stopIfTrue="1" operator="equal">
      <formula>"Towel"</formula>
    </cfRule>
    <cfRule type="cellIs" dxfId="18132" priority="6232" stopIfTrue="1" operator="equal">
      <formula>"Napkin Hs"</formula>
    </cfRule>
    <cfRule type="cellIs" dxfId="18131" priority="6235" stopIfTrue="1" operator="equal">
      <formula>"Towel"</formula>
    </cfRule>
    <cfRule type="cellIs" dxfId="18130" priority="6236" stopIfTrue="1" operator="equal">
      <formula>"Napkin Hs"</formula>
    </cfRule>
    <cfRule type="cellIs" dxfId="18129" priority="6237" stopIfTrue="1" operator="equal">
      <formula>"Towel"</formula>
    </cfRule>
    <cfRule type="cellIs" dxfId="18128" priority="6238" stopIfTrue="1" operator="equal">
      <formula>"Napkin Hs"</formula>
    </cfRule>
    <cfRule type="cellIs" dxfId="18127" priority="6241" stopIfTrue="1" operator="equal">
      <formula>"Towel"</formula>
    </cfRule>
    <cfRule type="cellIs" dxfId="18126" priority="6242" stopIfTrue="1" operator="equal">
      <formula>"Napkin Hs"</formula>
    </cfRule>
    <cfRule type="cellIs" dxfId="18125" priority="6243" stopIfTrue="1" operator="equal">
      <formula>"Towel"</formula>
    </cfRule>
    <cfRule type="cellIs" dxfId="18124" priority="6244" stopIfTrue="1" operator="equal">
      <formula>"Napkin Hs"</formula>
    </cfRule>
    <cfRule type="cellIs" dxfId="18123" priority="6247" stopIfTrue="1" operator="equal">
      <formula>"Towel"</formula>
    </cfRule>
    <cfRule type="cellIs" dxfId="18122" priority="6248" stopIfTrue="1" operator="equal">
      <formula>"Napkin Hs"</formula>
    </cfRule>
    <cfRule type="cellIs" dxfId="18121" priority="6249" stopIfTrue="1" operator="equal">
      <formula>"Towel"</formula>
    </cfRule>
    <cfRule type="cellIs" dxfId="18120" priority="6250" stopIfTrue="1" operator="equal">
      <formula>"Napkin Hs"</formula>
    </cfRule>
    <cfRule type="cellIs" dxfId="18119" priority="6253" stopIfTrue="1" operator="equal">
      <formula>"Towel"</formula>
    </cfRule>
    <cfRule type="cellIs" dxfId="18118" priority="6254" stopIfTrue="1" operator="equal">
      <formula>"Napkin Hs"</formula>
    </cfRule>
    <cfRule type="cellIs" dxfId="18117" priority="6255" stopIfTrue="1" operator="equal">
      <formula>"Towel"</formula>
    </cfRule>
    <cfRule type="cellIs" dxfId="18116" priority="6256" stopIfTrue="1" operator="equal">
      <formula>"Napkin Hs"</formula>
    </cfRule>
    <cfRule type="cellIs" dxfId="18115" priority="6259" stopIfTrue="1" operator="equal">
      <formula>"Towel"</formula>
    </cfRule>
    <cfRule type="cellIs" dxfId="18114" priority="6260" stopIfTrue="1" operator="equal">
      <formula>"Napkin Hs"</formula>
    </cfRule>
  </conditionalFormatting>
  <conditionalFormatting sqref="C85">
    <cfRule type="cellIs" dxfId="18113" priority="6261" stopIfTrue="1" operator="equal">
      <formula>"Towel"</formula>
    </cfRule>
    <cfRule type="cellIs" dxfId="18112" priority="6262" stopIfTrue="1" operator="equal">
      <formula>"Napkin Hs"</formula>
    </cfRule>
  </conditionalFormatting>
  <conditionalFormatting sqref="C85">
    <cfRule type="cellIs" dxfId="18111" priority="6221" stopIfTrue="1" operator="equal">
      <formula>"Towel"</formula>
    </cfRule>
    <cfRule type="cellIs" dxfId="18110" priority="6222" stopIfTrue="1" operator="equal">
      <formula>"Napkin Hs"</formula>
    </cfRule>
  </conditionalFormatting>
  <conditionalFormatting sqref="C85">
    <cfRule type="cellIs" dxfId="18109" priority="6185" stopIfTrue="1" operator="equal">
      <formula>"Towel"</formula>
    </cfRule>
    <cfRule type="cellIs" dxfId="18108" priority="6186" stopIfTrue="1" operator="equal">
      <formula>"Napkin Hs"</formula>
    </cfRule>
    <cfRule type="cellIs" dxfId="18107" priority="6191" stopIfTrue="1" operator="equal">
      <formula>"Towel"</formula>
    </cfRule>
    <cfRule type="cellIs" dxfId="18106" priority="6192" stopIfTrue="1" operator="equal">
      <formula>"Napkin Hs"</formula>
    </cfRule>
    <cfRule type="cellIs" dxfId="18105" priority="6197" stopIfTrue="1" operator="equal">
      <formula>"Towel"</formula>
    </cfRule>
    <cfRule type="cellIs" dxfId="18104" priority="6198" stopIfTrue="1" operator="equal">
      <formula>"Napkin Hs"</formula>
    </cfRule>
    <cfRule type="cellIs" dxfId="18103" priority="6203" stopIfTrue="1" operator="equal">
      <formula>"Towel"</formula>
    </cfRule>
    <cfRule type="cellIs" dxfId="18102" priority="6204" stopIfTrue="1" operator="equal">
      <formula>"Napkin Hs"</formula>
    </cfRule>
    <cfRule type="cellIs" dxfId="18101" priority="6209" stopIfTrue="1" operator="equal">
      <formula>"Towel"</formula>
    </cfRule>
    <cfRule type="cellIs" dxfId="18100" priority="6210" stopIfTrue="1" operator="equal">
      <formula>"Napkin Hs"</formula>
    </cfRule>
    <cfRule type="cellIs" dxfId="18099" priority="6215" stopIfTrue="1" operator="equal">
      <formula>"Towel"</formula>
    </cfRule>
    <cfRule type="cellIs" dxfId="18098" priority="6216" stopIfTrue="1" operator="equal">
      <formula>"Napkin Hs"</formula>
    </cfRule>
  </conditionalFormatting>
  <conditionalFormatting sqref="C85">
    <cfRule type="cellIs" dxfId="18097" priority="6220" stopIfTrue="1" operator="equal">
      <formula>"Napkin Hs"</formula>
    </cfRule>
  </conditionalFormatting>
  <conditionalFormatting sqref="C85">
    <cfRule type="cellIs" dxfId="18096" priority="6219" stopIfTrue="1" operator="equal">
      <formula>"Towel"</formula>
    </cfRule>
  </conditionalFormatting>
  <conditionalFormatting sqref="C85">
    <cfRule type="cellIs" dxfId="18095" priority="6213" stopIfTrue="1" operator="equal">
      <formula>"Towel"</formula>
    </cfRule>
    <cfRule type="cellIs" dxfId="18094" priority="6214" stopIfTrue="1" operator="equal">
      <formula>"Napkin Hs"</formula>
    </cfRule>
  </conditionalFormatting>
  <conditionalFormatting sqref="C85">
    <cfRule type="cellIs" dxfId="18093" priority="6211" stopIfTrue="1" operator="equal">
      <formula>"Towel"</formula>
    </cfRule>
    <cfRule type="cellIs" dxfId="18092" priority="6212" stopIfTrue="1" operator="equal">
      <formula>"Napkin Hs"</formula>
    </cfRule>
    <cfRule type="cellIs" dxfId="18091" priority="6217" stopIfTrue="1" operator="equal">
      <formula>"Towel"</formula>
    </cfRule>
    <cfRule type="cellIs" dxfId="18090" priority="6218" stopIfTrue="1" operator="equal">
      <formula>"Napkin Hs"</formula>
    </cfRule>
  </conditionalFormatting>
  <conditionalFormatting sqref="C85">
    <cfRule type="cellIs" dxfId="18089" priority="6183" stopIfTrue="1" operator="equal">
      <formula>"Towel"</formula>
    </cfRule>
    <cfRule type="cellIs" dxfId="18088" priority="6184" stopIfTrue="1" operator="equal">
      <formula>"Napkin Hs"</formula>
    </cfRule>
    <cfRule type="cellIs" dxfId="18087" priority="6187" stopIfTrue="1" operator="equal">
      <formula>"Towel"</formula>
    </cfRule>
    <cfRule type="cellIs" dxfId="18086" priority="6188" stopIfTrue="1" operator="equal">
      <formula>"Napkin Hs"</formula>
    </cfRule>
    <cfRule type="cellIs" dxfId="18085" priority="6189" stopIfTrue="1" operator="equal">
      <formula>"Towel"</formula>
    </cfRule>
    <cfRule type="cellIs" dxfId="18084" priority="6190" stopIfTrue="1" operator="equal">
      <formula>"Napkin Hs"</formula>
    </cfRule>
    <cfRule type="cellIs" dxfId="18083" priority="6193" stopIfTrue="1" operator="equal">
      <formula>"Towel"</formula>
    </cfRule>
    <cfRule type="cellIs" dxfId="18082" priority="6194" stopIfTrue="1" operator="equal">
      <formula>"Napkin Hs"</formula>
    </cfRule>
    <cfRule type="cellIs" dxfId="18081" priority="6195" stopIfTrue="1" operator="equal">
      <formula>"Towel"</formula>
    </cfRule>
    <cfRule type="cellIs" dxfId="18080" priority="6196" stopIfTrue="1" operator="equal">
      <formula>"Napkin Hs"</formula>
    </cfRule>
    <cfRule type="cellIs" dxfId="18079" priority="6199" stopIfTrue="1" operator="equal">
      <formula>"Towel"</formula>
    </cfRule>
    <cfRule type="cellIs" dxfId="18078" priority="6200" stopIfTrue="1" operator="equal">
      <formula>"Napkin Hs"</formula>
    </cfRule>
    <cfRule type="cellIs" dxfId="18077" priority="6201" stopIfTrue="1" operator="equal">
      <formula>"Towel"</formula>
    </cfRule>
    <cfRule type="cellIs" dxfId="18076" priority="6202" stopIfTrue="1" operator="equal">
      <formula>"Napkin Hs"</formula>
    </cfRule>
    <cfRule type="cellIs" dxfId="18075" priority="6205" stopIfTrue="1" operator="equal">
      <formula>"Towel"</formula>
    </cfRule>
    <cfRule type="cellIs" dxfId="18074" priority="6206" stopIfTrue="1" operator="equal">
      <formula>"Napkin Hs"</formula>
    </cfRule>
    <cfRule type="cellIs" dxfId="18073" priority="6207" stopIfTrue="1" operator="equal">
      <formula>"Towel"</formula>
    </cfRule>
    <cfRule type="cellIs" dxfId="18072" priority="6208" stopIfTrue="1" operator="equal">
      <formula>"Napkin Hs"</formula>
    </cfRule>
  </conditionalFormatting>
  <conditionalFormatting sqref="C85">
    <cfRule type="cellIs" dxfId="18071" priority="6181" stopIfTrue="1" operator="equal">
      <formula>"Towel"</formula>
    </cfRule>
    <cfRule type="cellIs" dxfId="18070" priority="6182" stopIfTrue="1" operator="equal">
      <formula>"Napkin Hs"</formula>
    </cfRule>
  </conditionalFormatting>
  <conditionalFormatting sqref="C85">
    <cfRule type="cellIs" dxfId="18069" priority="6161" stopIfTrue="1" operator="equal">
      <formula>"Towel"</formula>
    </cfRule>
    <cfRule type="cellIs" dxfId="18068" priority="6162" stopIfTrue="1" operator="equal">
      <formula>"Napkin Hs"</formula>
    </cfRule>
    <cfRule type="cellIs" dxfId="18067" priority="6167" stopIfTrue="1" operator="equal">
      <formula>"Towel"</formula>
    </cfRule>
    <cfRule type="cellIs" dxfId="18066" priority="6168" stopIfTrue="1" operator="equal">
      <formula>"Napkin Hs"</formula>
    </cfRule>
    <cfRule type="cellIs" dxfId="18065" priority="6173" stopIfTrue="1" operator="equal">
      <formula>"Towel"</formula>
    </cfRule>
    <cfRule type="cellIs" dxfId="18064" priority="6174" stopIfTrue="1" operator="equal">
      <formula>"Napkin Hs"</formula>
    </cfRule>
    <cfRule type="cellIs" dxfId="18063" priority="6179" stopIfTrue="1" operator="equal">
      <formula>"Towel"</formula>
    </cfRule>
    <cfRule type="cellIs" dxfId="18062" priority="6180" stopIfTrue="1" operator="equal">
      <formula>"Napkin Hs"</formula>
    </cfRule>
  </conditionalFormatting>
  <conditionalFormatting sqref="C85">
    <cfRule type="cellIs" dxfId="18061" priority="6171" stopIfTrue="1" operator="equal">
      <formula>"Towel"</formula>
    </cfRule>
    <cfRule type="cellIs" dxfId="18060" priority="6172" stopIfTrue="1" operator="equal">
      <formula>"Napkin Hs"</formula>
    </cfRule>
    <cfRule type="cellIs" dxfId="18059" priority="6177" stopIfTrue="1" operator="equal">
      <formula>"Towel"</formula>
    </cfRule>
    <cfRule type="cellIs" dxfId="18058" priority="6178" stopIfTrue="1" operator="equal">
      <formula>"Napkin Hs"</formula>
    </cfRule>
  </conditionalFormatting>
  <conditionalFormatting sqref="C85">
    <cfRule type="cellIs" dxfId="18057" priority="6157" stopIfTrue="1" operator="equal">
      <formula>"Towel"</formula>
    </cfRule>
    <cfRule type="cellIs" dxfId="18056" priority="6158" stopIfTrue="1" operator="equal">
      <formula>"Napkin Hs"</formula>
    </cfRule>
    <cfRule type="cellIs" dxfId="18055" priority="6165" stopIfTrue="1" operator="equal">
      <formula>"Towel"</formula>
    </cfRule>
    <cfRule type="cellIs" dxfId="18054" priority="6166" stopIfTrue="1" operator="equal">
      <formula>"Napkin Hs"</formula>
    </cfRule>
    <cfRule type="cellIs" dxfId="18053" priority="6169" stopIfTrue="1" operator="equal">
      <formula>"Towel"</formula>
    </cfRule>
    <cfRule type="cellIs" dxfId="18052" priority="6170" stopIfTrue="1" operator="equal">
      <formula>"Napkin Hs"</formula>
    </cfRule>
  </conditionalFormatting>
  <conditionalFormatting sqref="C85">
    <cfRule type="cellIs" dxfId="18051" priority="6159" stopIfTrue="1" operator="equal">
      <formula>"Towel"</formula>
    </cfRule>
    <cfRule type="cellIs" dxfId="18050" priority="6160" stopIfTrue="1" operator="equal">
      <formula>"Napkin Hs"</formula>
    </cfRule>
    <cfRule type="cellIs" dxfId="18049" priority="6163" stopIfTrue="1" operator="equal">
      <formula>"Towel"</formula>
    </cfRule>
    <cfRule type="cellIs" dxfId="18048" priority="6164" stopIfTrue="1" operator="equal">
      <formula>"Napkin Hs"</formula>
    </cfRule>
    <cfRule type="cellIs" dxfId="18047" priority="6175" stopIfTrue="1" operator="equal">
      <formula>"Towel"</formula>
    </cfRule>
    <cfRule type="cellIs" dxfId="18046" priority="6176" stopIfTrue="1" operator="equal">
      <formula>"Napkin Hs"</formula>
    </cfRule>
  </conditionalFormatting>
  <conditionalFormatting sqref="C85">
    <cfRule type="cellIs" dxfId="18045" priority="6155" stopIfTrue="1" operator="equal">
      <formula>"Towel"</formula>
    </cfRule>
    <cfRule type="cellIs" dxfId="18044" priority="6156" stopIfTrue="1" operator="equal">
      <formula>"Napkin Hs"</formula>
    </cfRule>
  </conditionalFormatting>
  <conditionalFormatting sqref="C85">
    <cfRule type="cellIs" dxfId="18043" priority="6151" stopIfTrue="1" operator="equal">
      <formula>"Towel"</formula>
    </cfRule>
    <cfRule type="cellIs" dxfId="18042" priority="6152" stopIfTrue="1" operator="equal">
      <formula>"Napkin Hs"</formula>
    </cfRule>
  </conditionalFormatting>
  <conditionalFormatting sqref="C85">
    <cfRule type="cellIs" dxfId="18041" priority="6153" stopIfTrue="1" operator="equal">
      <formula>"Towel"</formula>
    </cfRule>
    <cfRule type="cellIs" dxfId="18040" priority="6154" stopIfTrue="1" operator="equal">
      <formula>"Napkin Hs"</formula>
    </cfRule>
  </conditionalFormatting>
  <conditionalFormatting sqref="C85">
    <cfRule type="cellIs" dxfId="18039" priority="6149" stopIfTrue="1" operator="equal">
      <formula>"Towel"</formula>
    </cfRule>
    <cfRule type="cellIs" dxfId="18038" priority="6150" stopIfTrue="1" operator="equal">
      <formula>"Napkin Hs"</formula>
    </cfRule>
  </conditionalFormatting>
  <conditionalFormatting sqref="C85">
    <cfRule type="cellIs" dxfId="18037" priority="6145" stopIfTrue="1" operator="equal">
      <formula>"Towel"</formula>
    </cfRule>
    <cfRule type="cellIs" dxfId="18036" priority="6146" stopIfTrue="1" operator="equal">
      <formula>"Napkin Hs"</formula>
    </cfRule>
  </conditionalFormatting>
  <conditionalFormatting sqref="C85">
    <cfRule type="cellIs" dxfId="18035" priority="6147" stopIfTrue="1" operator="equal">
      <formula>"Towel"</formula>
    </cfRule>
    <cfRule type="cellIs" dxfId="18034" priority="6148" stopIfTrue="1" operator="equal">
      <formula>"Napkin Hs"</formula>
    </cfRule>
  </conditionalFormatting>
  <conditionalFormatting sqref="C85">
    <cfRule type="cellIs" dxfId="18033" priority="6143" stopIfTrue="1" operator="equal">
      <formula>"Towel"</formula>
    </cfRule>
    <cfRule type="cellIs" dxfId="18032" priority="6144" stopIfTrue="1" operator="equal">
      <formula>"Napkin Hs"</formula>
    </cfRule>
  </conditionalFormatting>
  <conditionalFormatting sqref="C85">
    <cfRule type="cellIs" dxfId="18031" priority="6139" stopIfTrue="1" operator="equal">
      <formula>"Towel"</formula>
    </cfRule>
    <cfRule type="cellIs" dxfId="18030" priority="6140" stopIfTrue="1" operator="equal">
      <formula>"Napkin Hs"</formula>
    </cfRule>
  </conditionalFormatting>
  <conditionalFormatting sqref="C85">
    <cfRule type="cellIs" dxfId="18029" priority="6141" stopIfTrue="1" operator="equal">
      <formula>"Towel"</formula>
    </cfRule>
    <cfRule type="cellIs" dxfId="18028" priority="6142" stopIfTrue="1" operator="equal">
      <formula>"Napkin Hs"</formula>
    </cfRule>
  </conditionalFormatting>
  <conditionalFormatting sqref="C85">
    <cfRule type="cellIs" dxfId="18027" priority="6137" stopIfTrue="1" operator="equal">
      <formula>"Towel"</formula>
    </cfRule>
    <cfRule type="cellIs" dxfId="18026" priority="6138" stopIfTrue="1" operator="equal">
      <formula>"Napkin Hs"</formula>
    </cfRule>
  </conditionalFormatting>
  <conditionalFormatting sqref="C85">
    <cfRule type="cellIs" dxfId="18025" priority="6135" stopIfTrue="1" operator="equal">
      <formula>"Towel"</formula>
    </cfRule>
    <cfRule type="cellIs" dxfId="18024" priority="6136" stopIfTrue="1" operator="equal">
      <formula>"Napkin Hs"</formula>
    </cfRule>
  </conditionalFormatting>
  <conditionalFormatting sqref="C85">
    <cfRule type="cellIs" dxfId="18023" priority="6133" stopIfTrue="1" operator="equal">
      <formula>"Towel"</formula>
    </cfRule>
    <cfRule type="cellIs" dxfId="18022" priority="6134" stopIfTrue="1" operator="equal">
      <formula>"Napkin Hs"</formula>
    </cfRule>
  </conditionalFormatting>
  <conditionalFormatting sqref="C85">
    <cfRule type="cellIs" dxfId="18021" priority="6131" stopIfTrue="1" operator="equal">
      <formula>"Towel"</formula>
    </cfRule>
    <cfRule type="cellIs" dxfId="18020" priority="6132" stopIfTrue="1" operator="equal">
      <formula>"Napkin Hs"</formula>
    </cfRule>
  </conditionalFormatting>
  <conditionalFormatting sqref="C85">
    <cfRule type="cellIs" dxfId="18019" priority="6130" stopIfTrue="1" operator="equal">
      <formula>"Napkin Hs"</formula>
    </cfRule>
  </conditionalFormatting>
  <conditionalFormatting sqref="C85">
    <cfRule type="cellIs" dxfId="18018" priority="6127" stopIfTrue="1" operator="equal">
      <formula>"Towel"</formula>
    </cfRule>
    <cfRule type="cellIs" dxfId="18017" priority="6128" stopIfTrue="1" operator="equal">
      <formula>"Napkin Hs"</formula>
    </cfRule>
  </conditionalFormatting>
  <conditionalFormatting sqref="C85">
    <cfRule type="cellIs" dxfId="18016" priority="6129" stopIfTrue="1" operator="equal">
      <formula>"Towel"</formula>
    </cfRule>
  </conditionalFormatting>
  <conditionalFormatting sqref="C85">
    <cfRule type="cellIs" dxfId="18015" priority="6087" stopIfTrue="1" operator="equal">
      <formula>"Towel"</formula>
    </cfRule>
    <cfRule type="cellIs" dxfId="18014" priority="6088" stopIfTrue="1" operator="equal">
      <formula>"Napkin Hs"</formula>
    </cfRule>
    <cfRule type="cellIs" dxfId="18013" priority="6093" stopIfTrue="1" operator="equal">
      <formula>"Towel"</formula>
    </cfRule>
    <cfRule type="cellIs" dxfId="18012" priority="6094" stopIfTrue="1" operator="equal">
      <formula>"Napkin Hs"</formula>
    </cfRule>
    <cfRule type="cellIs" dxfId="18011" priority="6099" stopIfTrue="1" operator="equal">
      <formula>"Towel"</formula>
    </cfRule>
    <cfRule type="cellIs" dxfId="18010" priority="6100" stopIfTrue="1" operator="equal">
      <formula>"Napkin Hs"</formula>
    </cfRule>
  </conditionalFormatting>
  <conditionalFormatting sqref="C85">
    <cfRule type="cellIs" dxfId="18009" priority="6081" stopIfTrue="1" operator="equal">
      <formula>"Towel"</formula>
    </cfRule>
    <cfRule type="cellIs" dxfId="18008" priority="6082" stopIfTrue="1" operator="equal">
      <formula>"Napkin Hs"</formula>
    </cfRule>
    <cfRule type="cellIs" dxfId="18007" priority="6083" stopIfTrue="1" operator="equal">
      <formula>"Towel"</formula>
    </cfRule>
    <cfRule type="cellIs" dxfId="18006" priority="6084" stopIfTrue="1" operator="equal">
      <formula>"Napkin Hs"</formula>
    </cfRule>
    <cfRule type="cellIs" dxfId="18005" priority="6091" stopIfTrue="1" operator="equal">
      <formula>"Towel"</formula>
    </cfRule>
    <cfRule type="cellIs" dxfId="18004" priority="6092" stopIfTrue="1" operator="equal">
      <formula>"Napkin Hs"</formula>
    </cfRule>
    <cfRule type="cellIs" dxfId="18003" priority="6095" stopIfTrue="1" operator="equal">
      <formula>"Towel"</formula>
    </cfRule>
    <cfRule type="cellIs" dxfId="18002" priority="6096" stopIfTrue="1" operator="equal">
      <formula>"Napkin Hs"</formula>
    </cfRule>
  </conditionalFormatting>
  <conditionalFormatting sqref="C85">
    <cfRule type="cellIs" dxfId="18001" priority="6085" stopIfTrue="1" operator="equal">
      <formula>"Towel"</formula>
    </cfRule>
    <cfRule type="cellIs" dxfId="18000" priority="6086" stopIfTrue="1" operator="equal">
      <formula>"Napkin Hs"</formula>
    </cfRule>
    <cfRule type="cellIs" dxfId="17999" priority="6089" stopIfTrue="1" operator="equal">
      <formula>"Towel"</formula>
    </cfRule>
    <cfRule type="cellIs" dxfId="17998" priority="6090" stopIfTrue="1" operator="equal">
      <formula>"Napkin Hs"</formula>
    </cfRule>
    <cfRule type="cellIs" dxfId="17997" priority="6097" stopIfTrue="1" operator="equal">
      <formula>"Towel"</formula>
    </cfRule>
    <cfRule type="cellIs" dxfId="17996" priority="6098" stopIfTrue="1" operator="equal">
      <formula>"Napkin Hs"</formula>
    </cfRule>
  </conditionalFormatting>
  <conditionalFormatting sqref="C85">
    <cfRule type="cellIs" dxfId="17995" priority="6079" stopIfTrue="1" operator="equal">
      <formula>"Towel"</formula>
    </cfRule>
    <cfRule type="cellIs" dxfId="17994" priority="6080" stopIfTrue="1" operator="equal">
      <formula>"Napkin Hs"</formula>
    </cfRule>
  </conditionalFormatting>
  <conditionalFormatting sqref="C85">
    <cfRule type="cellIs" dxfId="17993" priority="6071" stopIfTrue="1" operator="equal">
      <formula>"Towel"</formula>
    </cfRule>
    <cfRule type="cellIs" dxfId="17992" priority="6072" stopIfTrue="1" operator="equal">
      <formula>"Napkin Hs"</formula>
    </cfRule>
    <cfRule type="cellIs" dxfId="17991" priority="6077" stopIfTrue="1" operator="equal">
      <formula>"Towel"</formula>
    </cfRule>
    <cfRule type="cellIs" dxfId="17990" priority="6078" stopIfTrue="1" operator="equal">
      <formula>"Napkin Hs"</formula>
    </cfRule>
  </conditionalFormatting>
  <conditionalFormatting sqref="C85">
    <cfRule type="cellIs" dxfId="17989" priority="6067" stopIfTrue="1" operator="equal">
      <formula>"Towel"</formula>
    </cfRule>
    <cfRule type="cellIs" dxfId="17988" priority="6068" stopIfTrue="1" operator="equal">
      <formula>"Napkin Hs"</formula>
    </cfRule>
  </conditionalFormatting>
  <conditionalFormatting sqref="C85">
    <cfRule type="cellIs" dxfId="17987" priority="6065" stopIfTrue="1" operator="equal">
      <formula>"Towel"</formula>
    </cfRule>
    <cfRule type="cellIs" dxfId="17986" priority="6066" stopIfTrue="1" operator="equal">
      <formula>"Napkin Hs"</formula>
    </cfRule>
    <cfRule type="cellIs" dxfId="17985" priority="6075" stopIfTrue="1" operator="equal">
      <formula>"Towel"</formula>
    </cfRule>
    <cfRule type="cellIs" dxfId="17984" priority="6076" stopIfTrue="1" operator="equal">
      <formula>"Napkin Hs"</formula>
    </cfRule>
  </conditionalFormatting>
  <conditionalFormatting sqref="C85">
    <cfRule type="cellIs" dxfId="17983" priority="6069" stopIfTrue="1" operator="equal">
      <formula>"Towel"</formula>
    </cfRule>
    <cfRule type="cellIs" dxfId="17982" priority="6070" stopIfTrue="1" operator="equal">
      <formula>"Napkin Hs"</formula>
    </cfRule>
    <cfRule type="cellIs" dxfId="17981" priority="6073" stopIfTrue="1" operator="equal">
      <formula>"Towel"</formula>
    </cfRule>
    <cfRule type="cellIs" dxfId="17980" priority="6074" stopIfTrue="1" operator="equal">
      <formula>"Napkin Hs"</formula>
    </cfRule>
  </conditionalFormatting>
  <conditionalFormatting sqref="C85">
    <cfRule type="cellIs" dxfId="17979" priority="6064" stopIfTrue="1" operator="equal">
      <formula>"Napkin Hs"</formula>
    </cfRule>
  </conditionalFormatting>
  <conditionalFormatting sqref="C85">
    <cfRule type="cellIs" dxfId="17978" priority="6063" stopIfTrue="1" operator="equal">
      <formula>"Towel"</formula>
    </cfRule>
  </conditionalFormatting>
  <conditionalFormatting sqref="C85">
    <cfRule type="cellIs" dxfId="17977" priority="6059" stopIfTrue="1" operator="equal">
      <formula>"Towel"</formula>
    </cfRule>
    <cfRule type="cellIs" dxfId="17976" priority="6060" stopIfTrue="1" operator="equal">
      <formula>"Napkin Hs"</formula>
    </cfRule>
    <cfRule type="cellIs" dxfId="17975" priority="6061" stopIfTrue="1" operator="equal">
      <formula>"Towel"</formula>
    </cfRule>
    <cfRule type="cellIs" dxfId="17974" priority="6062" stopIfTrue="1" operator="equal">
      <formula>"Napkin Hs"</formula>
    </cfRule>
  </conditionalFormatting>
  <conditionalFormatting sqref="C85">
    <cfRule type="cellIs" dxfId="17973" priority="6057" stopIfTrue="1" operator="equal">
      <formula>"Towel"</formula>
    </cfRule>
    <cfRule type="cellIs" dxfId="17972" priority="6058" stopIfTrue="1" operator="equal">
      <formula>"Napkin Hs"</formula>
    </cfRule>
  </conditionalFormatting>
  <conditionalFormatting sqref="C85">
    <cfRule type="cellIs" dxfId="17971" priority="6053" stopIfTrue="1" operator="equal">
      <formula>"Towel"</formula>
    </cfRule>
    <cfRule type="cellIs" dxfId="17970" priority="6054" stopIfTrue="1" operator="equal">
      <formula>"Napkin Hs"</formula>
    </cfRule>
  </conditionalFormatting>
  <conditionalFormatting sqref="C85">
    <cfRule type="cellIs" dxfId="17969" priority="6055" stopIfTrue="1" operator="equal">
      <formula>"Towel"</formula>
    </cfRule>
    <cfRule type="cellIs" dxfId="17968" priority="6056" stopIfTrue="1" operator="equal">
      <formula>"Napkin Hs"</formula>
    </cfRule>
  </conditionalFormatting>
  <conditionalFormatting sqref="C85">
    <cfRule type="cellIs" dxfId="17967" priority="6051" stopIfTrue="1" operator="equal">
      <formula>"Towel"</formula>
    </cfRule>
    <cfRule type="cellIs" dxfId="17966" priority="6052" stopIfTrue="1" operator="equal">
      <formula>"Napkin Hs"</formula>
    </cfRule>
  </conditionalFormatting>
  <conditionalFormatting sqref="C85">
    <cfRule type="cellIs" dxfId="17965" priority="6047" stopIfTrue="1" operator="equal">
      <formula>"Towel"</formula>
    </cfRule>
    <cfRule type="cellIs" dxfId="17964" priority="6048" stopIfTrue="1" operator="equal">
      <formula>"Napkin Hs"</formula>
    </cfRule>
  </conditionalFormatting>
  <conditionalFormatting sqref="C85">
    <cfRule type="cellIs" dxfId="17963" priority="6049" stopIfTrue="1" operator="equal">
      <formula>"Towel"</formula>
    </cfRule>
    <cfRule type="cellIs" dxfId="17962" priority="6050" stopIfTrue="1" operator="equal">
      <formula>"Napkin Hs"</formula>
    </cfRule>
  </conditionalFormatting>
  <conditionalFormatting sqref="C85">
    <cfRule type="cellIs" dxfId="17961" priority="6045" stopIfTrue="1" operator="equal">
      <formula>"Towel"</formula>
    </cfRule>
    <cfRule type="cellIs" dxfId="17960" priority="6046" stopIfTrue="1" operator="equal">
      <formula>"Napkin Hs"</formula>
    </cfRule>
  </conditionalFormatting>
  <conditionalFormatting sqref="C85">
    <cfRule type="cellIs" dxfId="17959" priority="6041" stopIfTrue="1" operator="equal">
      <formula>"Towel"</formula>
    </cfRule>
    <cfRule type="cellIs" dxfId="17958" priority="6042" stopIfTrue="1" operator="equal">
      <formula>"Napkin Hs"</formula>
    </cfRule>
  </conditionalFormatting>
  <conditionalFormatting sqref="C85">
    <cfRule type="cellIs" dxfId="17957" priority="6043" stopIfTrue="1" operator="equal">
      <formula>"Towel"</formula>
    </cfRule>
    <cfRule type="cellIs" dxfId="17956" priority="6044" stopIfTrue="1" operator="equal">
      <formula>"Napkin Hs"</formula>
    </cfRule>
  </conditionalFormatting>
  <conditionalFormatting sqref="C85">
    <cfRule type="cellIs" dxfId="17955" priority="6039" stopIfTrue="1" operator="equal">
      <formula>"Towel"</formula>
    </cfRule>
    <cfRule type="cellIs" dxfId="17954" priority="6040" stopIfTrue="1" operator="equal">
      <formula>"Napkin Hs"</formula>
    </cfRule>
  </conditionalFormatting>
  <conditionalFormatting sqref="C85">
    <cfRule type="cellIs" dxfId="17953" priority="6037" stopIfTrue="1" operator="equal">
      <formula>"Towel"</formula>
    </cfRule>
    <cfRule type="cellIs" dxfId="17952" priority="6038" stopIfTrue="1" operator="equal">
      <formula>"Napkin Hs"</formula>
    </cfRule>
  </conditionalFormatting>
  <conditionalFormatting sqref="C85">
    <cfRule type="cellIs" dxfId="17951" priority="6035" stopIfTrue="1" operator="equal">
      <formula>"Towel"</formula>
    </cfRule>
    <cfRule type="cellIs" dxfId="17950" priority="6036" stopIfTrue="1" operator="equal">
      <formula>"Napkin Hs"</formula>
    </cfRule>
  </conditionalFormatting>
  <conditionalFormatting sqref="C85">
    <cfRule type="cellIs" dxfId="17949" priority="6033" stopIfTrue="1" operator="equal">
      <formula>"Towel"</formula>
    </cfRule>
    <cfRule type="cellIs" dxfId="17948" priority="6034" stopIfTrue="1" operator="equal">
      <formula>"Napkin Hs"</formula>
    </cfRule>
  </conditionalFormatting>
  <conditionalFormatting sqref="C85">
    <cfRule type="cellIs" dxfId="17947" priority="6032" stopIfTrue="1" operator="equal">
      <formula>"Napkin Hs"</formula>
    </cfRule>
  </conditionalFormatting>
  <conditionalFormatting sqref="C85">
    <cfRule type="cellIs" dxfId="17946" priority="6029" stopIfTrue="1" operator="equal">
      <formula>"Towel"</formula>
    </cfRule>
    <cfRule type="cellIs" dxfId="17945" priority="6030" stopIfTrue="1" operator="equal">
      <formula>"Napkin Hs"</formula>
    </cfRule>
  </conditionalFormatting>
  <conditionalFormatting sqref="C85">
    <cfRule type="cellIs" dxfId="17944" priority="6031" stopIfTrue="1" operator="equal">
      <formula>"Towel"</formula>
    </cfRule>
  </conditionalFormatting>
  <conditionalFormatting sqref="B83:C84 B85">
    <cfRule type="cellIs" dxfId="17943" priority="6027" stopIfTrue="1" operator="equal">
      <formula>"Towel"</formula>
    </cfRule>
    <cfRule type="cellIs" dxfId="17942" priority="6028" stopIfTrue="1" operator="equal">
      <formula>"Napkin Hs"</formula>
    </cfRule>
  </conditionalFormatting>
  <conditionalFormatting sqref="B83:C84 B85">
    <cfRule type="cellIs" dxfId="17941" priority="6003" stopIfTrue="1" operator="equal">
      <formula>"Towel"</formula>
    </cfRule>
    <cfRule type="cellIs" dxfId="17940" priority="6004" stopIfTrue="1" operator="equal">
      <formula>"Napkin Hs"</formula>
    </cfRule>
    <cfRule type="cellIs" dxfId="17939" priority="6009" stopIfTrue="1" operator="equal">
      <formula>"Towel"</formula>
    </cfRule>
    <cfRule type="cellIs" dxfId="17938" priority="6010" stopIfTrue="1" operator="equal">
      <formula>"Napkin Hs"</formula>
    </cfRule>
    <cfRule type="cellIs" dxfId="17937" priority="6015" stopIfTrue="1" operator="equal">
      <formula>"Towel"</formula>
    </cfRule>
    <cfRule type="cellIs" dxfId="17936" priority="6016" stopIfTrue="1" operator="equal">
      <formula>"Napkin Hs"</formula>
    </cfRule>
    <cfRule type="cellIs" dxfId="17935" priority="6021" stopIfTrue="1" operator="equal">
      <formula>"Towel"</formula>
    </cfRule>
    <cfRule type="cellIs" dxfId="17934" priority="6022" stopIfTrue="1" operator="equal">
      <formula>"Napkin Hs"</formula>
    </cfRule>
  </conditionalFormatting>
  <conditionalFormatting sqref="C83:C84">
    <cfRule type="cellIs" dxfId="17933" priority="6017" stopIfTrue="1" operator="equal">
      <formula>"Towel"</formula>
    </cfRule>
    <cfRule type="cellIs" dxfId="17932" priority="6018" stopIfTrue="1" operator="equal">
      <formula>"Napkin Hs"</formula>
    </cfRule>
    <cfRule type="cellIs" dxfId="17931" priority="6023" stopIfTrue="1" operator="equal">
      <formula>"Towel"</formula>
    </cfRule>
    <cfRule type="cellIs" dxfId="17930" priority="6024" stopIfTrue="1" operator="equal">
      <formula>"Napkin Hs"</formula>
    </cfRule>
  </conditionalFormatting>
  <conditionalFormatting sqref="C83:C84">
    <cfRule type="cellIs" dxfId="17929" priority="5997" stopIfTrue="1" operator="equal">
      <formula>"Towel"</formula>
    </cfRule>
    <cfRule type="cellIs" dxfId="17928" priority="5998" stopIfTrue="1" operator="equal">
      <formula>"Napkin Hs"</formula>
    </cfRule>
    <cfRule type="cellIs" dxfId="17927" priority="5999" stopIfTrue="1" operator="equal">
      <formula>"Towel"</formula>
    </cfRule>
    <cfRule type="cellIs" dxfId="17926" priority="6000" stopIfTrue="1" operator="equal">
      <formula>"Napkin Hs"</formula>
    </cfRule>
    <cfRule type="cellIs" dxfId="17925" priority="6007" stopIfTrue="1" operator="equal">
      <formula>"Towel"</formula>
    </cfRule>
    <cfRule type="cellIs" dxfId="17924" priority="6008" stopIfTrue="1" operator="equal">
      <formula>"Napkin Hs"</formula>
    </cfRule>
    <cfRule type="cellIs" dxfId="17923" priority="6011" stopIfTrue="1" operator="equal">
      <formula>"Towel"</formula>
    </cfRule>
    <cfRule type="cellIs" dxfId="17922" priority="6012" stopIfTrue="1" operator="equal">
      <formula>"Napkin Hs"</formula>
    </cfRule>
    <cfRule type="cellIs" dxfId="17921" priority="6013" stopIfTrue="1" operator="equal">
      <formula>"Towel"</formula>
    </cfRule>
    <cfRule type="cellIs" dxfId="17920" priority="6014" stopIfTrue="1" operator="equal">
      <formula>"Napkin Hs"</formula>
    </cfRule>
  </conditionalFormatting>
  <conditionalFormatting sqref="C83:C84">
    <cfRule type="cellIs" dxfId="17919" priority="6025" stopIfTrue="1" operator="equal">
      <formula>"Towel"</formula>
    </cfRule>
    <cfRule type="cellIs" dxfId="17918" priority="6026" stopIfTrue="1" operator="equal">
      <formula>"Napkin Hs"</formula>
    </cfRule>
  </conditionalFormatting>
  <conditionalFormatting sqref="C83:C84">
    <cfRule type="cellIs" dxfId="17917" priority="6001" stopIfTrue="1" operator="equal">
      <formula>"Towel"</formula>
    </cfRule>
    <cfRule type="cellIs" dxfId="17916" priority="6002" stopIfTrue="1" operator="equal">
      <formula>"Napkin Hs"</formula>
    </cfRule>
    <cfRule type="cellIs" dxfId="17915" priority="6005" stopIfTrue="1" operator="equal">
      <formula>"Towel"</formula>
    </cfRule>
    <cfRule type="cellIs" dxfId="17914" priority="6006" stopIfTrue="1" operator="equal">
      <formula>"Napkin Hs"</formula>
    </cfRule>
    <cfRule type="cellIs" dxfId="17913" priority="6019" stopIfTrue="1" operator="equal">
      <formula>"Towel"</formula>
    </cfRule>
    <cfRule type="cellIs" dxfId="17912" priority="6020" stopIfTrue="1" operator="equal">
      <formula>"Napkin Hs"</formula>
    </cfRule>
  </conditionalFormatting>
  <conditionalFormatting sqref="B83:C84 B85">
    <cfRule type="cellIs" dxfId="17911" priority="5953" stopIfTrue="1" operator="equal">
      <formula>"Towel"</formula>
    </cfRule>
    <cfRule type="cellIs" dxfId="17910" priority="5954" stopIfTrue="1" operator="equal">
      <formula>"Napkin Hs"</formula>
    </cfRule>
    <cfRule type="cellIs" dxfId="17909" priority="5959" stopIfTrue="1" operator="equal">
      <formula>"Towel"</formula>
    </cfRule>
    <cfRule type="cellIs" dxfId="17908" priority="5960" stopIfTrue="1" operator="equal">
      <formula>"Napkin Hs"</formula>
    </cfRule>
    <cfRule type="cellIs" dxfId="17907" priority="5965" stopIfTrue="1" operator="equal">
      <formula>"Towel"</formula>
    </cfRule>
    <cfRule type="cellIs" dxfId="17906" priority="5966" stopIfTrue="1" operator="equal">
      <formula>"Napkin Hs"</formula>
    </cfRule>
    <cfRule type="cellIs" dxfId="17905" priority="5971" stopIfTrue="1" operator="equal">
      <formula>"Towel"</formula>
    </cfRule>
    <cfRule type="cellIs" dxfId="17904" priority="5972" stopIfTrue="1" operator="equal">
      <formula>"Napkin Hs"</formula>
    </cfRule>
    <cfRule type="cellIs" dxfId="17903" priority="5977" stopIfTrue="1" operator="equal">
      <formula>"Towel"</formula>
    </cfRule>
    <cfRule type="cellIs" dxfId="17902" priority="5978" stopIfTrue="1" operator="equal">
      <formula>"Napkin Hs"</formula>
    </cfRule>
    <cfRule type="cellIs" dxfId="17901" priority="5983" stopIfTrue="1" operator="equal">
      <formula>"Towel"</formula>
    </cfRule>
    <cfRule type="cellIs" dxfId="17900" priority="5984" stopIfTrue="1" operator="equal">
      <formula>"Napkin Hs"</formula>
    </cfRule>
    <cfRule type="cellIs" dxfId="17899" priority="5989" stopIfTrue="1" operator="equal">
      <formula>"Towel"</formula>
    </cfRule>
    <cfRule type="cellIs" dxfId="17898" priority="5990" stopIfTrue="1" operator="equal">
      <formula>"Napkin Hs"</formula>
    </cfRule>
    <cfRule type="cellIs" dxfId="17897" priority="5995" stopIfTrue="1" operator="equal">
      <formula>"Towel"</formula>
    </cfRule>
    <cfRule type="cellIs" dxfId="17896" priority="5996" stopIfTrue="1" operator="equal">
      <formula>"Napkin Hs"</formula>
    </cfRule>
  </conditionalFormatting>
  <conditionalFormatting sqref="C83:C84">
    <cfRule type="cellIs" dxfId="17895" priority="5949" stopIfTrue="1" operator="equal">
      <formula>"Towel"</formula>
    </cfRule>
    <cfRule type="cellIs" dxfId="17894" priority="5950" stopIfTrue="1" operator="equal">
      <formula>"Napkin Hs"</formula>
    </cfRule>
    <cfRule type="cellIs" dxfId="17893" priority="5951" stopIfTrue="1" operator="equal">
      <formula>"Towel"</formula>
    </cfRule>
    <cfRule type="cellIs" dxfId="17892" priority="5952" stopIfTrue="1" operator="equal">
      <formula>"Napkin Hs"</formula>
    </cfRule>
    <cfRule type="cellIs" dxfId="17891" priority="5955" stopIfTrue="1" operator="equal">
      <formula>"Towel"</formula>
    </cfRule>
    <cfRule type="cellIs" dxfId="17890" priority="5956" stopIfTrue="1" operator="equal">
      <formula>"Napkin Hs"</formula>
    </cfRule>
    <cfRule type="cellIs" dxfId="17889" priority="5957" stopIfTrue="1" operator="equal">
      <formula>"Towel"</formula>
    </cfRule>
    <cfRule type="cellIs" dxfId="17888" priority="5958" stopIfTrue="1" operator="equal">
      <formula>"Napkin Hs"</formula>
    </cfRule>
    <cfRule type="cellIs" dxfId="17887" priority="5961" stopIfTrue="1" operator="equal">
      <formula>"Towel"</formula>
    </cfRule>
    <cfRule type="cellIs" dxfId="17886" priority="5962" stopIfTrue="1" operator="equal">
      <formula>"Napkin Hs"</formula>
    </cfRule>
    <cfRule type="cellIs" dxfId="17885" priority="5963" stopIfTrue="1" operator="equal">
      <formula>"Towel"</formula>
    </cfRule>
    <cfRule type="cellIs" dxfId="17884" priority="5964" stopIfTrue="1" operator="equal">
      <formula>"Napkin Hs"</formula>
    </cfRule>
    <cfRule type="cellIs" dxfId="17883" priority="5967" stopIfTrue="1" operator="equal">
      <formula>"Towel"</formula>
    </cfRule>
    <cfRule type="cellIs" dxfId="17882" priority="5968" stopIfTrue="1" operator="equal">
      <formula>"Napkin Hs"</formula>
    </cfRule>
    <cfRule type="cellIs" dxfId="17881" priority="5969" stopIfTrue="1" operator="equal">
      <formula>"Towel"</formula>
    </cfRule>
    <cfRule type="cellIs" dxfId="17880" priority="5970" stopIfTrue="1" operator="equal">
      <formula>"Napkin Hs"</formula>
    </cfRule>
    <cfRule type="cellIs" dxfId="17879" priority="5973" stopIfTrue="1" operator="equal">
      <formula>"Towel"</formula>
    </cfRule>
    <cfRule type="cellIs" dxfId="17878" priority="5974" stopIfTrue="1" operator="equal">
      <formula>"Napkin Hs"</formula>
    </cfRule>
    <cfRule type="cellIs" dxfId="17877" priority="5975" stopIfTrue="1" operator="equal">
      <formula>"Towel"</formula>
    </cfRule>
    <cfRule type="cellIs" dxfId="17876" priority="5976" stopIfTrue="1" operator="equal">
      <formula>"Napkin Hs"</formula>
    </cfRule>
    <cfRule type="cellIs" dxfId="17875" priority="5979" stopIfTrue="1" operator="equal">
      <formula>"Towel"</formula>
    </cfRule>
    <cfRule type="cellIs" dxfId="17874" priority="5980" stopIfTrue="1" operator="equal">
      <formula>"Napkin Hs"</formula>
    </cfRule>
    <cfRule type="cellIs" dxfId="17873" priority="5981" stopIfTrue="1" operator="equal">
      <formula>"Towel"</formula>
    </cfRule>
    <cfRule type="cellIs" dxfId="17872" priority="5982" stopIfTrue="1" operator="equal">
      <formula>"Napkin Hs"</formula>
    </cfRule>
    <cfRule type="cellIs" dxfId="17871" priority="5985" stopIfTrue="1" operator="equal">
      <formula>"Towel"</formula>
    </cfRule>
    <cfRule type="cellIs" dxfId="17870" priority="5986" stopIfTrue="1" operator="equal">
      <formula>"Napkin Hs"</formula>
    </cfRule>
    <cfRule type="cellIs" dxfId="17869" priority="5987" stopIfTrue="1" operator="equal">
      <formula>"Towel"</formula>
    </cfRule>
    <cfRule type="cellIs" dxfId="17868" priority="5988" stopIfTrue="1" operator="equal">
      <formula>"Napkin Hs"</formula>
    </cfRule>
    <cfRule type="cellIs" dxfId="17867" priority="5991" stopIfTrue="1" operator="equal">
      <formula>"Towel"</formula>
    </cfRule>
    <cfRule type="cellIs" dxfId="17866" priority="5992" stopIfTrue="1" operator="equal">
      <formula>"Napkin Hs"</formula>
    </cfRule>
  </conditionalFormatting>
  <conditionalFormatting sqref="C83:C84">
    <cfRule type="cellIs" dxfId="17865" priority="5993" stopIfTrue="1" operator="equal">
      <formula>"Towel"</formula>
    </cfRule>
    <cfRule type="cellIs" dxfId="17864" priority="5994" stopIfTrue="1" operator="equal">
      <formula>"Napkin Hs"</formula>
    </cfRule>
  </conditionalFormatting>
  <conditionalFormatting sqref="B83:B85">
    <cfRule type="cellIs" dxfId="17863" priority="5943" stopIfTrue="1" operator="equal">
      <formula>"Towel"</formula>
    </cfRule>
    <cfRule type="cellIs" dxfId="17862" priority="5944" stopIfTrue="1" operator="equal">
      <formula>"Napkin Hs"</formula>
    </cfRule>
    <cfRule type="cellIs" dxfId="17861" priority="5945" stopIfTrue="1" operator="equal">
      <formula>"Towel"</formula>
    </cfRule>
    <cfRule type="cellIs" dxfId="17860" priority="5946" stopIfTrue="1" operator="equal">
      <formula>"Napkin Hs"</formula>
    </cfRule>
    <cfRule type="cellIs" dxfId="17859" priority="5947" stopIfTrue="1" operator="equal">
      <formula>"Towel"</formula>
    </cfRule>
    <cfRule type="cellIs" dxfId="17858" priority="5948" stopIfTrue="1" operator="equal">
      <formula>"Napkin Hs"</formula>
    </cfRule>
  </conditionalFormatting>
  <conditionalFormatting sqref="B83:C84 B85">
    <cfRule type="cellIs" dxfId="17857" priority="5905" stopIfTrue="1" operator="equal">
      <formula>"Towel"</formula>
    </cfRule>
    <cfRule type="cellIs" dxfId="17856" priority="5906" stopIfTrue="1" operator="equal">
      <formula>"Napkin Hs"</formula>
    </cfRule>
    <cfRule type="cellIs" dxfId="17855" priority="5911" stopIfTrue="1" operator="equal">
      <formula>"Towel"</formula>
    </cfRule>
    <cfRule type="cellIs" dxfId="17854" priority="5912" stopIfTrue="1" operator="equal">
      <formula>"Napkin Hs"</formula>
    </cfRule>
    <cfRule type="cellIs" dxfId="17853" priority="5917" stopIfTrue="1" operator="equal">
      <formula>"Towel"</formula>
    </cfRule>
    <cfRule type="cellIs" dxfId="17852" priority="5918" stopIfTrue="1" operator="equal">
      <formula>"Napkin Hs"</formula>
    </cfRule>
    <cfRule type="cellIs" dxfId="17851" priority="5923" stopIfTrue="1" operator="equal">
      <formula>"Towel"</formula>
    </cfRule>
    <cfRule type="cellIs" dxfId="17850" priority="5924" stopIfTrue="1" operator="equal">
      <formula>"Napkin Hs"</formula>
    </cfRule>
    <cfRule type="cellIs" dxfId="17849" priority="5929" stopIfTrue="1" operator="equal">
      <formula>"Towel"</formula>
    </cfRule>
    <cfRule type="cellIs" dxfId="17848" priority="5930" stopIfTrue="1" operator="equal">
      <formula>"Napkin Hs"</formula>
    </cfRule>
    <cfRule type="cellIs" dxfId="17847" priority="5935" stopIfTrue="1" operator="equal">
      <formula>"Towel"</formula>
    </cfRule>
    <cfRule type="cellIs" dxfId="17846" priority="5936" stopIfTrue="1" operator="equal">
      <formula>"Napkin Hs"</formula>
    </cfRule>
    <cfRule type="cellIs" dxfId="17845" priority="5941" stopIfTrue="1" operator="equal">
      <formula>"Towel"</formula>
    </cfRule>
    <cfRule type="cellIs" dxfId="17844" priority="5942" stopIfTrue="1" operator="equal">
      <formula>"Napkin Hs"</formula>
    </cfRule>
  </conditionalFormatting>
  <conditionalFormatting sqref="C83:C84">
    <cfRule type="cellIs" dxfId="17843" priority="5901" stopIfTrue="1" operator="equal">
      <formula>"Towel"</formula>
    </cfRule>
    <cfRule type="cellIs" dxfId="17842" priority="5902" stopIfTrue="1" operator="equal">
      <formula>"Napkin Hs"</formula>
    </cfRule>
    <cfRule type="cellIs" dxfId="17841" priority="5903" stopIfTrue="1" operator="equal">
      <formula>"Towel"</formula>
    </cfRule>
    <cfRule type="cellIs" dxfId="17840" priority="5904" stopIfTrue="1" operator="equal">
      <formula>"Napkin Hs"</formula>
    </cfRule>
    <cfRule type="cellIs" dxfId="17839" priority="5907" stopIfTrue="1" operator="equal">
      <formula>"Towel"</formula>
    </cfRule>
    <cfRule type="cellIs" dxfId="17838" priority="5908" stopIfTrue="1" operator="equal">
      <formula>"Napkin Hs"</formula>
    </cfRule>
    <cfRule type="cellIs" dxfId="17837" priority="5909" stopIfTrue="1" operator="equal">
      <formula>"Towel"</formula>
    </cfRule>
    <cfRule type="cellIs" dxfId="17836" priority="5910" stopIfTrue="1" operator="equal">
      <formula>"Napkin Hs"</formula>
    </cfRule>
    <cfRule type="cellIs" dxfId="17835" priority="5913" stopIfTrue="1" operator="equal">
      <formula>"Towel"</formula>
    </cfRule>
    <cfRule type="cellIs" dxfId="17834" priority="5914" stopIfTrue="1" operator="equal">
      <formula>"Napkin Hs"</formula>
    </cfRule>
    <cfRule type="cellIs" dxfId="17833" priority="5915" stopIfTrue="1" operator="equal">
      <formula>"Towel"</formula>
    </cfRule>
    <cfRule type="cellIs" dxfId="17832" priority="5916" stopIfTrue="1" operator="equal">
      <formula>"Napkin Hs"</formula>
    </cfRule>
    <cfRule type="cellIs" dxfId="17831" priority="5919" stopIfTrue="1" operator="equal">
      <formula>"Towel"</formula>
    </cfRule>
    <cfRule type="cellIs" dxfId="17830" priority="5920" stopIfTrue="1" operator="equal">
      <formula>"Napkin Hs"</formula>
    </cfRule>
    <cfRule type="cellIs" dxfId="17829" priority="5921" stopIfTrue="1" operator="equal">
      <formula>"Towel"</formula>
    </cfRule>
    <cfRule type="cellIs" dxfId="17828" priority="5922" stopIfTrue="1" operator="equal">
      <formula>"Napkin Hs"</formula>
    </cfRule>
    <cfRule type="cellIs" dxfId="17827" priority="5925" stopIfTrue="1" operator="equal">
      <formula>"Towel"</formula>
    </cfRule>
    <cfRule type="cellIs" dxfId="17826" priority="5926" stopIfTrue="1" operator="equal">
      <formula>"Napkin Hs"</formula>
    </cfRule>
    <cfRule type="cellIs" dxfId="17825" priority="5927" stopIfTrue="1" operator="equal">
      <formula>"Towel"</formula>
    </cfRule>
    <cfRule type="cellIs" dxfId="17824" priority="5928" stopIfTrue="1" operator="equal">
      <formula>"Napkin Hs"</formula>
    </cfRule>
    <cfRule type="cellIs" dxfId="17823" priority="5931" stopIfTrue="1" operator="equal">
      <formula>"Towel"</formula>
    </cfRule>
    <cfRule type="cellIs" dxfId="17822" priority="5932" stopIfTrue="1" operator="equal">
      <formula>"Napkin Hs"</formula>
    </cfRule>
    <cfRule type="cellIs" dxfId="17821" priority="5933" stopIfTrue="1" operator="equal">
      <formula>"Towel"</formula>
    </cfRule>
    <cfRule type="cellIs" dxfId="17820" priority="5934" stopIfTrue="1" operator="equal">
      <formula>"Napkin Hs"</formula>
    </cfRule>
    <cfRule type="cellIs" dxfId="17819" priority="5937" stopIfTrue="1" operator="equal">
      <formula>"Towel"</formula>
    </cfRule>
    <cfRule type="cellIs" dxfId="17818" priority="5938" stopIfTrue="1" operator="equal">
      <formula>"Napkin Hs"</formula>
    </cfRule>
  </conditionalFormatting>
  <conditionalFormatting sqref="C83:C84">
    <cfRule type="cellIs" dxfId="17817" priority="5939" stopIfTrue="1" operator="equal">
      <formula>"Towel"</formula>
    </cfRule>
    <cfRule type="cellIs" dxfId="17816" priority="5940" stopIfTrue="1" operator="equal">
      <formula>"Napkin Hs"</formula>
    </cfRule>
  </conditionalFormatting>
  <conditionalFormatting sqref="B83:C84 B85">
    <cfRule type="cellIs" dxfId="17815" priority="5899" stopIfTrue="1" operator="equal">
      <formula>"Towel"</formula>
    </cfRule>
    <cfRule type="cellIs" dxfId="17814" priority="5900" stopIfTrue="1" operator="equal">
      <formula>"Napkin Hs"</formula>
    </cfRule>
  </conditionalFormatting>
  <conditionalFormatting sqref="B83:C84 B85">
    <cfRule type="cellIs" dxfId="17813" priority="5863" stopIfTrue="1" operator="equal">
      <formula>"Towel"</formula>
    </cfRule>
    <cfRule type="cellIs" dxfId="17812" priority="5864" stopIfTrue="1" operator="equal">
      <formula>"Napkin Hs"</formula>
    </cfRule>
    <cfRule type="cellIs" dxfId="17811" priority="5869" stopIfTrue="1" operator="equal">
      <formula>"Towel"</formula>
    </cfRule>
    <cfRule type="cellIs" dxfId="17810" priority="5870" stopIfTrue="1" operator="equal">
      <formula>"Napkin Hs"</formula>
    </cfRule>
    <cfRule type="cellIs" dxfId="17809" priority="5875" stopIfTrue="1" operator="equal">
      <formula>"Towel"</formula>
    </cfRule>
    <cfRule type="cellIs" dxfId="17808" priority="5876" stopIfTrue="1" operator="equal">
      <formula>"Napkin Hs"</formula>
    </cfRule>
    <cfRule type="cellIs" dxfId="17807" priority="5881" stopIfTrue="1" operator="equal">
      <formula>"Towel"</formula>
    </cfRule>
    <cfRule type="cellIs" dxfId="17806" priority="5882" stopIfTrue="1" operator="equal">
      <formula>"Napkin Hs"</formula>
    </cfRule>
    <cfRule type="cellIs" dxfId="17805" priority="5887" stopIfTrue="1" operator="equal">
      <formula>"Towel"</formula>
    </cfRule>
    <cfRule type="cellIs" dxfId="17804" priority="5888" stopIfTrue="1" operator="equal">
      <formula>"Napkin Hs"</formula>
    </cfRule>
    <cfRule type="cellIs" dxfId="17803" priority="5893" stopIfTrue="1" operator="equal">
      <formula>"Towel"</formula>
    </cfRule>
    <cfRule type="cellIs" dxfId="17802" priority="5894" stopIfTrue="1" operator="equal">
      <formula>"Napkin Hs"</formula>
    </cfRule>
  </conditionalFormatting>
  <conditionalFormatting sqref="C83:C84">
    <cfRule type="cellIs" dxfId="17801" priority="5898" stopIfTrue="1" operator="equal">
      <formula>"Napkin Hs"</formula>
    </cfRule>
  </conditionalFormatting>
  <conditionalFormatting sqref="C83:C84">
    <cfRule type="cellIs" dxfId="17800" priority="5897" stopIfTrue="1" operator="equal">
      <formula>"Towel"</formula>
    </cfRule>
  </conditionalFormatting>
  <conditionalFormatting sqref="C83:C84">
    <cfRule type="cellIs" dxfId="17799" priority="5891" stopIfTrue="1" operator="equal">
      <formula>"Towel"</formula>
    </cfRule>
    <cfRule type="cellIs" dxfId="17798" priority="5892" stopIfTrue="1" operator="equal">
      <formula>"Napkin Hs"</formula>
    </cfRule>
  </conditionalFormatting>
  <conditionalFormatting sqref="C83:C84">
    <cfRule type="cellIs" dxfId="17797" priority="5889" stopIfTrue="1" operator="equal">
      <formula>"Towel"</formula>
    </cfRule>
    <cfRule type="cellIs" dxfId="17796" priority="5890" stopIfTrue="1" operator="equal">
      <formula>"Napkin Hs"</formula>
    </cfRule>
    <cfRule type="cellIs" dxfId="17795" priority="5895" stopIfTrue="1" operator="equal">
      <formula>"Towel"</formula>
    </cfRule>
    <cfRule type="cellIs" dxfId="17794" priority="5896" stopIfTrue="1" operator="equal">
      <formula>"Napkin Hs"</formula>
    </cfRule>
  </conditionalFormatting>
  <conditionalFormatting sqref="C83:C84">
    <cfRule type="cellIs" dxfId="17793" priority="5861" stopIfTrue="1" operator="equal">
      <formula>"Towel"</formula>
    </cfRule>
    <cfRule type="cellIs" dxfId="17792" priority="5862" stopIfTrue="1" operator="equal">
      <formula>"Napkin Hs"</formula>
    </cfRule>
    <cfRule type="cellIs" dxfId="17791" priority="5865" stopIfTrue="1" operator="equal">
      <formula>"Towel"</formula>
    </cfRule>
    <cfRule type="cellIs" dxfId="17790" priority="5866" stopIfTrue="1" operator="equal">
      <formula>"Napkin Hs"</formula>
    </cfRule>
    <cfRule type="cellIs" dxfId="17789" priority="5867" stopIfTrue="1" operator="equal">
      <formula>"Towel"</formula>
    </cfRule>
    <cfRule type="cellIs" dxfId="17788" priority="5868" stopIfTrue="1" operator="equal">
      <formula>"Napkin Hs"</formula>
    </cfRule>
    <cfRule type="cellIs" dxfId="17787" priority="5871" stopIfTrue="1" operator="equal">
      <formula>"Towel"</formula>
    </cfRule>
    <cfRule type="cellIs" dxfId="17786" priority="5872" stopIfTrue="1" operator="equal">
      <formula>"Napkin Hs"</formula>
    </cfRule>
    <cfRule type="cellIs" dxfId="17785" priority="5873" stopIfTrue="1" operator="equal">
      <formula>"Towel"</formula>
    </cfRule>
    <cfRule type="cellIs" dxfId="17784" priority="5874" stopIfTrue="1" operator="equal">
      <formula>"Napkin Hs"</formula>
    </cfRule>
    <cfRule type="cellIs" dxfId="17783" priority="5877" stopIfTrue="1" operator="equal">
      <formula>"Towel"</formula>
    </cfRule>
    <cfRule type="cellIs" dxfId="17782" priority="5878" stopIfTrue="1" operator="equal">
      <formula>"Napkin Hs"</formula>
    </cfRule>
    <cfRule type="cellIs" dxfId="17781" priority="5879" stopIfTrue="1" operator="equal">
      <formula>"Towel"</formula>
    </cfRule>
    <cfRule type="cellIs" dxfId="17780" priority="5880" stopIfTrue="1" operator="equal">
      <formula>"Napkin Hs"</formula>
    </cfRule>
    <cfRule type="cellIs" dxfId="17779" priority="5883" stopIfTrue="1" operator="equal">
      <formula>"Towel"</formula>
    </cfRule>
    <cfRule type="cellIs" dxfId="17778" priority="5884" stopIfTrue="1" operator="equal">
      <formula>"Napkin Hs"</formula>
    </cfRule>
    <cfRule type="cellIs" dxfId="17777" priority="5885" stopIfTrue="1" operator="equal">
      <formula>"Towel"</formula>
    </cfRule>
    <cfRule type="cellIs" dxfId="17776" priority="5886" stopIfTrue="1" operator="equal">
      <formula>"Napkin Hs"</formula>
    </cfRule>
  </conditionalFormatting>
  <conditionalFormatting sqref="C83:C84">
    <cfRule type="cellIs" dxfId="17775" priority="5859" stopIfTrue="1" operator="equal">
      <formula>"Towel"</formula>
    </cfRule>
    <cfRule type="cellIs" dxfId="17774" priority="5860" stopIfTrue="1" operator="equal">
      <formula>"Napkin Hs"</formula>
    </cfRule>
  </conditionalFormatting>
  <conditionalFormatting sqref="C83:C84">
    <cfRule type="cellIs" dxfId="17773" priority="5839" stopIfTrue="1" operator="equal">
      <formula>"Towel"</formula>
    </cfRule>
    <cfRule type="cellIs" dxfId="17772" priority="5840" stopIfTrue="1" operator="equal">
      <formula>"Napkin Hs"</formula>
    </cfRule>
    <cfRule type="cellIs" dxfId="17771" priority="5845" stopIfTrue="1" operator="equal">
      <formula>"Towel"</formula>
    </cfRule>
    <cfRule type="cellIs" dxfId="17770" priority="5846" stopIfTrue="1" operator="equal">
      <formula>"Napkin Hs"</formula>
    </cfRule>
    <cfRule type="cellIs" dxfId="17769" priority="5851" stopIfTrue="1" operator="equal">
      <formula>"Towel"</formula>
    </cfRule>
    <cfRule type="cellIs" dxfId="17768" priority="5852" stopIfTrue="1" operator="equal">
      <formula>"Napkin Hs"</formula>
    </cfRule>
    <cfRule type="cellIs" dxfId="17767" priority="5857" stopIfTrue="1" operator="equal">
      <formula>"Towel"</formula>
    </cfRule>
    <cfRule type="cellIs" dxfId="17766" priority="5858" stopIfTrue="1" operator="equal">
      <formula>"Napkin Hs"</formula>
    </cfRule>
  </conditionalFormatting>
  <conditionalFormatting sqref="C83:C84">
    <cfRule type="cellIs" dxfId="17765" priority="5849" stopIfTrue="1" operator="equal">
      <formula>"Towel"</formula>
    </cfRule>
    <cfRule type="cellIs" dxfId="17764" priority="5850" stopIfTrue="1" operator="equal">
      <formula>"Napkin Hs"</formula>
    </cfRule>
    <cfRule type="cellIs" dxfId="17763" priority="5855" stopIfTrue="1" operator="equal">
      <formula>"Towel"</formula>
    </cfRule>
    <cfRule type="cellIs" dxfId="17762" priority="5856" stopIfTrue="1" operator="equal">
      <formula>"Napkin Hs"</formula>
    </cfRule>
  </conditionalFormatting>
  <conditionalFormatting sqref="C83:C84">
    <cfRule type="cellIs" dxfId="17761" priority="5835" stopIfTrue="1" operator="equal">
      <formula>"Towel"</formula>
    </cfRule>
    <cfRule type="cellIs" dxfId="17760" priority="5836" stopIfTrue="1" operator="equal">
      <formula>"Napkin Hs"</formula>
    </cfRule>
    <cfRule type="cellIs" dxfId="17759" priority="5843" stopIfTrue="1" operator="equal">
      <formula>"Towel"</formula>
    </cfRule>
    <cfRule type="cellIs" dxfId="17758" priority="5844" stopIfTrue="1" operator="equal">
      <formula>"Napkin Hs"</formula>
    </cfRule>
    <cfRule type="cellIs" dxfId="17757" priority="5847" stopIfTrue="1" operator="equal">
      <formula>"Towel"</formula>
    </cfRule>
    <cfRule type="cellIs" dxfId="17756" priority="5848" stopIfTrue="1" operator="equal">
      <formula>"Napkin Hs"</formula>
    </cfRule>
  </conditionalFormatting>
  <conditionalFormatting sqref="C83:C84">
    <cfRule type="cellIs" dxfId="17755" priority="5837" stopIfTrue="1" operator="equal">
      <formula>"Towel"</formula>
    </cfRule>
    <cfRule type="cellIs" dxfId="17754" priority="5838" stopIfTrue="1" operator="equal">
      <formula>"Napkin Hs"</formula>
    </cfRule>
    <cfRule type="cellIs" dxfId="17753" priority="5841" stopIfTrue="1" operator="equal">
      <formula>"Towel"</formula>
    </cfRule>
    <cfRule type="cellIs" dxfId="17752" priority="5842" stopIfTrue="1" operator="equal">
      <formula>"Napkin Hs"</formula>
    </cfRule>
    <cfRule type="cellIs" dxfId="17751" priority="5853" stopIfTrue="1" operator="equal">
      <formula>"Towel"</formula>
    </cfRule>
    <cfRule type="cellIs" dxfId="17750" priority="5854" stopIfTrue="1" operator="equal">
      <formula>"Napkin Hs"</formula>
    </cfRule>
  </conditionalFormatting>
  <conditionalFormatting sqref="C83:C84">
    <cfRule type="cellIs" dxfId="17749" priority="5833" stopIfTrue="1" operator="equal">
      <formula>"Towel"</formula>
    </cfRule>
    <cfRule type="cellIs" dxfId="17748" priority="5834" stopIfTrue="1" operator="equal">
      <formula>"Napkin Hs"</formula>
    </cfRule>
  </conditionalFormatting>
  <conditionalFormatting sqref="C83:C84">
    <cfRule type="cellIs" dxfId="17747" priority="5829" stopIfTrue="1" operator="equal">
      <formula>"Towel"</formula>
    </cfRule>
    <cfRule type="cellIs" dxfId="17746" priority="5830" stopIfTrue="1" operator="equal">
      <formula>"Napkin Hs"</formula>
    </cfRule>
  </conditionalFormatting>
  <conditionalFormatting sqref="C83:C84">
    <cfRule type="cellIs" dxfId="17745" priority="5831" stopIfTrue="1" operator="equal">
      <formula>"Towel"</formula>
    </cfRule>
    <cfRule type="cellIs" dxfId="17744" priority="5832" stopIfTrue="1" operator="equal">
      <formula>"Napkin Hs"</formula>
    </cfRule>
  </conditionalFormatting>
  <conditionalFormatting sqref="C83:C84">
    <cfRule type="cellIs" dxfId="17743" priority="5827" stopIfTrue="1" operator="equal">
      <formula>"Towel"</formula>
    </cfRule>
    <cfRule type="cellIs" dxfId="17742" priority="5828" stopIfTrue="1" operator="equal">
      <formula>"Napkin Hs"</formula>
    </cfRule>
  </conditionalFormatting>
  <conditionalFormatting sqref="C83:C84">
    <cfRule type="cellIs" dxfId="17741" priority="5823" stopIfTrue="1" operator="equal">
      <formula>"Towel"</formula>
    </cfRule>
    <cfRule type="cellIs" dxfId="17740" priority="5824" stopIfTrue="1" operator="equal">
      <formula>"Napkin Hs"</formula>
    </cfRule>
  </conditionalFormatting>
  <conditionalFormatting sqref="C83:C84">
    <cfRule type="cellIs" dxfId="17739" priority="5825" stopIfTrue="1" operator="equal">
      <formula>"Towel"</formula>
    </cfRule>
    <cfRule type="cellIs" dxfId="17738" priority="5826" stopIfTrue="1" operator="equal">
      <formula>"Napkin Hs"</formula>
    </cfRule>
  </conditionalFormatting>
  <conditionalFormatting sqref="C83:C84">
    <cfRule type="cellIs" dxfId="17737" priority="5821" stopIfTrue="1" operator="equal">
      <formula>"Towel"</formula>
    </cfRule>
    <cfRule type="cellIs" dxfId="17736" priority="5822" stopIfTrue="1" operator="equal">
      <formula>"Napkin Hs"</formula>
    </cfRule>
  </conditionalFormatting>
  <conditionalFormatting sqref="C83:C84">
    <cfRule type="cellIs" dxfId="17735" priority="5817" stopIfTrue="1" operator="equal">
      <formula>"Towel"</formula>
    </cfRule>
    <cfRule type="cellIs" dxfId="17734" priority="5818" stopIfTrue="1" operator="equal">
      <formula>"Napkin Hs"</formula>
    </cfRule>
  </conditionalFormatting>
  <conditionalFormatting sqref="C83:C84">
    <cfRule type="cellIs" dxfId="17733" priority="5819" stopIfTrue="1" operator="equal">
      <formula>"Towel"</formula>
    </cfRule>
    <cfRule type="cellIs" dxfId="17732" priority="5820" stopIfTrue="1" operator="equal">
      <formula>"Napkin Hs"</formula>
    </cfRule>
  </conditionalFormatting>
  <conditionalFormatting sqref="C83:C84">
    <cfRule type="cellIs" dxfId="17731" priority="5815" stopIfTrue="1" operator="equal">
      <formula>"Towel"</formula>
    </cfRule>
    <cfRule type="cellIs" dxfId="17730" priority="5816" stopIfTrue="1" operator="equal">
      <formula>"Napkin Hs"</formula>
    </cfRule>
  </conditionalFormatting>
  <conditionalFormatting sqref="C83:C84">
    <cfRule type="cellIs" dxfId="17729" priority="5813" stopIfTrue="1" operator="equal">
      <formula>"Towel"</formula>
    </cfRule>
    <cfRule type="cellIs" dxfId="17728" priority="5814" stopIfTrue="1" operator="equal">
      <formula>"Napkin Hs"</formula>
    </cfRule>
  </conditionalFormatting>
  <conditionalFormatting sqref="C83:C84">
    <cfRule type="cellIs" dxfId="17727" priority="5811" stopIfTrue="1" operator="equal">
      <formula>"Towel"</formula>
    </cfRule>
    <cfRule type="cellIs" dxfId="17726" priority="5812" stopIfTrue="1" operator="equal">
      <formula>"Napkin Hs"</formula>
    </cfRule>
  </conditionalFormatting>
  <conditionalFormatting sqref="C83:C84">
    <cfRule type="cellIs" dxfId="17725" priority="5809" stopIfTrue="1" operator="equal">
      <formula>"Towel"</formula>
    </cfRule>
    <cfRule type="cellIs" dxfId="17724" priority="5810" stopIfTrue="1" operator="equal">
      <formula>"Napkin Hs"</formula>
    </cfRule>
  </conditionalFormatting>
  <conditionalFormatting sqref="C83:C84">
    <cfRule type="cellIs" dxfId="17723" priority="5808" stopIfTrue="1" operator="equal">
      <formula>"Napkin Hs"</formula>
    </cfRule>
  </conditionalFormatting>
  <conditionalFormatting sqref="C83:C84">
    <cfRule type="cellIs" dxfId="17722" priority="5805" stopIfTrue="1" operator="equal">
      <formula>"Towel"</formula>
    </cfRule>
    <cfRule type="cellIs" dxfId="17721" priority="5806" stopIfTrue="1" operator="equal">
      <formula>"Napkin Hs"</formula>
    </cfRule>
  </conditionalFormatting>
  <conditionalFormatting sqref="C83:C84">
    <cfRule type="cellIs" dxfId="17720" priority="5807" stopIfTrue="1" operator="equal">
      <formula>"Towel"</formula>
    </cfRule>
  </conditionalFormatting>
  <conditionalFormatting sqref="B83:B85">
    <cfRule type="cellIs" dxfId="17719" priority="5803" stopIfTrue="1" operator="equal">
      <formula>"Towel"</formula>
    </cfRule>
    <cfRule type="cellIs" dxfId="17718" priority="5804" stopIfTrue="1" operator="equal">
      <formula>"Napkin Hs"</formula>
    </cfRule>
  </conditionalFormatting>
  <conditionalFormatting sqref="B83:B85">
    <cfRule type="cellIs" dxfId="17717" priority="5801" stopIfTrue="1" operator="equal">
      <formula>"Towel"</formula>
    </cfRule>
    <cfRule type="cellIs" dxfId="17716" priority="5802" stopIfTrue="1" operator="equal">
      <formula>"Napkin Hs"</formula>
    </cfRule>
  </conditionalFormatting>
  <conditionalFormatting sqref="B83:B85">
    <cfRule type="cellIs" dxfId="17715" priority="5799" stopIfTrue="1" operator="equal">
      <formula>"Towel"</formula>
    </cfRule>
    <cfRule type="cellIs" dxfId="17714" priority="5800" stopIfTrue="1" operator="equal">
      <formula>"Napkin Hs"</formula>
    </cfRule>
  </conditionalFormatting>
  <conditionalFormatting sqref="B83:B85">
    <cfRule type="cellIs" dxfId="17713" priority="5797" stopIfTrue="1" operator="equal">
      <formula>"Towel"</formula>
    </cfRule>
    <cfRule type="cellIs" dxfId="17712" priority="5798" stopIfTrue="1" operator="equal">
      <formula>"Napkin Hs"</formula>
    </cfRule>
  </conditionalFormatting>
  <conditionalFormatting sqref="B83:B85">
    <cfRule type="cellIs" dxfId="17711" priority="5795" stopIfTrue="1" operator="equal">
      <formula>"Towel"</formula>
    </cfRule>
    <cfRule type="cellIs" dxfId="17710" priority="5796" stopIfTrue="1" operator="equal">
      <formula>"Napkin Hs"</formula>
    </cfRule>
  </conditionalFormatting>
  <conditionalFormatting sqref="B83:B85">
    <cfRule type="cellIs" dxfId="17709" priority="5793" stopIfTrue="1" operator="equal">
      <formula>"Towel"</formula>
    </cfRule>
    <cfRule type="cellIs" dxfId="17708" priority="5794" stopIfTrue="1" operator="equal">
      <formula>"Napkin Hs"</formula>
    </cfRule>
  </conditionalFormatting>
  <conditionalFormatting sqref="B83:B85">
    <cfRule type="cellIs" dxfId="17707" priority="5789" stopIfTrue="1" operator="equal">
      <formula>"Towel"</formula>
    </cfRule>
    <cfRule type="cellIs" dxfId="17706" priority="5790" stopIfTrue="1" operator="equal">
      <formula>"Napkin Hs"</formula>
    </cfRule>
    <cfRule type="cellIs" dxfId="17705" priority="5791" stopIfTrue="1" operator="equal">
      <formula>"Towel"</formula>
    </cfRule>
    <cfRule type="cellIs" dxfId="17704" priority="5792" stopIfTrue="1" operator="equal">
      <formula>"Napkin Hs"</formula>
    </cfRule>
  </conditionalFormatting>
  <conditionalFormatting sqref="B83:B85">
    <cfRule type="cellIs" dxfId="17703" priority="5787" stopIfTrue="1" operator="equal">
      <formula>"Towel"</formula>
    </cfRule>
    <cfRule type="cellIs" dxfId="17702" priority="5788" stopIfTrue="1" operator="equal">
      <formula>"Napkin Hs"</formula>
    </cfRule>
  </conditionalFormatting>
  <conditionalFormatting sqref="B83:B85">
    <cfRule type="cellIs" dxfId="17701" priority="5785" stopIfTrue="1" operator="equal">
      <formula>"Towel"</formula>
    </cfRule>
    <cfRule type="cellIs" dxfId="17700" priority="5786" stopIfTrue="1" operator="equal">
      <formula>"Napkin Hs"</formula>
    </cfRule>
  </conditionalFormatting>
  <conditionalFormatting sqref="B83:B85">
    <cfRule type="cellIs" dxfId="17699" priority="5783" stopIfTrue="1" operator="equal">
      <formula>"Towel"</formula>
    </cfRule>
    <cfRule type="cellIs" dxfId="17698" priority="5784" stopIfTrue="1" operator="equal">
      <formula>"Napkin Hs"</formula>
    </cfRule>
  </conditionalFormatting>
  <conditionalFormatting sqref="B83:B85">
    <cfRule type="cellIs" dxfId="17697" priority="5781" stopIfTrue="1" operator="equal">
      <formula>"Towel"</formula>
    </cfRule>
    <cfRule type="cellIs" dxfId="17696" priority="5782" stopIfTrue="1" operator="equal">
      <formula>"Napkin Hs"</formula>
    </cfRule>
  </conditionalFormatting>
  <conditionalFormatting sqref="B83:B85">
    <cfRule type="cellIs" dxfId="17695" priority="5779" stopIfTrue="1" operator="equal">
      <formula>"Towel"</formula>
    </cfRule>
    <cfRule type="cellIs" dxfId="17694" priority="5780" stopIfTrue="1" operator="equal">
      <formula>"Napkin Hs"</formula>
    </cfRule>
  </conditionalFormatting>
  <conditionalFormatting sqref="B83:C84 B85">
    <cfRule type="cellIs" dxfId="17693" priority="5765" stopIfTrue="1" operator="equal">
      <formula>"Towel"</formula>
    </cfRule>
    <cfRule type="cellIs" dxfId="17692" priority="5766" stopIfTrue="1" operator="equal">
      <formula>"Napkin Hs"</formula>
    </cfRule>
    <cfRule type="cellIs" dxfId="17691" priority="5771" stopIfTrue="1" operator="equal">
      <formula>"Towel"</formula>
    </cfRule>
    <cfRule type="cellIs" dxfId="17690" priority="5772" stopIfTrue="1" operator="equal">
      <formula>"Napkin Hs"</formula>
    </cfRule>
    <cfRule type="cellIs" dxfId="17689" priority="5777" stopIfTrue="1" operator="equal">
      <formula>"Towel"</formula>
    </cfRule>
    <cfRule type="cellIs" dxfId="17688" priority="5778" stopIfTrue="1" operator="equal">
      <formula>"Napkin Hs"</formula>
    </cfRule>
  </conditionalFormatting>
  <conditionalFormatting sqref="C83:C84">
    <cfRule type="cellIs" dxfId="17687" priority="5759" stopIfTrue="1" operator="equal">
      <formula>"Towel"</formula>
    </cfRule>
    <cfRule type="cellIs" dxfId="17686" priority="5760" stopIfTrue="1" operator="equal">
      <formula>"Napkin Hs"</formula>
    </cfRule>
    <cfRule type="cellIs" dxfId="17685" priority="5761" stopIfTrue="1" operator="equal">
      <formula>"Towel"</formula>
    </cfRule>
    <cfRule type="cellIs" dxfId="17684" priority="5762" stopIfTrue="1" operator="equal">
      <formula>"Napkin Hs"</formula>
    </cfRule>
    <cfRule type="cellIs" dxfId="17683" priority="5769" stopIfTrue="1" operator="equal">
      <formula>"Towel"</formula>
    </cfRule>
    <cfRule type="cellIs" dxfId="17682" priority="5770" stopIfTrue="1" operator="equal">
      <formula>"Napkin Hs"</formula>
    </cfRule>
    <cfRule type="cellIs" dxfId="17681" priority="5773" stopIfTrue="1" operator="equal">
      <formula>"Towel"</formula>
    </cfRule>
    <cfRule type="cellIs" dxfId="17680" priority="5774" stopIfTrue="1" operator="equal">
      <formula>"Napkin Hs"</formula>
    </cfRule>
  </conditionalFormatting>
  <conditionalFormatting sqref="C83:C84">
    <cfRule type="cellIs" dxfId="17679" priority="5763" stopIfTrue="1" operator="equal">
      <formula>"Towel"</formula>
    </cfRule>
    <cfRule type="cellIs" dxfId="17678" priority="5764" stopIfTrue="1" operator="equal">
      <formula>"Napkin Hs"</formula>
    </cfRule>
    <cfRule type="cellIs" dxfId="17677" priority="5767" stopIfTrue="1" operator="equal">
      <formula>"Towel"</formula>
    </cfRule>
    <cfRule type="cellIs" dxfId="17676" priority="5768" stopIfTrue="1" operator="equal">
      <formula>"Napkin Hs"</formula>
    </cfRule>
    <cfRule type="cellIs" dxfId="17675" priority="5775" stopIfTrue="1" operator="equal">
      <formula>"Towel"</formula>
    </cfRule>
    <cfRule type="cellIs" dxfId="17674" priority="5776" stopIfTrue="1" operator="equal">
      <formula>"Napkin Hs"</formula>
    </cfRule>
  </conditionalFormatting>
  <conditionalFormatting sqref="B83:C84 B85">
    <cfRule type="cellIs" dxfId="17673" priority="5757" stopIfTrue="1" operator="equal">
      <formula>"Towel"</formula>
    </cfRule>
    <cfRule type="cellIs" dxfId="17672" priority="5758" stopIfTrue="1" operator="equal">
      <formula>"Napkin Hs"</formula>
    </cfRule>
  </conditionalFormatting>
  <conditionalFormatting sqref="B83:C84 B85">
    <cfRule type="cellIs" dxfId="17671" priority="5749" stopIfTrue="1" operator="equal">
      <formula>"Towel"</formula>
    </cfRule>
    <cfRule type="cellIs" dxfId="17670" priority="5750" stopIfTrue="1" operator="equal">
      <formula>"Napkin Hs"</formula>
    </cfRule>
    <cfRule type="cellIs" dxfId="17669" priority="5755" stopIfTrue="1" operator="equal">
      <formula>"Towel"</formula>
    </cfRule>
    <cfRule type="cellIs" dxfId="17668" priority="5756" stopIfTrue="1" operator="equal">
      <formula>"Napkin Hs"</formula>
    </cfRule>
  </conditionalFormatting>
  <conditionalFormatting sqref="C83:C84">
    <cfRule type="cellIs" dxfId="17667" priority="5745" stopIfTrue="1" operator="equal">
      <formula>"Towel"</formula>
    </cfRule>
    <cfRule type="cellIs" dxfId="17666" priority="5746" stopIfTrue="1" operator="equal">
      <formula>"Napkin Hs"</formula>
    </cfRule>
  </conditionalFormatting>
  <conditionalFormatting sqref="C83:C84">
    <cfRule type="cellIs" dxfId="17665" priority="5743" stopIfTrue="1" operator="equal">
      <formula>"Towel"</formula>
    </cfRule>
    <cfRule type="cellIs" dxfId="17664" priority="5744" stopIfTrue="1" operator="equal">
      <formula>"Napkin Hs"</formula>
    </cfRule>
    <cfRule type="cellIs" dxfId="17663" priority="5753" stopIfTrue="1" operator="equal">
      <formula>"Towel"</formula>
    </cfRule>
    <cfRule type="cellIs" dxfId="17662" priority="5754" stopIfTrue="1" operator="equal">
      <formula>"Napkin Hs"</formula>
    </cfRule>
  </conditionalFormatting>
  <conditionalFormatting sqref="C83:C84">
    <cfRule type="cellIs" dxfId="17661" priority="5747" stopIfTrue="1" operator="equal">
      <formula>"Towel"</formula>
    </cfRule>
    <cfRule type="cellIs" dxfId="17660" priority="5748" stopIfTrue="1" operator="equal">
      <formula>"Napkin Hs"</formula>
    </cfRule>
    <cfRule type="cellIs" dxfId="17659" priority="5751" stopIfTrue="1" operator="equal">
      <formula>"Towel"</formula>
    </cfRule>
    <cfRule type="cellIs" dxfId="17658" priority="5752" stopIfTrue="1" operator="equal">
      <formula>"Napkin Hs"</formula>
    </cfRule>
  </conditionalFormatting>
  <conditionalFormatting sqref="C83:C84">
    <cfRule type="cellIs" dxfId="17657" priority="5742" stopIfTrue="1" operator="equal">
      <formula>"Napkin Hs"</formula>
    </cfRule>
  </conditionalFormatting>
  <conditionalFormatting sqref="C83:C84">
    <cfRule type="cellIs" dxfId="17656" priority="5741" stopIfTrue="1" operator="equal">
      <formula>"Towel"</formula>
    </cfRule>
  </conditionalFormatting>
  <conditionalFormatting sqref="C83:C84">
    <cfRule type="cellIs" dxfId="17655" priority="5737" stopIfTrue="1" operator="equal">
      <formula>"Towel"</formula>
    </cfRule>
    <cfRule type="cellIs" dxfId="17654" priority="5738" stopIfTrue="1" operator="equal">
      <formula>"Napkin Hs"</formula>
    </cfRule>
    <cfRule type="cellIs" dxfId="17653" priority="5739" stopIfTrue="1" operator="equal">
      <formula>"Towel"</formula>
    </cfRule>
    <cfRule type="cellIs" dxfId="17652" priority="5740" stopIfTrue="1" operator="equal">
      <formula>"Napkin Hs"</formula>
    </cfRule>
  </conditionalFormatting>
  <conditionalFormatting sqref="B83:C84 B85">
    <cfRule type="cellIs" dxfId="17651" priority="5735" stopIfTrue="1" operator="equal">
      <formula>"Towel"</formula>
    </cfRule>
    <cfRule type="cellIs" dxfId="17650" priority="5736" stopIfTrue="1" operator="equal">
      <formula>"Napkin Hs"</formula>
    </cfRule>
  </conditionalFormatting>
  <conditionalFormatting sqref="C83:C84">
    <cfRule type="cellIs" dxfId="17649" priority="5731" stopIfTrue="1" operator="equal">
      <formula>"Towel"</formula>
    </cfRule>
    <cfRule type="cellIs" dxfId="17648" priority="5732" stopIfTrue="1" operator="equal">
      <formula>"Napkin Hs"</formula>
    </cfRule>
  </conditionalFormatting>
  <conditionalFormatting sqref="C83:C84">
    <cfRule type="cellIs" dxfId="17647" priority="5733" stopIfTrue="1" operator="equal">
      <formula>"Towel"</formula>
    </cfRule>
    <cfRule type="cellIs" dxfId="17646" priority="5734" stopIfTrue="1" operator="equal">
      <formula>"Napkin Hs"</formula>
    </cfRule>
  </conditionalFormatting>
  <conditionalFormatting sqref="B83:C84 B85">
    <cfRule type="cellIs" dxfId="17645" priority="5729" stopIfTrue="1" operator="equal">
      <formula>"Towel"</formula>
    </cfRule>
    <cfRule type="cellIs" dxfId="17644" priority="5730" stopIfTrue="1" operator="equal">
      <formula>"Napkin Hs"</formula>
    </cfRule>
  </conditionalFormatting>
  <conditionalFormatting sqref="C83:C84">
    <cfRule type="cellIs" dxfId="17643" priority="5725" stopIfTrue="1" operator="equal">
      <formula>"Towel"</formula>
    </cfRule>
    <cfRule type="cellIs" dxfId="17642" priority="5726" stopIfTrue="1" operator="equal">
      <formula>"Napkin Hs"</formula>
    </cfRule>
  </conditionalFormatting>
  <conditionalFormatting sqref="C83:C84">
    <cfRule type="cellIs" dxfId="17641" priority="5727" stopIfTrue="1" operator="equal">
      <formula>"Towel"</formula>
    </cfRule>
    <cfRule type="cellIs" dxfId="17640" priority="5728" stopIfTrue="1" operator="equal">
      <formula>"Napkin Hs"</formula>
    </cfRule>
  </conditionalFormatting>
  <conditionalFormatting sqref="B83:C84 B85">
    <cfRule type="cellIs" dxfId="17639" priority="5723" stopIfTrue="1" operator="equal">
      <formula>"Towel"</formula>
    </cfRule>
    <cfRule type="cellIs" dxfId="17638" priority="5724" stopIfTrue="1" operator="equal">
      <formula>"Napkin Hs"</formula>
    </cfRule>
  </conditionalFormatting>
  <conditionalFormatting sqref="C83:C84">
    <cfRule type="cellIs" dxfId="17637" priority="5719" stopIfTrue="1" operator="equal">
      <formula>"Towel"</formula>
    </cfRule>
    <cfRule type="cellIs" dxfId="17636" priority="5720" stopIfTrue="1" operator="equal">
      <formula>"Napkin Hs"</formula>
    </cfRule>
  </conditionalFormatting>
  <conditionalFormatting sqref="C83:C84">
    <cfRule type="cellIs" dxfId="17635" priority="5721" stopIfTrue="1" operator="equal">
      <formula>"Towel"</formula>
    </cfRule>
    <cfRule type="cellIs" dxfId="17634" priority="5722" stopIfTrue="1" operator="equal">
      <formula>"Napkin Hs"</formula>
    </cfRule>
  </conditionalFormatting>
  <conditionalFormatting sqref="B83:C84 B85">
    <cfRule type="cellIs" dxfId="17633" priority="5717" stopIfTrue="1" operator="equal">
      <formula>"Towel"</formula>
    </cfRule>
    <cfRule type="cellIs" dxfId="17632" priority="5718" stopIfTrue="1" operator="equal">
      <formula>"Napkin Hs"</formula>
    </cfRule>
  </conditionalFormatting>
  <conditionalFormatting sqref="C83:C84">
    <cfRule type="cellIs" dxfId="17631" priority="5715" stopIfTrue="1" operator="equal">
      <formula>"Towel"</formula>
    </cfRule>
    <cfRule type="cellIs" dxfId="17630" priority="5716" stopIfTrue="1" operator="equal">
      <formula>"Napkin Hs"</formula>
    </cfRule>
  </conditionalFormatting>
  <conditionalFormatting sqref="C83:C84">
    <cfRule type="cellIs" dxfId="17629" priority="5713" stopIfTrue="1" operator="equal">
      <formula>"Towel"</formula>
    </cfRule>
    <cfRule type="cellIs" dxfId="17628" priority="5714" stopIfTrue="1" operator="equal">
      <formula>"Napkin Hs"</formula>
    </cfRule>
  </conditionalFormatting>
  <conditionalFormatting sqref="B83:C84 B85">
    <cfRule type="cellIs" dxfId="17627" priority="5711" stopIfTrue="1" operator="equal">
      <formula>"Towel"</formula>
    </cfRule>
    <cfRule type="cellIs" dxfId="17626" priority="5712" stopIfTrue="1" operator="equal">
      <formula>"Napkin Hs"</formula>
    </cfRule>
  </conditionalFormatting>
  <conditionalFormatting sqref="C83:C84">
    <cfRule type="cellIs" dxfId="17625" priority="5710" stopIfTrue="1" operator="equal">
      <formula>"Napkin Hs"</formula>
    </cfRule>
  </conditionalFormatting>
  <conditionalFormatting sqref="C83:C84">
    <cfRule type="cellIs" dxfId="17624" priority="5707" stopIfTrue="1" operator="equal">
      <formula>"Towel"</formula>
    </cfRule>
    <cfRule type="cellIs" dxfId="17623" priority="5708" stopIfTrue="1" operator="equal">
      <formula>"Napkin Hs"</formula>
    </cfRule>
  </conditionalFormatting>
  <conditionalFormatting sqref="C83:C84">
    <cfRule type="cellIs" dxfId="17622" priority="5709" stopIfTrue="1" operator="equal">
      <formula>"Towel"</formula>
    </cfRule>
  </conditionalFormatting>
  <conditionalFormatting sqref="B90:C90 B91">
    <cfRule type="cellIs" dxfId="17621" priority="5625" stopIfTrue="1" operator="equal">
      <formula>"Towel"</formula>
    </cfRule>
    <cfRule type="cellIs" dxfId="17620" priority="5626" stopIfTrue="1" operator="equal">
      <formula>"Napkin Hs"</formula>
    </cfRule>
    <cfRule type="cellIs" dxfId="17619" priority="5631" stopIfTrue="1" operator="equal">
      <formula>"Towel"</formula>
    </cfRule>
    <cfRule type="cellIs" dxfId="17618" priority="5632" stopIfTrue="1" operator="equal">
      <formula>"Napkin Hs"</formula>
    </cfRule>
    <cfRule type="cellIs" dxfId="17617" priority="5637" stopIfTrue="1" operator="equal">
      <formula>"Towel"</formula>
    </cfRule>
    <cfRule type="cellIs" dxfId="17616" priority="5638" stopIfTrue="1" operator="equal">
      <formula>"Napkin Hs"</formula>
    </cfRule>
    <cfRule type="cellIs" dxfId="17615" priority="5643" stopIfTrue="1" operator="equal">
      <formula>"Towel"</formula>
    </cfRule>
    <cfRule type="cellIs" dxfId="17614" priority="5644" stopIfTrue="1" operator="equal">
      <formula>"Napkin Hs"</formula>
    </cfRule>
    <cfRule type="cellIs" dxfId="17613" priority="5649" stopIfTrue="1" operator="equal">
      <formula>"Towel"</formula>
    </cfRule>
    <cfRule type="cellIs" dxfId="17612" priority="5650" stopIfTrue="1" operator="equal">
      <formula>"Napkin Hs"</formula>
    </cfRule>
    <cfRule type="cellIs" dxfId="17611" priority="5655" stopIfTrue="1" operator="equal">
      <formula>"Towel"</formula>
    </cfRule>
    <cfRule type="cellIs" dxfId="17610" priority="5656" stopIfTrue="1" operator="equal">
      <formula>"Napkin Hs"</formula>
    </cfRule>
    <cfRule type="cellIs" dxfId="17609" priority="5661" stopIfTrue="1" operator="equal">
      <formula>"Towel"</formula>
    </cfRule>
    <cfRule type="cellIs" dxfId="17608" priority="5662" stopIfTrue="1" operator="equal">
      <formula>"Napkin Hs"</formula>
    </cfRule>
    <cfRule type="cellIs" dxfId="17607" priority="5667" stopIfTrue="1" operator="equal">
      <formula>"Towel"</formula>
    </cfRule>
    <cfRule type="cellIs" dxfId="17606" priority="5668" stopIfTrue="1" operator="equal">
      <formula>"Napkin Hs"</formula>
    </cfRule>
  </conditionalFormatting>
  <conditionalFormatting sqref="C91">
    <cfRule type="cellIs" dxfId="17605" priority="5671" stopIfTrue="1" operator="equal">
      <formula>"Towel"</formula>
    </cfRule>
    <cfRule type="cellIs" dxfId="17604" priority="5672" stopIfTrue="1" operator="equal">
      <formula>"Napkin Hs"</formula>
    </cfRule>
    <cfRule type="cellIs" dxfId="17603" priority="5677" stopIfTrue="1" operator="equal">
      <formula>"Towel"</formula>
    </cfRule>
    <cfRule type="cellIs" dxfId="17602" priority="5678" stopIfTrue="1" operator="equal">
      <formula>"Napkin Hs"</formula>
    </cfRule>
    <cfRule type="cellIs" dxfId="17601" priority="5683" stopIfTrue="1" operator="equal">
      <formula>"Towel"</formula>
    </cfRule>
    <cfRule type="cellIs" dxfId="17600" priority="5684" stopIfTrue="1" operator="equal">
      <formula>"Napkin Hs"</formula>
    </cfRule>
    <cfRule type="cellIs" dxfId="17599" priority="5689" stopIfTrue="1" operator="equal">
      <formula>"Towel"</formula>
    </cfRule>
    <cfRule type="cellIs" dxfId="17598" priority="5690" stopIfTrue="1" operator="equal">
      <formula>"Napkin Hs"</formula>
    </cfRule>
    <cfRule type="cellIs" dxfId="17597" priority="5695" stopIfTrue="1" operator="equal">
      <formula>"Towel"</formula>
    </cfRule>
    <cfRule type="cellIs" dxfId="17596" priority="5696" stopIfTrue="1" operator="equal">
      <formula>"Napkin Hs"</formula>
    </cfRule>
    <cfRule type="cellIs" dxfId="17595" priority="5701" stopIfTrue="1" operator="equal">
      <formula>"Towel"</formula>
    </cfRule>
    <cfRule type="cellIs" dxfId="17594" priority="5702" stopIfTrue="1" operator="equal">
      <formula>"Napkin Hs"</formula>
    </cfRule>
  </conditionalFormatting>
  <conditionalFormatting sqref="B92:C92">
    <cfRule type="cellIs" dxfId="17593" priority="5705" stopIfTrue="1" operator="equal">
      <formula>"Towel"</formula>
    </cfRule>
    <cfRule type="cellIs" dxfId="17592" priority="5706" stopIfTrue="1" operator="equal">
      <formula>"Napkin Hs"</formula>
    </cfRule>
  </conditionalFormatting>
  <conditionalFormatting sqref="C90">
    <cfRule type="cellIs" dxfId="17591" priority="5621" stopIfTrue="1" operator="equal">
      <formula>"Towel"</formula>
    </cfRule>
    <cfRule type="cellIs" dxfId="17590" priority="5622" stopIfTrue="1" operator="equal">
      <formula>"Napkin Hs"</formula>
    </cfRule>
  </conditionalFormatting>
  <conditionalFormatting sqref="C90">
    <cfRule type="cellIs" dxfId="17589" priority="5623" stopIfTrue="1" operator="equal">
      <formula>"Towel"</formula>
    </cfRule>
    <cfRule type="cellIs" dxfId="17588" priority="5624" stopIfTrue="1" operator="equal">
      <formula>"Napkin Hs"</formula>
    </cfRule>
    <cfRule type="cellIs" dxfId="17587" priority="5627" stopIfTrue="1" operator="equal">
      <formula>"Towel"</formula>
    </cfRule>
    <cfRule type="cellIs" dxfId="17586" priority="5628" stopIfTrue="1" operator="equal">
      <formula>"Napkin Hs"</formula>
    </cfRule>
    <cfRule type="cellIs" dxfId="17585" priority="5629" stopIfTrue="1" operator="equal">
      <formula>"Towel"</formula>
    </cfRule>
    <cfRule type="cellIs" dxfId="17584" priority="5630" stopIfTrue="1" operator="equal">
      <formula>"Napkin Hs"</formula>
    </cfRule>
    <cfRule type="cellIs" dxfId="17583" priority="5633" stopIfTrue="1" operator="equal">
      <formula>"Towel"</formula>
    </cfRule>
    <cfRule type="cellIs" dxfId="17582" priority="5634" stopIfTrue="1" operator="equal">
      <formula>"Napkin Hs"</formula>
    </cfRule>
    <cfRule type="cellIs" dxfId="17581" priority="5635" stopIfTrue="1" operator="equal">
      <formula>"Towel"</formula>
    </cfRule>
    <cfRule type="cellIs" dxfId="17580" priority="5636" stopIfTrue="1" operator="equal">
      <formula>"Napkin Hs"</formula>
    </cfRule>
    <cfRule type="cellIs" dxfId="17579" priority="5639" stopIfTrue="1" operator="equal">
      <formula>"Towel"</formula>
    </cfRule>
    <cfRule type="cellIs" dxfId="17578" priority="5640" stopIfTrue="1" operator="equal">
      <formula>"Napkin Hs"</formula>
    </cfRule>
    <cfRule type="cellIs" dxfId="17577" priority="5641" stopIfTrue="1" operator="equal">
      <formula>"Towel"</formula>
    </cfRule>
    <cfRule type="cellIs" dxfId="17576" priority="5642" stopIfTrue="1" operator="equal">
      <formula>"Napkin Hs"</formula>
    </cfRule>
    <cfRule type="cellIs" dxfId="17575" priority="5645" stopIfTrue="1" operator="equal">
      <formula>"Towel"</formula>
    </cfRule>
    <cfRule type="cellIs" dxfId="17574" priority="5646" stopIfTrue="1" operator="equal">
      <formula>"Napkin Hs"</formula>
    </cfRule>
    <cfRule type="cellIs" dxfId="17573" priority="5647" stopIfTrue="1" operator="equal">
      <formula>"Towel"</formula>
    </cfRule>
    <cfRule type="cellIs" dxfId="17572" priority="5648" stopIfTrue="1" operator="equal">
      <formula>"Napkin Hs"</formula>
    </cfRule>
    <cfRule type="cellIs" dxfId="17571" priority="5651" stopIfTrue="1" operator="equal">
      <formula>"Towel"</formula>
    </cfRule>
    <cfRule type="cellIs" dxfId="17570" priority="5652" stopIfTrue="1" operator="equal">
      <formula>"Napkin Hs"</formula>
    </cfRule>
    <cfRule type="cellIs" dxfId="17569" priority="5653" stopIfTrue="1" operator="equal">
      <formula>"Towel"</formula>
    </cfRule>
    <cfRule type="cellIs" dxfId="17568" priority="5654" stopIfTrue="1" operator="equal">
      <formula>"Napkin Hs"</formula>
    </cfRule>
    <cfRule type="cellIs" dxfId="17567" priority="5657" stopIfTrue="1" operator="equal">
      <formula>"Towel"</formula>
    </cfRule>
    <cfRule type="cellIs" dxfId="17566" priority="5658" stopIfTrue="1" operator="equal">
      <formula>"Napkin Hs"</formula>
    </cfRule>
    <cfRule type="cellIs" dxfId="17565" priority="5659" stopIfTrue="1" operator="equal">
      <formula>"Towel"</formula>
    </cfRule>
    <cfRule type="cellIs" dxfId="17564" priority="5660" stopIfTrue="1" operator="equal">
      <formula>"Napkin Hs"</formula>
    </cfRule>
    <cfRule type="cellIs" dxfId="17563" priority="5663" stopIfTrue="1" operator="equal">
      <formula>"Towel"</formula>
    </cfRule>
    <cfRule type="cellIs" dxfId="17562" priority="5664" stopIfTrue="1" operator="equal">
      <formula>"Napkin Hs"</formula>
    </cfRule>
  </conditionalFormatting>
  <conditionalFormatting sqref="C90:C91">
    <cfRule type="cellIs" dxfId="17561" priority="5665" stopIfTrue="1" operator="equal">
      <formula>"Towel"</formula>
    </cfRule>
    <cfRule type="cellIs" dxfId="17560" priority="5666" stopIfTrue="1" operator="equal">
      <formula>"Napkin Hs"</formula>
    </cfRule>
  </conditionalFormatting>
  <conditionalFormatting sqref="C91">
    <cfRule type="cellIs" dxfId="17559" priority="5669" stopIfTrue="1" operator="equal">
      <formula>"Towel"</formula>
    </cfRule>
    <cfRule type="cellIs" dxfId="17558" priority="5670" stopIfTrue="1" operator="equal">
      <formula>"Napkin Hs"</formula>
    </cfRule>
    <cfRule type="cellIs" dxfId="17557" priority="5673" stopIfTrue="1" operator="equal">
      <formula>"Towel"</formula>
    </cfRule>
    <cfRule type="cellIs" dxfId="17556" priority="5674" stopIfTrue="1" operator="equal">
      <formula>"Napkin Hs"</formula>
    </cfRule>
    <cfRule type="cellIs" dxfId="17555" priority="5675" stopIfTrue="1" operator="equal">
      <formula>"Towel"</formula>
    </cfRule>
    <cfRule type="cellIs" dxfId="17554" priority="5676" stopIfTrue="1" operator="equal">
      <formula>"Napkin Hs"</formula>
    </cfRule>
    <cfRule type="cellIs" dxfId="17553" priority="5679" stopIfTrue="1" operator="equal">
      <formula>"Towel"</formula>
    </cfRule>
    <cfRule type="cellIs" dxfId="17552" priority="5680" stopIfTrue="1" operator="equal">
      <formula>"Napkin Hs"</formula>
    </cfRule>
    <cfRule type="cellIs" dxfId="17551" priority="5681" stopIfTrue="1" operator="equal">
      <formula>"Towel"</formula>
    </cfRule>
    <cfRule type="cellIs" dxfId="17550" priority="5682" stopIfTrue="1" operator="equal">
      <formula>"Napkin Hs"</formula>
    </cfRule>
    <cfRule type="cellIs" dxfId="17549" priority="5685" stopIfTrue="1" operator="equal">
      <formula>"Towel"</formula>
    </cfRule>
    <cfRule type="cellIs" dxfId="17548" priority="5686" stopIfTrue="1" operator="equal">
      <formula>"Napkin Hs"</formula>
    </cfRule>
    <cfRule type="cellIs" dxfId="17547" priority="5687" stopIfTrue="1" operator="equal">
      <formula>"Towel"</formula>
    </cfRule>
    <cfRule type="cellIs" dxfId="17546" priority="5688" stopIfTrue="1" operator="equal">
      <formula>"Napkin Hs"</formula>
    </cfRule>
    <cfRule type="cellIs" dxfId="17545" priority="5691" stopIfTrue="1" operator="equal">
      <formula>"Towel"</formula>
    </cfRule>
    <cfRule type="cellIs" dxfId="17544" priority="5692" stopIfTrue="1" operator="equal">
      <formula>"Napkin Hs"</formula>
    </cfRule>
    <cfRule type="cellIs" dxfId="17543" priority="5693" stopIfTrue="1" operator="equal">
      <formula>"Towel"</formula>
    </cfRule>
    <cfRule type="cellIs" dxfId="17542" priority="5694" stopIfTrue="1" operator="equal">
      <formula>"Napkin Hs"</formula>
    </cfRule>
    <cfRule type="cellIs" dxfId="17541" priority="5697" stopIfTrue="1" operator="equal">
      <formula>"Towel"</formula>
    </cfRule>
    <cfRule type="cellIs" dxfId="17540" priority="5698" stopIfTrue="1" operator="equal">
      <formula>"Napkin Hs"</formula>
    </cfRule>
  </conditionalFormatting>
  <conditionalFormatting sqref="C91:C92">
    <cfRule type="cellIs" dxfId="17539" priority="5699" stopIfTrue="1" operator="equal">
      <formula>"Towel"</formula>
    </cfRule>
    <cfRule type="cellIs" dxfId="17538" priority="5700" stopIfTrue="1" operator="equal">
      <formula>"Napkin Hs"</formula>
    </cfRule>
  </conditionalFormatting>
  <conditionalFormatting sqref="C92">
    <cfRule type="cellIs" dxfId="17537" priority="5703" stopIfTrue="1" operator="equal">
      <formula>"Towel"</formula>
    </cfRule>
    <cfRule type="cellIs" dxfId="17536" priority="5704" stopIfTrue="1" operator="equal">
      <formula>"Napkin Hs"</formula>
    </cfRule>
  </conditionalFormatting>
  <conditionalFormatting sqref="B87:C88">
    <cfRule type="cellIs" dxfId="17535" priority="5571" stopIfTrue="1" operator="equal">
      <formula>"Towel"</formula>
    </cfRule>
    <cfRule type="cellIs" dxfId="17534" priority="5572" stopIfTrue="1" operator="equal">
      <formula>"Napkin Hs"</formula>
    </cfRule>
  </conditionalFormatting>
  <conditionalFormatting sqref="C87:C88">
    <cfRule type="cellIs" dxfId="17533" priority="5567" stopIfTrue="1" operator="equal">
      <formula>"Towel"</formula>
    </cfRule>
    <cfRule type="cellIs" dxfId="17532" priority="5568" stopIfTrue="1" operator="equal">
      <formula>"Napkin Hs"</formula>
    </cfRule>
  </conditionalFormatting>
  <conditionalFormatting sqref="C87:C88">
    <cfRule type="cellIs" dxfId="17531" priority="5569" stopIfTrue="1" operator="equal">
      <formula>"Towel"</formula>
    </cfRule>
    <cfRule type="cellIs" dxfId="17530" priority="5570" stopIfTrue="1" operator="equal">
      <formula>"Napkin Hs"</formula>
    </cfRule>
  </conditionalFormatting>
  <conditionalFormatting sqref="B87:C88">
    <cfRule type="cellIs" dxfId="17529" priority="5475" stopIfTrue="1" operator="equal">
      <formula>"Towel"</formula>
    </cfRule>
    <cfRule type="cellIs" dxfId="17528" priority="5476" stopIfTrue="1" operator="equal">
      <formula>"Napkin Hs"</formula>
    </cfRule>
    <cfRule type="cellIs" dxfId="17527" priority="5481" stopIfTrue="1" operator="equal">
      <formula>"Towel"</formula>
    </cfRule>
    <cfRule type="cellIs" dxfId="17526" priority="5482" stopIfTrue="1" operator="equal">
      <formula>"Napkin Hs"</formula>
    </cfRule>
    <cfRule type="cellIs" dxfId="17525" priority="5487" stopIfTrue="1" operator="equal">
      <formula>"Towel"</formula>
    </cfRule>
    <cfRule type="cellIs" dxfId="17524" priority="5488" stopIfTrue="1" operator="equal">
      <formula>"Napkin Hs"</formula>
    </cfRule>
    <cfRule type="cellIs" dxfId="17523" priority="5493" stopIfTrue="1" operator="equal">
      <formula>"Towel"</formula>
    </cfRule>
    <cfRule type="cellIs" dxfId="17522" priority="5494" stopIfTrue="1" operator="equal">
      <formula>"Napkin Hs"</formula>
    </cfRule>
    <cfRule type="cellIs" dxfId="17521" priority="5499" stopIfTrue="1" operator="equal">
      <formula>"Towel"</formula>
    </cfRule>
    <cfRule type="cellIs" dxfId="17520" priority="5500" stopIfTrue="1" operator="equal">
      <formula>"Napkin Hs"</formula>
    </cfRule>
    <cfRule type="cellIs" dxfId="17519" priority="5505" stopIfTrue="1" operator="equal">
      <formula>"Towel"</formula>
    </cfRule>
    <cfRule type="cellIs" dxfId="17518" priority="5506" stopIfTrue="1" operator="equal">
      <formula>"Napkin Hs"</formula>
    </cfRule>
    <cfRule type="cellIs" dxfId="17517" priority="5511" stopIfTrue="1" operator="equal">
      <formula>"Towel"</formula>
    </cfRule>
    <cfRule type="cellIs" dxfId="17516" priority="5512" stopIfTrue="1" operator="equal">
      <formula>"Napkin Hs"</formula>
    </cfRule>
    <cfRule type="cellIs" dxfId="17515" priority="5517" stopIfTrue="1" operator="equal">
      <formula>"Towel"</formula>
    </cfRule>
    <cfRule type="cellIs" dxfId="17514" priority="5518" stopIfTrue="1" operator="equal">
      <formula>"Napkin Hs"</formula>
    </cfRule>
  </conditionalFormatting>
  <conditionalFormatting sqref="C87:C88">
    <cfRule type="cellIs" dxfId="17513" priority="5471" stopIfTrue="1" operator="equal">
      <formula>"Towel"</formula>
    </cfRule>
    <cfRule type="cellIs" dxfId="17512" priority="5472" stopIfTrue="1" operator="equal">
      <formula>"Napkin Hs"</formula>
    </cfRule>
    <cfRule type="cellIs" dxfId="17511" priority="5473" stopIfTrue="1" operator="equal">
      <formula>"Towel"</formula>
    </cfRule>
    <cfRule type="cellIs" dxfId="17510" priority="5474" stopIfTrue="1" operator="equal">
      <formula>"Napkin Hs"</formula>
    </cfRule>
    <cfRule type="cellIs" dxfId="17509" priority="5477" stopIfTrue="1" operator="equal">
      <formula>"Towel"</formula>
    </cfRule>
    <cfRule type="cellIs" dxfId="17508" priority="5478" stopIfTrue="1" operator="equal">
      <formula>"Napkin Hs"</formula>
    </cfRule>
    <cfRule type="cellIs" dxfId="17507" priority="5479" stopIfTrue="1" operator="equal">
      <formula>"Towel"</formula>
    </cfRule>
    <cfRule type="cellIs" dxfId="17506" priority="5480" stopIfTrue="1" operator="equal">
      <formula>"Napkin Hs"</formula>
    </cfRule>
    <cfRule type="cellIs" dxfId="17505" priority="5483" stopIfTrue="1" operator="equal">
      <formula>"Towel"</formula>
    </cfRule>
    <cfRule type="cellIs" dxfId="17504" priority="5484" stopIfTrue="1" operator="equal">
      <formula>"Napkin Hs"</formula>
    </cfRule>
    <cfRule type="cellIs" dxfId="17503" priority="5485" stopIfTrue="1" operator="equal">
      <formula>"Towel"</formula>
    </cfRule>
    <cfRule type="cellIs" dxfId="17502" priority="5486" stopIfTrue="1" operator="equal">
      <formula>"Napkin Hs"</formula>
    </cfRule>
    <cfRule type="cellIs" dxfId="17501" priority="5489" stopIfTrue="1" operator="equal">
      <formula>"Towel"</formula>
    </cfRule>
    <cfRule type="cellIs" dxfId="17500" priority="5490" stopIfTrue="1" operator="equal">
      <formula>"Napkin Hs"</formula>
    </cfRule>
    <cfRule type="cellIs" dxfId="17499" priority="5491" stopIfTrue="1" operator="equal">
      <formula>"Towel"</formula>
    </cfRule>
    <cfRule type="cellIs" dxfId="17498" priority="5492" stopIfTrue="1" operator="equal">
      <formula>"Napkin Hs"</formula>
    </cfRule>
    <cfRule type="cellIs" dxfId="17497" priority="5495" stopIfTrue="1" operator="equal">
      <formula>"Towel"</formula>
    </cfRule>
    <cfRule type="cellIs" dxfId="17496" priority="5496" stopIfTrue="1" operator="equal">
      <formula>"Napkin Hs"</formula>
    </cfRule>
    <cfRule type="cellIs" dxfId="17495" priority="5497" stopIfTrue="1" operator="equal">
      <formula>"Towel"</formula>
    </cfRule>
    <cfRule type="cellIs" dxfId="17494" priority="5498" stopIfTrue="1" operator="equal">
      <formula>"Napkin Hs"</formula>
    </cfRule>
    <cfRule type="cellIs" dxfId="17493" priority="5501" stopIfTrue="1" operator="equal">
      <formula>"Towel"</formula>
    </cfRule>
    <cfRule type="cellIs" dxfId="17492" priority="5502" stopIfTrue="1" operator="equal">
      <formula>"Napkin Hs"</formula>
    </cfRule>
    <cfRule type="cellIs" dxfId="17491" priority="5503" stopIfTrue="1" operator="equal">
      <formula>"Towel"</formula>
    </cfRule>
    <cfRule type="cellIs" dxfId="17490" priority="5504" stopIfTrue="1" operator="equal">
      <formula>"Napkin Hs"</formula>
    </cfRule>
    <cfRule type="cellIs" dxfId="17489" priority="5507" stopIfTrue="1" operator="equal">
      <formula>"Towel"</formula>
    </cfRule>
    <cfRule type="cellIs" dxfId="17488" priority="5508" stopIfTrue="1" operator="equal">
      <formula>"Napkin Hs"</formula>
    </cfRule>
    <cfRule type="cellIs" dxfId="17487" priority="5509" stopIfTrue="1" operator="equal">
      <formula>"Towel"</formula>
    </cfRule>
    <cfRule type="cellIs" dxfId="17486" priority="5510" stopIfTrue="1" operator="equal">
      <formula>"Napkin Hs"</formula>
    </cfRule>
    <cfRule type="cellIs" dxfId="17485" priority="5513" stopIfTrue="1" operator="equal">
      <formula>"Towel"</formula>
    </cfRule>
    <cfRule type="cellIs" dxfId="17484" priority="5514" stopIfTrue="1" operator="equal">
      <formula>"Napkin Hs"</formula>
    </cfRule>
  </conditionalFormatting>
  <conditionalFormatting sqref="C87:C88">
    <cfRule type="cellIs" dxfId="17483" priority="5515" stopIfTrue="1" operator="equal">
      <formula>"Towel"</formula>
    </cfRule>
    <cfRule type="cellIs" dxfId="17482" priority="5516" stopIfTrue="1" operator="equal">
      <formula>"Napkin Hs"</formula>
    </cfRule>
  </conditionalFormatting>
  <conditionalFormatting sqref="B87:C88">
    <cfRule type="cellIs" dxfId="17481" priority="5391" stopIfTrue="1" operator="equal">
      <formula>"Towel"</formula>
    </cfRule>
    <cfRule type="cellIs" dxfId="17480" priority="5392" stopIfTrue="1" operator="equal">
      <formula>"Napkin Hs"</formula>
    </cfRule>
    <cfRule type="cellIs" dxfId="17479" priority="5397" stopIfTrue="1" operator="equal">
      <formula>"Towel"</formula>
    </cfRule>
    <cfRule type="cellIs" dxfId="17478" priority="5398" stopIfTrue="1" operator="equal">
      <formula>"Napkin Hs"</formula>
    </cfRule>
    <cfRule type="cellIs" dxfId="17477" priority="5403" stopIfTrue="1" operator="equal">
      <formula>"Towel"</formula>
    </cfRule>
    <cfRule type="cellIs" dxfId="17476" priority="5404" stopIfTrue="1" operator="equal">
      <formula>"Napkin Hs"</formula>
    </cfRule>
    <cfRule type="cellIs" dxfId="17475" priority="5409" stopIfTrue="1" operator="equal">
      <formula>"Towel"</formula>
    </cfRule>
    <cfRule type="cellIs" dxfId="17474" priority="5410" stopIfTrue="1" operator="equal">
      <formula>"Napkin Hs"</formula>
    </cfRule>
    <cfRule type="cellIs" dxfId="17473" priority="5415" stopIfTrue="1" operator="equal">
      <formula>"Towel"</formula>
    </cfRule>
    <cfRule type="cellIs" dxfId="17472" priority="5416" stopIfTrue="1" operator="equal">
      <formula>"Napkin Hs"</formula>
    </cfRule>
    <cfRule type="cellIs" dxfId="17471" priority="5421" stopIfTrue="1" operator="equal">
      <formula>"Towel"</formula>
    </cfRule>
    <cfRule type="cellIs" dxfId="17470" priority="5422" stopIfTrue="1" operator="equal">
      <formula>"Napkin Hs"</formula>
    </cfRule>
    <cfRule type="cellIs" dxfId="17469" priority="5427" stopIfTrue="1" operator="equal">
      <formula>"Towel"</formula>
    </cfRule>
    <cfRule type="cellIs" dxfId="17468" priority="5428" stopIfTrue="1" operator="equal">
      <formula>"Napkin Hs"</formula>
    </cfRule>
    <cfRule type="cellIs" dxfId="17467" priority="5433" stopIfTrue="1" operator="equal">
      <formula>"Towel"</formula>
    </cfRule>
    <cfRule type="cellIs" dxfId="17466" priority="5434" stopIfTrue="1" operator="equal">
      <formula>"Napkin Hs"</formula>
    </cfRule>
  </conditionalFormatting>
  <conditionalFormatting sqref="C87:C88">
    <cfRule type="cellIs" dxfId="17465" priority="5387" stopIfTrue="1" operator="equal">
      <formula>"Towel"</formula>
    </cfRule>
    <cfRule type="cellIs" dxfId="17464" priority="5388" stopIfTrue="1" operator="equal">
      <formula>"Napkin Hs"</formula>
    </cfRule>
    <cfRule type="cellIs" dxfId="17463" priority="5389" stopIfTrue="1" operator="equal">
      <formula>"Towel"</formula>
    </cfRule>
    <cfRule type="cellIs" dxfId="17462" priority="5390" stopIfTrue="1" operator="equal">
      <formula>"Napkin Hs"</formula>
    </cfRule>
    <cfRule type="cellIs" dxfId="17461" priority="5393" stopIfTrue="1" operator="equal">
      <formula>"Towel"</formula>
    </cfRule>
    <cfRule type="cellIs" dxfId="17460" priority="5394" stopIfTrue="1" operator="equal">
      <formula>"Napkin Hs"</formula>
    </cfRule>
    <cfRule type="cellIs" dxfId="17459" priority="5395" stopIfTrue="1" operator="equal">
      <formula>"Towel"</formula>
    </cfRule>
    <cfRule type="cellIs" dxfId="17458" priority="5396" stopIfTrue="1" operator="equal">
      <formula>"Napkin Hs"</formula>
    </cfRule>
    <cfRule type="cellIs" dxfId="17457" priority="5399" stopIfTrue="1" operator="equal">
      <formula>"Towel"</formula>
    </cfRule>
    <cfRule type="cellIs" dxfId="17456" priority="5400" stopIfTrue="1" operator="equal">
      <formula>"Napkin Hs"</formula>
    </cfRule>
    <cfRule type="cellIs" dxfId="17455" priority="5401" stopIfTrue="1" operator="equal">
      <formula>"Towel"</formula>
    </cfRule>
    <cfRule type="cellIs" dxfId="17454" priority="5402" stopIfTrue="1" operator="equal">
      <formula>"Napkin Hs"</formula>
    </cfRule>
    <cfRule type="cellIs" dxfId="17453" priority="5405" stopIfTrue="1" operator="equal">
      <formula>"Towel"</formula>
    </cfRule>
    <cfRule type="cellIs" dxfId="17452" priority="5406" stopIfTrue="1" operator="equal">
      <formula>"Napkin Hs"</formula>
    </cfRule>
    <cfRule type="cellIs" dxfId="17451" priority="5407" stopIfTrue="1" operator="equal">
      <formula>"Towel"</formula>
    </cfRule>
    <cfRule type="cellIs" dxfId="17450" priority="5408" stopIfTrue="1" operator="equal">
      <formula>"Napkin Hs"</formula>
    </cfRule>
    <cfRule type="cellIs" dxfId="17449" priority="5411" stopIfTrue="1" operator="equal">
      <formula>"Towel"</formula>
    </cfRule>
    <cfRule type="cellIs" dxfId="17448" priority="5412" stopIfTrue="1" operator="equal">
      <formula>"Napkin Hs"</formula>
    </cfRule>
    <cfRule type="cellIs" dxfId="17447" priority="5413" stopIfTrue="1" operator="equal">
      <formula>"Towel"</formula>
    </cfRule>
    <cfRule type="cellIs" dxfId="17446" priority="5414" stopIfTrue="1" operator="equal">
      <formula>"Napkin Hs"</formula>
    </cfRule>
    <cfRule type="cellIs" dxfId="17445" priority="5417" stopIfTrue="1" operator="equal">
      <formula>"Towel"</formula>
    </cfRule>
    <cfRule type="cellIs" dxfId="17444" priority="5418" stopIfTrue="1" operator="equal">
      <formula>"Napkin Hs"</formula>
    </cfRule>
    <cfRule type="cellIs" dxfId="17443" priority="5419" stopIfTrue="1" operator="equal">
      <formula>"Towel"</formula>
    </cfRule>
    <cfRule type="cellIs" dxfId="17442" priority="5420" stopIfTrue="1" operator="equal">
      <formula>"Napkin Hs"</formula>
    </cfRule>
    <cfRule type="cellIs" dxfId="17441" priority="5423" stopIfTrue="1" operator="equal">
      <formula>"Towel"</formula>
    </cfRule>
    <cfRule type="cellIs" dxfId="17440" priority="5424" stopIfTrue="1" operator="equal">
      <formula>"Napkin Hs"</formula>
    </cfRule>
    <cfRule type="cellIs" dxfId="17439" priority="5425" stopIfTrue="1" operator="equal">
      <formula>"Towel"</formula>
    </cfRule>
    <cfRule type="cellIs" dxfId="17438" priority="5426" stopIfTrue="1" operator="equal">
      <formula>"Napkin Hs"</formula>
    </cfRule>
    <cfRule type="cellIs" dxfId="17437" priority="5429" stopIfTrue="1" operator="equal">
      <formula>"Towel"</formula>
    </cfRule>
    <cfRule type="cellIs" dxfId="17436" priority="5430" stopIfTrue="1" operator="equal">
      <formula>"Napkin Hs"</formula>
    </cfRule>
  </conditionalFormatting>
  <conditionalFormatting sqref="C87:C88">
    <cfRule type="cellIs" dxfId="17435" priority="5431" stopIfTrue="1" operator="equal">
      <formula>"Towel"</formula>
    </cfRule>
    <cfRule type="cellIs" dxfId="17434" priority="5432" stopIfTrue="1" operator="equal">
      <formula>"Napkin Hs"</formula>
    </cfRule>
  </conditionalFormatting>
  <conditionalFormatting sqref="B87:C88">
    <cfRule type="cellIs" dxfId="17433" priority="5121" stopIfTrue="1" operator="equal">
      <formula>"Towel"</formula>
    </cfRule>
    <cfRule type="cellIs" dxfId="17432" priority="5122" stopIfTrue="1" operator="equal">
      <formula>"Napkin Hs"</formula>
    </cfRule>
  </conditionalFormatting>
  <conditionalFormatting sqref="B87:C88">
    <cfRule type="cellIs" dxfId="17431" priority="5097" stopIfTrue="1" operator="equal">
      <formula>"Towel"</formula>
    </cfRule>
    <cfRule type="cellIs" dxfId="17430" priority="5098" stopIfTrue="1" operator="equal">
      <formula>"Napkin Hs"</formula>
    </cfRule>
    <cfRule type="cellIs" dxfId="17429" priority="5103" stopIfTrue="1" operator="equal">
      <formula>"Towel"</formula>
    </cfRule>
    <cfRule type="cellIs" dxfId="17428" priority="5104" stopIfTrue="1" operator="equal">
      <formula>"Napkin Hs"</formula>
    </cfRule>
    <cfRule type="cellIs" dxfId="17427" priority="5109" stopIfTrue="1" operator="equal">
      <formula>"Towel"</formula>
    </cfRule>
    <cfRule type="cellIs" dxfId="17426" priority="5110" stopIfTrue="1" operator="equal">
      <formula>"Napkin Hs"</formula>
    </cfRule>
    <cfRule type="cellIs" dxfId="17425" priority="5115" stopIfTrue="1" operator="equal">
      <formula>"Towel"</formula>
    </cfRule>
    <cfRule type="cellIs" dxfId="17424" priority="5116" stopIfTrue="1" operator="equal">
      <formula>"Napkin Hs"</formula>
    </cfRule>
  </conditionalFormatting>
  <conditionalFormatting sqref="C87:C88">
    <cfRule type="cellIs" dxfId="17423" priority="5111" stopIfTrue="1" operator="equal">
      <formula>"Towel"</formula>
    </cfRule>
    <cfRule type="cellIs" dxfId="17422" priority="5112" stopIfTrue="1" operator="equal">
      <formula>"Napkin Hs"</formula>
    </cfRule>
    <cfRule type="cellIs" dxfId="17421" priority="5117" stopIfTrue="1" operator="equal">
      <formula>"Towel"</formula>
    </cfRule>
    <cfRule type="cellIs" dxfId="17420" priority="5118" stopIfTrue="1" operator="equal">
      <formula>"Napkin Hs"</formula>
    </cfRule>
  </conditionalFormatting>
  <conditionalFormatting sqref="C87:C88">
    <cfRule type="cellIs" dxfId="17419" priority="5091" stopIfTrue="1" operator="equal">
      <formula>"Towel"</formula>
    </cfRule>
    <cfRule type="cellIs" dxfId="17418" priority="5092" stopIfTrue="1" operator="equal">
      <formula>"Napkin Hs"</formula>
    </cfRule>
    <cfRule type="cellIs" dxfId="17417" priority="5093" stopIfTrue="1" operator="equal">
      <formula>"Towel"</formula>
    </cfRule>
    <cfRule type="cellIs" dxfId="17416" priority="5094" stopIfTrue="1" operator="equal">
      <formula>"Napkin Hs"</formula>
    </cfRule>
    <cfRule type="cellIs" dxfId="17415" priority="5101" stopIfTrue="1" operator="equal">
      <formula>"Towel"</formula>
    </cfRule>
    <cfRule type="cellIs" dxfId="17414" priority="5102" stopIfTrue="1" operator="equal">
      <formula>"Napkin Hs"</formula>
    </cfRule>
    <cfRule type="cellIs" dxfId="17413" priority="5105" stopIfTrue="1" operator="equal">
      <formula>"Towel"</formula>
    </cfRule>
    <cfRule type="cellIs" dxfId="17412" priority="5106" stopIfTrue="1" operator="equal">
      <formula>"Napkin Hs"</formula>
    </cfRule>
    <cfRule type="cellIs" dxfId="17411" priority="5107" stopIfTrue="1" operator="equal">
      <formula>"Towel"</formula>
    </cfRule>
    <cfRule type="cellIs" dxfId="17410" priority="5108" stopIfTrue="1" operator="equal">
      <formula>"Napkin Hs"</formula>
    </cfRule>
  </conditionalFormatting>
  <conditionalFormatting sqref="C87:C88">
    <cfRule type="cellIs" dxfId="17409" priority="5119" stopIfTrue="1" operator="equal">
      <formula>"Towel"</formula>
    </cfRule>
    <cfRule type="cellIs" dxfId="17408" priority="5120" stopIfTrue="1" operator="equal">
      <formula>"Napkin Hs"</formula>
    </cfRule>
  </conditionalFormatting>
  <conditionalFormatting sqref="C87:C88">
    <cfRule type="cellIs" dxfId="17407" priority="5095" stopIfTrue="1" operator="equal">
      <formula>"Towel"</formula>
    </cfRule>
    <cfRule type="cellIs" dxfId="17406" priority="5096" stopIfTrue="1" operator="equal">
      <formula>"Napkin Hs"</formula>
    </cfRule>
    <cfRule type="cellIs" dxfId="17405" priority="5099" stopIfTrue="1" operator="equal">
      <formula>"Towel"</formula>
    </cfRule>
    <cfRule type="cellIs" dxfId="17404" priority="5100" stopIfTrue="1" operator="equal">
      <formula>"Napkin Hs"</formula>
    </cfRule>
    <cfRule type="cellIs" dxfId="17403" priority="5113" stopIfTrue="1" operator="equal">
      <formula>"Towel"</formula>
    </cfRule>
    <cfRule type="cellIs" dxfId="17402" priority="5114" stopIfTrue="1" operator="equal">
      <formula>"Napkin Hs"</formula>
    </cfRule>
  </conditionalFormatting>
  <conditionalFormatting sqref="B87:C88">
    <cfRule type="cellIs" dxfId="17401" priority="5047" stopIfTrue="1" operator="equal">
      <formula>"Towel"</formula>
    </cfRule>
    <cfRule type="cellIs" dxfId="17400" priority="5048" stopIfTrue="1" operator="equal">
      <formula>"Napkin Hs"</formula>
    </cfRule>
    <cfRule type="cellIs" dxfId="17399" priority="5053" stopIfTrue="1" operator="equal">
      <formula>"Towel"</formula>
    </cfRule>
    <cfRule type="cellIs" dxfId="17398" priority="5054" stopIfTrue="1" operator="equal">
      <formula>"Napkin Hs"</formula>
    </cfRule>
    <cfRule type="cellIs" dxfId="17397" priority="5059" stopIfTrue="1" operator="equal">
      <formula>"Towel"</formula>
    </cfRule>
    <cfRule type="cellIs" dxfId="17396" priority="5060" stopIfTrue="1" operator="equal">
      <formula>"Napkin Hs"</formula>
    </cfRule>
    <cfRule type="cellIs" dxfId="17395" priority="5065" stopIfTrue="1" operator="equal">
      <formula>"Towel"</formula>
    </cfRule>
    <cfRule type="cellIs" dxfId="17394" priority="5066" stopIfTrue="1" operator="equal">
      <formula>"Napkin Hs"</formula>
    </cfRule>
    <cfRule type="cellIs" dxfId="17393" priority="5071" stopIfTrue="1" operator="equal">
      <formula>"Towel"</formula>
    </cfRule>
    <cfRule type="cellIs" dxfId="17392" priority="5072" stopIfTrue="1" operator="equal">
      <formula>"Napkin Hs"</formula>
    </cfRule>
    <cfRule type="cellIs" dxfId="17391" priority="5077" stopIfTrue="1" operator="equal">
      <formula>"Towel"</formula>
    </cfRule>
    <cfRule type="cellIs" dxfId="17390" priority="5078" stopIfTrue="1" operator="equal">
      <formula>"Napkin Hs"</formula>
    </cfRule>
    <cfRule type="cellIs" dxfId="17389" priority="5083" stopIfTrue="1" operator="equal">
      <formula>"Towel"</formula>
    </cfRule>
    <cfRule type="cellIs" dxfId="17388" priority="5084" stopIfTrue="1" operator="equal">
      <formula>"Napkin Hs"</formula>
    </cfRule>
    <cfRule type="cellIs" dxfId="17387" priority="5089" stopIfTrue="1" operator="equal">
      <formula>"Towel"</formula>
    </cfRule>
    <cfRule type="cellIs" dxfId="17386" priority="5090" stopIfTrue="1" operator="equal">
      <formula>"Napkin Hs"</formula>
    </cfRule>
  </conditionalFormatting>
  <conditionalFormatting sqref="C87:C88">
    <cfRule type="cellIs" dxfId="17385" priority="5043" stopIfTrue="1" operator="equal">
      <formula>"Towel"</formula>
    </cfRule>
    <cfRule type="cellIs" dxfId="17384" priority="5044" stopIfTrue="1" operator="equal">
      <formula>"Napkin Hs"</formula>
    </cfRule>
    <cfRule type="cellIs" dxfId="17383" priority="5045" stopIfTrue="1" operator="equal">
      <formula>"Towel"</formula>
    </cfRule>
    <cfRule type="cellIs" dxfId="17382" priority="5046" stopIfTrue="1" operator="equal">
      <formula>"Napkin Hs"</formula>
    </cfRule>
    <cfRule type="cellIs" dxfId="17381" priority="5049" stopIfTrue="1" operator="equal">
      <formula>"Towel"</formula>
    </cfRule>
    <cfRule type="cellIs" dxfId="17380" priority="5050" stopIfTrue="1" operator="equal">
      <formula>"Napkin Hs"</formula>
    </cfRule>
    <cfRule type="cellIs" dxfId="17379" priority="5051" stopIfTrue="1" operator="equal">
      <formula>"Towel"</formula>
    </cfRule>
    <cfRule type="cellIs" dxfId="17378" priority="5052" stopIfTrue="1" operator="equal">
      <formula>"Napkin Hs"</formula>
    </cfRule>
    <cfRule type="cellIs" dxfId="17377" priority="5055" stopIfTrue="1" operator="equal">
      <formula>"Towel"</formula>
    </cfRule>
    <cfRule type="cellIs" dxfId="17376" priority="5056" stopIfTrue="1" operator="equal">
      <formula>"Napkin Hs"</formula>
    </cfRule>
    <cfRule type="cellIs" dxfId="17375" priority="5057" stopIfTrue="1" operator="equal">
      <formula>"Towel"</formula>
    </cfRule>
    <cfRule type="cellIs" dxfId="17374" priority="5058" stopIfTrue="1" operator="equal">
      <formula>"Napkin Hs"</formula>
    </cfRule>
    <cfRule type="cellIs" dxfId="17373" priority="5061" stopIfTrue="1" operator="equal">
      <formula>"Towel"</formula>
    </cfRule>
    <cfRule type="cellIs" dxfId="17372" priority="5062" stopIfTrue="1" operator="equal">
      <formula>"Napkin Hs"</formula>
    </cfRule>
    <cfRule type="cellIs" dxfId="17371" priority="5063" stopIfTrue="1" operator="equal">
      <formula>"Towel"</formula>
    </cfRule>
    <cfRule type="cellIs" dxfId="17370" priority="5064" stopIfTrue="1" operator="equal">
      <formula>"Napkin Hs"</formula>
    </cfRule>
    <cfRule type="cellIs" dxfId="17369" priority="5067" stopIfTrue="1" operator="equal">
      <formula>"Towel"</formula>
    </cfRule>
    <cfRule type="cellIs" dxfId="17368" priority="5068" stopIfTrue="1" operator="equal">
      <formula>"Napkin Hs"</formula>
    </cfRule>
    <cfRule type="cellIs" dxfId="17367" priority="5069" stopIfTrue="1" operator="equal">
      <formula>"Towel"</formula>
    </cfRule>
    <cfRule type="cellIs" dxfId="17366" priority="5070" stopIfTrue="1" operator="equal">
      <formula>"Napkin Hs"</formula>
    </cfRule>
    <cfRule type="cellIs" dxfId="17365" priority="5073" stopIfTrue="1" operator="equal">
      <formula>"Towel"</formula>
    </cfRule>
    <cfRule type="cellIs" dxfId="17364" priority="5074" stopIfTrue="1" operator="equal">
      <formula>"Napkin Hs"</formula>
    </cfRule>
    <cfRule type="cellIs" dxfId="17363" priority="5075" stopIfTrue="1" operator="equal">
      <formula>"Towel"</formula>
    </cfRule>
    <cfRule type="cellIs" dxfId="17362" priority="5076" stopIfTrue="1" operator="equal">
      <formula>"Napkin Hs"</formula>
    </cfRule>
    <cfRule type="cellIs" dxfId="17361" priority="5079" stopIfTrue="1" operator="equal">
      <formula>"Towel"</formula>
    </cfRule>
    <cfRule type="cellIs" dxfId="17360" priority="5080" stopIfTrue="1" operator="equal">
      <formula>"Napkin Hs"</formula>
    </cfRule>
    <cfRule type="cellIs" dxfId="17359" priority="5081" stopIfTrue="1" operator="equal">
      <formula>"Towel"</formula>
    </cfRule>
    <cfRule type="cellIs" dxfId="17358" priority="5082" stopIfTrue="1" operator="equal">
      <formula>"Napkin Hs"</formula>
    </cfRule>
    <cfRule type="cellIs" dxfId="17357" priority="5085" stopIfTrue="1" operator="equal">
      <formula>"Towel"</formula>
    </cfRule>
    <cfRule type="cellIs" dxfId="17356" priority="5086" stopIfTrue="1" operator="equal">
      <formula>"Napkin Hs"</formula>
    </cfRule>
  </conditionalFormatting>
  <conditionalFormatting sqref="C87:C88">
    <cfRule type="cellIs" dxfId="17355" priority="5087" stopIfTrue="1" operator="equal">
      <formula>"Towel"</formula>
    </cfRule>
    <cfRule type="cellIs" dxfId="17354" priority="5088" stopIfTrue="1" operator="equal">
      <formula>"Napkin Hs"</formula>
    </cfRule>
  </conditionalFormatting>
  <conditionalFormatting sqref="B87:B88">
    <cfRule type="cellIs" dxfId="17353" priority="5037" stopIfTrue="1" operator="equal">
      <formula>"Towel"</formula>
    </cfRule>
    <cfRule type="cellIs" dxfId="17352" priority="5038" stopIfTrue="1" operator="equal">
      <formula>"Napkin Hs"</formula>
    </cfRule>
    <cfRule type="cellIs" dxfId="17351" priority="5039" stopIfTrue="1" operator="equal">
      <formula>"Towel"</formula>
    </cfRule>
    <cfRule type="cellIs" dxfId="17350" priority="5040" stopIfTrue="1" operator="equal">
      <formula>"Napkin Hs"</formula>
    </cfRule>
    <cfRule type="cellIs" dxfId="17349" priority="5041" stopIfTrue="1" operator="equal">
      <formula>"Towel"</formula>
    </cfRule>
    <cfRule type="cellIs" dxfId="17348" priority="5042" stopIfTrue="1" operator="equal">
      <formula>"Napkin Hs"</formula>
    </cfRule>
  </conditionalFormatting>
  <conditionalFormatting sqref="B87:C88">
    <cfRule type="cellIs" dxfId="17347" priority="4999" stopIfTrue="1" operator="equal">
      <formula>"Towel"</formula>
    </cfRule>
    <cfRule type="cellIs" dxfId="17346" priority="5000" stopIfTrue="1" operator="equal">
      <formula>"Napkin Hs"</formula>
    </cfRule>
    <cfRule type="cellIs" dxfId="17345" priority="5005" stopIfTrue="1" operator="equal">
      <formula>"Towel"</formula>
    </cfRule>
    <cfRule type="cellIs" dxfId="17344" priority="5006" stopIfTrue="1" operator="equal">
      <formula>"Napkin Hs"</formula>
    </cfRule>
    <cfRule type="cellIs" dxfId="17343" priority="5011" stopIfTrue="1" operator="equal">
      <formula>"Towel"</formula>
    </cfRule>
    <cfRule type="cellIs" dxfId="17342" priority="5012" stopIfTrue="1" operator="equal">
      <formula>"Napkin Hs"</formula>
    </cfRule>
    <cfRule type="cellIs" dxfId="17341" priority="5017" stopIfTrue="1" operator="equal">
      <formula>"Towel"</formula>
    </cfRule>
    <cfRule type="cellIs" dxfId="17340" priority="5018" stopIfTrue="1" operator="equal">
      <formula>"Napkin Hs"</formula>
    </cfRule>
    <cfRule type="cellIs" dxfId="17339" priority="5023" stopIfTrue="1" operator="equal">
      <formula>"Towel"</formula>
    </cfRule>
    <cfRule type="cellIs" dxfId="17338" priority="5024" stopIfTrue="1" operator="equal">
      <formula>"Napkin Hs"</formula>
    </cfRule>
    <cfRule type="cellIs" dxfId="17337" priority="5029" stopIfTrue="1" operator="equal">
      <formula>"Towel"</formula>
    </cfRule>
    <cfRule type="cellIs" dxfId="17336" priority="5030" stopIfTrue="1" operator="equal">
      <formula>"Napkin Hs"</formula>
    </cfRule>
    <cfRule type="cellIs" dxfId="17335" priority="5035" stopIfTrue="1" operator="equal">
      <formula>"Towel"</formula>
    </cfRule>
    <cfRule type="cellIs" dxfId="17334" priority="5036" stopIfTrue="1" operator="equal">
      <formula>"Napkin Hs"</formula>
    </cfRule>
  </conditionalFormatting>
  <conditionalFormatting sqref="C87:C88">
    <cfRule type="cellIs" dxfId="17333" priority="4995" stopIfTrue="1" operator="equal">
      <formula>"Towel"</formula>
    </cfRule>
    <cfRule type="cellIs" dxfId="17332" priority="4996" stopIfTrue="1" operator="equal">
      <formula>"Napkin Hs"</formula>
    </cfRule>
    <cfRule type="cellIs" dxfId="17331" priority="4997" stopIfTrue="1" operator="equal">
      <formula>"Towel"</formula>
    </cfRule>
    <cfRule type="cellIs" dxfId="17330" priority="4998" stopIfTrue="1" operator="equal">
      <formula>"Napkin Hs"</formula>
    </cfRule>
    <cfRule type="cellIs" dxfId="17329" priority="5001" stopIfTrue="1" operator="equal">
      <formula>"Towel"</formula>
    </cfRule>
    <cfRule type="cellIs" dxfId="17328" priority="5002" stopIfTrue="1" operator="equal">
      <formula>"Napkin Hs"</formula>
    </cfRule>
    <cfRule type="cellIs" dxfId="17327" priority="5003" stopIfTrue="1" operator="equal">
      <formula>"Towel"</formula>
    </cfRule>
    <cfRule type="cellIs" dxfId="17326" priority="5004" stopIfTrue="1" operator="equal">
      <formula>"Napkin Hs"</formula>
    </cfRule>
    <cfRule type="cellIs" dxfId="17325" priority="5007" stopIfTrue="1" operator="equal">
      <formula>"Towel"</formula>
    </cfRule>
    <cfRule type="cellIs" dxfId="17324" priority="5008" stopIfTrue="1" operator="equal">
      <formula>"Napkin Hs"</formula>
    </cfRule>
    <cfRule type="cellIs" dxfId="17323" priority="5009" stopIfTrue="1" operator="equal">
      <formula>"Towel"</formula>
    </cfRule>
    <cfRule type="cellIs" dxfId="17322" priority="5010" stopIfTrue="1" operator="equal">
      <formula>"Napkin Hs"</formula>
    </cfRule>
    <cfRule type="cellIs" dxfId="17321" priority="5013" stopIfTrue="1" operator="equal">
      <formula>"Towel"</formula>
    </cfRule>
    <cfRule type="cellIs" dxfId="17320" priority="5014" stopIfTrue="1" operator="equal">
      <formula>"Napkin Hs"</formula>
    </cfRule>
    <cfRule type="cellIs" dxfId="17319" priority="5015" stopIfTrue="1" operator="equal">
      <formula>"Towel"</formula>
    </cfRule>
    <cfRule type="cellIs" dxfId="17318" priority="5016" stopIfTrue="1" operator="equal">
      <formula>"Napkin Hs"</formula>
    </cfRule>
    <cfRule type="cellIs" dxfId="17317" priority="5019" stopIfTrue="1" operator="equal">
      <formula>"Towel"</formula>
    </cfRule>
    <cfRule type="cellIs" dxfId="17316" priority="5020" stopIfTrue="1" operator="equal">
      <formula>"Napkin Hs"</formula>
    </cfRule>
    <cfRule type="cellIs" dxfId="17315" priority="5021" stopIfTrue="1" operator="equal">
      <formula>"Towel"</formula>
    </cfRule>
    <cfRule type="cellIs" dxfId="17314" priority="5022" stopIfTrue="1" operator="equal">
      <formula>"Napkin Hs"</formula>
    </cfRule>
    <cfRule type="cellIs" dxfId="17313" priority="5025" stopIfTrue="1" operator="equal">
      <formula>"Towel"</formula>
    </cfRule>
    <cfRule type="cellIs" dxfId="17312" priority="5026" stopIfTrue="1" operator="equal">
      <formula>"Napkin Hs"</formula>
    </cfRule>
    <cfRule type="cellIs" dxfId="17311" priority="5027" stopIfTrue="1" operator="equal">
      <formula>"Towel"</formula>
    </cfRule>
    <cfRule type="cellIs" dxfId="17310" priority="5028" stopIfTrue="1" operator="equal">
      <formula>"Napkin Hs"</formula>
    </cfRule>
    <cfRule type="cellIs" dxfId="17309" priority="5031" stopIfTrue="1" operator="equal">
      <formula>"Towel"</formula>
    </cfRule>
    <cfRule type="cellIs" dxfId="17308" priority="5032" stopIfTrue="1" operator="equal">
      <formula>"Napkin Hs"</formula>
    </cfRule>
  </conditionalFormatting>
  <conditionalFormatting sqref="C87:C88">
    <cfRule type="cellIs" dxfId="17307" priority="5033" stopIfTrue="1" operator="equal">
      <formula>"Towel"</formula>
    </cfRule>
    <cfRule type="cellIs" dxfId="17306" priority="5034" stopIfTrue="1" operator="equal">
      <formula>"Napkin Hs"</formula>
    </cfRule>
  </conditionalFormatting>
  <conditionalFormatting sqref="B87:C88">
    <cfRule type="cellIs" dxfId="17305" priority="4993" stopIfTrue="1" operator="equal">
      <formula>"Towel"</formula>
    </cfRule>
    <cfRule type="cellIs" dxfId="17304" priority="4994" stopIfTrue="1" operator="equal">
      <formula>"Napkin Hs"</formula>
    </cfRule>
  </conditionalFormatting>
  <conditionalFormatting sqref="B87:C88">
    <cfRule type="cellIs" dxfId="17303" priority="4957" stopIfTrue="1" operator="equal">
      <formula>"Towel"</formula>
    </cfRule>
    <cfRule type="cellIs" dxfId="17302" priority="4958" stopIfTrue="1" operator="equal">
      <formula>"Napkin Hs"</formula>
    </cfRule>
    <cfRule type="cellIs" dxfId="17301" priority="4963" stopIfTrue="1" operator="equal">
      <formula>"Towel"</formula>
    </cfRule>
    <cfRule type="cellIs" dxfId="17300" priority="4964" stopIfTrue="1" operator="equal">
      <formula>"Napkin Hs"</formula>
    </cfRule>
    <cfRule type="cellIs" dxfId="17299" priority="4969" stopIfTrue="1" operator="equal">
      <formula>"Towel"</formula>
    </cfRule>
    <cfRule type="cellIs" dxfId="17298" priority="4970" stopIfTrue="1" operator="equal">
      <formula>"Napkin Hs"</formula>
    </cfRule>
    <cfRule type="cellIs" dxfId="17297" priority="4975" stopIfTrue="1" operator="equal">
      <formula>"Towel"</formula>
    </cfRule>
    <cfRule type="cellIs" dxfId="17296" priority="4976" stopIfTrue="1" operator="equal">
      <formula>"Napkin Hs"</formula>
    </cfRule>
    <cfRule type="cellIs" dxfId="17295" priority="4981" stopIfTrue="1" operator="equal">
      <formula>"Towel"</formula>
    </cfRule>
    <cfRule type="cellIs" dxfId="17294" priority="4982" stopIfTrue="1" operator="equal">
      <formula>"Napkin Hs"</formula>
    </cfRule>
    <cfRule type="cellIs" dxfId="17293" priority="4987" stopIfTrue="1" operator="equal">
      <formula>"Towel"</formula>
    </cfRule>
    <cfRule type="cellIs" dxfId="17292" priority="4988" stopIfTrue="1" operator="equal">
      <formula>"Napkin Hs"</formula>
    </cfRule>
  </conditionalFormatting>
  <conditionalFormatting sqref="C87:C88">
    <cfRule type="cellIs" dxfId="17291" priority="4992" stopIfTrue="1" operator="equal">
      <formula>"Napkin Hs"</formula>
    </cfRule>
  </conditionalFormatting>
  <conditionalFormatting sqref="C87:C88">
    <cfRule type="cellIs" dxfId="17290" priority="4991" stopIfTrue="1" operator="equal">
      <formula>"Towel"</formula>
    </cfRule>
  </conditionalFormatting>
  <conditionalFormatting sqref="C87:C88">
    <cfRule type="cellIs" dxfId="17289" priority="4985" stopIfTrue="1" operator="equal">
      <formula>"Towel"</formula>
    </cfRule>
    <cfRule type="cellIs" dxfId="17288" priority="4986" stopIfTrue="1" operator="equal">
      <formula>"Napkin Hs"</formula>
    </cfRule>
  </conditionalFormatting>
  <conditionalFormatting sqref="C87:C88">
    <cfRule type="cellIs" dxfId="17287" priority="4983" stopIfTrue="1" operator="equal">
      <formula>"Towel"</formula>
    </cfRule>
    <cfRule type="cellIs" dxfId="17286" priority="4984" stopIfTrue="1" operator="equal">
      <formula>"Napkin Hs"</formula>
    </cfRule>
    <cfRule type="cellIs" dxfId="17285" priority="4989" stopIfTrue="1" operator="equal">
      <formula>"Towel"</formula>
    </cfRule>
    <cfRule type="cellIs" dxfId="17284" priority="4990" stopIfTrue="1" operator="equal">
      <formula>"Napkin Hs"</formula>
    </cfRule>
  </conditionalFormatting>
  <conditionalFormatting sqref="C87:C88">
    <cfRule type="cellIs" dxfId="17283" priority="4955" stopIfTrue="1" operator="equal">
      <formula>"Towel"</formula>
    </cfRule>
    <cfRule type="cellIs" dxfId="17282" priority="4956" stopIfTrue="1" operator="equal">
      <formula>"Napkin Hs"</formula>
    </cfRule>
    <cfRule type="cellIs" dxfId="17281" priority="4959" stopIfTrue="1" operator="equal">
      <formula>"Towel"</formula>
    </cfRule>
    <cfRule type="cellIs" dxfId="17280" priority="4960" stopIfTrue="1" operator="equal">
      <formula>"Napkin Hs"</formula>
    </cfRule>
    <cfRule type="cellIs" dxfId="17279" priority="4961" stopIfTrue="1" operator="equal">
      <formula>"Towel"</formula>
    </cfRule>
    <cfRule type="cellIs" dxfId="17278" priority="4962" stopIfTrue="1" operator="equal">
      <formula>"Napkin Hs"</formula>
    </cfRule>
    <cfRule type="cellIs" dxfId="17277" priority="4965" stopIfTrue="1" operator="equal">
      <formula>"Towel"</formula>
    </cfRule>
    <cfRule type="cellIs" dxfId="17276" priority="4966" stopIfTrue="1" operator="equal">
      <formula>"Napkin Hs"</formula>
    </cfRule>
    <cfRule type="cellIs" dxfId="17275" priority="4967" stopIfTrue="1" operator="equal">
      <formula>"Towel"</formula>
    </cfRule>
    <cfRule type="cellIs" dxfId="17274" priority="4968" stopIfTrue="1" operator="equal">
      <formula>"Napkin Hs"</formula>
    </cfRule>
    <cfRule type="cellIs" dxfId="17273" priority="4971" stopIfTrue="1" operator="equal">
      <formula>"Towel"</formula>
    </cfRule>
    <cfRule type="cellIs" dxfId="17272" priority="4972" stopIfTrue="1" operator="equal">
      <formula>"Napkin Hs"</formula>
    </cfRule>
    <cfRule type="cellIs" dxfId="17271" priority="4973" stopIfTrue="1" operator="equal">
      <formula>"Towel"</formula>
    </cfRule>
    <cfRule type="cellIs" dxfId="17270" priority="4974" stopIfTrue="1" operator="equal">
      <formula>"Napkin Hs"</formula>
    </cfRule>
    <cfRule type="cellIs" dxfId="17269" priority="4977" stopIfTrue="1" operator="equal">
      <formula>"Towel"</formula>
    </cfRule>
    <cfRule type="cellIs" dxfId="17268" priority="4978" stopIfTrue="1" operator="equal">
      <formula>"Napkin Hs"</formula>
    </cfRule>
    <cfRule type="cellIs" dxfId="17267" priority="4979" stopIfTrue="1" operator="equal">
      <formula>"Towel"</formula>
    </cfRule>
    <cfRule type="cellIs" dxfId="17266" priority="4980" stopIfTrue="1" operator="equal">
      <formula>"Napkin Hs"</formula>
    </cfRule>
  </conditionalFormatting>
  <conditionalFormatting sqref="C87:C88">
    <cfRule type="cellIs" dxfId="17265" priority="4953" stopIfTrue="1" operator="equal">
      <formula>"Towel"</formula>
    </cfRule>
    <cfRule type="cellIs" dxfId="17264" priority="4954" stopIfTrue="1" operator="equal">
      <formula>"Napkin Hs"</formula>
    </cfRule>
  </conditionalFormatting>
  <conditionalFormatting sqref="C87:C88">
    <cfRule type="cellIs" dxfId="17263" priority="4933" stopIfTrue="1" operator="equal">
      <formula>"Towel"</formula>
    </cfRule>
    <cfRule type="cellIs" dxfId="17262" priority="4934" stopIfTrue="1" operator="equal">
      <formula>"Napkin Hs"</formula>
    </cfRule>
    <cfRule type="cellIs" dxfId="17261" priority="4939" stopIfTrue="1" operator="equal">
      <formula>"Towel"</formula>
    </cfRule>
    <cfRule type="cellIs" dxfId="17260" priority="4940" stopIfTrue="1" operator="equal">
      <formula>"Napkin Hs"</formula>
    </cfRule>
    <cfRule type="cellIs" dxfId="17259" priority="4945" stopIfTrue="1" operator="equal">
      <formula>"Towel"</formula>
    </cfRule>
    <cfRule type="cellIs" dxfId="17258" priority="4946" stopIfTrue="1" operator="equal">
      <formula>"Napkin Hs"</formula>
    </cfRule>
    <cfRule type="cellIs" dxfId="17257" priority="4951" stopIfTrue="1" operator="equal">
      <formula>"Towel"</formula>
    </cfRule>
    <cfRule type="cellIs" dxfId="17256" priority="4952" stopIfTrue="1" operator="equal">
      <formula>"Napkin Hs"</formula>
    </cfRule>
  </conditionalFormatting>
  <conditionalFormatting sqref="C87:C88">
    <cfRule type="cellIs" dxfId="17255" priority="4943" stopIfTrue="1" operator="equal">
      <formula>"Towel"</formula>
    </cfRule>
    <cfRule type="cellIs" dxfId="17254" priority="4944" stopIfTrue="1" operator="equal">
      <formula>"Napkin Hs"</formula>
    </cfRule>
    <cfRule type="cellIs" dxfId="17253" priority="4949" stopIfTrue="1" operator="equal">
      <formula>"Towel"</formula>
    </cfRule>
    <cfRule type="cellIs" dxfId="17252" priority="4950" stopIfTrue="1" operator="equal">
      <formula>"Napkin Hs"</formula>
    </cfRule>
  </conditionalFormatting>
  <conditionalFormatting sqref="C87:C88">
    <cfRule type="cellIs" dxfId="17251" priority="4929" stopIfTrue="1" operator="equal">
      <formula>"Towel"</formula>
    </cfRule>
    <cfRule type="cellIs" dxfId="17250" priority="4930" stopIfTrue="1" operator="equal">
      <formula>"Napkin Hs"</formula>
    </cfRule>
    <cfRule type="cellIs" dxfId="17249" priority="4937" stopIfTrue="1" operator="equal">
      <formula>"Towel"</formula>
    </cfRule>
    <cfRule type="cellIs" dxfId="17248" priority="4938" stopIfTrue="1" operator="equal">
      <formula>"Napkin Hs"</formula>
    </cfRule>
    <cfRule type="cellIs" dxfId="17247" priority="4941" stopIfTrue="1" operator="equal">
      <formula>"Towel"</formula>
    </cfRule>
    <cfRule type="cellIs" dxfId="17246" priority="4942" stopIfTrue="1" operator="equal">
      <formula>"Napkin Hs"</formula>
    </cfRule>
  </conditionalFormatting>
  <conditionalFormatting sqref="C87:C88">
    <cfRule type="cellIs" dxfId="17245" priority="4931" stopIfTrue="1" operator="equal">
      <formula>"Towel"</formula>
    </cfRule>
    <cfRule type="cellIs" dxfId="17244" priority="4932" stopIfTrue="1" operator="equal">
      <formula>"Napkin Hs"</formula>
    </cfRule>
    <cfRule type="cellIs" dxfId="17243" priority="4935" stopIfTrue="1" operator="equal">
      <formula>"Towel"</formula>
    </cfRule>
    <cfRule type="cellIs" dxfId="17242" priority="4936" stopIfTrue="1" operator="equal">
      <formula>"Napkin Hs"</formula>
    </cfRule>
    <cfRule type="cellIs" dxfId="17241" priority="4947" stopIfTrue="1" operator="equal">
      <formula>"Towel"</formula>
    </cfRule>
    <cfRule type="cellIs" dxfId="17240" priority="4948" stopIfTrue="1" operator="equal">
      <formula>"Napkin Hs"</formula>
    </cfRule>
  </conditionalFormatting>
  <conditionalFormatting sqref="C87:C88">
    <cfRule type="cellIs" dxfId="17239" priority="4927" stopIfTrue="1" operator="equal">
      <formula>"Towel"</formula>
    </cfRule>
    <cfRule type="cellIs" dxfId="17238" priority="4928" stopIfTrue="1" operator="equal">
      <formula>"Napkin Hs"</formula>
    </cfRule>
  </conditionalFormatting>
  <conditionalFormatting sqref="C87:C88">
    <cfRule type="cellIs" dxfId="17237" priority="4923" stopIfTrue="1" operator="equal">
      <formula>"Towel"</formula>
    </cfRule>
    <cfRule type="cellIs" dxfId="17236" priority="4924" stopIfTrue="1" operator="equal">
      <formula>"Napkin Hs"</formula>
    </cfRule>
  </conditionalFormatting>
  <conditionalFormatting sqref="C87:C88">
    <cfRule type="cellIs" dxfId="17235" priority="4925" stopIfTrue="1" operator="equal">
      <formula>"Towel"</formula>
    </cfRule>
    <cfRule type="cellIs" dxfId="17234" priority="4926" stopIfTrue="1" operator="equal">
      <formula>"Napkin Hs"</formula>
    </cfRule>
  </conditionalFormatting>
  <conditionalFormatting sqref="C87:C88">
    <cfRule type="cellIs" dxfId="17233" priority="4921" stopIfTrue="1" operator="equal">
      <formula>"Towel"</formula>
    </cfRule>
    <cfRule type="cellIs" dxfId="17232" priority="4922" stopIfTrue="1" operator="equal">
      <formula>"Napkin Hs"</formula>
    </cfRule>
  </conditionalFormatting>
  <conditionalFormatting sqref="C87:C88">
    <cfRule type="cellIs" dxfId="17231" priority="4917" stopIfTrue="1" operator="equal">
      <formula>"Towel"</formula>
    </cfRule>
    <cfRule type="cellIs" dxfId="17230" priority="4918" stopIfTrue="1" operator="equal">
      <formula>"Napkin Hs"</formula>
    </cfRule>
  </conditionalFormatting>
  <conditionalFormatting sqref="C87:C88">
    <cfRule type="cellIs" dxfId="17229" priority="4919" stopIfTrue="1" operator="equal">
      <formula>"Towel"</formula>
    </cfRule>
    <cfRule type="cellIs" dxfId="17228" priority="4920" stopIfTrue="1" operator="equal">
      <formula>"Napkin Hs"</formula>
    </cfRule>
  </conditionalFormatting>
  <conditionalFormatting sqref="C87:C88">
    <cfRule type="cellIs" dxfId="17227" priority="4915" stopIfTrue="1" operator="equal">
      <formula>"Towel"</formula>
    </cfRule>
    <cfRule type="cellIs" dxfId="17226" priority="4916" stopIfTrue="1" operator="equal">
      <formula>"Napkin Hs"</formula>
    </cfRule>
  </conditionalFormatting>
  <conditionalFormatting sqref="C87:C88">
    <cfRule type="cellIs" dxfId="17225" priority="4911" stopIfTrue="1" operator="equal">
      <formula>"Towel"</formula>
    </cfRule>
    <cfRule type="cellIs" dxfId="17224" priority="4912" stopIfTrue="1" operator="equal">
      <formula>"Napkin Hs"</formula>
    </cfRule>
  </conditionalFormatting>
  <conditionalFormatting sqref="C87:C88">
    <cfRule type="cellIs" dxfId="17223" priority="4913" stopIfTrue="1" operator="equal">
      <formula>"Towel"</formula>
    </cfRule>
    <cfRule type="cellIs" dxfId="17222" priority="4914" stopIfTrue="1" operator="equal">
      <formula>"Napkin Hs"</formula>
    </cfRule>
  </conditionalFormatting>
  <conditionalFormatting sqref="C87:C88">
    <cfRule type="cellIs" dxfId="17221" priority="4909" stopIfTrue="1" operator="equal">
      <formula>"Towel"</formula>
    </cfRule>
    <cfRule type="cellIs" dxfId="17220" priority="4910" stopIfTrue="1" operator="equal">
      <formula>"Napkin Hs"</formula>
    </cfRule>
  </conditionalFormatting>
  <conditionalFormatting sqref="C87:C88">
    <cfRule type="cellIs" dxfId="17219" priority="4907" stopIfTrue="1" operator="equal">
      <formula>"Towel"</formula>
    </cfRule>
    <cfRule type="cellIs" dxfId="17218" priority="4908" stopIfTrue="1" operator="equal">
      <formula>"Napkin Hs"</formula>
    </cfRule>
  </conditionalFormatting>
  <conditionalFormatting sqref="C87:C88">
    <cfRule type="cellIs" dxfId="17217" priority="4905" stopIfTrue="1" operator="equal">
      <formula>"Towel"</formula>
    </cfRule>
    <cfRule type="cellIs" dxfId="17216" priority="4906" stopIfTrue="1" operator="equal">
      <formula>"Napkin Hs"</formula>
    </cfRule>
  </conditionalFormatting>
  <conditionalFormatting sqref="C87:C88">
    <cfRule type="cellIs" dxfId="17215" priority="4903" stopIfTrue="1" operator="equal">
      <formula>"Towel"</formula>
    </cfRule>
    <cfRule type="cellIs" dxfId="17214" priority="4904" stopIfTrue="1" operator="equal">
      <formula>"Napkin Hs"</formula>
    </cfRule>
  </conditionalFormatting>
  <conditionalFormatting sqref="C87:C88">
    <cfRule type="cellIs" dxfId="17213" priority="4902" stopIfTrue="1" operator="equal">
      <formula>"Napkin Hs"</formula>
    </cfRule>
  </conditionalFormatting>
  <conditionalFormatting sqref="C87:C88">
    <cfRule type="cellIs" dxfId="17212" priority="4899" stopIfTrue="1" operator="equal">
      <formula>"Towel"</formula>
    </cfRule>
    <cfRule type="cellIs" dxfId="17211" priority="4900" stopIfTrue="1" operator="equal">
      <formula>"Napkin Hs"</formula>
    </cfRule>
  </conditionalFormatting>
  <conditionalFormatting sqref="C87:C88">
    <cfRule type="cellIs" dxfId="17210" priority="4901" stopIfTrue="1" operator="equal">
      <formula>"Towel"</formula>
    </cfRule>
  </conditionalFormatting>
  <conditionalFormatting sqref="B87:B88">
    <cfRule type="cellIs" dxfId="17209" priority="4897" stopIfTrue="1" operator="equal">
      <formula>"Towel"</formula>
    </cfRule>
    <cfRule type="cellIs" dxfId="17208" priority="4898" stopIfTrue="1" operator="equal">
      <formula>"Napkin Hs"</formula>
    </cfRule>
  </conditionalFormatting>
  <conditionalFormatting sqref="B87:B88">
    <cfRule type="cellIs" dxfId="17207" priority="4895" stopIfTrue="1" operator="equal">
      <formula>"Towel"</formula>
    </cfRule>
    <cfRule type="cellIs" dxfId="17206" priority="4896" stopIfTrue="1" operator="equal">
      <formula>"Napkin Hs"</formula>
    </cfRule>
  </conditionalFormatting>
  <conditionalFormatting sqref="B87:B88">
    <cfRule type="cellIs" dxfId="17205" priority="4893" stopIfTrue="1" operator="equal">
      <formula>"Towel"</formula>
    </cfRule>
    <cfRule type="cellIs" dxfId="17204" priority="4894" stopIfTrue="1" operator="equal">
      <formula>"Napkin Hs"</formula>
    </cfRule>
  </conditionalFormatting>
  <conditionalFormatting sqref="B87:B88">
    <cfRule type="cellIs" dxfId="17203" priority="4891" stopIfTrue="1" operator="equal">
      <formula>"Towel"</formula>
    </cfRule>
    <cfRule type="cellIs" dxfId="17202" priority="4892" stopIfTrue="1" operator="equal">
      <formula>"Napkin Hs"</formula>
    </cfRule>
  </conditionalFormatting>
  <conditionalFormatting sqref="B87:B88">
    <cfRule type="cellIs" dxfId="17201" priority="4889" stopIfTrue="1" operator="equal">
      <formula>"Towel"</formula>
    </cfRule>
    <cfRule type="cellIs" dxfId="17200" priority="4890" stopIfTrue="1" operator="equal">
      <formula>"Napkin Hs"</formula>
    </cfRule>
  </conditionalFormatting>
  <conditionalFormatting sqref="B87:B88">
    <cfRule type="cellIs" dxfId="17199" priority="4887" stopIfTrue="1" operator="equal">
      <formula>"Towel"</formula>
    </cfRule>
    <cfRule type="cellIs" dxfId="17198" priority="4888" stopIfTrue="1" operator="equal">
      <formula>"Napkin Hs"</formula>
    </cfRule>
  </conditionalFormatting>
  <conditionalFormatting sqref="B87:B88">
    <cfRule type="cellIs" dxfId="17197" priority="4883" stopIfTrue="1" operator="equal">
      <formula>"Towel"</formula>
    </cfRule>
    <cfRule type="cellIs" dxfId="17196" priority="4884" stopIfTrue="1" operator="equal">
      <formula>"Napkin Hs"</formula>
    </cfRule>
    <cfRule type="cellIs" dxfId="17195" priority="4885" stopIfTrue="1" operator="equal">
      <formula>"Towel"</formula>
    </cfRule>
    <cfRule type="cellIs" dxfId="17194" priority="4886" stopIfTrue="1" operator="equal">
      <formula>"Napkin Hs"</formula>
    </cfRule>
  </conditionalFormatting>
  <conditionalFormatting sqref="B87:B88">
    <cfRule type="cellIs" dxfId="17193" priority="4881" stopIfTrue="1" operator="equal">
      <formula>"Towel"</formula>
    </cfRule>
    <cfRule type="cellIs" dxfId="17192" priority="4882" stopIfTrue="1" operator="equal">
      <formula>"Napkin Hs"</formula>
    </cfRule>
  </conditionalFormatting>
  <conditionalFormatting sqref="B87:B88">
    <cfRule type="cellIs" dxfId="17191" priority="4879" stopIfTrue="1" operator="equal">
      <formula>"Towel"</formula>
    </cfRule>
    <cfRule type="cellIs" dxfId="17190" priority="4880" stopIfTrue="1" operator="equal">
      <formula>"Napkin Hs"</formula>
    </cfRule>
  </conditionalFormatting>
  <conditionalFormatting sqref="B87:B88">
    <cfRule type="cellIs" dxfId="17189" priority="4877" stopIfTrue="1" operator="equal">
      <formula>"Towel"</formula>
    </cfRule>
    <cfRule type="cellIs" dxfId="17188" priority="4878" stopIfTrue="1" operator="equal">
      <formula>"Napkin Hs"</formula>
    </cfRule>
  </conditionalFormatting>
  <conditionalFormatting sqref="B87:B88">
    <cfRule type="cellIs" dxfId="17187" priority="4875" stopIfTrue="1" operator="equal">
      <formula>"Towel"</formula>
    </cfRule>
    <cfRule type="cellIs" dxfId="17186" priority="4876" stopIfTrue="1" operator="equal">
      <formula>"Napkin Hs"</formula>
    </cfRule>
  </conditionalFormatting>
  <conditionalFormatting sqref="B87:B88">
    <cfRule type="cellIs" dxfId="17185" priority="4873" stopIfTrue="1" operator="equal">
      <formula>"Towel"</formula>
    </cfRule>
    <cfRule type="cellIs" dxfId="17184" priority="4874" stopIfTrue="1" operator="equal">
      <formula>"Napkin Hs"</formula>
    </cfRule>
  </conditionalFormatting>
  <conditionalFormatting sqref="B87:C88">
    <cfRule type="cellIs" dxfId="17183" priority="4859" stopIfTrue="1" operator="equal">
      <formula>"Towel"</formula>
    </cfRule>
    <cfRule type="cellIs" dxfId="17182" priority="4860" stopIfTrue="1" operator="equal">
      <formula>"Napkin Hs"</formula>
    </cfRule>
    <cfRule type="cellIs" dxfId="17181" priority="4865" stopIfTrue="1" operator="equal">
      <formula>"Towel"</formula>
    </cfRule>
    <cfRule type="cellIs" dxfId="17180" priority="4866" stopIfTrue="1" operator="equal">
      <formula>"Napkin Hs"</formula>
    </cfRule>
    <cfRule type="cellIs" dxfId="17179" priority="4871" stopIfTrue="1" operator="equal">
      <formula>"Towel"</formula>
    </cfRule>
    <cfRule type="cellIs" dxfId="17178" priority="4872" stopIfTrue="1" operator="equal">
      <formula>"Napkin Hs"</formula>
    </cfRule>
  </conditionalFormatting>
  <conditionalFormatting sqref="C87:C88">
    <cfRule type="cellIs" dxfId="17177" priority="4853" stopIfTrue="1" operator="equal">
      <formula>"Towel"</formula>
    </cfRule>
    <cfRule type="cellIs" dxfId="17176" priority="4854" stopIfTrue="1" operator="equal">
      <formula>"Napkin Hs"</formula>
    </cfRule>
    <cfRule type="cellIs" dxfId="17175" priority="4855" stopIfTrue="1" operator="equal">
      <formula>"Towel"</formula>
    </cfRule>
    <cfRule type="cellIs" dxfId="17174" priority="4856" stopIfTrue="1" operator="equal">
      <formula>"Napkin Hs"</formula>
    </cfRule>
    <cfRule type="cellIs" dxfId="17173" priority="4863" stopIfTrue="1" operator="equal">
      <formula>"Towel"</formula>
    </cfRule>
    <cfRule type="cellIs" dxfId="17172" priority="4864" stopIfTrue="1" operator="equal">
      <formula>"Napkin Hs"</formula>
    </cfRule>
    <cfRule type="cellIs" dxfId="17171" priority="4867" stopIfTrue="1" operator="equal">
      <formula>"Towel"</formula>
    </cfRule>
    <cfRule type="cellIs" dxfId="17170" priority="4868" stopIfTrue="1" operator="equal">
      <formula>"Napkin Hs"</formula>
    </cfRule>
  </conditionalFormatting>
  <conditionalFormatting sqref="C87:C88">
    <cfRule type="cellIs" dxfId="17169" priority="4857" stopIfTrue="1" operator="equal">
      <formula>"Towel"</formula>
    </cfRule>
    <cfRule type="cellIs" dxfId="17168" priority="4858" stopIfTrue="1" operator="equal">
      <formula>"Napkin Hs"</formula>
    </cfRule>
    <cfRule type="cellIs" dxfId="17167" priority="4861" stopIfTrue="1" operator="equal">
      <formula>"Towel"</formula>
    </cfRule>
    <cfRule type="cellIs" dxfId="17166" priority="4862" stopIfTrue="1" operator="equal">
      <formula>"Napkin Hs"</formula>
    </cfRule>
    <cfRule type="cellIs" dxfId="17165" priority="4869" stopIfTrue="1" operator="equal">
      <formula>"Towel"</formula>
    </cfRule>
    <cfRule type="cellIs" dxfId="17164" priority="4870" stopIfTrue="1" operator="equal">
      <formula>"Napkin Hs"</formula>
    </cfRule>
  </conditionalFormatting>
  <conditionalFormatting sqref="B87:C88">
    <cfRule type="cellIs" dxfId="17163" priority="4851" stopIfTrue="1" operator="equal">
      <formula>"Towel"</formula>
    </cfRule>
    <cfRule type="cellIs" dxfId="17162" priority="4852" stopIfTrue="1" operator="equal">
      <formula>"Napkin Hs"</formula>
    </cfRule>
  </conditionalFormatting>
  <conditionalFormatting sqref="B87:C88">
    <cfRule type="cellIs" dxfId="17161" priority="4843" stopIfTrue="1" operator="equal">
      <formula>"Towel"</formula>
    </cfRule>
    <cfRule type="cellIs" dxfId="17160" priority="4844" stopIfTrue="1" operator="equal">
      <formula>"Napkin Hs"</formula>
    </cfRule>
    <cfRule type="cellIs" dxfId="17159" priority="4849" stopIfTrue="1" operator="equal">
      <formula>"Towel"</formula>
    </cfRule>
    <cfRule type="cellIs" dxfId="17158" priority="4850" stopIfTrue="1" operator="equal">
      <formula>"Napkin Hs"</formula>
    </cfRule>
  </conditionalFormatting>
  <conditionalFormatting sqref="C87:C88">
    <cfRule type="cellIs" dxfId="17157" priority="4839" stopIfTrue="1" operator="equal">
      <formula>"Towel"</formula>
    </cfRule>
    <cfRule type="cellIs" dxfId="17156" priority="4840" stopIfTrue="1" operator="equal">
      <formula>"Napkin Hs"</formula>
    </cfRule>
  </conditionalFormatting>
  <conditionalFormatting sqref="C87:C88">
    <cfRule type="cellIs" dxfId="17155" priority="4837" stopIfTrue="1" operator="equal">
      <formula>"Towel"</formula>
    </cfRule>
    <cfRule type="cellIs" dxfId="17154" priority="4838" stopIfTrue="1" operator="equal">
      <formula>"Napkin Hs"</formula>
    </cfRule>
    <cfRule type="cellIs" dxfId="17153" priority="4847" stopIfTrue="1" operator="equal">
      <formula>"Towel"</formula>
    </cfRule>
    <cfRule type="cellIs" dxfId="17152" priority="4848" stopIfTrue="1" operator="equal">
      <formula>"Napkin Hs"</formula>
    </cfRule>
  </conditionalFormatting>
  <conditionalFormatting sqref="C87:C88">
    <cfRule type="cellIs" dxfId="17151" priority="4841" stopIfTrue="1" operator="equal">
      <formula>"Towel"</formula>
    </cfRule>
    <cfRule type="cellIs" dxfId="17150" priority="4842" stopIfTrue="1" operator="equal">
      <formula>"Napkin Hs"</formula>
    </cfRule>
    <cfRule type="cellIs" dxfId="17149" priority="4845" stopIfTrue="1" operator="equal">
      <formula>"Towel"</formula>
    </cfRule>
    <cfRule type="cellIs" dxfId="17148" priority="4846" stopIfTrue="1" operator="equal">
      <formula>"Napkin Hs"</formula>
    </cfRule>
  </conditionalFormatting>
  <conditionalFormatting sqref="C87:C88">
    <cfRule type="cellIs" dxfId="17147" priority="4836" stopIfTrue="1" operator="equal">
      <formula>"Napkin Hs"</formula>
    </cfRule>
  </conditionalFormatting>
  <conditionalFormatting sqref="C87:C88">
    <cfRule type="cellIs" dxfId="17146" priority="4835" stopIfTrue="1" operator="equal">
      <formula>"Towel"</formula>
    </cfRule>
  </conditionalFormatting>
  <conditionalFormatting sqref="C87:C88">
    <cfRule type="cellIs" dxfId="17145" priority="4831" stopIfTrue="1" operator="equal">
      <formula>"Towel"</formula>
    </cfRule>
    <cfRule type="cellIs" dxfId="17144" priority="4832" stopIfTrue="1" operator="equal">
      <formula>"Napkin Hs"</formula>
    </cfRule>
    <cfRule type="cellIs" dxfId="17143" priority="4833" stopIfTrue="1" operator="equal">
      <formula>"Towel"</formula>
    </cfRule>
    <cfRule type="cellIs" dxfId="17142" priority="4834" stopIfTrue="1" operator="equal">
      <formula>"Napkin Hs"</formula>
    </cfRule>
  </conditionalFormatting>
  <conditionalFormatting sqref="B87:C88">
    <cfRule type="cellIs" dxfId="17141" priority="4829" stopIfTrue="1" operator="equal">
      <formula>"Towel"</formula>
    </cfRule>
    <cfRule type="cellIs" dxfId="17140" priority="4830" stopIfTrue="1" operator="equal">
      <formula>"Napkin Hs"</formula>
    </cfRule>
  </conditionalFormatting>
  <conditionalFormatting sqref="C87:C88">
    <cfRule type="cellIs" dxfId="17139" priority="4825" stopIfTrue="1" operator="equal">
      <formula>"Towel"</formula>
    </cfRule>
    <cfRule type="cellIs" dxfId="17138" priority="4826" stopIfTrue="1" operator="equal">
      <formula>"Napkin Hs"</formula>
    </cfRule>
  </conditionalFormatting>
  <conditionalFormatting sqref="C87:C88">
    <cfRule type="cellIs" dxfId="17137" priority="4827" stopIfTrue="1" operator="equal">
      <formula>"Towel"</formula>
    </cfRule>
    <cfRule type="cellIs" dxfId="17136" priority="4828" stopIfTrue="1" operator="equal">
      <formula>"Napkin Hs"</formula>
    </cfRule>
  </conditionalFormatting>
  <conditionalFormatting sqref="B87:C88">
    <cfRule type="cellIs" dxfId="17135" priority="4823" stopIfTrue="1" operator="equal">
      <formula>"Towel"</formula>
    </cfRule>
    <cfRule type="cellIs" dxfId="17134" priority="4824" stopIfTrue="1" operator="equal">
      <formula>"Napkin Hs"</formula>
    </cfRule>
  </conditionalFormatting>
  <conditionalFormatting sqref="C87:C88">
    <cfRule type="cellIs" dxfId="17133" priority="4819" stopIfTrue="1" operator="equal">
      <formula>"Towel"</formula>
    </cfRule>
    <cfRule type="cellIs" dxfId="17132" priority="4820" stopIfTrue="1" operator="equal">
      <formula>"Napkin Hs"</formula>
    </cfRule>
  </conditionalFormatting>
  <conditionalFormatting sqref="C87:C88">
    <cfRule type="cellIs" dxfId="17131" priority="4821" stopIfTrue="1" operator="equal">
      <formula>"Towel"</formula>
    </cfRule>
    <cfRule type="cellIs" dxfId="17130" priority="4822" stopIfTrue="1" operator="equal">
      <formula>"Napkin Hs"</formula>
    </cfRule>
  </conditionalFormatting>
  <conditionalFormatting sqref="B87:C88">
    <cfRule type="cellIs" dxfId="17129" priority="4817" stopIfTrue="1" operator="equal">
      <formula>"Towel"</formula>
    </cfRule>
    <cfRule type="cellIs" dxfId="17128" priority="4818" stopIfTrue="1" operator="equal">
      <formula>"Napkin Hs"</formula>
    </cfRule>
  </conditionalFormatting>
  <conditionalFormatting sqref="C87:C88">
    <cfRule type="cellIs" dxfId="17127" priority="4813" stopIfTrue="1" operator="equal">
      <formula>"Towel"</formula>
    </cfRule>
    <cfRule type="cellIs" dxfId="17126" priority="4814" stopIfTrue="1" operator="equal">
      <formula>"Napkin Hs"</formula>
    </cfRule>
  </conditionalFormatting>
  <conditionalFormatting sqref="C87:C88">
    <cfRule type="cellIs" dxfId="17125" priority="4815" stopIfTrue="1" operator="equal">
      <formula>"Towel"</formula>
    </cfRule>
    <cfRule type="cellIs" dxfId="17124" priority="4816" stopIfTrue="1" operator="equal">
      <formula>"Napkin Hs"</formula>
    </cfRule>
  </conditionalFormatting>
  <conditionalFormatting sqref="B87:C88">
    <cfRule type="cellIs" dxfId="17123" priority="4811" stopIfTrue="1" operator="equal">
      <formula>"Towel"</formula>
    </cfRule>
    <cfRule type="cellIs" dxfId="17122" priority="4812" stopIfTrue="1" operator="equal">
      <formula>"Napkin Hs"</formula>
    </cfRule>
  </conditionalFormatting>
  <conditionalFormatting sqref="C87:C88">
    <cfRule type="cellIs" dxfId="17121" priority="4809" stopIfTrue="1" operator="equal">
      <formula>"Towel"</formula>
    </cfRule>
    <cfRule type="cellIs" dxfId="17120" priority="4810" stopIfTrue="1" operator="equal">
      <formula>"Napkin Hs"</formula>
    </cfRule>
  </conditionalFormatting>
  <conditionalFormatting sqref="C87:C88">
    <cfRule type="cellIs" dxfId="17119" priority="4807" stopIfTrue="1" operator="equal">
      <formula>"Towel"</formula>
    </cfRule>
    <cfRule type="cellIs" dxfId="17118" priority="4808" stopIfTrue="1" operator="equal">
      <formula>"Napkin Hs"</formula>
    </cfRule>
  </conditionalFormatting>
  <conditionalFormatting sqref="B87:C88">
    <cfRule type="cellIs" dxfId="17117" priority="4805" stopIfTrue="1" operator="equal">
      <formula>"Towel"</formula>
    </cfRule>
    <cfRule type="cellIs" dxfId="17116" priority="4806" stopIfTrue="1" operator="equal">
      <formula>"Napkin Hs"</formula>
    </cfRule>
  </conditionalFormatting>
  <conditionalFormatting sqref="C87:C88">
    <cfRule type="cellIs" dxfId="17115" priority="4804" stopIfTrue="1" operator="equal">
      <formula>"Napkin Hs"</formula>
    </cfRule>
  </conditionalFormatting>
  <conditionalFormatting sqref="C87:C88">
    <cfRule type="cellIs" dxfId="17114" priority="4801" stopIfTrue="1" operator="equal">
      <formula>"Towel"</formula>
    </cfRule>
    <cfRule type="cellIs" dxfId="17113" priority="4802" stopIfTrue="1" operator="equal">
      <formula>"Napkin Hs"</formula>
    </cfRule>
  </conditionalFormatting>
  <conditionalFormatting sqref="C87:C88">
    <cfRule type="cellIs" dxfId="17112" priority="4803" stopIfTrue="1" operator="equal">
      <formula>"Towel"</formula>
    </cfRule>
  </conditionalFormatting>
  <conditionalFormatting sqref="B89:C89">
    <cfRule type="cellIs" dxfId="17111" priority="4799" stopIfTrue="1" operator="equal">
      <formula>"Towel"</formula>
    </cfRule>
    <cfRule type="cellIs" dxfId="17110" priority="4800" stopIfTrue="1" operator="equal">
      <formula>"Napkin Hs"</formula>
    </cfRule>
  </conditionalFormatting>
  <conditionalFormatting sqref="C89">
    <cfRule type="cellIs" dxfId="17109" priority="4795" stopIfTrue="1" operator="equal">
      <formula>"Towel"</formula>
    </cfRule>
    <cfRule type="cellIs" dxfId="17108" priority="4796" stopIfTrue="1" operator="equal">
      <formula>"Napkin Hs"</formula>
    </cfRule>
  </conditionalFormatting>
  <conditionalFormatting sqref="C89">
    <cfRule type="cellIs" dxfId="17107" priority="4797" stopIfTrue="1" operator="equal">
      <formula>"Towel"</formula>
    </cfRule>
    <cfRule type="cellIs" dxfId="17106" priority="4798" stopIfTrue="1" operator="equal">
      <formula>"Napkin Hs"</formula>
    </cfRule>
  </conditionalFormatting>
  <conditionalFormatting sqref="B89:C89">
    <cfRule type="cellIs" dxfId="17105" priority="4793" stopIfTrue="1" operator="equal">
      <formula>"Towel"</formula>
    </cfRule>
    <cfRule type="cellIs" dxfId="17104" priority="4794" stopIfTrue="1" operator="equal">
      <formula>"Napkin Hs"</formula>
    </cfRule>
  </conditionalFormatting>
  <conditionalFormatting sqref="C89">
    <cfRule type="cellIs" dxfId="17103" priority="4789" stopIfTrue="1" operator="equal">
      <formula>"Towel"</formula>
    </cfRule>
    <cfRule type="cellIs" dxfId="17102" priority="4790" stopIfTrue="1" operator="equal">
      <formula>"Napkin Hs"</formula>
    </cfRule>
  </conditionalFormatting>
  <conditionalFormatting sqref="C89">
    <cfRule type="cellIs" dxfId="17101" priority="4791" stopIfTrue="1" operator="equal">
      <formula>"Towel"</formula>
    </cfRule>
    <cfRule type="cellIs" dxfId="17100" priority="4792" stopIfTrue="1" operator="equal">
      <formula>"Napkin Hs"</formula>
    </cfRule>
  </conditionalFormatting>
  <conditionalFormatting sqref="B89:C89">
    <cfRule type="cellIs" dxfId="17099" priority="4745" stopIfTrue="1" operator="equal">
      <formula>"Towel"</formula>
    </cfRule>
    <cfRule type="cellIs" dxfId="17098" priority="4746" stopIfTrue="1" operator="equal">
      <formula>"Napkin Hs"</formula>
    </cfRule>
    <cfRule type="cellIs" dxfId="17097" priority="4751" stopIfTrue="1" operator="equal">
      <formula>"Towel"</formula>
    </cfRule>
    <cfRule type="cellIs" dxfId="17096" priority="4752" stopIfTrue="1" operator="equal">
      <formula>"Napkin Hs"</formula>
    </cfRule>
    <cfRule type="cellIs" dxfId="17095" priority="4757" stopIfTrue="1" operator="equal">
      <formula>"Towel"</formula>
    </cfRule>
    <cfRule type="cellIs" dxfId="17094" priority="4758" stopIfTrue="1" operator="equal">
      <formula>"Napkin Hs"</formula>
    </cfRule>
    <cfRule type="cellIs" dxfId="17093" priority="4763" stopIfTrue="1" operator="equal">
      <formula>"Towel"</formula>
    </cfRule>
    <cfRule type="cellIs" dxfId="17092" priority="4764" stopIfTrue="1" operator="equal">
      <formula>"Napkin Hs"</formula>
    </cfRule>
    <cfRule type="cellIs" dxfId="17091" priority="4769" stopIfTrue="1" operator="equal">
      <formula>"Towel"</formula>
    </cfRule>
    <cfRule type="cellIs" dxfId="17090" priority="4770" stopIfTrue="1" operator="equal">
      <formula>"Napkin Hs"</formula>
    </cfRule>
    <cfRule type="cellIs" dxfId="17089" priority="4775" stopIfTrue="1" operator="equal">
      <formula>"Towel"</formula>
    </cfRule>
    <cfRule type="cellIs" dxfId="17088" priority="4776" stopIfTrue="1" operator="equal">
      <formula>"Napkin Hs"</formula>
    </cfRule>
    <cfRule type="cellIs" dxfId="17087" priority="4781" stopIfTrue="1" operator="equal">
      <formula>"Towel"</formula>
    </cfRule>
    <cfRule type="cellIs" dxfId="17086" priority="4782" stopIfTrue="1" operator="equal">
      <formula>"Napkin Hs"</formula>
    </cfRule>
    <cfRule type="cellIs" dxfId="17085" priority="4787" stopIfTrue="1" operator="equal">
      <formula>"Towel"</formula>
    </cfRule>
    <cfRule type="cellIs" dxfId="17084" priority="4788" stopIfTrue="1" operator="equal">
      <formula>"Napkin Hs"</formula>
    </cfRule>
  </conditionalFormatting>
  <conditionalFormatting sqref="C89">
    <cfRule type="cellIs" dxfId="17083" priority="4741" stopIfTrue="1" operator="equal">
      <formula>"Towel"</formula>
    </cfRule>
    <cfRule type="cellIs" dxfId="17082" priority="4742" stopIfTrue="1" operator="equal">
      <formula>"Napkin Hs"</formula>
    </cfRule>
    <cfRule type="cellIs" dxfId="17081" priority="4743" stopIfTrue="1" operator="equal">
      <formula>"Towel"</formula>
    </cfRule>
    <cfRule type="cellIs" dxfId="17080" priority="4744" stopIfTrue="1" operator="equal">
      <formula>"Napkin Hs"</formula>
    </cfRule>
    <cfRule type="cellIs" dxfId="17079" priority="4747" stopIfTrue="1" operator="equal">
      <formula>"Towel"</formula>
    </cfRule>
    <cfRule type="cellIs" dxfId="17078" priority="4748" stopIfTrue="1" operator="equal">
      <formula>"Napkin Hs"</formula>
    </cfRule>
    <cfRule type="cellIs" dxfId="17077" priority="4749" stopIfTrue="1" operator="equal">
      <formula>"Towel"</formula>
    </cfRule>
    <cfRule type="cellIs" dxfId="17076" priority="4750" stopIfTrue="1" operator="equal">
      <formula>"Napkin Hs"</formula>
    </cfRule>
    <cfRule type="cellIs" dxfId="17075" priority="4753" stopIfTrue="1" operator="equal">
      <formula>"Towel"</formula>
    </cfRule>
    <cfRule type="cellIs" dxfId="17074" priority="4754" stopIfTrue="1" operator="equal">
      <formula>"Napkin Hs"</formula>
    </cfRule>
    <cfRule type="cellIs" dxfId="17073" priority="4755" stopIfTrue="1" operator="equal">
      <formula>"Towel"</formula>
    </cfRule>
    <cfRule type="cellIs" dxfId="17072" priority="4756" stopIfTrue="1" operator="equal">
      <formula>"Napkin Hs"</formula>
    </cfRule>
    <cfRule type="cellIs" dxfId="17071" priority="4759" stopIfTrue="1" operator="equal">
      <formula>"Towel"</formula>
    </cfRule>
    <cfRule type="cellIs" dxfId="17070" priority="4760" stopIfTrue="1" operator="equal">
      <formula>"Napkin Hs"</formula>
    </cfRule>
    <cfRule type="cellIs" dxfId="17069" priority="4761" stopIfTrue="1" operator="equal">
      <formula>"Towel"</formula>
    </cfRule>
    <cfRule type="cellIs" dxfId="17068" priority="4762" stopIfTrue="1" operator="equal">
      <formula>"Napkin Hs"</formula>
    </cfRule>
    <cfRule type="cellIs" dxfId="17067" priority="4765" stopIfTrue="1" operator="equal">
      <formula>"Towel"</formula>
    </cfRule>
    <cfRule type="cellIs" dxfId="17066" priority="4766" stopIfTrue="1" operator="equal">
      <formula>"Napkin Hs"</formula>
    </cfRule>
    <cfRule type="cellIs" dxfId="17065" priority="4767" stopIfTrue="1" operator="equal">
      <formula>"Towel"</formula>
    </cfRule>
    <cfRule type="cellIs" dxfId="17064" priority="4768" stopIfTrue="1" operator="equal">
      <formula>"Napkin Hs"</formula>
    </cfRule>
    <cfRule type="cellIs" dxfId="17063" priority="4771" stopIfTrue="1" operator="equal">
      <formula>"Towel"</formula>
    </cfRule>
    <cfRule type="cellIs" dxfId="17062" priority="4772" stopIfTrue="1" operator="equal">
      <formula>"Napkin Hs"</formula>
    </cfRule>
    <cfRule type="cellIs" dxfId="17061" priority="4773" stopIfTrue="1" operator="equal">
      <formula>"Towel"</formula>
    </cfRule>
    <cfRule type="cellIs" dxfId="17060" priority="4774" stopIfTrue="1" operator="equal">
      <formula>"Napkin Hs"</formula>
    </cfRule>
    <cfRule type="cellIs" dxfId="17059" priority="4777" stopIfTrue="1" operator="equal">
      <formula>"Towel"</formula>
    </cfRule>
    <cfRule type="cellIs" dxfId="17058" priority="4778" stopIfTrue="1" operator="equal">
      <formula>"Napkin Hs"</formula>
    </cfRule>
    <cfRule type="cellIs" dxfId="17057" priority="4779" stopIfTrue="1" operator="equal">
      <formula>"Towel"</formula>
    </cfRule>
    <cfRule type="cellIs" dxfId="17056" priority="4780" stopIfTrue="1" operator="equal">
      <formula>"Napkin Hs"</formula>
    </cfRule>
    <cfRule type="cellIs" dxfId="17055" priority="4783" stopIfTrue="1" operator="equal">
      <formula>"Towel"</formula>
    </cfRule>
    <cfRule type="cellIs" dxfId="17054" priority="4784" stopIfTrue="1" operator="equal">
      <formula>"Napkin Hs"</formula>
    </cfRule>
  </conditionalFormatting>
  <conditionalFormatting sqref="C89">
    <cfRule type="cellIs" dxfId="17053" priority="4785" stopIfTrue="1" operator="equal">
      <formula>"Towel"</formula>
    </cfRule>
    <cfRule type="cellIs" dxfId="17052" priority="4786" stopIfTrue="1" operator="equal">
      <formula>"Napkin Hs"</formula>
    </cfRule>
  </conditionalFormatting>
  <conditionalFormatting sqref="B89:C89">
    <cfRule type="cellIs" dxfId="17051" priority="4697" stopIfTrue="1" operator="equal">
      <formula>"Towel"</formula>
    </cfRule>
    <cfRule type="cellIs" dxfId="17050" priority="4698" stopIfTrue="1" operator="equal">
      <formula>"Napkin Hs"</formula>
    </cfRule>
    <cfRule type="cellIs" dxfId="17049" priority="4703" stopIfTrue="1" operator="equal">
      <formula>"Towel"</formula>
    </cfRule>
    <cfRule type="cellIs" dxfId="17048" priority="4704" stopIfTrue="1" operator="equal">
      <formula>"Napkin Hs"</formula>
    </cfRule>
    <cfRule type="cellIs" dxfId="17047" priority="4709" stopIfTrue="1" operator="equal">
      <formula>"Towel"</formula>
    </cfRule>
    <cfRule type="cellIs" dxfId="17046" priority="4710" stopIfTrue="1" operator="equal">
      <formula>"Napkin Hs"</formula>
    </cfRule>
    <cfRule type="cellIs" dxfId="17045" priority="4715" stopIfTrue="1" operator="equal">
      <formula>"Towel"</formula>
    </cfRule>
    <cfRule type="cellIs" dxfId="17044" priority="4716" stopIfTrue="1" operator="equal">
      <formula>"Napkin Hs"</formula>
    </cfRule>
    <cfRule type="cellIs" dxfId="17043" priority="4721" stopIfTrue="1" operator="equal">
      <formula>"Towel"</formula>
    </cfRule>
    <cfRule type="cellIs" dxfId="17042" priority="4722" stopIfTrue="1" operator="equal">
      <formula>"Napkin Hs"</formula>
    </cfRule>
    <cfRule type="cellIs" dxfId="17041" priority="4727" stopIfTrue="1" operator="equal">
      <formula>"Towel"</formula>
    </cfRule>
    <cfRule type="cellIs" dxfId="17040" priority="4728" stopIfTrue="1" operator="equal">
      <formula>"Napkin Hs"</formula>
    </cfRule>
    <cfRule type="cellIs" dxfId="17039" priority="4733" stopIfTrue="1" operator="equal">
      <formula>"Towel"</formula>
    </cfRule>
    <cfRule type="cellIs" dxfId="17038" priority="4734" stopIfTrue="1" operator="equal">
      <formula>"Napkin Hs"</formula>
    </cfRule>
    <cfRule type="cellIs" dxfId="17037" priority="4739" stopIfTrue="1" operator="equal">
      <formula>"Towel"</formula>
    </cfRule>
    <cfRule type="cellIs" dxfId="17036" priority="4740" stopIfTrue="1" operator="equal">
      <formula>"Napkin Hs"</formula>
    </cfRule>
  </conditionalFormatting>
  <conditionalFormatting sqref="C89">
    <cfRule type="cellIs" dxfId="17035" priority="4693" stopIfTrue="1" operator="equal">
      <formula>"Towel"</formula>
    </cfRule>
    <cfRule type="cellIs" dxfId="17034" priority="4694" stopIfTrue="1" operator="equal">
      <formula>"Napkin Hs"</formula>
    </cfRule>
    <cfRule type="cellIs" dxfId="17033" priority="4695" stopIfTrue="1" operator="equal">
      <formula>"Towel"</formula>
    </cfRule>
    <cfRule type="cellIs" dxfId="17032" priority="4696" stopIfTrue="1" operator="equal">
      <formula>"Napkin Hs"</formula>
    </cfRule>
    <cfRule type="cellIs" dxfId="17031" priority="4699" stopIfTrue="1" operator="equal">
      <formula>"Towel"</formula>
    </cfRule>
    <cfRule type="cellIs" dxfId="17030" priority="4700" stopIfTrue="1" operator="equal">
      <formula>"Napkin Hs"</formula>
    </cfRule>
    <cfRule type="cellIs" dxfId="17029" priority="4701" stopIfTrue="1" operator="equal">
      <formula>"Towel"</formula>
    </cfRule>
    <cfRule type="cellIs" dxfId="17028" priority="4702" stopIfTrue="1" operator="equal">
      <formula>"Napkin Hs"</formula>
    </cfRule>
    <cfRule type="cellIs" dxfId="17027" priority="4705" stopIfTrue="1" operator="equal">
      <formula>"Towel"</formula>
    </cfRule>
    <cfRule type="cellIs" dxfId="17026" priority="4706" stopIfTrue="1" operator="equal">
      <formula>"Napkin Hs"</formula>
    </cfRule>
    <cfRule type="cellIs" dxfId="17025" priority="4707" stopIfTrue="1" operator="equal">
      <formula>"Towel"</formula>
    </cfRule>
    <cfRule type="cellIs" dxfId="17024" priority="4708" stopIfTrue="1" operator="equal">
      <formula>"Napkin Hs"</formula>
    </cfRule>
    <cfRule type="cellIs" dxfId="17023" priority="4711" stopIfTrue="1" operator="equal">
      <formula>"Towel"</formula>
    </cfRule>
    <cfRule type="cellIs" dxfId="17022" priority="4712" stopIfTrue="1" operator="equal">
      <formula>"Napkin Hs"</formula>
    </cfRule>
    <cfRule type="cellIs" dxfId="17021" priority="4713" stopIfTrue="1" operator="equal">
      <formula>"Towel"</formula>
    </cfRule>
    <cfRule type="cellIs" dxfId="17020" priority="4714" stopIfTrue="1" operator="equal">
      <formula>"Napkin Hs"</formula>
    </cfRule>
    <cfRule type="cellIs" dxfId="17019" priority="4717" stopIfTrue="1" operator="equal">
      <formula>"Towel"</formula>
    </cfRule>
    <cfRule type="cellIs" dxfId="17018" priority="4718" stopIfTrue="1" operator="equal">
      <formula>"Napkin Hs"</formula>
    </cfRule>
    <cfRule type="cellIs" dxfId="17017" priority="4719" stopIfTrue="1" operator="equal">
      <formula>"Towel"</formula>
    </cfRule>
    <cfRule type="cellIs" dxfId="17016" priority="4720" stopIfTrue="1" operator="equal">
      <formula>"Napkin Hs"</formula>
    </cfRule>
    <cfRule type="cellIs" dxfId="17015" priority="4723" stopIfTrue="1" operator="equal">
      <formula>"Towel"</formula>
    </cfRule>
    <cfRule type="cellIs" dxfId="17014" priority="4724" stopIfTrue="1" operator="equal">
      <formula>"Napkin Hs"</formula>
    </cfRule>
    <cfRule type="cellIs" dxfId="17013" priority="4725" stopIfTrue="1" operator="equal">
      <formula>"Towel"</formula>
    </cfRule>
    <cfRule type="cellIs" dxfId="17012" priority="4726" stopIfTrue="1" operator="equal">
      <formula>"Napkin Hs"</formula>
    </cfRule>
    <cfRule type="cellIs" dxfId="17011" priority="4729" stopIfTrue="1" operator="equal">
      <formula>"Towel"</formula>
    </cfRule>
    <cfRule type="cellIs" dxfId="17010" priority="4730" stopIfTrue="1" operator="equal">
      <formula>"Napkin Hs"</formula>
    </cfRule>
    <cfRule type="cellIs" dxfId="17009" priority="4731" stopIfTrue="1" operator="equal">
      <formula>"Towel"</formula>
    </cfRule>
    <cfRule type="cellIs" dxfId="17008" priority="4732" stopIfTrue="1" operator="equal">
      <formula>"Napkin Hs"</formula>
    </cfRule>
    <cfRule type="cellIs" dxfId="17007" priority="4735" stopIfTrue="1" operator="equal">
      <formula>"Towel"</formula>
    </cfRule>
    <cfRule type="cellIs" dxfId="17006" priority="4736" stopIfTrue="1" operator="equal">
      <formula>"Napkin Hs"</formula>
    </cfRule>
  </conditionalFormatting>
  <conditionalFormatting sqref="C89">
    <cfRule type="cellIs" dxfId="17005" priority="4737" stopIfTrue="1" operator="equal">
      <formula>"Towel"</formula>
    </cfRule>
    <cfRule type="cellIs" dxfId="17004" priority="4738" stopIfTrue="1" operator="equal">
      <formula>"Napkin Hs"</formula>
    </cfRule>
  </conditionalFormatting>
  <conditionalFormatting sqref="B89:C89">
    <cfRule type="cellIs" dxfId="17003" priority="4691" stopIfTrue="1" operator="equal">
      <formula>"Towel"</formula>
    </cfRule>
    <cfRule type="cellIs" dxfId="17002" priority="4692" stopIfTrue="1" operator="equal">
      <formula>"Napkin Hs"</formula>
    </cfRule>
  </conditionalFormatting>
  <conditionalFormatting sqref="B89:C89">
    <cfRule type="cellIs" dxfId="17001" priority="4667" stopIfTrue="1" operator="equal">
      <formula>"Towel"</formula>
    </cfRule>
    <cfRule type="cellIs" dxfId="17000" priority="4668" stopIfTrue="1" operator="equal">
      <formula>"Napkin Hs"</formula>
    </cfRule>
    <cfRule type="cellIs" dxfId="16999" priority="4673" stopIfTrue="1" operator="equal">
      <formula>"Towel"</formula>
    </cfRule>
    <cfRule type="cellIs" dxfId="16998" priority="4674" stopIfTrue="1" operator="equal">
      <formula>"Napkin Hs"</formula>
    </cfRule>
    <cfRule type="cellIs" dxfId="16997" priority="4679" stopIfTrue="1" operator="equal">
      <formula>"Towel"</formula>
    </cfRule>
    <cfRule type="cellIs" dxfId="16996" priority="4680" stopIfTrue="1" operator="equal">
      <formula>"Napkin Hs"</formula>
    </cfRule>
    <cfRule type="cellIs" dxfId="16995" priority="4685" stopIfTrue="1" operator="equal">
      <formula>"Towel"</formula>
    </cfRule>
    <cfRule type="cellIs" dxfId="16994" priority="4686" stopIfTrue="1" operator="equal">
      <formula>"Napkin Hs"</formula>
    </cfRule>
  </conditionalFormatting>
  <conditionalFormatting sqref="C89">
    <cfRule type="cellIs" dxfId="16993" priority="4681" stopIfTrue="1" operator="equal">
      <formula>"Towel"</formula>
    </cfRule>
    <cfRule type="cellIs" dxfId="16992" priority="4682" stopIfTrue="1" operator="equal">
      <formula>"Napkin Hs"</formula>
    </cfRule>
    <cfRule type="cellIs" dxfId="16991" priority="4687" stopIfTrue="1" operator="equal">
      <formula>"Towel"</formula>
    </cfRule>
    <cfRule type="cellIs" dxfId="16990" priority="4688" stopIfTrue="1" operator="equal">
      <formula>"Napkin Hs"</formula>
    </cfRule>
  </conditionalFormatting>
  <conditionalFormatting sqref="C89">
    <cfRule type="cellIs" dxfId="16989" priority="4661" stopIfTrue="1" operator="equal">
      <formula>"Towel"</formula>
    </cfRule>
    <cfRule type="cellIs" dxfId="16988" priority="4662" stopIfTrue="1" operator="equal">
      <formula>"Napkin Hs"</formula>
    </cfRule>
    <cfRule type="cellIs" dxfId="16987" priority="4663" stopIfTrue="1" operator="equal">
      <formula>"Towel"</formula>
    </cfRule>
    <cfRule type="cellIs" dxfId="16986" priority="4664" stopIfTrue="1" operator="equal">
      <formula>"Napkin Hs"</formula>
    </cfRule>
    <cfRule type="cellIs" dxfId="16985" priority="4671" stopIfTrue="1" operator="equal">
      <formula>"Towel"</formula>
    </cfRule>
    <cfRule type="cellIs" dxfId="16984" priority="4672" stopIfTrue="1" operator="equal">
      <formula>"Napkin Hs"</formula>
    </cfRule>
    <cfRule type="cellIs" dxfId="16983" priority="4675" stopIfTrue="1" operator="equal">
      <formula>"Towel"</formula>
    </cfRule>
    <cfRule type="cellIs" dxfId="16982" priority="4676" stopIfTrue="1" operator="equal">
      <formula>"Napkin Hs"</formula>
    </cfRule>
    <cfRule type="cellIs" dxfId="16981" priority="4677" stopIfTrue="1" operator="equal">
      <formula>"Towel"</formula>
    </cfRule>
    <cfRule type="cellIs" dxfId="16980" priority="4678" stopIfTrue="1" operator="equal">
      <formula>"Napkin Hs"</formula>
    </cfRule>
  </conditionalFormatting>
  <conditionalFormatting sqref="C89">
    <cfRule type="cellIs" dxfId="16979" priority="4689" stopIfTrue="1" operator="equal">
      <formula>"Towel"</formula>
    </cfRule>
    <cfRule type="cellIs" dxfId="16978" priority="4690" stopIfTrue="1" operator="equal">
      <formula>"Napkin Hs"</formula>
    </cfRule>
  </conditionalFormatting>
  <conditionalFormatting sqref="C89">
    <cfRule type="cellIs" dxfId="16977" priority="4665" stopIfTrue="1" operator="equal">
      <formula>"Towel"</formula>
    </cfRule>
    <cfRule type="cellIs" dxfId="16976" priority="4666" stopIfTrue="1" operator="equal">
      <formula>"Napkin Hs"</formula>
    </cfRule>
    <cfRule type="cellIs" dxfId="16975" priority="4669" stopIfTrue="1" operator="equal">
      <formula>"Towel"</formula>
    </cfRule>
    <cfRule type="cellIs" dxfId="16974" priority="4670" stopIfTrue="1" operator="equal">
      <formula>"Napkin Hs"</formula>
    </cfRule>
    <cfRule type="cellIs" dxfId="16973" priority="4683" stopIfTrue="1" operator="equal">
      <formula>"Towel"</formula>
    </cfRule>
    <cfRule type="cellIs" dxfId="16972" priority="4684" stopIfTrue="1" operator="equal">
      <formula>"Napkin Hs"</formula>
    </cfRule>
  </conditionalFormatting>
  <conditionalFormatting sqref="B89:C89">
    <cfRule type="cellIs" dxfId="16971" priority="4617" stopIfTrue="1" operator="equal">
      <formula>"Towel"</formula>
    </cfRule>
    <cfRule type="cellIs" dxfId="16970" priority="4618" stopIfTrue="1" operator="equal">
      <formula>"Napkin Hs"</formula>
    </cfRule>
    <cfRule type="cellIs" dxfId="16969" priority="4623" stopIfTrue="1" operator="equal">
      <formula>"Towel"</formula>
    </cfRule>
    <cfRule type="cellIs" dxfId="16968" priority="4624" stopIfTrue="1" operator="equal">
      <formula>"Napkin Hs"</formula>
    </cfRule>
    <cfRule type="cellIs" dxfId="16967" priority="4629" stopIfTrue="1" operator="equal">
      <formula>"Towel"</formula>
    </cfRule>
    <cfRule type="cellIs" dxfId="16966" priority="4630" stopIfTrue="1" operator="equal">
      <formula>"Napkin Hs"</formula>
    </cfRule>
    <cfRule type="cellIs" dxfId="16965" priority="4635" stopIfTrue="1" operator="equal">
      <formula>"Towel"</formula>
    </cfRule>
    <cfRule type="cellIs" dxfId="16964" priority="4636" stopIfTrue="1" operator="equal">
      <formula>"Napkin Hs"</formula>
    </cfRule>
    <cfRule type="cellIs" dxfId="16963" priority="4641" stopIfTrue="1" operator="equal">
      <formula>"Towel"</formula>
    </cfRule>
    <cfRule type="cellIs" dxfId="16962" priority="4642" stopIfTrue="1" operator="equal">
      <formula>"Napkin Hs"</formula>
    </cfRule>
    <cfRule type="cellIs" dxfId="16961" priority="4647" stopIfTrue="1" operator="equal">
      <formula>"Towel"</formula>
    </cfRule>
    <cfRule type="cellIs" dxfId="16960" priority="4648" stopIfTrue="1" operator="equal">
      <formula>"Napkin Hs"</formula>
    </cfRule>
    <cfRule type="cellIs" dxfId="16959" priority="4653" stopIfTrue="1" operator="equal">
      <formula>"Towel"</formula>
    </cfRule>
    <cfRule type="cellIs" dxfId="16958" priority="4654" stopIfTrue="1" operator="equal">
      <formula>"Napkin Hs"</formula>
    </cfRule>
    <cfRule type="cellIs" dxfId="16957" priority="4659" stopIfTrue="1" operator="equal">
      <formula>"Towel"</formula>
    </cfRule>
    <cfRule type="cellIs" dxfId="16956" priority="4660" stopIfTrue="1" operator="equal">
      <formula>"Napkin Hs"</formula>
    </cfRule>
  </conditionalFormatting>
  <conditionalFormatting sqref="C89">
    <cfRule type="cellIs" dxfId="16955" priority="4613" stopIfTrue="1" operator="equal">
      <formula>"Towel"</formula>
    </cfRule>
    <cfRule type="cellIs" dxfId="16954" priority="4614" stopIfTrue="1" operator="equal">
      <formula>"Napkin Hs"</formula>
    </cfRule>
    <cfRule type="cellIs" dxfId="16953" priority="4615" stopIfTrue="1" operator="equal">
      <formula>"Towel"</formula>
    </cfRule>
    <cfRule type="cellIs" dxfId="16952" priority="4616" stopIfTrue="1" operator="equal">
      <formula>"Napkin Hs"</formula>
    </cfRule>
    <cfRule type="cellIs" dxfId="16951" priority="4619" stopIfTrue="1" operator="equal">
      <formula>"Towel"</formula>
    </cfRule>
    <cfRule type="cellIs" dxfId="16950" priority="4620" stopIfTrue="1" operator="equal">
      <formula>"Napkin Hs"</formula>
    </cfRule>
    <cfRule type="cellIs" dxfId="16949" priority="4621" stopIfTrue="1" operator="equal">
      <formula>"Towel"</formula>
    </cfRule>
    <cfRule type="cellIs" dxfId="16948" priority="4622" stopIfTrue="1" operator="equal">
      <formula>"Napkin Hs"</formula>
    </cfRule>
    <cfRule type="cellIs" dxfId="16947" priority="4625" stopIfTrue="1" operator="equal">
      <formula>"Towel"</formula>
    </cfRule>
    <cfRule type="cellIs" dxfId="16946" priority="4626" stopIfTrue="1" operator="equal">
      <formula>"Napkin Hs"</formula>
    </cfRule>
    <cfRule type="cellIs" dxfId="16945" priority="4627" stopIfTrue="1" operator="equal">
      <formula>"Towel"</formula>
    </cfRule>
    <cfRule type="cellIs" dxfId="16944" priority="4628" stopIfTrue="1" operator="equal">
      <formula>"Napkin Hs"</formula>
    </cfRule>
    <cfRule type="cellIs" dxfId="16943" priority="4631" stopIfTrue="1" operator="equal">
      <formula>"Towel"</formula>
    </cfRule>
    <cfRule type="cellIs" dxfId="16942" priority="4632" stopIfTrue="1" operator="equal">
      <formula>"Napkin Hs"</formula>
    </cfRule>
    <cfRule type="cellIs" dxfId="16941" priority="4633" stopIfTrue="1" operator="equal">
      <formula>"Towel"</formula>
    </cfRule>
    <cfRule type="cellIs" dxfId="16940" priority="4634" stopIfTrue="1" operator="equal">
      <formula>"Napkin Hs"</formula>
    </cfRule>
    <cfRule type="cellIs" dxfId="16939" priority="4637" stopIfTrue="1" operator="equal">
      <formula>"Towel"</formula>
    </cfRule>
    <cfRule type="cellIs" dxfId="16938" priority="4638" stopIfTrue="1" operator="equal">
      <formula>"Napkin Hs"</formula>
    </cfRule>
    <cfRule type="cellIs" dxfId="16937" priority="4639" stopIfTrue="1" operator="equal">
      <formula>"Towel"</formula>
    </cfRule>
    <cfRule type="cellIs" dxfId="16936" priority="4640" stopIfTrue="1" operator="equal">
      <formula>"Napkin Hs"</formula>
    </cfRule>
    <cfRule type="cellIs" dxfId="16935" priority="4643" stopIfTrue="1" operator="equal">
      <formula>"Towel"</formula>
    </cfRule>
    <cfRule type="cellIs" dxfId="16934" priority="4644" stopIfTrue="1" operator="equal">
      <formula>"Napkin Hs"</formula>
    </cfRule>
    <cfRule type="cellIs" dxfId="16933" priority="4645" stopIfTrue="1" operator="equal">
      <formula>"Towel"</formula>
    </cfRule>
    <cfRule type="cellIs" dxfId="16932" priority="4646" stopIfTrue="1" operator="equal">
      <formula>"Napkin Hs"</formula>
    </cfRule>
    <cfRule type="cellIs" dxfId="16931" priority="4649" stopIfTrue="1" operator="equal">
      <formula>"Towel"</formula>
    </cfRule>
    <cfRule type="cellIs" dxfId="16930" priority="4650" stopIfTrue="1" operator="equal">
      <formula>"Napkin Hs"</formula>
    </cfRule>
    <cfRule type="cellIs" dxfId="16929" priority="4651" stopIfTrue="1" operator="equal">
      <formula>"Towel"</formula>
    </cfRule>
    <cfRule type="cellIs" dxfId="16928" priority="4652" stopIfTrue="1" operator="equal">
      <formula>"Napkin Hs"</formula>
    </cfRule>
    <cfRule type="cellIs" dxfId="16927" priority="4655" stopIfTrue="1" operator="equal">
      <formula>"Towel"</formula>
    </cfRule>
    <cfRule type="cellIs" dxfId="16926" priority="4656" stopIfTrue="1" operator="equal">
      <formula>"Napkin Hs"</formula>
    </cfRule>
  </conditionalFormatting>
  <conditionalFormatting sqref="C89">
    <cfRule type="cellIs" dxfId="16925" priority="4657" stopIfTrue="1" operator="equal">
      <formula>"Towel"</formula>
    </cfRule>
    <cfRule type="cellIs" dxfId="16924" priority="4658" stopIfTrue="1" operator="equal">
      <formula>"Napkin Hs"</formula>
    </cfRule>
  </conditionalFormatting>
  <conditionalFormatting sqref="B89">
    <cfRule type="cellIs" dxfId="16923" priority="4607" stopIfTrue="1" operator="equal">
      <formula>"Towel"</formula>
    </cfRule>
    <cfRule type="cellIs" dxfId="16922" priority="4608" stopIfTrue="1" operator="equal">
      <formula>"Napkin Hs"</formula>
    </cfRule>
    <cfRule type="cellIs" dxfId="16921" priority="4609" stopIfTrue="1" operator="equal">
      <formula>"Towel"</formula>
    </cfRule>
    <cfRule type="cellIs" dxfId="16920" priority="4610" stopIfTrue="1" operator="equal">
      <formula>"Napkin Hs"</formula>
    </cfRule>
    <cfRule type="cellIs" dxfId="16919" priority="4611" stopIfTrue="1" operator="equal">
      <formula>"Towel"</formula>
    </cfRule>
    <cfRule type="cellIs" dxfId="16918" priority="4612" stopIfTrue="1" operator="equal">
      <formula>"Napkin Hs"</formula>
    </cfRule>
  </conditionalFormatting>
  <conditionalFormatting sqref="B89:C89">
    <cfRule type="cellIs" dxfId="16917" priority="4569" stopIfTrue="1" operator="equal">
      <formula>"Towel"</formula>
    </cfRule>
    <cfRule type="cellIs" dxfId="16916" priority="4570" stopIfTrue="1" operator="equal">
      <formula>"Napkin Hs"</formula>
    </cfRule>
    <cfRule type="cellIs" dxfId="16915" priority="4575" stopIfTrue="1" operator="equal">
      <formula>"Towel"</formula>
    </cfRule>
    <cfRule type="cellIs" dxfId="16914" priority="4576" stopIfTrue="1" operator="equal">
      <formula>"Napkin Hs"</formula>
    </cfRule>
    <cfRule type="cellIs" dxfId="16913" priority="4581" stopIfTrue="1" operator="equal">
      <formula>"Towel"</formula>
    </cfRule>
    <cfRule type="cellIs" dxfId="16912" priority="4582" stopIfTrue="1" operator="equal">
      <formula>"Napkin Hs"</formula>
    </cfRule>
    <cfRule type="cellIs" dxfId="16911" priority="4587" stopIfTrue="1" operator="equal">
      <formula>"Towel"</formula>
    </cfRule>
    <cfRule type="cellIs" dxfId="16910" priority="4588" stopIfTrue="1" operator="equal">
      <formula>"Napkin Hs"</formula>
    </cfRule>
    <cfRule type="cellIs" dxfId="16909" priority="4593" stopIfTrue="1" operator="equal">
      <formula>"Towel"</formula>
    </cfRule>
    <cfRule type="cellIs" dxfId="16908" priority="4594" stopIfTrue="1" operator="equal">
      <formula>"Napkin Hs"</formula>
    </cfRule>
    <cfRule type="cellIs" dxfId="16907" priority="4599" stopIfTrue="1" operator="equal">
      <formula>"Towel"</formula>
    </cfRule>
    <cfRule type="cellIs" dxfId="16906" priority="4600" stopIfTrue="1" operator="equal">
      <formula>"Napkin Hs"</formula>
    </cfRule>
    <cfRule type="cellIs" dxfId="16905" priority="4605" stopIfTrue="1" operator="equal">
      <formula>"Towel"</formula>
    </cfRule>
    <cfRule type="cellIs" dxfId="16904" priority="4606" stopIfTrue="1" operator="equal">
      <formula>"Napkin Hs"</formula>
    </cfRule>
  </conditionalFormatting>
  <conditionalFormatting sqref="C89">
    <cfRule type="cellIs" dxfId="16903" priority="4565" stopIfTrue="1" operator="equal">
      <formula>"Towel"</formula>
    </cfRule>
    <cfRule type="cellIs" dxfId="16902" priority="4566" stopIfTrue="1" operator="equal">
      <formula>"Napkin Hs"</formula>
    </cfRule>
    <cfRule type="cellIs" dxfId="16901" priority="4567" stopIfTrue="1" operator="equal">
      <formula>"Towel"</formula>
    </cfRule>
    <cfRule type="cellIs" dxfId="16900" priority="4568" stopIfTrue="1" operator="equal">
      <formula>"Napkin Hs"</formula>
    </cfRule>
    <cfRule type="cellIs" dxfId="16899" priority="4571" stopIfTrue="1" operator="equal">
      <formula>"Towel"</formula>
    </cfRule>
    <cfRule type="cellIs" dxfId="16898" priority="4572" stopIfTrue="1" operator="equal">
      <formula>"Napkin Hs"</formula>
    </cfRule>
    <cfRule type="cellIs" dxfId="16897" priority="4573" stopIfTrue="1" operator="equal">
      <formula>"Towel"</formula>
    </cfRule>
    <cfRule type="cellIs" dxfId="16896" priority="4574" stopIfTrue="1" operator="equal">
      <formula>"Napkin Hs"</formula>
    </cfRule>
    <cfRule type="cellIs" dxfId="16895" priority="4577" stopIfTrue="1" operator="equal">
      <formula>"Towel"</formula>
    </cfRule>
    <cfRule type="cellIs" dxfId="16894" priority="4578" stopIfTrue="1" operator="equal">
      <formula>"Napkin Hs"</formula>
    </cfRule>
    <cfRule type="cellIs" dxfId="16893" priority="4579" stopIfTrue="1" operator="equal">
      <formula>"Towel"</formula>
    </cfRule>
    <cfRule type="cellIs" dxfId="16892" priority="4580" stopIfTrue="1" operator="equal">
      <formula>"Napkin Hs"</formula>
    </cfRule>
    <cfRule type="cellIs" dxfId="16891" priority="4583" stopIfTrue="1" operator="equal">
      <formula>"Towel"</formula>
    </cfRule>
    <cfRule type="cellIs" dxfId="16890" priority="4584" stopIfTrue="1" operator="equal">
      <formula>"Napkin Hs"</formula>
    </cfRule>
    <cfRule type="cellIs" dxfId="16889" priority="4585" stopIfTrue="1" operator="equal">
      <formula>"Towel"</formula>
    </cfRule>
    <cfRule type="cellIs" dxfId="16888" priority="4586" stopIfTrue="1" operator="equal">
      <formula>"Napkin Hs"</formula>
    </cfRule>
    <cfRule type="cellIs" dxfId="16887" priority="4589" stopIfTrue="1" operator="equal">
      <formula>"Towel"</formula>
    </cfRule>
    <cfRule type="cellIs" dxfId="16886" priority="4590" stopIfTrue="1" operator="equal">
      <formula>"Napkin Hs"</formula>
    </cfRule>
    <cfRule type="cellIs" dxfId="16885" priority="4591" stopIfTrue="1" operator="equal">
      <formula>"Towel"</formula>
    </cfRule>
    <cfRule type="cellIs" dxfId="16884" priority="4592" stopIfTrue="1" operator="equal">
      <formula>"Napkin Hs"</formula>
    </cfRule>
    <cfRule type="cellIs" dxfId="16883" priority="4595" stopIfTrue="1" operator="equal">
      <formula>"Towel"</formula>
    </cfRule>
    <cfRule type="cellIs" dxfId="16882" priority="4596" stopIfTrue="1" operator="equal">
      <formula>"Napkin Hs"</formula>
    </cfRule>
    <cfRule type="cellIs" dxfId="16881" priority="4597" stopIfTrue="1" operator="equal">
      <formula>"Towel"</formula>
    </cfRule>
    <cfRule type="cellIs" dxfId="16880" priority="4598" stopIfTrue="1" operator="equal">
      <formula>"Napkin Hs"</formula>
    </cfRule>
    <cfRule type="cellIs" dxfId="16879" priority="4601" stopIfTrue="1" operator="equal">
      <formula>"Towel"</formula>
    </cfRule>
    <cfRule type="cellIs" dxfId="16878" priority="4602" stopIfTrue="1" operator="equal">
      <formula>"Napkin Hs"</formula>
    </cfRule>
  </conditionalFormatting>
  <conditionalFormatting sqref="C89">
    <cfRule type="cellIs" dxfId="16877" priority="4603" stopIfTrue="1" operator="equal">
      <formula>"Towel"</formula>
    </cfRule>
    <cfRule type="cellIs" dxfId="16876" priority="4604" stopIfTrue="1" operator="equal">
      <formula>"Napkin Hs"</formula>
    </cfRule>
  </conditionalFormatting>
  <conditionalFormatting sqref="B89:C89">
    <cfRule type="cellIs" dxfId="16875" priority="4563" stopIfTrue="1" operator="equal">
      <formula>"Towel"</formula>
    </cfRule>
    <cfRule type="cellIs" dxfId="16874" priority="4564" stopIfTrue="1" operator="equal">
      <formula>"Napkin Hs"</formula>
    </cfRule>
  </conditionalFormatting>
  <conditionalFormatting sqref="B89:C89">
    <cfRule type="cellIs" dxfId="16873" priority="4527" stopIfTrue="1" operator="equal">
      <formula>"Towel"</formula>
    </cfRule>
    <cfRule type="cellIs" dxfId="16872" priority="4528" stopIfTrue="1" operator="equal">
      <formula>"Napkin Hs"</formula>
    </cfRule>
    <cfRule type="cellIs" dxfId="16871" priority="4533" stopIfTrue="1" operator="equal">
      <formula>"Towel"</formula>
    </cfRule>
    <cfRule type="cellIs" dxfId="16870" priority="4534" stopIfTrue="1" operator="equal">
      <formula>"Napkin Hs"</formula>
    </cfRule>
    <cfRule type="cellIs" dxfId="16869" priority="4539" stopIfTrue="1" operator="equal">
      <formula>"Towel"</formula>
    </cfRule>
    <cfRule type="cellIs" dxfId="16868" priority="4540" stopIfTrue="1" operator="equal">
      <formula>"Napkin Hs"</formula>
    </cfRule>
    <cfRule type="cellIs" dxfId="16867" priority="4545" stopIfTrue="1" operator="equal">
      <formula>"Towel"</formula>
    </cfRule>
    <cfRule type="cellIs" dxfId="16866" priority="4546" stopIfTrue="1" operator="equal">
      <formula>"Napkin Hs"</formula>
    </cfRule>
    <cfRule type="cellIs" dxfId="16865" priority="4551" stopIfTrue="1" operator="equal">
      <formula>"Towel"</formula>
    </cfRule>
    <cfRule type="cellIs" dxfId="16864" priority="4552" stopIfTrue="1" operator="equal">
      <formula>"Napkin Hs"</formula>
    </cfRule>
    <cfRule type="cellIs" dxfId="16863" priority="4557" stopIfTrue="1" operator="equal">
      <formula>"Towel"</formula>
    </cfRule>
    <cfRule type="cellIs" dxfId="16862" priority="4558" stopIfTrue="1" operator="equal">
      <formula>"Napkin Hs"</formula>
    </cfRule>
  </conditionalFormatting>
  <conditionalFormatting sqref="C89">
    <cfRule type="cellIs" dxfId="16861" priority="4562" stopIfTrue="1" operator="equal">
      <formula>"Napkin Hs"</formula>
    </cfRule>
  </conditionalFormatting>
  <conditionalFormatting sqref="C89">
    <cfRule type="cellIs" dxfId="16860" priority="4561" stopIfTrue="1" operator="equal">
      <formula>"Towel"</formula>
    </cfRule>
  </conditionalFormatting>
  <conditionalFormatting sqref="C89">
    <cfRule type="cellIs" dxfId="16859" priority="4555" stopIfTrue="1" operator="equal">
      <formula>"Towel"</formula>
    </cfRule>
    <cfRule type="cellIs" dxfId="16858" priority="4556" stopIfTrue="1" operator="equal">
      <formula>"Napkin Hs"</formula>
    </cfRule>
  </conditionalFormatting>
  <conditionalFormatting sqref="C89">
    <cfRule type="cellIs" dxfId="16857" priority="4553" stopIfTrue="1" operator="equal">
      <formula>"Towel"</formula>
    </cfRule>
    <cfRule type="cellIs" dxfId="16856" priority="4554" stopIfTrue="1" operator="equal">
      <formula>"Napkin Hs"</formula>
    </cfRule>
    <cfRule type="cellIs" dxfId="16855" priority="4559" stopIfTrue="1" operator="equal">
      <formula>"Towel"</formula>
    </cfRule>
    <cfRule type="cellIs" dxfId="16854" priority="4560" stopIfTrue="1" operator="equal">
      <formula>"Napkin Hs"</formula>
    </cfRule>
  </conditionalFormatting>
  <conditionalFormatting sqref="C89">
    <cfRule type="cellIs" dxfId="16853" priority="4525" stopIfTrue="1" operator="equal">
      <formula>"Towel"</formula>
    </cfRule>
    <cfRule type="cellIs" dxfId="16852" priority="4526" stopIfTrue="1" operator="equal">
      <formula>"Napkin Hs"</formula>
    </cfRule>
    <cfRule type="cellIs" dxfId="16851" priority="4529" stopIfTrue="1" operator="equal">
      <formula>"Towel"</formula>
    </cfRule>
    <cfRule type="cellIs" dxfId="16850" priority="4530" stopIfTrue="1" operator="equal">
      <formula>"Napkin Hs"</formula>
    </cfRule>
    <cfRule type="cellIs" dxfId="16849" priority="4531" stopIfTrue="1" operator="equal">
      <formula>"Towel"</formula>
    </cfRule>
    <cfRule type="cellIs" dxfId="16848" priority="4532" stopIfTrue="1" operator="equal">
      <formula>"Napkin Hs"</formula>
    </cfRule>
    <cfRule type="cellIs" dxfId="16847" priority="4535" stopIfTrue="1" operator="equal">
      <formula>"Towel"</formula>
    </cfRule>
    <cfRule type="cellIs" dxfId="16846" priority="4536" stopIfTrue="1" operator="equal">
      <formula>"Napkin Hs"</formula>
    </cfRule>
    <cfRule type="cellIs" dxfId="16845" priority="4537" stopIfTrue="1" operator="equal">
      <formula>"Towel"</formula>
    </cfRule>
    <cfRule type="cellIs" dxfId="16844" priority="4538" stopIfTrue="1" operator="equal">
      <formula>"Napkin Hs"</formula>
    </cfRule>
    <cfRule type="cellIs" dxfId="16843" priority="4541" stopIfTrue="1" operator="equal">
      <formula>"Towel"</formula>
    </cfRule>
    <cfRule type="cellIs" dxfId="16842" priority="4542" stopIfTrue="1" operator="equal">
      <formula>"Napkin Hs"</formula>
    </cfRule>
    <cfRule type="cellIs" dxfId="16841" priority="4543" stopIfTrue="1" operator="equal">
      <formula>"Towel"</formula>
    </cfRule>
    <cfRule type="cellIs" dxfId="16840" priority="4544" stopIfTrue="1" operator="equal">
      <formula>"Napkin Hs"</formula>
    </cfRule>
    <cfRule type="cellIs" dxfId="16839" priority="4547" stopIfTrue="1" operator="equal">
      <formula>"Towel"</formula>
    </cfRule>
    <cfRule type="cellIs" dxfId="16838" priority="4548" stopIfTrue="1" operator="equal">
      <formula>"Napkin Hs"</formula>
    </cfRule>
    <cfRule type="cellIs" dxfId="16837" priority="4549" stopIfTrue="1" operator="equal">
      <formula>"Towel"</formula>
    </cfRule>
    <cfRule type="cellIs" dxfId="16836" priority="4550" stopIfTrue="1" operator="equal">
      <formula>"Napkin Hs"</formula>
    </cfRule>
  </conditionalFormatting>
  <conditionalFormatting sqref="C89">
    <cfRule type="cellIs" dxfId="16835" priority="4523" stopIfTrue="1" operator="equal">
      <formula>"Towel"</formula>
    </cfRule>
    <cfRule type="cellIs" dxfId="16834" priority="4524" stopIfTrue="1" operator="equal">
      <formula>"Napkin Hs"</formula>
    </cfRule>
  </conditionalFormatting>
  <conditionalFormatting sqref="C89">
    <cfRule type="cellIs" dxfId="16833" priority="4503" stopIfTrue="1" operator="equal">
      <formula>"Towel"</formula>
    </cfRule>
    <cfRule type="cellIs" dxfId="16832" priority="4504" stopIfTrue="1" operator="equal">
      <formula>"Napkin Hs"</formula>
    </cfRule>
    <cfRule type="cellIs" dxfId="16831" priority="4509" stopIfTrue="1" operator="equal">
      <formula>"Towel"</formula>
    </cfRule>
    <cfRule type="cellIs" dxfId="16830" priority="4510" stopIfTrue="1" operator="equal">
      <formula>"Napkin Hs"</formula>
    </cfRule>
    <cfRule type="cellIs" dxfId="16829" priority="4515" stopIfTrue="1" operator="equal">
      <formula>"Towel"</formula>
    </cfRule>
    <cfRule type="cellIs" dxfId="16828" priority="4516" stopIfTrue="1" operator="equal">
      <formula>"Napkin Hs"</formula>
    </cfRule>
    <cfRule type="cellIs" dxfId="16827" priority="4521" stopIfTrue="1" operator="equal">
      <formula>"Towel"</formula>
    </cfRule>
    <cfRule type="cellIs" dxfId="16826" priority="4522" stopIfTrue="1" operator="equal">
      <formula>"Napkin Hs"</formula>
    </cfRule>
  </conditionalFormatting>
  <conditionalFormatting sqref="C89">
    <cfRule type="cellIs" dxfId="16825" priority="4513" stopIfTrue="1" operator="equal">
      <formula>"Towel"</formula>
    </cfRule>
    <cfRule type="cellIs" dxfId="16824" priority="4514" stopIfTrue="1" operator="equal">
      <formula>"Napkin Hs"</formula>
    </cfRule>
    <cfRule type="cellIs" dxfId="16823" priority="4519" stopIfTrue="1" operator="equal">
      <formula>"Towel"</formula>
    </cfRule>
    <cfRule type="cellIs" dxfId="16822" priority="4520" stopIfTrue="1" operator="equal">
      <formula>"Napkin Hs"</formula>
    </cfRule>
  </conditionalFormatting>
  <conditionalFormatting sqref="C89">
    <cfRule type="cellIs" dxfId="16821" priority="4499" stopIfTrue="1" operator="equal">
      <formula>"Towel"</formula>
    </cfRule>
    <cfRule type="cellIs" dxfId="16820" priority="4500" stopIfTrue="1" operator="equal">
      <formula>"Napkin Hs"</formula>
    </cfRule>
    <cfRule type="cellIs" dxfId="16819" priority="4507" stopIfTrue="1" operator="equal">
      <formula>"Towel"</formula>
    </cfRule>
    <cfRule type="cellIs" dxfId="16818" priority="4508" stopIfTrue="1" operator="equal">
      <formula>"Napkin Hs"</formula>
    </cfRule>
    <cfRule type="cellIs" dxfId="16817" priority="4511" stopIfTrue="1" operator="equal">
      <formula>"Towel"</formula>
    </cfRule>
    <cfRule type="cellIs" dxfId="16816" priority="4512" stopIfTrue="1" operator="equal">
      <formula>"Napkin Hs"</formula>
    </cfRule>
  </conditionalFormatting>
  <conditionalFormatting sqref="C89">
    <cfRule type="cellIs" dxfId="16815" priority="4501" stopIfTrue="1" operator="equal">
      <formula>"Towel"</formula>
    </cfRule>
    <cfRule type="cellIs" dxfId="16814" priority="4502" stopIfTrue="1" operator="equal">
      <formula>"Napkin Hs"</formula>
    </cfRule>
    <cfRule type="cellIs" dxfId="16813" priority="4505" stopIfTrue="1" operator="equal">
      <formula>"Towel"</formula>
    </cfRule>
    <cfRule type="cellIs" dxfId="16812" priority="4506" stopIfTrue="1" operator="equal">
      <formula>"Napkin Hs"</formula>
    </cfRule>
    <cfRule type="cellIs" dxfId="16811" priority="4517" stopIfTrue="1" operator="equal">
      <formula>"Towel"</formula>
    </cfRule>
    <cfRule type="cellIs" dxfId="16810" priority="4518" stopIfTrue="1" operator="equal">
      <formula>"Napkin Hs"</formula>
    </cfRule>
  </conditionalFormatting>
  <conditionalFormatting sqref="C89">
    <cfRule type="cellIs" dxfId="16809" priority="4497" stopIfTrue="1" operator="equal">
      <formula>"Towel"</formula>
    </cfRule>
    <cfRule type="cellIs" dxfId="16808" priority="4498" stopIfTrue="1" operator="equal">
      <formula>"Napkin Hs"</formula>
    </cfRule>
  </conditionalFormatting>
  <conditionalFormatting sqref="C89">
    <cfRule type="cellIs" dxfId="16807" priority="4493" stopIfTrue="1" operator="equal">
      <formula>"Towel"</formula>
    </cfRule>
    <cfRule type="cellIs" dxfId="16806" priority="4494" stopIfTrue="1" operator="equal">
      <formula>"Napkin Hs"</formula>
    </cfRule>
  </conditionalFormatting>
  <conditionalFormatting sqref="C89">
    <cfRule type="cellIs" dxfId="16805" priority="4495" stopIfTrue="1" operator="equal">
      <formula>"Towel"</formula>
    </cfRule>
    <cfRule type="cellIs" dxfId="16804" priority="4496" stopIfTrue="1" operator="equal">
      <formula>"Napkin Hs"</formula>
    </cfRule>
  </conditionalFormatting>
  <conditionalFormatting sqref="C89">
    <cfRule type="cellIs" dxfId="16803" priority="4491" stopIfTrue="1" operator="equal">
      <formula>"Towel"</formula>
    </cfRule>
    <cfRule type="cellIs" dxfId="16802" priority="4492" stopIfTrue="1" operator="equal">
      <formula>"Napkin Hs"</formula>
    </cfRule>
  </conditionalFormatting>
  <conditionalFormatting sqref="C89">
    <cfRule type="cellIs" dxfId="16801" priority="4487" stopIfTrue="1" operator="equal">
      <formula>"Towel"</formula>
    </cfRule>
    <cfRule type="cellIs" dxfId="16800" priority="4488" stopIfTrue="1" operator="equal">
      <formula>"Napkin Hs"</formula>
    </cfRule>
  </conditionalFormatting>
  <conditionalFormatting sqref="C89">
    <cfRule type="cellIs" dxfId="16799" priority="4489" stopIfTrue="1" operator="equal">
      <formula>"Towel"</formula>
    </cfRule>
    <cfRule type="cellIs" dxfId="16798" priority="4490" stopIfTrue="1" operator="equal">
      <formula>"Napkin Hs"</formula>
    </cfRule>
  </conditionalFormatting>
  <conditionalFormatting sqref="C89">
    <cfRule type="cellIs" dxfId="16797" priority="4485" stopIfTrue="1" operator="equal">
      <formula>"Towel"</formula>
    </cfRule>
    <cfRule type="cellIs" dxfId="16796" priority="4486" stopIfTrue="1" operator="equal">
      <formula>"Napkin Hs"</formula>
    </cfRule>
  </conditionalFormatting>
  <conditionalFormatting sqref="C89">
    <cfRule type="cellIs" dxfId="16795" priority="4481" stopIfTrue="1" operator="equal">
      <formula>"Towel"</formula>
    </cfRule>
    <cfRule type="cellIs" dxfId="16794" priority="4482" stopIfTrue="1" operator="equal">
      <formula>"Napkin Hs"</formula>
    </cfRule>
  </conditionalFormatting>
  <conditionalFormatting sqref="C89">
    <cfRule type="cellIs" dxfId="16793" priority="4483" stopIfTrue="1" operator="equal">
      <formula>"Towel"</formula>
    </cfRule>
    <cfRule type="cellIs" dxfId="16792" priority="4484" stopIfTrue="1" operator="equal">
      <formula>"Napkin Hs"</formula>
    </cfRule>
  </conditionalFormatting>
  <conditionalFormatting sqref="C89">
    <cfRule type="cellIs" dxfId="16791" priority="4479" stopIfTrue="1" operator="equal">
      <formula>"Towel"</formula>
    </cfRule>
    <cfRule type="cellIs" dxfId="16790" priority="4480" stopIfTrue="1" operator="equal">
      <formula>"Napkin Hs"</formula>
    </cfRule>
  </conditionalFormatting>
  <conditionalFormatting sqref="C89">
    <cfRule type="cellIs" dxfId="16789" priority="4477" stopIfTrue="1" operator="equal">
      <formula>"Towel"</formula>
    </cfRule>
    <cfRule type="cellIs" dxfId="16788" priority="4478" stopIfTrue="1" operator="equal">
      <formula>"Napkin Hs"</formula>
    </cfRule>
  </conditionalFormatting>
  <conditionalFormatting sqref="C89">
    <cfRule type="cellIs" dxfId="16787" priority="4475" stopIfTrue="1" operator="equal">
      <formula>"Towel"</formula>
    </cfRule>
    <cfRule type="cellIs" dxfId="16786" priority="4476" stopIfTrue="1" operator="equal">
      <formula>"Napkin Hs"</formula>
    </cfRule>
  </conditionalFormatting>
  <conditionalFormatting sqref="C89">
    <cfRule type="cellIs" dxfId="16785" priority="4473" stopIfTrue="1" operator="equal">
      <formula>"Towel"</formula>
    </cfRule>
    <cfRule type="cellIs" dxfId="16784" priority="4474" stopIfTrue="1" operator="equal">
      <formula>"Napkin Hs"</formula>
    </cfRule>
  </conditionalFormatting>
  <conditionalFormatting sqref="C89">
    <cfRule type="cellIs" dxfId="16783" priority="4472" stopIfTrue="1" operator="equal">
      <formula>"Napkin Hs"</formula>
    </cfRule>
  </conditionalFormatting>
  <conditionalFormatting sqref="C89">
    <cfRule type="cellIs" dxfId="16782" priority="4469" stopIfTrue="1" operator="equal">
      <formula>"Towel"</formula>
    </cfRule>
    <cfRule type="cellIs" dxfId="16781" priority="4470" stopIfTrue="1" operator="equal">
      <formula>"Napkin Hs"</formula>
    </cfRule>
  </conditionalFormatting>
  <conditionalFormatting sqref="C89">
    <cfRule type="cellIs" dxfId="16780" priority="4471" stopIfTrue="1" operator="equal">
      <formula>"Towel"</formula>
    </cfRule>
  </conditionalFormatting>
  <conditionalFormatting sqref="B89">
    <cfRule type="cellIs" dxfId="16779" priority="4467" stopIfTrue="1" operator="equal">
      <formula>"Towel"</formula>
    </cfRule>
    <cfRule type="cellIs" dxfId="16778" priority="4468" stopIfTrue="1" operator="equal">
      <formula>"Napkin Hs"</formula>
    </cfRule>
  </conditionalFormatting>
  <conditionalFormatting sqref="B89">
    <cfRule type="cellIs" dxfId="16777" priority="4465" stopIfTrue="1" operator="equal">
      <formula>"Towel"</formula>
    </cfRule>
    <cfRule type="cellIs" dxfId="16776" priority="4466" stopIfTrue="1" operator="equal">
      <formula>"Napkin Hs"</formula>
    </cfRule>
  </conditionalFormatting>
  <conditionalFormatting sqref="B89">
    <cfRule type="cellIs" dxfId="16775" priority="4463" stopIfTrue="1" operator="equal">
      <formula>"Towel"</formula>
    </cfRule>
    <cfRule type="cellIs" dxfId="16774" priority="4464" stopIfTrue="1" operator="equal">
      <formula>"Napkin Hs"</formula>
    </cfRule>
  </conditionalFormatting>
  <conditionalFormatting sqref="B89">
    <cfRule type="cellIs" dxfId="16773" priority="4461" stopIfTrue="1" operator="equal">
      <formula>"Towel"</formula>
    </cfRule>
    <cfRule type="cellIs" dxfId="16772" priority="4462" stopIfTrue="1" operator="equal">
      <formula>"Napkin Hs"</formula>
    </cfRule>
  </conditionalFormatting>
  <conditionalFormatting sqref="B89">
    <cfRule type="cellIs" dxfId="16771" priority="4459" stopIfTrue="1" operator="equal">
      <formula>"Towel"</formula>
    </cfRule>
    <cfRule type="cellIs" dxfId="16770" priority="4460" stopIfTrue="1" operator="equal">
      <formula>"Napkin Hs"</formula>
    </cfRule>
  </conditionalFormatting>
  <conditionalFormatting sqref="B89">
    <cfRule type="cellIs" dxfId="16769" priority="4457" stopIfTrue="1" operator="equal">
      <formula>"Towel"</formula>
    </cfRule>
    <cfRule type="cellIs" dxfId="16768" priority="4458" stopIfTrue="1" operator="equal">
      <formula>"Napkin Hs"</formula>
    </cfRule>
  </conditionalFormatting>
  <conditionalFormatting sqref="B89">
    <cfRule type="cellIs" dxfId="16767" priority="4453" stopIfTrue="1" operator="equal">
      <formula>"Towel"</formula>
    </cfRule>
    <cfRule type="cellIs" dxfId="16766" priority="4454" stopIfTrue="1" operator="equal">
      <formula>"Napkin Hs"</formula>
    </cfRule>
    <cfRule type="cellIs" dxfId="16765" priority="4455" stopIfTrue="1" operator="equal">
      <formula>"Towel"</formula>
    </cfRule>
    <cfRule type="cellIs" dxfId="16764" priority="4456" stopIfTrue="1" operator="equal">
      <formula>"Napkin Hs"</formula>
    </cfRule>
  </conditionalFormatting>
  <conditionalFormatting sqref="B89">
    <cfRule type="cellIs" dxfId="16763" priority="4451" stopIfTrue="1" operator="equal">
      <formula>"Towel"</formula>
    </cfRule>
    <cfRule type="cellIs" dxfId="16762" priority="4452" stopIfTrue="1" operator="equal">
      <formula>"Napkin Hs"</formula>
    </cfRule>
  </conditionalFormatting>
  <conditionalFormatting sqref="B89">
    <cfRule type="cellIs" dxfId="16761" priority="4449" stopIfTrue="1" operator="equal">
      <formula>"Towel"</formula>
    </cfRule>
    <cfRule type="cellIs" dxfId="16760" priority="4450" stopIfTrue="1" operator="equal">
      <formula>"Napkin Hs"</formula>
    </cfRule>
  </conditionalFormatting>
  <conditionalFormatting sqref="B89">
    <cfRule type="cellIs" dxfId="16759" priority="4447" stopIfTrue="1" operator="equal">
      <formula>"Towel"</formula>
    </cfRule>
    <cfRule type="cellIs" dxfId="16758" priority="4448" stopIfTrue="1" operator="equal">
      <formula>"Napkin Hs"</formula>
    </cfRule>
  </conditionalFormatting>
  <conditionalFormatting sqref="B89">
    <cfRule type="cellIs" dxfId="16757" priority="4445" stopIfTrue="1" operator="equal">
      <formula>"Towel"</formula>
    </cfRule>
    <cfRule type="cellIs" dxfId="16756" priority="4446" stopIfTrue="1" operator="equal">
      <formula>"Napkin Hs"</formula>
    </cfRule>
  </conditionalFormatting>
  <conditionalFormatting sqref="B89">
    <cfRule type="cellIs" dxfId="16755" priority="4443" stopIfTrue="1" operator="equal">
      <formula>"Towel"</formula>
    </cfRule>
    <cfRule type="cellIs" dxfId="16754" priority="4444" stopIfTrue="1" operator="equal">
      <formula>"Napkin Hs"</formula>
    </cfRule>
  </conditionalFormatting>
  <conditionalFormatting sqref="B89:C89">
    <cfRule type="cellIs" dxfId="16753" priority="4429" stopIfTrue="1" operator="equal">
      <formula>"Towel"</formula>
    </cfRule>
    <cfRule type="cellIs" dxfId="16752" priority="4430" stopIfTrue="1" operator="equal">
      <formula>"Napkin Hs"</formula>
    </cfRule>
    <cfRule type="cellIs" dxfId="16751" priority="4435" stopIfTrue="1" operator="equal">
      <formula>"Towel"</formula>
    </cfRule>
    <cfRule type="cellIs" dxfId="16750" priority="4436" stopIfTrue="1" operator="equal">
      <formula>"Napkin Hs"</formula>
    </cfRule>
    <cfRule type="cellIs" dxfId="16749" priority="4441" stopIfTrue="1" operator="equal">
      <formula>"Towel"</formula>
    </cfRule>
    <cfRule type="cellIs" dxfId="16748" priority="4442" stopIfTrue="1" operator="equal">
      <formula>"Napkin Hs"</formula>
    </cfRule>
  </conditionalFormatting>
  <conditionalFormatting sqref="C89">
    <cfRule type="cellIs" dxfId="16747" priority="4423" stopIfTrue="1" operator="equal">
      <formula>"Towel"</formula>
    </cfRule>
    <cfRule type="cellIs" dxfId="16746" priority="4424" stopIfTrue="1" operator="equal">
      <formula>"Napkin Hs"</formula>
    </cfRule>
    <cfRule type="cellIs" dxfId="16745" priority="4425" stopIfTrue="1" operator="equal">
      <formula>"Towel"</formula>
    </cfRule>
    <cfRule type="cellIs" dxfId="16744" priority="4426" stopIfTrue="1" operator="equal">
      <formula>"Napkin Hs"</formula>
    </cfRule>
    <cfRule type="cellIs" dxfId="16743" priority="4433" stopIfTrue="1" operator="equal">
      <formula>"Towel"</formula>
    </cfRule>
    <cfRule type="cellIs" dxfId="16742" priority="4434" stopIfTrue="1" operator="equal">
      <formula>"Napkin Hs"</formula>
    </cfRule>
    <cfRule type="cellIs" dxfId="16741" priority="4437" stopIfTrue="1" operator="equal">
      <formula>"Towel"</formula>
    </cfRule>
    <cfRule type="cellIs" dxfId="16740" priority="4438" stopIfTrue="1" operator="equal">
      <formula>"Napkin Hs"</formula>
    </cfRule>
  </conditionalFormatting>
  <conditionalFormatting sqref="C89">
    <cfRule type="cellIs" dxfId="16739" priority="4427" stopIfTrue="1" operator="equal">
      <formula>"Towel"</formula>
    </cfRule>
    <cfRule type="cellIs" dxfId="16738" priority="4428" stopIfTrue="1" operator="equal">
      <formula>"Napkin Hs"</formula>
    </cfRule>
    <cfRule type="cellIs" dxfId="16737" priority="4431" stopIfTrue="1" operator="equal">
      <formula>"Towel"</formula>
    </cfRule>
    <cfRule type="cellIs" dxfId="16736" priority="4432" stopIfTrue="1" operator="equal">
      <formula>"Napkin Hs"</formula>
    </cfRule>
    <cfRule type="cellIs" dxfId="16735" priority="4439" stopIfTrue="1" operator="equal">
      <formula>"Towel"</formula>
    </cfRule>
    <cfRule type="cellIs" dxfId="16734" priority="4440" stopIfTrue="1" operator="equal">
      <formula>"Napkin Hs"</formula>
    </cfRule>
  </conditionalFormatting>
  <conditionalFormatting sqref="B89:C89">
    <cfRule type="cellIs" dxfId="16733" priority="4421" stopIfTrue="1" operator="equal">
      <formula>"Towel"</formula>
    </cfRule>
    <cfRule type="cellIs" dxfId="16732" priority="4422" stopIfTrue="1" operator="equal">
      <formula>"Napkin Hs"</formula>
    </cfRule>
  </conditionalFormatting>
  <conditionalFormatting sqref="B89:C89">
    <cfRule type="cellIs" dxfId="16731" priority="4413" stopIfTrue="1" operator="equal">
      <formula>"Towel"</formula>
    </cfRule>
    <cfRule type="cellIs" dxfId="16730" priority="4414" stopIfTrue="1" operator="equal">
      <formula>"Napkin Hs"</formula>
    </cfRule>
    <cfRule type="cellIs" dxfId="16729" priority="4419" stopIfTrue="1" operator="equal">
      <formula>"Towel"</formula>
    </cfRule>
    <cfRule type="cellIs" dxfId="16728" priority="4420" stopIfTrue="1" operator="equal">
      <formula>"Napkin Hs"</formula>
    </cfRule>
  </conditionalFormatting>
  <conditionalFormatting sqref="C89">
    <cfRule type="cellIs" dxfId="16727" priority="4409" stopIfTrue="1" operator="equal">
      <formula>"Towel"</formula>
    </cfRule>
    <cfRule type="cellIs" dxfId="16726" priority="4410" stopIfTrue="1" operator="equal">
      <formula>"Napkin Hs"</formula>
    </cfRule>
  </conditionalFormatting>
  <conditionalFormatting sqref="C89">
    <cfRule type="cellIs" dxfId="16725" priority="4407" stopIfTrue="1" operator="equal">
      <formula>"Towel"</formula>
    </cfRule>
    <cfRule type="cellIs" dxfId="16724" priority="4408" stopIfTrue="1" operator="equal">
      <formula>"Napkin Hs"</formula>
    </cfRule>
    <cfRule type="cellIs" dxfId="16723" priority="4417" stopIfTrue="1" operator="equal">
      <formula>"Towel"</formula>
    </cfRule>
    <cfRule type="cellIs" dxfId="16722" priority="4418" stopIfTrue="1" operator="equal">
      <formula>"Napkin Hs"</formula>
    </cfRule>
  </conditionalFormatting>
  <conditionalFormatting sqref="C89">
    <cfRule type="cellIs" dxfId="16721" priority="4411" stopIfTrue="1" operator="equal">
      <formula>"Towel"</formula>
    </cfRule>
    <cfRule type="cellIs" dxfId="16720" priority="4412" stopIfTrue="1" operator="equal">
      <formula>"Napkin Hs"</formula>
    </cfRule>
    <cfRule type="cellIs" dxfId="16719" priority="4415" stopIfTrue="1" operator="equal">
      <formula>"Towel"</formula>
    </cfRule>
    <cfRule type="cellIs" dxfId="16718" priority="4416" stopIfTrue="1" operator="equal">
      <formula>"Napkin Hs"</formula>
    </cfRule>
  </conditionalFormatting>
  <conditionalFormatting sqref="C89">
    <cfRule type="cellIs" dxfId="16717" priority="4406" stopIfTrue="1" operator="equal">
      <formula>"Napkin Hs"</formula>
    </cfRule>
  </conditionalFormatting>
  <conditionalFormatting sqref="C89">
    <cfRule type="cellIs" dxfId="16716" priority="4405" stopIfTrue="1" operator="equal">
      <formula>"Towel"</formula>
    </cfRule>
  </conditionalFormatting>
  <conditionalFormatting sqref="C89">
    <cfRule type="cellIs" dxfId="16715" priority="4401" stopIfTrue="1" operator="equal">
      <formula>"Towel"</formula>
    </cfRule>
    <cfRule type="cellIs" dxfId="16714" priority="4402" stopIfTrue="1" operator="equal">
      <formula>"Napkin Hs"</formula>
    </cfRule>
    <cfRule type="cellIs" dxfId="16713" priority="4403" stopIfTrue="1" operator="equal">
      <formula>"Towel"</formula>
    </cfRule>
    <cfRule type="cellIs" dxfId="16712" priority="4404" stopIfTrue="1" operator="equal">
      <formula>"Napkin Hs"</formula>
    </cfRule>
  </conditionalFormatting>
  <conditionalFormatting sqref="B89:C89">
    <cfRule type="cellIs" dxfId="16711" priority="4399" stopIfTrue="1" operator="equal">
      <formula>"Towel"</formula>
    </cfRule>
    <cfRule type="cellIs" dxfId="16710" priority="4400" stopIfTrue="1" operator="equal">
      <formula>"Napkin Hs"</formula>
    </cfRule>
  </conditionalFormatting>
  <conditionalFormatting sqref="C89">
    <cfRule type="cellIs" dxfId="16709" priority="4395" stopIfTrue="1" operator="equal">
      <formula>"Towel"</formula>
    </cfRule>
    <cfRule type="cellIs" dxfId="16708" priority="4396" stopIfTrue="1" operator="equal">
      <formula>"Napkin Hs"</formula>
    </cfRule>
  </conditionalFormatting>
  <conditionalFormatting sqref="C89">
    <cfRule type="cellIs" dxfId="16707" priority="4397" stopIfTrue="1" operator="equal">
      <formula>"Towel"</formula>
    </cfRule>
    <cfRule type="cellIs" dxfId="16706" priority="4398" stopIfTrue="1" operator="equal">
      <formula>"Napkin Hs"</formula>
    </cfRule>
  </conditionalFormatting>
  <conditionalFormatting sqref="B89:C89">
    <cfRule type="cellIs" dxfId="16705" priority="4393" stopIfTrue="1" operator="equal">
      <formula>"Towel"</formula>
    </cfRule>
    <cfRule type="cellIs" dxfId="16704" priority="4394" stopIfTrue="1" operator="equal">
      <formula>"Napkin Hs"</formula>
    </cfRule>
  </conditionalFormatting>
  <conditionalFormatting sqref="C89">
    <cfRule type="cellIs" dxfId="16703" priority="4389" stopIfTrue="1" operator="equal">
      <formula>"Towel"</formula>
    </cfRule>
    <cfRule type="cellIs" dxfId="16702" priority="4390" stopIfTrue="1" operator="equal">
      <formula>"Napkin Hs"</formula>
    </cfRule>
  </conditionalFormatting>
  <conditionalFormatting sqref="C89">
    <cfRule type="cellIs" dxfId="16701" priority="4391" stopIfTrue="1" operator="equal">
      <formula>"Towel"</formula>
    </cfRule>
    <cfRule type="cellIs" dxfId="16700" priority="4392" stopIfTrue="1" operator="equal">
      <formula>"Napkin Hs"</formula>
    </cfRule>
  </conditionalFormatting>
  <conditionalFormatting sqref="B89:C89">
    <cfRule type="cellIs" dxfId="16699" priority="4387" stopIfTrue="1" operator="equal">
      <formula>"Towel"</formula>
    </cfRule>
    <cfRule type="cellIs" dxfId="16698" priority="4388" stopIfTrue="1" operator="equal">
      <formula>"Napkin Hs"</formula>
    </cfRule>
  </conditionalFormatting>
  <conditionalFormatting sqref="C89">
    <cfRule type="cellIs" dxfId="16697" priority="4383" stopIfTrue="1" operator="equal">
      <formula>"Towel"</formula>
    </cfRule>
    <cfRule type="cellIs" dxfId="16696" priority="4384" stopIfTrue="1" operator="equal">
      <formula>"Napkin Hs"</formula>
    </cfRule>
  </conditionalFormatting>
  <conditionalFormatting sqref="C89">
    <cfRule type="cellIs" dxfId="16695" priority="4385" stopIfTrue="1" operator="equal">
      <formula>"Towel"</formula>
    </cfRule>
    <cfRule type="cellIs" dxfId="16694" priority="4386" stopIfTrue="1" operator="equal">
      <formula>"Napkin Hs"</formula>
    </cfRule>
  </conditionalFormatting>
  <conditionalFormatting sqref="B89:C89">
    <cfRule type="cellIs" dxfId="16693" priority="4381" stopIfTrue="1" operator="equal">
      <formula>"Towel"</formula>
    </cfRule>
    <cfRule type="cellIs" dxfId="16692" priority="4382" stopIfTrue="1" operator="equal">
      <formula>"Napkin Hs"</formula>
    </cfRule>
  </conditionalFormatting>
  <conditionalFormatting sqref="C89">
    <cfRule type="cellIs" dxfId="16691" priority="4379" stopIfTrue="1" operator="equal">
      <formula>"Towel"</formula>
    </cfRule>
    <cfRule type="cellIs" dxfId="16690" priority="4380" stopIfTrue="1" operator="equal">
      <formula>"Napkin Hs"</formula>
    </cfRule>
  </conditionalFormatting>
  <conditionalFormatting sqref="C89">
    <cfRule type="cellIs" dxfId="16689" priority="4377" stopIfTrue="1" operator="equal">
      <formula>"Towel"</formula>
    </cfRule>
    <cfRule type="cellIs" dxfId="16688" priority="4378" stopIfTrue="1" operator="equal">
      <formula>"Napkin Hs"</formula>
    </cfRule>
  </conditionalFormatting>
  <conditionalFormatting sqref="B89:C89">
    <cfRule type="cellIs" dxfId="16687" priority="4375" stopIfTrue="1" operator="equal">
      <formula>"Towel"</formula>
    </cfRule>
    <cfRule type="cellIs" dxfId="16686" priority="4376" stopIfTrue="1" operator="equal">
      <formula>"Napkin Hs"</formula>
    </cfRule>
  </conditionalFormatting>
  <conditionalFormatting sqref="C89">
    <cfRule type="cellIs" dxfId="16685" priority="4374" stopIfTrue="1" operator="equal">
      <formula>"Napkin Hs"</formula>
    </cfRule>
  </conditionalFormatting>
  <conditionalFormatting sqref="C89">
    <cfRule type="cellIs" dxfId="16684" priority="4371" stopIfTrue="1" operator="equal">
      <formula>"Towel"</formula>
    </cfRule>
    <cfRule type="cellIs" dxfId="16683" priority="4372" stopIfTrue="1" operator="equal">
      <formula>"Napkin Hs"</formula>
    </cfRule>
  </conditionalFormatting>
  <conditionalFormatting sqref="C89">
    <cfRule type="cellIs" dxfId="16682" priority="4373" stopIfTrue="1" operator="equal">
      <formula>"Towel"</formula>
    </cfRule>
  </conditionalFormatting>
  <conditionalFormatting sqref="B93:C93">
    <cfRule type="cellIs" dxfId="16681" priority="4335" stopIfTrue="1" operator="equal">
      <formula>"Towel"</formula>
    </cfRule>
    <cfRule type="cellIs" dxfId="16680" priority="4336" stopIfTrue="1" operator="equal">
      <formula>"Napkin Hs"</formula>
    </cfRule>
    <cfRule type="cellIs" dxfId="16679" priority="4341" stopIfTrue="1" operator="equal">
      <formula>"Towel"</formula>
    </cfRule>
    <cfRule type="cellIs" dxfId="16678" priority="4342" stopIfTrue="1" operator="equal">
      <formula>"Napkin Hs"</formula>
    </cfRule>
    <cfRule type="cellIs" dxfId="16677" priority="4347" stopIfTrue="1" operator="equal">
      <formula>"Towel"</formula>
    </cfRule>
    <cfRule type="cellIs" dxfId="16676" priority="4348" stopIfTrue="1" operator="equal">
      <formula>"Napkin Hs"</formula>
    </cfRule>
    <cfRule type="cellIs" dxfId="16675" priority="4353" stopIfTrue="1" operator="equal">
      <formula>"Towel"</formula>
    </cfRule>
    <cfRule type="cellIs" dxfId="16674" priority="4354" stopIfTrue="1" operator="equal">
      <formula>"Napkin Hs"</formula>
    </cfRule>
    <cfRule type="cellIs" dxfId="16673" priority="4359" stopIfTrue="1" operator="equal">
      <formula>"Towel"</formula>
    </cfRule>
    <cfRule type="cellIs" dxfId="16672" priority="4360" stopIfTrue="1" operator="equal">
      <formula>"Napkin Hs"</formula>
    </cfRule>
    <cfRule type="cellIs" dxfId="16671" priority="4365" stopIfTrue="1" operator="equal">
      <formula>"Towel"</formula>
    </cfRule>
    <cfRule type="cellIs" dxfId="16670" priority="4366" stopIfTrue="1" operator="equal">
      <formula>"Napkin Hs"</formula>
    </cfRule>
  </conditionalFormatting>
  <conditionalFormatting sqref="B94:C94">
    <cfRule type="cellIs" dxfId="16669" priority="4369" stopIfTrue="1" operator="equal">
      <formula>"Towel"</formula>
    </cfRule>
    <cfRule type="cellIs" dxfId="16668" priority="4370" stopIfTrue="1" operator="equal">
      <formula>"Napkin Hs"</formula>
    </cfRule>
  </conditionalFormatting>
  <conditionalFormatting sqref="C93">
    <cfRule type="cellIs" dxfId="16667" priority="4331" stopIfTrue="1" operator="equal">
      <formula>"Towel"</formula>
    </cfRule>
    <cfRule type="cellIs" dxfId="16666" priority="4332" stopIfTrue="1" operator="equal">
      <formula>"Napkin Hs"</formula>
    </cfRule>
  </conditionalFormatting>
  <conditionalFormatting sqref="C93">
    <cfRule type="cellIs" dxfId="16665" priority="4333" stopIfTrue="1" operator="equal">
      <formula>"Towel"</formula>
    </cfRule>
    <cfRule type="cellIs" dxfId="16664" priority="4334" stopIfTrue="1" operator="equal">
      <formula>"Napkin Hs"</formula>
    </cfRule>
    <cfRule type="cellIs" dxfId="16663" priority="4337" stopIfTrue="1" operator="equal">
      <formula>"Towel"</formula>
    </cfRule>
    <cfRule type="cellIs" dxfId="16662" priority="4338" stopIfTrue="1" operator="equal">
      <formula>"Napkin Hs"</formula>
    </cfRule>
    <cfRule type="cellIs" dxfId="16661" priority="4339" stopIfTrue="1" operator="equal">
      <formula>"Towel"</formula>
    </cfRule>
    <cfRule type="cellIs" dxfId="16660" priority="4340" stopIfTrue="1" operator="equal">
      <formula>"Napkin Hs"</formula>
    </cfRule>
    <cfRule type="cellIs" dxfId="16659" priority="4343" stopIfTrue="1" operator="equal">
      <formula>"Towel"</formula>
    </cfRule>
    <cfRule type="cellIs" dxfId="16658" priority="4344" stopIfTrue="1" operator="equal">
      <formula>"Napkin Hs"</formula>
    </cfRule>
    <cfRule type="cellIs" dxfId="16657" priority="4345" stopIfTrue="1" operator="equal">
      <formula>"Towel"</formula>
    </cfRule>
    <cfRule type="cellIs" dxfId="16656" priority="4346" stopIfTrue="1" operator="equal">
      <formula>"Napkin Hs"</formula>
    </cfRule>
    <cfRule type="cellIs" dxfId="16655" priority="4349" stopIfTrue="1" operator="equal">
      <formula>"Towel"</formula>
    </cfRule>
    <cfRule type="cellIs" dxfId="16654" priority="4350" stopIfTrue="1" operator="equal">
      <formula>"Napkin Hs"</formula>
    </cfRule>
    <cfRule type="cellIs" dxfId="16653" priority="4351" stopIfTrue="1" operator="equal">
      <formula>"Towel"</formula>
    </cfRule>
    <cfRule type="cellIs" dxfId="16652" priority="4352" stopIfTrue="1" operator="equal">
      <formula>"Napkin Hs"</formula>
    </cfRule>
    <cfRule type="cellIs" dxfId="16651" priority="4355" stopIfTrue="1" operator="equal">
      <formula>"Towel"</formula>
    </cfRule>
    <cfRule type="cellIs" dxfId="16650" priority="4356" stopIfTrue="1" operator="equal">
      <formula>"Napkin Hs"</formula>
    </cfRule>
    <cfRule type="cellIs" dxfId="16649" priority="4357" stopIfTrue="1" operator="equal">
      <formula>"Towel"</formula>
    </cfRule>
    <cfRule type="cellIs" dxfId="16648" priority="4358" stopIfTrue="1" operator="equal">
      <formula>"Napkin Hs"</formula>
    </cfRule>
    <cfRule type="cellIs" dxfId="16647" priority="4361" stopIfTrue="1" operator="equal">
      <formula>"Towel"</formula>
    </cfRule>
    <cfRule type="cellIs" dxfId="16646" priority="4362" stopIfTrue="1" operator="equal">
      <formula>"Napkin Hs"</formula>
    </cfRule>
  </conditionalFormatting>
  <conditionalFormatting sqref="C93:C94">
    <cfRule type="cellIs" dxfId="16645" priority="4363" stopIfTrue="1" operator="equal">
      <formula>"Towel"</formula>
    </cfRule>
    <cfRule type="cellIs" dxfId="16644" priority="4364" stopIfTrue="1" operator="equal">
      <formula>"Napkin Hs"</formula>
    </cfRule>
  </conditionalFormatting>
  <conditionalFormatting sqref="C94">
    <cfRule type="cellIs" dxfId="16643" priority="4367" stopIfTrue="1" operator="equal">
      <formula>"Towel"</formula>
    </cfRule>
    <cfRule type="cellIs" dxfId="16642" priority="4368" stopIfTrue="1" operator="equal">
      <formula>"Napkin Hs"</formula>
    </cfRule>
  </conditionalFormatting>
  <conditionalFormatting sqref="B93:C94">
    <cfRule type="cellIs" dxfId="16641" priority="4329" stopIfTrue="1" operator="equal">
      <formula>"Towel"</formula>
    </cfRule>
    <cfRule type="cellIs" dxfId="16640" priority="4330" stopIfTrue="1" operator="equal">
      <formula>"Napkin Hs"</formula>
    </cfRule>
  </conditionalFormatting>
  <conditionalFormatting sqref="C93:C94">
    <cfRule type="cellIs" dxfId="16639" priority="4325" stopIfTrue="1" operator="equal">
      <formula>"Towel"</formula>
    </cfRule>
    <cfRule type="cellIs" dxfId="16638" priority="4326" stopIfTrue="1" operator="equal">
      <formula>"Napkin Hs"</formula>
    </cfRule>
  </conditionalFormatting>
  <conditionalFormatting sqref="C93:C94">
    <cfRule type="cellIs" dxfId="16637" priority="4327" stopIfTrue="1" operator="equal">
      <formula>"Towel"</formula>
    </cfRule>
    <cfRule type="cellIs" dxfId="16636" priority="4328" stopIfTrue="1" operator="equal">
      <formula>"Napkin Hs"</formula>
    </cfRule>
  </conditionalFormatting>
  <conditionalFormatting sqref="B93:C94">
    <cfRule type="cellIs" dxfId="16635" priority="4281" stopIfTrue="1" operator="equal">
      <formula>"Towel"</formula>
    </cfRule>
    <cfRule type="cellIs" dxfId="16634" priority="4282" stopIfTrue="1" operator="equal">
      <formula>"Napkin Hs"</formula>
    </cfRule>
    <cfRule type="cellIs" dxfId="16633" priority="4287" stopIfTrue="1" operator="equal">
      <formula>"Towel"</formula>
    </cfRule>
    <cfRule type="cellIs" dxfId="16632" priority="4288" stopIfTrue="1" operator="equal">
      <formula>"Napkin Hs"</formula>
    </cfRule>
    <cfRule type="cellIs" dxfId="16631" priority="4293" stopIfTrue="1" operator="equal">
      <formula>"Towel"</formula>
    </cfRule>
    <cfRule type="cellIs" dxfId="16630" priority="4294" stopIfTrue="1" operator="equal">
      <formula>"Napkin Hs"</formula>
    </cfRule>
    <cfRule type="cellIs" dxfId="16629" priority="4299" stopIfTrue="1" operator="equal">
      <formula>"Towel"</formula>
    </cfRule>
    <cfRule type="cellIs" dxfId="16628" priority="4300" stopIfTrue="1" operator="equal">
      <formula>"Napkin Hs"</formula>
    </cfRule>
    <cfRule type="cellIs" dxfId="16627" priority="4305" stopIfTrue="1" operator="equal">
      <formula>"Towel"</formula>
    </cfRule>
    <cfRule type="cellIs" dxfId="16626" priority="4306" stopIfTrue="1" operator="equal">
      <formula>"Napkin Hs"</formula>
    </cfRule>
    <cfRule type="cellIs" dxfId="16625" priority="4311" stopIfTrue="1" operator="equal">
      <formula>"Towel"</formula>
    </cfRule>
    <cfRule type="cellIs" dxfId="16624" priority="4312" stopIfTrue="1" operator="equal">
      <formula>"Napkin Hs"</formula>
    </cfRule>
    <cfRule type="cellIs" dxfId="16623" priority="4317" stopIfTrue="1" operator="equal">
      <formula>"Towel"</formula>
    </cfRule>
    <cfRule type="cellIs" dxfId="16622" priority="4318" stopIfTrue="1" operator="equal">
      <formula>"Napkin Hs"</formula>
    </cfRule>
    <cfRule type="cellIs" dxfId="16621" priority="4323" stopIfTrue="1" operator="equal">
      <formula>"Towel"</formula>
    </cfRule>
    <cfRule type="cellIs" dxfId="16620" priority="4324" stopIfTrue="1" operator="equal">
      <formula>"Napkin Hs"</formula>
    </cfRule>
  </conditionalFormatting>
  <conditionalFormatting sqref="C93:C94">
    <cfRule type="cellIs" dxfId="16619" priority="4277" stopIfTrue="1" operator="equal">
      <formula>"Towel"</formula>
    </cfRule>
    <cfRule type="cellIs" dxfId="16618" priority="4278" stopIfTrue="1" operator="equal">
      <formula>"Napkin Hs"</formula>
    </cfRule>
    <cfRule type="cellIs" dxfId="16617" priority="4279" stopIfTrue="1" operator="equal">
      <formula>"Towel"</formula>
    </cfRule>
    <cfRule type="cellIs" dxfId="16616" priority="4280" stopIfTrue="1" operator="equal">
      <formula>"Napkin Hs"</formula>
    </cfRule>
    <cfRule type="cellIs" dxfId="16615" priority="4283" stopIfTrue="1" operator="equal">
      <formula>"Towel"</formula>
    </cfRule>
    <cfRule type="cellIs" dxfId="16614" priority="4284" stopIfTrue="1" operator="equal">
      <formula>"Napkin Hs"</formula>
    </cfRule>
    <cfRule type="cellIs" dxfId="16613" priority="4285" stopIfTrue="1" operator="equal">
      <formula>"Towel"</formula>
    </cfRule>
    <cfRule type="cellIs" dxfId="16612" priority="4286" stopIfTrue="1" operator="equal">
      <formula>"Napkin Hs"</formula>
    </cfRule>
    <cfRule type="cellIs" dxfId="16611" priority="4289" stopIfTrue="1" operator="equal">
      <formula>"Towel"</formula>
    </cfRule>
    <cfRule type="cellIs" dxfId="16610" priority="4290" stopIfTrue="1" operator="equal">
      <formula>"Napkin Hs"</formula>
    </cfRule>
    <cfRule type="cellIs" dxfId="16609" priority="4291" stopIfTrue="1" operator="equal">
      <formula>"Towel"</formula>
    </cfRule>
    <cfRule type="cellIs" dxfId="16608" priority="4292" stopIfTrue="1" operator="equal">
      <formula>"Napkin Hs"</formula>
    </cfRule>
    <cfRule type="cellIs" dxfId="16607" priority="4295" stopIfTrue="1" operator="equal">
      <formula>"Towel"</formula>
    </cfRule>
    <cfRule type="cellIs" dxfId="16606" priority="4296" stopIfTrue="1" operator="equal">
      <formula>"Napkin Hs"</formula>
    </cfRule>
    <cfRule type="cellIs" dxfId="16605" priority="4297" stopIfTrue="1" operator="equal">
      <formula>"Towel"</formula>
    </cfRule>
    <cfRule type="cellIs" dxfId="16604" priority="4298" stopIfTrue="1" operator="equal">
      <formula>"Napkin Hs"</formula>
    </cfRule>
    <cfRule type="cellIs" dxfId="16603" priority="4301" stopIfTrue="1" operator="equal">
      <formula>"Towel"</formula>
    </cfRule>
    <cfRule type="cellIs" dxfId="16602" priority="4302" stopIfTrue="1" operator="equal">
      <formula>"Napkin Hs"</formula>
    </cfRule>
    <cfRule type="cellIs" dxfId="16601" priority="4303" stopIfTrue="1" operator="equal">
      <formula>"Towel"</formula>
    </cfRule>
    <cfRule type="cellIs" dxfId="16600" priority="4304" stopIfTrue="1" operator="equal">
      <formula>"Napkin Hs"</formula>
    </cfRule>
    <cfRule type="cellIs" dxfId="16599" priority="4307" stopIfTrue="1" operator="equal">
      <formula>"Towel"</formula>
    </cfRule>
    <cfRule type="cellIs" dxfId="16598" priority="4308" stopIfTrue="1" operator="equal">
      <formula>"Napkin Hs"</formula>
    </cfRule>
    <cfRule type="cellIs" dxfId="16597" priority="4309" stopIfTrue="1" operator="equal">
      <formula>"Towel"</formula>
    </cfRule>
    <cfRule type="cellIs" dxfId="16596" priority="4310" stopIfTrue="1" operator="equal">
      <formula>"Napkin Hs"</formula>
    </cfRule>
    <cfRule type="cellIs" dxfId="16595" priority="4313" stopIfTrue="1" operator="equal">
      <formula>"Towel"</formula>
    </cfRule>
    <cfRule type="cellIs" dxfId="16594" priority="4314" stopIfTrue="1" operator="equal">
      <formula>"Napkin Hs"</formula>
    </cfRule>
    <cfRule type="cellIs" dxfId="16593" priority="4315" stopIfTrue="1" operator="equal">
      <formula>"Towel"</formula>
    </cfRule>
    <cfRule type="cellIs" dxfId="16592" priority="4316" stopIfTrue="1" operator="equal">
      <formula>"Napkin Hs"</formula>
    </cfRule>
    <cfRule type="cellIs" dxfId="16591" priority="4319" stopIfTrue="1" operator="equal">
      <formula>"Towel"</formula>
    </cfRule>
    <cfRule type="cellIs" dxfId="16590" priority="4320" stopIfTrue="1" operator="equal">
      <formula>"Napkin Hs"</formula>
    </cfRule>
  </conditionalFormatting>
  <conditionalFormatting sqref="C93:C94">
    <cfRule type="cellIs" dxfId="16589" priority="4321" stopIfTrue="1" operator="equal">
      <formula>"Towel"</formula>
    </cfRule>
    <cfRule type="cellIs" dxfId="16588" priority="4322" stopIfTrue="1" operator="equal">
      <formula>"Napkin Hs"</formula>
    </cfRule>
  </conditionalFormatting>
  <conditionalFormatting sqref="B93:C94">
    <cfRule type="cellIs" dxfId="16587" priority="4233" stopIfTrue="1" operator="equal">
      <formula>"Towel"</formula>
    </cfRule>
    <cfRule type="cellIs" dxfId="16586" priority="4234" stopIfTrue="1" operator="equal">
      <formula>"Napkin Hs"</formula>
    </cfRule>
    <cfRule type="cellIs" dxfId="16585" priority="4239" stopIfTrue="1" operator="equal">
      <formula>"Towel"</formula>
    </cfRule>
    <cfRule type="cellIs" dxfId="16584" priority="4240" stopIfTrue="1" operator="equal">
      <formula>"Napkin Hs"</formula>
    </cfRule>
    <cfRule type="cellIs" dxfId="16583" priority="4245" stopIfTrue="1" operator="equal">
      <formula>"Towel"</formula>
    </cfRule>
    <cfRule type="cellIs" dxfId="16582" priority="4246" stopIfTrue="1" operator="equal">
      <formula>"Napkin Hs"</formula>
    </cfRule>
    <cfRule type="cellIs" dxfId="16581" priority="4251" stopIfTrue="1" operator="equal">
      <formula>"Towel"</formula>
    </cfRule>
    <cfRule type="cellIs" dxfId="16580" priority="4252" stopIfTrue="1" operator="equal">
      <formula>"Napkin Hs"</formula>
    </cfRule>
    <cfRule type="cellIs" dxfId="16579" priority="4257" stopIfTrue="1" operator="equal">
      <formula>"Towel"</formula>
    </cfRule>
    <cfRule type="cellIs" dxfId="16578" priority="4258" stopIfTrue="1" operator="equal">
      <formula>"Napkin Hs"</formula>
    </cfRule>
    <cfRule type="cellIs" dxfId="16577" priority="4263" stopIfTrue="1" operator="equal">
      <formula>"Towel"</formula>
    </cfRule>
    <cfRule type="cellIs" dxfId="16576" priority="4264" stopIfTrue="1" operator="equal">
      <formula>"Napkin Hs"</formula>
    </cfRule>
    <cfRule type="cellIs" dxfId="16575" priority="4269" stopIfTrue="1" operator="equal">
      <formula>"Towel"</formula>
    </cfRule>
    <cfRule type="cellIs" dxfId="16574" priority="4270" stopIfTrue="1" operator="equal">
      <formula>"Napkin Hs"</formula>
    </cfRule>
    <cfRule type="cellIs" dxfId="16573" priority="4275" stopIfTrue="1" operator="equal">
      <formula>"Towel"</formula>
    </cfRule>
    <cfRule type="cellIs" dxfId="16572" priority="4276" stopIfTrue="1" operator="equal">
      <formula>"Napkin Hs"</formula>
    </cfRule>
  </conditionalFormatting>
  <conditionalFormatting sqref="C93:C94">
    <cfRule type="cellIs" dxfId="16571" priority="4229" stopIfTrue="1" operator="equal">
      <formula>"Towel"</formula>
    </cfRule>
    <cfRule type="cellIs" dxfId="16570" priority="4230" stopIfTrue="1" operator="equal">
      <formula>"Napkin Hs"</formula>
    </cfRule>
    <cfRule type="cellIs" dxfId="16569" priority="4231" stopIfTrue="1" operator="equal">
      <formula>"Towel"</formula>
    </cfRule>
    <cfRule type="cellIs" dxfId="16568" priority="4232" stopIfTrue="1" operator="equal">
      <formula>"Napkin Hs"</formula>
    </cfRule>
    <cfRule type="cellIs" dxfId="16567" priority="4235" stopIfTrue="1" operator="equal">
      <formula>"Towel"</formula>
    </cfRule>
    <cfRule type="cellIs" dxfId="16566" priority="4236" stopIfTrue="1" operator="equal">
      <formula>"Napkin Hs"</formula>
    </cfRule>
    <cfRule type="cellIs" dxfId="16565" priority="4237" stopIfTrue="1" operator="equal">
      <formula>"Towel"</formula>
    </cfRule>
    <cfRule type="cellIs" dxfId="16564" priority="4238" stopIfTrue="1" operator="equal">
      <formula>"Napkin Hs"</formula>
    </cfRule>
    <cfRule type="cellIs" dxfId="16563" priority="4241" stopIfTrue="1" operator="equal">
      <formula>"Towel"</formula>
    </cfRule>
    <cfRule type="cellIs" dxfId="16562" priority="4242" stopIfTrue="1" operator="equal">
      <formula>"Napkin Hs"</formula>
    </cfRule>
    <cfRule type="cellIs" dxfId="16561" priority="4243" stopIfTrue="1" operator="equal">
      <formula>"Towel"</formula>
    </cfRule>
    <cfRule type="cellIs" dxfId="16560" priority="4244" stopIfTrue="1" operator="equal">
      <formula>"Napkin Hs"</formula>
    </cfRule>
    <cfRule type="cellIs" dxfId="16559" priority="4247" stopIfTrue="1" operator="equal">
      <formula>"Towel"</formula>
    </cfRule>
    <cfRule type="cellIs" dxfId="16558" priority="4248" stopIfTrue="1" operator="equal">
      <formula>"Napkin Hs"</formula>
    </cfRule>
    <cfRule type="cellIs" dxfId="16557" priority="4249" stopIfTrue="1" operator="equal">
      <formula>"Towel"</formula>
    </cfRule>
    <cfRule type="cellIs" dxfId="16556" priority="4250" stopIfTrue="1" operator="equal">
      <formula>"Napkin Hs"</formula>
    </cfRule>
    <cfRule type="cellIs" dxfId="16555" priority="4253" stopIfTrue="1" operator="equal">
      <formula>"Towel"</formula>
    </cfRule>
    <cfRule type="cellIs" dxfId="16554" priority="4254" stopIfTrue="1" operator="equal">
      <formula>"Napkin Hs"</formula>
    </cfRule>
    <cfRule type="cellIs" dxfId="16553" priority="4255" stopIfTrue="1" operator="equal">
      <formula>"Towel"</formula>
    </cfRule>
    <cfRule type="cellIs" dxfId="16552" priority="4256" stopIfTrue="1" operator="equal">
      <formula>"Napkin Hs"</formula>
    </cfRule>
    <cfRule type="cellIs" dxfId="16551" priority="4259" stopIfTrue="1" operator="equal">
      <formula>"Towel"</formula>
    </cfRule>
    <cfRule type="cellIs" dxfId="16550" priority="4260" stopIfTrue="1" operator="equal">
      <formula>"Napkin Hs"</formula>
    </cfRule>
    <cfRule type="cellIs" dxfId="16549" priority="4261" stopIfTrue="1" operator="equal">
      <formula>"Towel"</formula>
    </cfRule>
    <cfRule type="cellIs" dxfId="16548" priority="4262" stopIfTrue="1" operator="equal">
      <formula>"Napkin Hs"</formula>
    </cfRule>
    <cfRule type="cellIs" dxfId="16547" priority="4265" stopIfTrue="1" operator="equal">
      <formula>"Towel"</formula>
    </cfRule>
    <cfRule type="cellIs" dxfId="16546" priority="4266" stopIfTrue="1" operator="equal">
      <formula>"Napkin Hs"</formula>
    </cfRule>
    <cfRule type="cellIs" dxfId="16545" priority="4267" stopIfTrue="1" operator="equal">
      <formula>"Towel"</formula>
    </cfRule>
    <cfRule type="cellIs" dxfId="16544" priority="4268" stopIfTrue="1" operator="equal">
      <formula>"Napkin Hs"</formula>
    </cfRule>
    <cfRule type="cellIs" dxfId="16543" priority="4271" stopIfTrue="1" operator="equal">
      <formula>"Towel"</formula>
    </cfRule>
    <cfRule type="cellIs" dxfId="16542" priority="4272" stopIfTrue="1" operator="equal">
      <formula>"Napkin Hs"</formula>
    </cfRule>
  </conditionalFormatting>
  <conditionalFormatting sqref="C93:C94">
    <cfRule type="cellIs" dxfId="16541" priority="4273" stopIfTrue="1" operator="equal">
      <formula>"Towel"</formula>
    </cfRule>
    <cfRule type="cellIs" dxfId="16540" priority="4274" stopIfTrue="1" operator="equal">
      <formula>"Napkin Hs"</formula>
    </cfRule>
  </conditionalFormatting>
  <conditionalFormatting sqref="B93:C94">
    <cfRule type="cellIs" dxfId="16539" priority="4227" stopIfTrue="1" operator="equal">
      <formula>"Towel"</formula>
    </cfRule>
    <cfRule type="cellIs" dxfId="16538" priority="4228" stopIfTrue="1" operator="equal">
      <formula>"Napkin Hs"</formula>
    </cfRule>
  </conditionalFormatting>
  <conditionalFormatting sqref="B93:C94">
    <cfRule type="cellIs" dxfId="16537" priority="4203" stopIfTrue="1" operator="equal">
      <formula>"Towel"</formula>
    </cfRule>
    <cfRule type="cellIs" dxfId="16536" priority="4204" stopIfTrue="1" operator="equal">
      <formula>"Napkin Hs"</formula>
    </cfRule>
    <cfRule type="cellIs" dxfId="16535" priority="4209" stopIfTrue="1" operator="equal">
      <formula>"Towel"</formula>
    </cfRule>
    <cfRule type="cellIs" dxfId="16534" priority="4210" stopIfTrue="1" operator="equal">
      <formula>"Napkin Hs"</formula>
    </cfRule>
    <cfRule type="cellIs" dxfId="16533" priority="4215" stopIfTrue="1" operator="equal">
      <formula>"Towel"</formula>
    </cfRule>
    <cfRule type="cellIs" dxfId="16532" priority="4216" stopIfTrue="1" operator="equal">
      <formula>"Napkin Hs"</formula>
    </cfRule>
    <cfRule type="cellIs" dxfId="16531" priority="4221" stopIfTrue="1" operator="equal">
      <formula>"Towel"</formula>
    </cfRule>
    <cfRule type="cellIs" dxfId="16530" priority="4222" stopIfTrue="1" operator="equal">
      <formula>"Napkin Hs"</formula>
    </cfRule>
  </conditionalFormatting>
  <conditionalFormatting sqref="C93:C94">
    <cfRule type="cellIs" dxfId="16529" priority="4217" stopIfTrue="1" operator="equal">
      <formula>"Towel"</formula>
    </cfRule>
    <cfRule type="cellIs" dxfId="16528" priority="4218" stopIfTrue="1" operator="equal">
      <formula>"Napkin Hs"</formula>
    </cfRule>
    <cfRule type="cellIs" dxfId="16527" priority="4223" stopIfTrue="1" operator="equal">
      <formula>"Towel"</formula>
    </cfRule>
    <cfRule type="cellIs" dxfId="16526" priority="4224" stopIfTrue="1" operator="equal">
      <formula>"Napkin Hs"</formula>
    </cfRule>
  </conditionalFormatting>
  <conditionalFormatting sqref="C93:C94">
    <cfRule type="cellIs" dxfId="16525" priority="4197" stopIfTrue="1" operator="equal">
      <formula>"Towel"</formula>
    </cfRule>
    <cfRule type="cellIs" dxfId="16524" priority="4198" stopIfTrue="1" operator="equal">
      <formula>"Napkin Hs"</formula>
    </cfRule>
    <cfRule type="cellIs" dxfId="16523" priority="4199" stopIfTrue="1" operator="equal">
      <formula>"Towel"</formula>
    </cfRule>
    <cfRule type="cellIs" dxfId="16522" priority="4200" stopIfTrue="1" operator="equal">
      <formula>"Napkin Hs"</formula>
    </cfRule>
    <cfRule type="cellIs" dxfId="16521" priority="4207" stopIfTrue="1" operator="equal">
      <formula>"Towel"</formula>
    </cfRule>
    <cfRule type="cellIs" dxfId="16520" priority="4208" stopIfTrue="1" operator="equal">
      <formula>"Napkin Hs"</formula>
    </cfRule>
    <cfRule type="cellIs" dxfId="16519" priority="4211" stopIfTrue="1" operator="equal">
      <formula>"Towel"</formula>
    </cfRule>
    <cfRule type="cellIs" dxfId="16518" priority="4212" stopIfTrue="1" operator="equal">
      <formula>"Napkin Hs"</formula>
    </cfRule>
    <cfRule type="cellIs" dxfId="16517" priority="4213" stopIfTrue="1" operator="equal">
      <formula>"Towel"</formula>
    </cfRule>
    <cfRule type="cellIs" dxfId="16516" priority="4214" stopIfTrue="1" operator="equal">
      <formula>"Napkin Hs"</formula>
    </cfRule>
  </conditionalFormatting>
  <conditionalFormatting sqref="C93:C94">
    <cfRule type="cellIs" dxfId="16515" priority="4225" stopIfTrue="1" operator="equal">
      <formula>"Towel"</formula>
    </cfRule>
    <cfRule type="cellIs" dxfId="16514" priority="4226" stopIfTrue="1" operator="equal">
      <formula>"Napkin Hs"</formula>
    </cfRule>
  </conditionalFormatting>
  <conditionalFormatting sqref="C93:C94">
    <cfRule type="cellIs" dxfId="16513" priority="4201" stopIfTrue="1" operator="equal">
      <formula>"Towel"</formula>
    </cfRule>
    <cfRule type="cellIs" dxfId="16512" priority="4202" stopIfTrue="1" operator="equal">
      <formula>"Napkin Hs"</formula>
    </cfRule>
    <cfRule type="cellIs" dxfId="16511" priority="4205" stopIfTrue="1" operator="equal">
      <formula>"Towel"</formula>
    </cfRule>
    <cfRule type="cellIs" dxfId="16510" priority="4206" stopIfTrue="1" operator="equal">
      <formula>"Napkin Hs"</formula>
    </cfRule>
    <cfRule type="cellIs" dxfId="16509" priority="4219" stopIfTrue="1" operator="equal">
      <formula>"Towel"</formula>
    </cfRule>
    <cfRule type="cellIs" dxfId="16508" priority="4220" stopIfTrue="1" operator="equal">
      <formula>"Napkin Hs"</formula>
    </cfRule>
  </conditionalFormatting>
  <conditionalFormatting sqref="B93:C94">
    <cfRule type="cellIs" dxfId="16507" priority="4153" stopIfTrue="1" operator="equal">
      <formula>"Towel"</formula>
    </cfRule>
    <cfRule type="cellIs" dxfId="16506" priority="4154" stopIfTrue="1" operator="equal">
      <formula>"Napkin Hs"</formula>
    </cfRule>
    <cfRule type="cellIs" dxfId="16505" priority="4159" stopIfTrue="1" operator="equal">
      <formula>"Towel"</formula>
    </cfRule>
    <cfRule type="cellIs" dxfId="16504" priority="4160" stopIfTrue="1" operator="equal">
      <formula>"Napkin Hs"</formula>
    </cfRule>
    <cfRule type="cellIs" dxfId="16503" priority="4165" stopIfTrue="1" operator="equal">
      <formula>"Towel"</formula>
    </cfRule>
    <cfRule type="cellIs" dxfId="16502" priority="4166" stopIfTrue="1" operator="equal">
      <formula>"Napkin Hs"</formula>
    </cfRule>
    <cfRule type="cellIs" dxfId="16501" priority="4171" stopIfTrue="1" operator="equal">
      <formula>"Towel"</formula>
    </cfRule>
    <cfRule type="cellIs" dxfId="16500" priority="4172" stopIfTrue="1" operator="equal">
      <formula>"Napkin Hs"</formula>
    </cfRule>
    <cfRule type="cellIs" dxfId="16499" priority="4177" stopIfTrue="1" operator="equal">
      <formula>"Towel"</formula>
    </cfRule>
    <cfRule type="cellIs" dxfId="16498" priority="4178" stopIfTrue="1" operator="equal">
      <formula>"Napkin Hs"</formula>
    </cfRule>
    <cfRule type="cellIs" dxfId="16497" priority="4183" stopIfTrue="1" operator="equal">
      <formula>"Towel"</formula>
    </cfRule>
    <cfRule type="cellIs" dxfId="16496" priority="4184" stopIfTrue="1" operator="equal">
      <formula>"Napkin Hs"</formula>
    </cfRule>
    <cfRule type="cellIs" dxfId="16495" priority="4189" stopIfTrue="1" operator="equal">
      <formula>"Towel"</formula>
    </cfRule>
    <cfRule type="cellIs" dxfId="16494" priority="4190" stopIfTrue="1" operator="equal">
      <formula>"Napkin Hs"</formula>
    </cfRule>
    <cfRule type="cellIs" dxfId="16493" priority="4195" stopIfTrue="1" operator="equal">
      <formula>"Towel"</formula>
    </cfRule>
    <cfRule type="cellIs" dxfId="16492" priority="4196" stopIfTrue="1" operator="equal">
      <formula>"Napkin Hs"</formula>
    </cfRule>
  </conditionalFormatting>
  <conditionalFormatting sqref="C93:C94">
    <cfRule type="cellIs" dxfId="16491" priority="4149" stopIfTrue="1" operator="equal">
      <formula>"Towel"</formula>
    </cfRule>
    <cfRule type="cellIs" dxfId="16490" priority="4150" stopIfTrue="1" operator="equal">
      <formula>"Napkin Hs"</formula>
    </cfRule>
    <cfRule type="cellIs" dxfId="16489" priority="4151" stopIfTrue="1" operator="equal">
      <formula>"Towel"</formula>
    </cfRule>
    <cfRule type="cellIs" dxfId="16488" priority="4152" stopIfTrue="1" operator="equal">
      <formula>"Napkin Hs"</formula>
    </cfRule>
    <cfRule type="cellIs" dxfId="16487" priority="4155" stopIfTrue="1" operator="equal">
      <formula>"Towel"</formula>
    </cfRule>
    <cfRule type="cellIs" dxfId="16486" priority="4156" stopIfTrue="1" operator="equal">
      <formula>"Napkin Hs"</formula>
    </cfRule>
    <cfRule type="cellIs" dxfId="16485" priority="4157" stopIfTrue="1" operator="equal">
      <formula>"Towel"</formula>
    </cfRule>
    <cfRule type="cellIs" dxfId="16484" priority="4158" stopIfTrue="1" operator="equal">
      <formula>"Napkin Hs"</formula>
    </cfRule>
    <cfRule type="cellIs" dxfId="16483" priority="4161" stopIfTrue="1" operator="equal">
      <formula>"Towel"</formula>
    </cfRule>
    <cfRule type="cellIs" dxfId="16482" priority="4162" stopIfTrue="1" operator="equal">
      <formula>"Napkin Hs"</formula>
    </cfRule>
    <cfRule type="cellIs" dxfId="16481" priority="4163" stopIfTrue="1" operator="equal">
      <formula>"Towel"</formula>
    </cfRule>
    <cfRule type="cellIs" dxfId="16480" priority="4164" stopIfTrue="1" operator="equal">
      <formula>"Napkin Hs"</formula>
    </cfRule>
    <cfRule type="cellIs" dxfId="16479" priority="4167" stopIfTrue="1" operator="equal">
      <formula>"Towel"</formula>
    </cfRule>
    <cfRule type="cellIs" dxfId="16478" priority="4168" stopIfTrue="1" operator="equal">
      <formula>"Napkin Hs"</formula>
    </cfRule>
    <cfRule type="cellIs" dxfId="16477" priority="4169" stopIfTrue="1" operator="equal">
      <formula>"Towel"</formula>
    </cfRule>
    <cfRule type="cellIs" dxfId="16476" priority="4170" stopIfTrue="1" operator="equal">
      <formula>"Napkin Hs"</formula>
    </cfRule>
    <cfRule type="cellIs" dxfId="16475" priority="4173" stopIfTrue="1" operator="equal">
      <formula>"Towel"</formula>
    </cfRule>
    <cfRule type="cellIs" dxfId="16474" priority="4174" stopIfTrue="1" operator="equal">
      <formula>"Napkin Hs"</formula>
    </cfRule>
    <cfRule type="cellIs" dxfId="16473" priority="4175" stopIfTrue="1" operator="equal">
      <formula>"Towel"</formula>
    </cfRule>
    <cfRule type="cellIs" dxfId="16472" priority="4176" stopIfTrue="1" operator="equal">
      <formula>"Napkin Hs"</formula>
    </cfRule>
    <cfRule type="cellIs" dxfId="16471" priority="4179" stopIfTrue="1" operator="equal">
      <formula>"Towel"</formula>
    </cfRule>
    <cfRule type="cellIs" dxfId="16470" priority="4180" stopIfTrue="1" operator="equal">
      <formula>"Napkin Hs"</formula>
    </cfRule>
    <cfRule type="cellIs" dxfId="16469" priority="4181" stopIfTrue="1" operator="equal">
      <formula>"Towel"</formula>
    </cfRule>
    <cfRule type="cellIs" dxfId="16468" priority="4182" stopIfTrue="1" operator="equal">
      <formula>"Napkin Hs"</formula>
    </cfRule>
    <cfRule type="cellIs" dxfId="16467" priority="4185" stopIfTrue="1" operator="equal">
      <formula>"Towel"</formula>
    </cfRule>
    <cfRule type="cellIs" dxfId="16466" priority="4186" stopIfTrue="1" operator="equal">
      <formula>"Napkin Hs"</formula>
    </cfRule>
    <cfRule type="cellIs" dxfId="16465" priority="4187" stopIfTrue="1" operator="equal">
      <formula>"Towel"</formula>
    </cfRule>
    <cfRule type="cellIs" dxfId="16464" priority="4188" stopIfTrue="1" operator="equal">
      <formula>"Napkin Hs"</formula>
    </cfRule>
    <cfRule type="cellIs" dxfId="16463" priority="4191" stopIfTrue="1" operator="equal">
      <formula>"Towel"</formula>
    </cfRule>
    <cfRule type="cellIs" dxfId="16462" priority="4192" stopIfTrue="1" operator="equal">
      <formula>"Napkin Hs"</formula>
    </cfRule>
  </conditionalFormatting>
  <conditionalFormatting sqref="C93:C94">
    <cfRule type="cellIs" dxfId="16461" priority="4193" stopIfTrue="1" operator="equal">
      <formula>"Towel"</formula>
    </cfRule>
    <cfRule type="cellIs" dxfId="16460" priority="4194" stopIfTrue="1" operator="equal">
      <formula>"Napkin Hs"</formula>
    </cfRule>
  </conditionalFormatting>
  <conditionalFormatting sqref="B93:B94">
    <cfRule type="cellIs" dxfId="16459" priority="4143" stopIfTrue="1" operator="equal">
      <formula>"Towel"</formula>
    </cfRule>
    <cfRule type="cellIs" dxfId="16458" priority="4144" stopIfTrue="1" operator="equal">
      <formula>"Napkin Hs"</formula>
    </cfRule>
    <cfRule type="cellIs" dxfId="16457" priority="4145" stopIfTrue="1" operator="equal">
      <formula>"Towel"</formula>
    </cfRule>
    <cfRule type="cellIs" dxfId="16456" priority="4146" stopIfTrue="1" operator="equal">
      <formula>"Napkin Hs"</formula>
    </cfRule>
    <cfRule type="cellIs" dxfId="16455" priority="4147" stopIfTrue="1" operator="equal">
      <formula>"Towel"</formula>
    </cfRule>
    <cfRule type="cellIs" dxfId="16454" priority="4148" stopIfTrue="1" operator="equal">
      <formula>"Napkin Hs"</formula>
    </cfRule>
  </conditionalFormatting>
  <conditionalFormatting sqref="B93:C94">
    <cfRule type="cellIs" dxfId="16453" priority="4105" stopIfTrue="1" operator="equal">
      <formula>"Towel"</formula>
    </cfRule>
    <cfRule type="cellIs" dxfId="16452" priority="4106" stopIfTrue="1" operator="equal">
      <formula>"Napkin Hs"</formula>
    </cfRule>
    <cfRule type="cellIs" dxfId="16451" priority="4111" stopIfTrue="1" operator="equal">
      <formula>"Towel"</formula>
    </cfRule>
    <cfRule type="cellIs" dxfId="16450" priority="4112" stopIfTrue="1" operator="equal">
      <formula>"Napkin Hs"</formula>
    </cfRule>
    <cfRule type="cellIs" dxfId="16449" priority="4117" stopIfTrue="1" operator="equal">
      <formula>"Towel"</formula>
    </cfRule>
    <cfRule type="cellIs" dxfId="16448" priority="4118" stopIfTrue="1" operator="equal">
      <formula>"Napkin Hs"</formula>
    </cfRule>
    <cfRule type="cellIs" dxfId="16447" priority="4123" stopIfTrue="1" operator="equal">
      <formula>"Towel"</formula>
    </cfRule>
    <cfRule type="cellIs" dxfId="16446" priority="4124" stopIfTrue="1" operator="equal">
      <formula>"Napkin Hs"</formula>
    </cfRule>
    <cfRule type="cellIs" dxfId="16445" priority="4129" stopIfTrue="1" operator="equal">
      <formula>"Towel"</formula>
    </cfRule>
    <cfRule type="cellIs" dxfId="16444" priority="4130" stopIfTrue="1" operator="equal">
      <formula>"Napkin Hs"</formula>
    </cfRule>
    <cfRule type="cellIs" dxfId="16443" priority="4135" stopIfTrue="1" operator="equal">
      <formula>"Towel"</formula>
    </cfRule>
    <cfRule type="cellIs" dxfId="16442" priority="4136" stopIfTrue="1" operator="equal">
      <formula>"Napkin Hs"</formula>
    </cfRule>
    <cfRule type="cellIs" dxfId="16441" priority="4141" stopIfTrue="1" operator="equal">
      <formula>"Towel"</formula>
    </cfRule>
    <cfRule type="cellIs" dxfId="16440" priority="4142" stopIfTrue="1" operator="equal">
      <formula>"Napkin Hs"</formula>
    </cfRule>
  </conditionalFormatting>
  <conditionalFormatting sqref="C93:C94">
    <cfRule type="cellIs" dxfId="16439" priority="4101" stopIfTrue="1" operator="equal">
      <formula>"Towel"</formula>
    </cfRule>
    <cfRule type="cellIs" dxfId="16438" priority="4102" stopIfTrue="1" operator="equal">
      <formula>"Napkin Hs"</formula>
    </cfRule>
    <cfRule type="cellIs" dxfId="16437" priority="4103" stopIfTrue="1" operator="equal">
      <formula>"Towel"</formula>
    </cfRule>
    <cfRule type="cellIs" dxfId="16436" priority="4104" stopIfTrue="1" operator="equal">
      <formula>"Napkin Hs"</formula>
    </cfRule>
    <cfRule type="cellIs" dxfId="16435" priority="4107" stopIfTrue="1" operator="equal">
      <formula>"Towel"</formula>
    </cfRule>
    <cfRule type="cellIs" dxfId="16434" priority="4108" stopIfTrue="1" operator="equal">
      <formula>"Napkin Hs"</formula>
    </cfRule>
    <cfRule type="cellIs" dxfId="16433" priority="4109" stopIfTrue="1" operator="equal">
      <formula>"Towel"</formula>
    </cfRule>
    <cfRule type="cellIs" dxfId="16432" priority="4110" stopIfTrue="1" operator="equal">
      <formula>"Napkin Hs"</formula>
    </cfRule>
    <cfRule type="cellIs" dxfId="16431" priority="4113" stopIfTrue="1" operator="equal">
      <formula>"Towel"</formula>
    </cfRule>
    <cfRule type="cellIs" dxfId="16430" priority="4114" stopIfTrue="1" operator="equal">
      <formula>"Napkin Hs"</formula>
    </cfRule>
    <cfRule type="cellIs" dxfId="16429" priority="4115" stopIfTrue="1" operator="equal">
      <formula>"Towel"</formula>
    </cfRule>
    <cfRule type="cellIs" dxfId="16428" priority="4116" stopIfTrue="1" operator="equal">
      <formula>"Napkin Hs"</formula>
    </cfRule>
    <cfRule type="cellIs" dxfId="16427" priority="4119" stopIfTrue="1" operator="equal">
      <formula>"Towel"</formula>
    </cfRule>
    <cfRule type="cellIs" dxfId="16426" priority="4120" stopIfTrue="1" operator="equal">
      <formula>"Napkin Hs"</formula>
    </cfRule>
    <cfRule type="cellIs" dxfId="16425" priority="4121" stopIfTrue="1" operator="equal">
      <formula>"Towel"</formula>
    </cfRule>
    <cfRule type="cellIs" dxfId="16424" priority="4122" stopIfTrue="1" operator="equal">
      <formula>"Napkin Hs"</formula>
    </cfRule>
    <cfRule type="cellIs" dxfId="16423" priority="4125" stopIfTrue="1" operator="equal">
      <formula>"Towel"</formula>
    </cfRule>
    <cfRule type="cellIs" dxfId="16422" priority="4126" stopIfTrue="1" operator="equal">
      <formula>"Napkin Hs"</formula>
    </cfRule>
    <cfRule type="cellIs" dxfId="16421" priority="4127" stopIfTrue="1" operator="equal">
      <formula>"Towel"</formula>
    </cfRule>
    <cfRule type="cellIs" dxfId="16420" priority="4128" stopIfTrue="1" operator="equal">
      <formula>"Napkin Hs"</formula>
    </cfRule>
    <cfRule type="cellIs" dxfId="16419" priority="4131" stopIfTrue="1" operator="equal">
      <formula>"Towel"</formula>
    </cfRule>
    <cfRule type="cellIs" dxfId="16418" priority="4132" stopIfTrue="1" operator="equal">
      <formula>"Napkin Hs"</formula>
    </cfRule>
    <cfRule type="cellIs" dxfId="16417" priority="4133" stopIfTrue="1" operator="equal">
      <formula>"Towel"</formula>
    </cfRule>
    <cfRule type="cellIs" dxfId="16416" priority="4134" stopIfTrue="1" operator="equal">
      <formula>"Napkin Hs"</formula>
    </cfRule>
    <cfRule type="cellIs" dxfId="16415" priority="4137" stopIfTrue="1" operator="equal">
      <formula>"Towel"</formula>
    </cfRule>
    <cfRule type="cellIs" dxfId="16414" priority="4138" stopIfTrue="1" operator="equal">
      <formula>"Napkin Hs"</formula>
    </cfRule>
  </conditionalFormatting>
  <conditionalFormatting sqref="C93:C94">
    <cfRule type="cellIs" dxfId="16413" priority="4139" stopIfTrue="1" operator="equal">
      <formula>"Towel"</formula>
    </cfRule>
    <cfRule type="cellIs" dxfId="16412" priority="4140" stopIfTrue="1" operator="equal">
      <formula>"Napkin Hs"</formula>
    </cfRule>
  </conditionalFormatting>
  <conditionalFormatting sqref="B93:C94">
    <cfRule type="cellIs" dxfId="16411" priority="4099" stopIfTrue="1" operator="equal">
      <formula>"Towel"</formula>
    </cfRule>
    <cfRule type="cellIs" dxfId="16410" priority="4100" stopIfTrue="1" operator="equal">
      <formula>"Napkin Hs"</formula>
    </cfRule>
  </conditionalFormatting>
  <conditionalFormatting sqref="B93:C94">
    <cfRule type="cellIs" dxfId="16409" priority="4063" stopIfTrue="1" operator="equal">
      <formula>"Towel"</formula>
    </cfRule>
    <cfRule type="cellIs" dxfId="16408" priority="4064" stopIfTrue="1" operator="equal">
      <formula>"Napkin Hs"</formula>
    </cfRule>
    <cfRule type="cellIs" dxfId="16407" priority="4069" stopIfTrue="1" operator="equal">
      <formula>"Towel"</formula>
    </cfRule>
    <cfRule type="cellIs" dxfId="16406" priority="4070" stopIfTrue="1" operator="equal">
      <formula>"Napkin Hs"</formula>
    </cfRule>
    <cfRule type="cellIs" dxfId="16405" priority="4075" stopIfTrue="1" operator="equal">
      <formula>"Towel"</formula>
    </cfRule>
    <cfRule type="cellIs" dxfId="16404" priority="4076" stopIfTrue="1" operator="equal">
      <formula>"Napkin Hs"</formula>
    </cfRule>
    <cfRule type="cellIs" dxfId="16403" priority="4081" stopIfTrue="1" operator="equal">
      <formula>"Towel"</formula>
    </cfRule>
    <cfRule type="cellIs" dxfId="16402" priority="4082" stopIfTrue="1" operator="equal">
      <formula>"Napkin Hs"</formula>
    </cfRule>
    <cfRule type="cellIs" dxfId="16401" priority="4087" stopIfTrue="1" operator="equal">
      <formula>"Towel"</formula>
    </cfRule>
    <cfRule type="cellIs" dxfId="16400" priority="4088" stopIfTrue="1" operator="equal">
      <formula>"Napkin Hs"</formula>
    </cfRule>
    <cfRule type="cellIs" dxfId="16399" priority="4093" stopIfTrue="1" operator="equal">
      <formula>"Towel"</formula>
    </cfRule>
    <cfRule type="cellIs" dxfId="16398" priority="4094" stopIfTrue="1" operator="equal">
      <formula>"Napkin Hs"</formula>
    </cfRule>
  </conditionalFormatting>
  <conditionalFormatting sqref="C93:C94">
    <cfRule type="cellIs" dxfId="16397" priority="4098" stopIfTrue="1" operator="equal">
      <formula>"Napkin Hs"</formula>
    </cfRule>
  </conditionalFormatting>
  <conditionalFormatting sqref="C93:C94">
    <cfRule type="cellIs" dxfId="16396" priority="4097" stopIfTrue="1" operator="equal">
      <formula>"Towel"</formula>
    </cfRule>
  </conditionalFormatting>
  <conditionalFormatting sqref="C93:C94">
    <cfRule type="cellIs" dxfId="16395" priority="4091" stopIfTrue="1" operator="equal">
      <formula>"Towel"</formula>
    </cfRule>
    <cfRule type="cellIs" dxfId="16394" priority="4092" stopIfTrue="1" operator="equal">
      <formula>"Napkin Hs"</formula>
    </cfRule>
  </conditionalFormatting>
  <conditionalFormatting sqref="C93:C94">
    <cfRule type="cellIs" dxfId="16393" priority="4089" stopIfTrue="1" operator="equal">
      <formula>"Towel"</formula>
    </cfRule>
    <cfRule type="cellIs" dxfId="16392" priority="4090" stopIfTrue="1" operator="equal">
      <formula>"Napkin Hs"</formula>
    </cfRule>
    <cfRule type="cellIs" dxfId="16391" priority="4095" stopIfTrue="1" operator="equal">
      <formula>"Towel"</formula>
    </cfRule>
    <cfRule type="cellIs" dxfId="16390" priority="4096" stopIfTrue="1" operator="equal">
      <formula>"Napkin Hs"</formula>
    </cfRule>
  </conditionalFormatting>
  <conditionalFormatting sqref="C93:C94">
    <cfRule type="cellIs" dxfId="16389" priority="4061" stopIfTrue="1" operator="equal">
      <formula>"Towel"</formula>
    </cfRule>
    <cfRule type="cellIs" dxfId="16388" priority="4062" stopIfTrue="1" operator="equal">
      <formula>"Napkin Hs"</formula>
    </cfRule>
    <cfRule type="cellIs" dxfId="16387" priority="4065" stopIfTrue="1" operator="equal">
      <formula>"Towel"</formula>
    </cfRule>
    <cfRule type="cellIs" dxfId="16386" priority="4066" stopIfTrue="1" operator="equal">
      <formula>"Napkin Hs"</formula>
    </cfRule>
    <cfRule type="cellIs" dxfId="16385" priority="4067" stopIfTrue="1" operator="equal">
      <formula>"Towel"</formula>
    </cfRule>
    <cfRule type="cellIs" dxfId="16384" priority="4068" stopIfTrue="1" operator="equal">
      <formula>"Napkin Hs"</formula>
    </cfRule>
    <cfRule type="cellIs" dxfId="16383" priority="4071" stopIfTrue="1" operator="equal">
      <formula>"Towel"</formula>
    </cfRule>
    <cfRule type="cellIs" dxfId="16382" priority="4072" stopIfTrue="1" operator="equal">
      <formula>"Napkin Hs"</formula>
    </cfRule>
    <cfRule type="cellIs" dxfId="16381" priority="4073" stopIfTrue="1" operator="equal">
      <formula>"Towel"</formula>
    </cfRule>
    <cfRule type="cellIs" dxfId="16380" priority="4074" stopIfTrue="1" operator="equal">
      <formula>"Napkin Hs"</formula>
    </cfRule>
    <cfRule type="cellIs" dxfId="16379" priority="4077" stopIfTrue="1" operator="equal">
      <formula>"Towel"</formula>
    </cfRule>
    <cfRule type="cellIs" dxfId="16378" priority="4078" stopIfTrue="1" operator="equal">
      <formula>"Napkin Hs"</formula>
    </cfRule>
    <cfRule type="cellIs" dxfId="16377" priority="4079" stopIfTrue="1" operator="equal">
      <formula>"Towel"</formula>
    </cfRule>
    <cfRule type="cellIs" dxfId="16376" priority="4080" stopIfTrue="1" operator="equal">
      <formula>"Napkin Hs"</formula>
    </cfRule>
    <cfRule type="cellIs" dxfId="16375" priority="4083" stopIfTrue="1" operator="equal">
      <formula>"Towel"</formula>
    </cfRule>
    <cfRule type="cellIs" dxfId="16374" priority="4084" stopIfTrue="1" operator="equal">
      <formula>"Napkin Hs"</formula>
    </cfRule>
    <cfRule type="cellIs" dxfId="16373" priority="4085" stopIfTrue="1" operator="equal">
      <formula>"Towel"</formula>
    </cfRule>
    <cfRule type="cellIs" dxfId="16372" priority="4086" stopIfTrue="1" operator="equal">
      <formula>"Napkin Hs"</formula>
    </cfRule>
  </conditionalFormatting>
  <conditionalFormatting sqref="C93:C94">
    <cfRule type="cellIs" dxfId="16371" priority="4059" stopIfTrue="1" operator="equal">
      <formula>"Towel"</formula>
    </cfRule>
    <cfRule type="cellIs" dxfId="16370" priority="4060" stopIfTrue="1" operator="equal">
      <formula>"Napkin Hs"</formula>
    </cfRule>
  </conditionalFormatting>
  <conditionalFormatting sqref="C93:C94">
    <cfRule type="cellIs" dxfId="16369" priority="4039" stopIfTrue="1" operator="equal">
      <formula>"Towel"</formula>
    </cfRule>
    <cfRule type="cellIs" dxfId="16368" priority="4040" stopIfTrue="1" operator="equal">
      <formula>"Napkin Hs"</formula>
    </cfRule>
    <cfRule type="cellIs" dxfId="16367" priority="4045" stopIfTrue="1" operator="equal">
      <formula>"Towel"</formula>
    </cfRule>
    <cfRule type="cellIs" dxfId="16366" priority="4046" stopIfTrue="1" operator="equal">
      <formula>"Napkin Hs"</formula>
    </cfRule>
    <cfRule type="cellIs" dxfId="16365" priority="4051" stopIfTrue="1" operator="equal">
      <formula>"Towel"</formula>
    </cfRule>
    <cfRule type="cellIs" dxfId="16364" priority="4052" stopIfTrue="1" operator="equal">
      <formula>"Napkin Hs"</formula>
    </cfRule>
    <cfRule type="cellIs" dxfId="16363" priority="4057" stopIfTrue="1" operator="equal">
      <formula>"Towel"</formula>
    </cfRule>
    <cfRule type="cellIs" dxfId="16362" priority="4058" stopIfTrue="1" operator="equal">
      <formula>"Napkin Hs"</formula>
    </cfRule>
  </conditionalFormatting>
  <conditionalFormatting sqref="C93:C94">
    <cfRule type="cellIs" dxfId="16361" priority="4049" stopIfTrue="1" operator="equal">
      <formula>"Towel"</formula>
    </cfRule>
    <cfRule type="cellIs" dxfId="16360" priority="4050" stopIfTrue="1" operator="equal">
      <formula>"Napkin Hs"</formula>
    </cfRule>
    <cfRule type="cellIs" dxfId="16359" priority="4055" stopIfTrue="1" operator="equal">
      <formula>"Towel"</formula>
    </cfRule>
    <cfRule type="cellIs" dxfId="16358" priority="4056" stopIfTrue="1" operator="equal">
      <formula>"Napkin Hs"</formula>
    </cfRule>
  </conditionalFormatting>
  <conditionalFormatting sqref="C93:C94">
    <cfRule type="cellIs" dxfId="16357" priority="4035" stopIfTrue="1" operator="equal">
      <formula>"Towel"</formula>
    </cfRule>
    <cfRule type="cellIs" dxfId="16356" priority="4036" stopIfTrue="1" operator="equal">
      <formula>"Napkin Hs"</formula>
    </cfRule>
    <cfRule type="cellIs" dxfId="16355" priority="4043" stopIfTrue="1" operator="equal">
      <formula>"Towel"</formula>
    </cfRule>
    <cfRule type="cellIs" dxfId="16354" priority="4044" stopIfTrue="1" operator="equal">
      <formula>"Napkin Hs"</formula>
    </cfRule>
    <cfRule type="cellIs" dxfId="16353" priority="4047" stopIfTrue="1" operator="equal">
      <formula>"Towel"</formula>
    </cfRule>
    <cfRule type="cellIs" dxfId="16352" priority="4048" stopIfTrue="1" operator="equal">
      <formula>"Napkin Hs"</formula>
    </cfRule>
  </conditionalFormatting>
  <conditionalFormatting sqref="C93:C94">
    <cfRule type="cellIs" dxfId="16351" priority="4037" stopIfTrue="1" operator="equal">
      <formula>"Towel"</formula>
    </cfRule>
    <cfRule type="cellIs" dxfId="16350" priority="4038" stopIfTrue="1" operator="equal">
      <formula>"Napkin Hs"</formula>
    </cfRule>
    <cfRule type="cellIs" dxfId="16349" priority="4041" stopIfTrue="1" operator="equal">
      <formula>"Towel"</formula>
    </cfRule>
    <cfRule type="cellIs" dxfId="16348" priority="4042" stopIfTrue="1" operator="equal">
      <formula>"Napkin Hs"</formula>
    </cfRule>
    <cfRule type="cellIs" dxfId="16347" priority="4053" stopIfTrue="1" operator="equal">
      <formula>"Towel"</formula>
    </cfRule>
    <cfRule type="cellIs" dxfId="16346" priority="4054" stopIfTrue="1" operator="equal">
      <formula>"Napkin Hs"</formula>
    </cfRule>
  </conditionalFormatting>
  <conditionalFormatting sqref="C93:C94">
    <cfRule type="cellIs" dxfId="16345" priority="4033" stopIfTrue="1" operator="equal">
      <formula>"Towel"</formula>
    </cfRule>
    <cfRule type="cellIs" dxfId="16344" priority="4034" stopIfTrue="1" operator="equal">
      <formula>"Napkin Hs"</formula>
    </cfRule>
  </conditionalFormatting>
  <conditionalFormatting sqref="C93:C94">
    <cfRule type="cellIs" dxfId="16343" priority="4029" stopIfTrue="1" operator="equal">
      <formula>"Towel"</formula>
    </cfRule>
    <cfRule type="cellIs" dxfId="16342" priority="4030" stopIfTrue="1" operator="equal">
      <formula>"Napkin Hs"</formula>
    </cfRule>
  </conditionalFormatting>
  <conditionalFormatting sqref="C93:C94">
    <cfRule type="cellIs" dxfId="16341" priority="4031" stopIfTrue="1" operator="equal">
      <formula>"Towel"</formula>
    </cfRule>
    <cfRule type="cellIs" dxfId="16340" priority="4032" stopIfTrue="1" operator="equal">
      <formula>"Napkin Hs"</formula>
    </cfRule>
  </conditionalFormatting>
  <conditionalFormatting sqref="C93:C94">
    <cfRule type="cellIs" dxfId="16339" priority="4027" stopIfTrue="1" operator="equal">
      <formula>"Towel"</formula>
    </cfRule>
    <cfRule type="cellIs" dxfId="16338" priority="4028" stopIfTrue="1" operator="equal">
      <formula>"Napkin Hs"</formula>
    </cfRule>
  </conditionalFormatting>
  <conditionalFormatting sqref="C93:C94">
    <cfRule type="cellIs" dxfId="16337" priority="4023" stopIfTrue="1" operator="equal">
      <formula>"Towel"</formula>
    </cfRule>
    <cfRule type="cellIs" dxfId="16336" priority="4024" stopIfTrue="1" operator="equal">
      <formula>"Napkin Hs"</formula>
    </cfRule>
  </conditionalFormatting>
  <conditionalFormatting sqref="C93:C94">
    <cfRule type="cellIs" dxfId="16335" priority="4025" stopIfTrue="1" operator="equal">
      <formula>"Towel"</formula>
    </cfRule>
    <cfRule type="cellIs" dxfId="16334" priority="4026" stopIfTrue="1" operator="equal">
      <formula>"Napkin Hs"</formula>
    </cfRule>
  </conditionalFormatting>
  <conditionalFormatting sqref="C93:C94">
    <cfRule type="cellIs" dxfId="16333" priority="4021" stopIfTrue="1" operator="equal">
      <formula>"Towel"</formula>
    </cfRule>
    <cfRule type="cellIs" dxfId="16332" priority="4022" stopIfTrue="1" operator="equal">
      <formula>"Napkin Hs"</formula>
    </cfRule>
  </conditionalFormatting>
  <conditionalFormatting sqref="C93:C94">
    <cfRule type="cellIs" dxfId="16331" priority="4017" stopIfTrue="1" operator="equal">
      <formula>"Towel"</formula>
    </cfRule>
    <cfRule type="cellIs" dxfId="16330" priority="4018" stopIfTrue="1" operator="equal">
      <formula>"Napkin Hs"</formula>
    </cfRule>
  </conditionalFormatting>
  <conditionalFormatting sqref="C93:C94">
    <cfRule type="cellIs" dxfId="16329" priority="4019" stopIfTrue="1" operator="equal">
      <formula>"Towel"</formula>
    </cfRule>
    <cfRule type="cellIs" dxfId="16328" priority="4020" stopIfTrue="1" operator="equal">
      <formula>"Napkin Hs"</formula>
    </cfRule>
  </conditionalFormatting>
  <conditionalFormatting sqref="C93:C94">
    <cfRule type="cellIs" dxfId="16327" priority="4015" stopIfTrue="1" operator="equal">
      <formula>"Towel"</formula>
    </cfRule>
    <cfRule type="cellIs" dxfId="16326" priority="4016" stopIfTrue="1" operator="equal">
      <formula>"Napkin Hs"</formula>
    </cfRule>
  </conditionalFormatting>
  <conditionalFormatting sqref="C93:C94">
    <cfRule type="cellIs" dxfId="16325" priority="4013" stopIfTrue="1" operator="equal">
      <formula>"Towel"</formula>
    </cfRule>
    <cfRule type="cellIs" dxfId="16324" priority="4014" stopIfTrue="1" operator="equal">
      <formula>"Napkin Hs"</formula>
    </cfRule>
  </conditionalFormatting>
  <conditionalFormatting sqref="C93:C94">
    <cfRule type="cellIs" dxfId="16323" priority="4011" stopIfTrue="1" operator="equal">
      <formula>"Towel"</formula>
    </cfRule>
    <cfRule type="cellIs" dxfId="16322" priority="4012" stopIfTrue="1" operator="equal">
      <formula>"Napkin Hs"</formula>
    </cfRule>
  </conditionalFormatting>
  <conditionalFormatting sqref="C93:C94">
    <cfRule type="cellIs" dxfId="16321" priority="4009" stopIfTrue="1" operator="equal">
      <formula>"Towel"</formula>
    </cfRule>
    <cfRule type="cellIs" dxfId="16320" priority="4010" stopIfTrue="1" operator="equal">
      <formula>"Napkin Hs"</formula>
    </cfRule>
  </conditionalFormatting>
  <conditionalFormatting sqref="C93:C94">
    <cfRule type="cellIs" dxfId="16319" priority="4008" stopIfTrue="1" operator="equal">
      <formula>"Napkin Hs"</formula>
    </cfRule>
  </conditionalFormatting>
  <conditionalFormatting sqref="C93:C94">
    <cfRule type="cellIs" dxfId="16318" priority="4005" stopIfTrue="1" operator="equal">
      <formula>"Towel"</formula>
    </cfRule>
    <cfRule type="cellIs" dxfId="16317" priority="4006" stopIfTrue="1" operator="equal">
      <formula>"Napkin Hs"</formula>
    </cfRule>
  </conditionalFormatting>
  <conditionalFormatting sqref="C93:C94">
    <cfRule type="cellIs" dxfId="16316" priority="4007" stopIfTrue="1" operator="equal">
      <formula>"Towel"</formula>
    </cfRule>
  </conditionalFormatting>
  <conditionalFormatting sqref="B93:B94">
    <cfRule type="cellIs" dxfId="16315" priority="4003" stopIfTrue="1" operator="equal">
      <formula>"Towel"</formula>
    </cfRule>
    <cfRule type="cellIs" dxfId="16314" priority="4004" stopIfTrue="1" operator="equal">
      <formula>"Napkin Hs"</formula>
    </cfRule>
  </conditionalFormatting>
  <conditionalFormatting sqref="B93:B94">
    <cfRule type="cellIs" dxfId="16313" priority="4001" stopIfTrue="1" operator="equal">
      <formula>"Towel"</formula>
    </cfRule>
    <cfRule type="cellIs" dxfId="16312" priority="4002" stopIfTrue="1" operator="equal">
      <formula>"Napkin Hs"</formula>
    </cfRule>
  </conditionalFormatting>
  <conditionalFormatting sqref="B93:B94">
    <cfRule type="cellIs" dxfId="16311" priority="3999" stopIfTrue="1" operator="equal">
      <formula>"Towel"</formula>
    </cfRule>
    <cfRule type="cellIs" dxfId="16310" priority="4000" stopIfTrue="1" operator="equal">
      <formula>"Napkin Hs"</formula>
    </cfRule>
  </conditionalFormatting>
  <conditionalFormatting sqref="B93:B94">
    <cfRule type="cellIs" dxfId="16309" priority="3997" stopIfTrue="1" operator="equal">
      <formula>"Towel"</formula>
    </cfRule>
    <cfRule type="cellIs" dxfId="16308" priority="3998" stopIfTrue="1" operator="equal">
      <formula>"Napkin Hs"</formula>
    </cfRule>
  </conditionalFormatting>
  <conditionalFormatting sqref="B93:B94">
    <cfRule type="cellIs" dxfId="16307" priority="3995" stopIfTrue="1" operator="equal">
      <formula>"Towel"</formula>
    </cfRule>
    <cfRule type="cellIs" dxfId="16306" priority="3996" stopIfTrue="1" operator="equal">
      <formula>"Napkin Hs"</formula>
    </cfRule>
  </conditionalFormatting>
  <conditionalFormatting sqref="B93:B94">
    <cfRule type="cellIs" dxfId="16305" priority="3993" stopIfTrue="1" operator="equal">
      <formula>"Towel"</formula>
    </cfRule>
    <cfRule type="cellIs" dxfId="16304" priority="3994" stopIfTrue="1" operator="equal">
      <formula>"Napkin Hs"</formula>
    </cfRule>
  </conditionalFormatting>
  <conditionalFormatting sqref="B93:B94">
    <cfRule type="cellIs" dxfId="16303" priority="3989" stopIfTrue="1" operator="equal">
      <formula>"Towel"</formula>
    </cfRule>
    <cfRule type="cellIs" dxfId="16302" priority="3990" stopIfTrue="1" operator="equal">
      <formula>"Napkin Hs"</formula>
    </cfRule>
    <cfRule type="cellIs" dxfId="16301" priority="3991" stopIfTrue="1" operator="equal">
      <formula>"Towel"</formula>
    </cfRule>
    <cfRule type="cellIs" dxfId="16300" priority="3992" stopIfTrue="1" operator="equal">
      <formula>"Napkin Hs"</formula>
    </cfRule>
  </conditionalFormatting>
  <conditionalFormatting sqref="B93:B94">
    <cfRule type="cellIs" dxfId="16299" priority="3987" stopIfTrue="1" operator="equal">
      <formula>"Towel"</formula>
    </cfRule>
    <cfRule type="cellIs" dxfId="16298" priority="3988" stopIfTrue="1" operator="equal">
      <formula>"Napkin Hs"</formula>
    </cfRule>
  </conditionalFormatting>
  <conditionalFormatting sqref="B93:B94">
    <cfRule type="cellIs" dxfId="16297" priority="3985" stopIfTrue="1" operator="equal">
      <formula>"Towel"</formula>
    </cfRule>
    <cfRule type="cellIs" dxfId="16296" priority="3986" stopIfTrue="1" operator="equal">
      <formula>"Napkin Hs"</formula>
    </cfRule>
  </conditionalFormatting>
  <conditionalFormatting sqref="B93:B94">
    <cfRule type="cellIs" dxfId="16295" priority="3983" stopIfTrue="1" operator="equal">
      <formula>"Towel"</formula>
    </cfRule>
    <cfRule type="cellIs" dxfId="16294" priority="3984" stopIfTrue="1" operator="equal">
      <formula>"Napkin Hs"</formula>
    </cfRule>
  </conditionalFormatting>
  <conditionalFormatting sqref="B93:B94">
    <cfRule type="cellIs" dxfId="16293" priority="3981" stopIfTrue="1" operator="equal">
      <formula>"Towel"</formula>
    </cfRule>
    <cfRule type="cellIs" dxfId="16292" priority="3982" stopIfTrue="1" operator="equal">
      <formula>"Napkin Hs"</formula>
    </cfRule>
  </conditionalFormatting>
  <conditionalFormatting sqref="B93:B94">
    <cfRule type="cellIs" dxfId="16291" priority="3979" stopIfTrue="1" operator="equal">
      <formula>"Towel"</formula>
    </cfRule>
    <cfRule type="cellIs" dxfId="16290" priority="3980" stopIfTrue="1" operator="equal">
      <formula>"Napkin Hs"</formula>
    </cfRule>
  </conditionalFormatting>
  <conditionalFormatting sqref="B93:C94">
    <cfRule type="cellIs" dxfId="16289" priority="3965" stopIfTrue="1" operator="equal">
      <formula>"Towel"</formula>
    </cfRule>
    <cfRule type="cellIs" dxfId="16288" priority="3966" stopIfTrue="1" operator="equal">
      <formula>"Napkin Hs"</formula>
    </cfRule>
    <cfRule type="cellIs" dxfId="16287" priority="3971" stopIfTrue="1" operator="equal">
      <formula>"Towel"</formula>
    </cfRule>
    <cfRule type="cellIs" dxfId="16286" priority="3972" stopIfTrue="1" operator="equal">
      <formula>"Napkin Hs"</formula>
    </cfRule>
    <cfRule type="cellIs" dxfId="16285" priority="3977" stopIfTrue="1" operator="equal">
      <formula>"Towel"</formula>
    </cfRule>
    <cfRule type="cellIs" dxfId="16284" priority="3978" stopIfTrue="1" operator="equal">
      <formula>"Napkin Hs"</formula>
    </cfRule>
  </conditionalFormatting>
  <conditionalFormatting sqref="C93:C94">
    <cfRule type="cellIs" dxfId="16283" priority="3959" stopIfTrue="1" operator="equal">
      <formula>"Towel"</formula>
    </cfRule>
    <cfRule type="cellIs" dxfId="16282" priority="3960" stopIfTrue="1" operator="equal">
      <formula>"Napkin Hs"</formula>
    </cfRule>
    <cfRule type="cellIs" dxfId="16281" priority="3961" stopIfTrue="1" operator="equal">
      <formula>"Towel"</formula>
    </cfRule>
    <cfRule type="cellIs" dxfId="16280" priority="3962" stopIfTrue="1" operator="equal">
      <formula>"Napkin Hs"</formula>
    </cfRule>
    <cfRule type="cellIs" dxfId="16279" priority="3969" stopIfTrue="1" operator="equal">
      <formula>"Towel"</formula>
    </cfRule>
    <cfRule type="cellIs" dxfId="16278" priority="3970" stopIfTrue="1" operator="equal">
      <formula>"Napkin Hs"</formula>
    </cfRule>
    <cfRule type="cellIs" dxfId="16277" priority="3973" stopIfTrue="1" operator="equal">
      <formula>"Towel"</formula>
    </cfRule>
    <cfRule type="cellIs" dxfId="16276" priority="3974" stopIfTrue="1" operator="equal">
      <formula>"Napkin Hs"</formula>
    </cfRule>
  </conditionalFormatting>
  <conditionalFormatting sqref="C93:C94">
    <cfRule type="cellIs" dxfId="16275" priority="3963" stopIfTrue="1" operator="equal">
      <formula>"Towel"</formula>
    </cfRule>
    <cfRule type="cellIs" dxfId="16274" priority="3964" stopIfTrue="1" operator="equal">
      <formula>"Napkin Hs"</formula>
    </cfRule>
    <cfRule type="cellIs" dxfId="16273" priority="3967" stopIfTrue="1" operator="equal">
      <formula>"Towel"</formula>
    </cfRule>
    <cfRule type="cellIs" dxfId="16272" priority="3968" stopIfTrue="1" operator="equal">
      <formula>"Napkin Hs"</formula>
    </cfRule>
    <cfRule type="cellIs" dxfId="16271" priority="3975" stopIfTrue="1" operator="equal">
      <formula>"Towel"</formula>
    </cfRule>
    <cfRule type="cellIs" dxfId="16270" priority="3976" stopIfTrue="1" operator="equal">
      <formula>"Napkin Hs"</formula>
    </cfRule>
  </conditionalFormatting>
  <conditionalFormatting sqref="B93:C94">
    <cfRule type="cellIs" dxfId="16269" priority="3957" stopIfTrue="1" operator="equal">
      <formula>"Towel"</formula>
    </cfRule>
    <cfRule type="cellIs" dxfId="16268" priority="3958" stopIfTrue="1" operator="equal">
      <formula>"Napkin Hs"</formula>
    </cfRule>
  </conditionalFormatting>
  <conditionalFormatting sqref="B93:C94">
    <cfRule type="cellIs" dxfId="16267" priority="3949" stopIfTrue="1" operator="equal">
      <formula>"Towel"</formula>
    </cfRule>
    <cfRule type="cellIs" dxfId="16266" priority="3950" stopIfTrue="1" operator="equal">
      <formula>"Napkin Hs"</formula>
    </cfRule>
    <cfRule type="cellIs" dxfId="16265" priority="3955" stopIfTrue="1" operator="equal">
      <formula>"Towel"</formula>
    </cfRule>
    <cfRule type="cellIs" dxfId="16264" priority="3956" stopIfTrue="1" operator="equal">
      <formula>"Napkin Hs"</formula>
    </cfRule>
  </conditionalFormatting>
  <conditionalFormatting sqref="C93:C94">
    <cfRule type="cellIs" dxfId="16263" priority="3945" stopIfTrue="1" operator="equal">
      <formula>"Towel"</formula>
    </cfRule>
    <cfRule type="cellIs" dxfId="16262" priority="3946" stopIfTrue="1" operator="equal">
      <formula>"Napkin Hs"</formula>
    </cfRule>
  </conditionalFormatting>
  <conditionalFormatting sqref="C93:C94">
    <cfRule type="cellIs" dxfId="16261" priority="3943" stopIfTrue="1" operator="equal">
      <formula>"Towel"</formula>
    </cfRule>
    <cfRule type="cellIs" dxfId="16260" priority="3944" stopIfTrue="1" operator="equal">
      <formula>"Napkin Hs"</formula>
    </cfRule>
    <cfRule type="cellIs" dxfId="16259" priority="3953" stopIfTrue="1" operator="equal">
      <formula>"Towel"</formula>
    </cfRule>
    <cfRule type="cellIs" dxfId="16258" priority="3954" stopIfTrue="1" operator="equal">
      <formula>"Napkin Hs"</formula>
    </cfRule>
  </conditionalFormatting>
  <conditionalFormatting sqref="C93:C94">
    <cfRule type="cellIs" dxfId="16257" priority="3947" stopIfTrue="1" operator="equal">
      <formula>"Towel"</formula>
    </cfRule>
    <cfRule type="cellIs" dxfId="16256" priority="3948" stopIfTrue="1" operator="equal">
      <formula>"Napkin Hs"</formula>
    </cfRule>
    <cfRule type="cellIs" dxfId="16255" priority="3951" stopIfTrue="1" operator="equal">
      <formula>"Towel"</formula>
    </cfRule>
    <cfRule type="cellIs" dxfId="16254" priority="3952" stopIfTrue="1" operator="equal">
      <formula>"Napkin Hs"</formula>
    </cfRule>
  </conditionalFormatting>
  <conditionalFormatting sqref="C93:C94">
    <cfRule type="cellIs" dxfId="16253" priority="3942" stopIfTrue="1" operator="equal">
      <formula>"Napkin Hs"</formula>
    </cfRule>
  </conditionalFormatting>
  <conditionalFormatting sqref="C93:C94">
    <cfRule type="cellIs" dxfId="16252" priority="3941" stopIfTrue="1" operator="equal">
      <formula>"Towel"</formula>
    </cfRule>
  </conditionalFormatting>
  <conditionalFormatting sqref="C93:C94">
    <cfRule type="cellIs" dxfId="16251" priority="3937" stopIfTrue="1" operator="equal">
      <formula>"Towel"</formula>
    </cfRule>
    <cfRule type="cellIs" dxfId="16250" priority="3938" stopIfTrue="1" operator="equal">
      <formula>"Napkin Hs"</formula>
    </cfRule>
    <cfRule type="cellIs" dxfId="16249" priority="3939" stopIfTrue="1" operator="equal">
      <formula>"Towel"</formula>
    </cfRule>
    <cfRule type="cellIs" dxfId="16248" priority="3940" stopIfTrue="1" operator="equal">
      <formula>"Napkin Hs"</formula>
    </cfRule>
  </conditionalFormatting>
  <conditionalFormatting sqref="B93:C94">
    <cfRule type="cellIs" dxfId="16247" priority="3935" stopIfTrue="1" operator="equal">
      <formula>"Towel"</formula>
    </cfRule>
    <cfRule type="cellIs" dxfId="16246" priority="3936" stopIfTrue="1" operator="equal">
      <formula>"Napkin Hs"</formula>
    </cfRule>
  </conditionalFormatting>
  <conditionalFormatting sqref="C93:C94">
    <cfRule type="cellIs" dxfId="16245" priority="3931" stopIfTrue="1" operator="equal">
      <formula>"Towel"</formula>
    </cfRule>
    <cfRule type="cellIs" dxfId="16244" priority="3932" stopIfTrue="1" operator="equal">
      <formula>"Napkin Hs"</formula>
    </cfRule>
  </conditionalFormatting>
  <conditionalFormatting sqref="C93:C94">
    <cfRule type="cellIs" dxfId="16243" priority="3933" stopIfTrue="1" operator="equal">
      <formula>"Towel"</formula>
    </cfRule>
    <cfRule type="cellIs" dxfId="16242" priority="3934" stopIfTrue="1" operator="equal">
      <formula>"Napkin Hs"</formula>
    </cfRule>
  </conditionalFormatting>
  <conditionalFormatting sqref="B93:C94">
    <cfRule type="cellIs" dxfId="16241" priority="3929" stopIfTrue="1" operator="equal">
      <formula>"Towel"</formula>
    </cfRule>
    <cfRule type="cellIs" dxfId="16240" priority="3930" stopIfTrue="1" operator="equal">
      <formula>"Napkin Hs"</formula>
    </cfRule>
  </conditionalFormatting>
  <conditionalFormatting sqref="C93:C94">
    <cfRule type="cellIs" dxfId="16239" priority="3925" stopIfTrue="1" operator="equal">
      <formula>"Towel"</formula>
    </cfRule>
    <cfRule type="cellIs" dxfId="16238" priority="3926" stopIfTrue="1" operator="equal">
      <formula>"Napkin Hs"</formula>
    </cfRule>
  </conditionalFormatting>
  <conditionalFormatting sqref="C93:C94">
    <cfRule type="cellIs" dxfId="16237" priority="3927" stopIfTrue="1" operator="equal">
      <formula>"Towel"</formula>
    </cfRule>
    <cfRule type="cellIs" dxfId="16236" priority="3928" stopIfTrue="1" operator="equal">
      <formula>"Napkin Hs"</formula>
    </cfRule>
  </conditionalFormatting>
  <conditionalFormatting sqref="B93:C94">
    <cfRule type="cellIs" dxfId="16235" priority="3923" stopIfTrue="1" operator="equal">
      <formula>"Towel"</formula>
    </cfRule>
    <cfRule type="cellIs" dxfId="16234" priority="3924" stopIfTrue="1" operator="equal">
      <formula>"Napkin Hs"</formula>
    </cfRule>
  </conditionalFormatting>
  <conditionalFormatting sqref="C93:C94">
    <cfRule type="cellIs" dxfId="16233" priority="3919" stopIfTrue="1" operator="equal">
      <formula>"Towel"</formula>
    </cfRule>
    <cfRule type="cellIs" dxfId="16232" priority="3920" stopIfTrue="1" operator="equal">
      <formula>"Napkin Hs"</formula>
    </cfRule>
  </conditionalFormatting>
  <conditionalFormatting sqref="C93:C94">
    <cfRule type="cellIs" dxfId="16231" priority="3921" stopIfTrue="1" operator="equal">
      <formula>"Towel"</formula>
    </cfRule>
    <cfRule type="cellIs" dxfId="16230" priority="3922" stopIfTrue="1" operator="equal">
      <formula>"Napkin Hs"</formula>
    </cfRule>
  </conditionalFormatting>
  <conditionalFormatting sqref="B93:C94">
    <cfRule type="cellIs" dxfId="16229" priority="3917" stopIfTrue="1" operator="equal">
      <formula>"Towel"</formula>
    </cfRule>
    <cfRule type="cellIs" dxfId="16228" priority="3918" stopIfTrue="1" operator="equal">
      <formula>"Napkin Hs"</formula>
    </cfRule>
  </conditionalFormatting>
  <conditionalFormatting sqref="C93:C94">
    <cfRule type="cellIs" dxfId="16227" priority="3915" stopIfTrue="1" operator="equal">
      <formula>"Towel"</formula>
    </cfRule>
    <cfRule type="cellIs" dxfId="16226" priority="3916" stopIfTrue="1" operator="equal">
      <formula>"Napkin Hs"</formula>
    </cfRule>
  </conditionalFormatting>
  <conditionalFormatting sqref="C93:C94">
    <cfRule type="cellIs" dxfId="16225" priority="3913" stopIfTrue="1" operator="equal">
      <formula>"Towel"</formula>
    </cfRule>
    <cfRule type="cellIs" dxfId="16224" priority="3914" stopIfTrue="1" operator="equal">
      <formula>"Napkin Hs"</formula>
    </cfRule>
  </conditionalFormatting>
  <conditionalFormatting sqref="B93:C94">
    <cfRule type="cellIs" dxfId="16223" priority="3911" stopIfTrue="1" operator="equal">
      <formula>"Towel"</formula>
    </cfRule>
    <cfRule type="cellIs" dxfId="16222" priority="3912" stopIfTrue="1" operator="equal">
      <formula>"Napkin Hs"</formula>
    </cfRule>
  </conditionalFormatting>
  <conditionalFormatting sqref="C93:C94">
    <cfRule type="cellIs" dxfId="16221" priority="3910" stopIfTrue="1" operator="equal">
      <formula>"Napkin Hs"</formula>
    </cfRule>
  </conditionalFormatting>
  <conditionalFormatting sqref="C93:C94">
    <cfRule type="cellIs" dxfId="16220" priority="3907" stopIfTrue="1" operator="equal">
      <formula>"Towel"</formula>
    </cfRule>
    <cfRule type="cellIs" dxfId="16219" priority="3908" stopIfTrue="1" operator="equal">
      <formula>"Napkin Hs"</formula>
    </cfRule>
  </conditionalFormatting>
  <conditionalFormatting sqref="C93:C94">
    <cfRule type="cellIs" dxfId="16218" priority="3909" stopIfTrue="1" operator="equal">
      <formula>"Towel"</formula>
    </cfRule>
  </conditionalFormatting>
  <conditionalFormatting sqref="B95:C95">
    <cfRule type="cellIs" dxfId="16217" priority="3905" stopIfTrue="1" operator="equal">
      <formula>"Towel"</formula>
    </cfRule>
    <cfRule type="cellIs" dxfId="16216" priority="3906" stopIfTrue="1" operator="equal">
      <formula>"Napkin Hs"</formula>
    </cfRule>
  </conditionalFormatting>
  <conditionalFormatting sqref="C95">
    <cfRule type="cellIs" dxfId="16215" priority="3901" stopIfTrue="1" operator="equal">
      <formula>"Towel"</formula>
    </cfRule>
    <cfRule type="cellIs" dxfId="16214" priority="3902" stopIfTrue="1" operator="equal">
      <formula>"Napkin Hs"</formula>
    </cfRule>
  </conditionalFormatting>
  <conditionalFormatting sqref="C95">
    <cfRule type="cellIs" dxfId="16213" priority="3903" stopIfTrue="1" operator="equal">
      <formula>"Towel"</formula>
    </cfRule>
    <cfRule type="cellIs" dxfId="16212" priority="3904" stopIfTrue="1" operator="equal">
      <formula>"Napkin Hs"</formula>
    </cfRule>
  </conditionalFormatting>
  <conditionalFormatting sqref="B95:C95">
    <cfRule type="cellIs" dxfId="16211" priority="3899" stopIfTrue="1" operator="equal">
      <formula>"Towel"</formula>
    </cfRule>
    <cfRule type="cellIs" dxfId="16210" priority="3900" stopIfTrue="1" operator="equal">
      <formula>"Napkin Hs"</formula>
    </cfRule>
  </conditionalFormatting>
  <conditionalFormatting sqref="C95">
    <cfRule type="cellIs" dxfId="16209" priority="3895" stopIfTrue="1" operator="equal">
      <formula>"Towel"</formula>
    </cfRule>
    <cfRule type="cellIs" dxfId="16208" priority="3896" stopIfTrue="1" operator="equal">
      <formula>"Napkin Hs"</formula>
    </cfRule>
  </conditionalFormatting>
  <conditionalFormatting sqref="C95">
    <cfRule type="cellIs" dxfId="16207" priority="3897" stopIfTrue="1" operator="equal">
      <formula>"Towel"</formula>
    </cfRule>
    <cfRule type="cellIs" dxfId="16206" priority="3898" stopIfTrue="1" operator="equal">
      <formula>"Napkin Hs"</formula>
    </cfRule>
  </conditionalFormatting>
  <conditionalFormatting sqref="B95:C95">
    <cfRule type="cellIs" dxfId="16205" priority="3851" stopIfTrue="1" operator="equal">
      <formula>"Towel"</formula>
    </cfRule>
    <cfRule type="cellIs" dxfId="16204" priority="3852" stopIfTrue="1" operator="equal">
      <formula>"Napkin Hs"</formula>
    </cfRule>
    <cfRule type="cellIs" dxfId="16203" priority="3857" stopIfTrue="1" operator="equal">
      <formula>"Towel"</formula>
    </cfRule>
    <cfRule type="cellIs" dxfId="16202" priority="3858" stopIfTrue="1" operator="equal">
      <formula>"Napkin Hs"</formula>
    </cfRule>
    <cfRule type="cellIs" dxfId="16201" priority="3863" stopIfTrue="1" operator="equal">
      <formula>"Towel"</formula>
    </cfRule>
    <cfRule type="cellIs" dxfId="16200" priority="3864" stopIfTrue="1" operator="equal">
      <formula>"Napkin Hs"</formula>
    </cfRule>
    <cfRule type="cellIs" dxfId="16199" priority="3869" stopIfTrue="1" operator="equal">
      <formula>"Towel"</formula>
    </cfRule>
    <cfRule type="cellIs" dxfId="16198" priority="3870" stopIfTrue="1" operator="equal">
      <formula>"Napkin Hs"</formula>
    </cfRule>
    <cfRule type="cellIs" dxfId="16197" priority="3875" stopIfTrue="1" operator="equal">
      <formula>"Towel"</formula>
    </cfRule>
    <cfRule type="cellIs" dxfId="16196" priority="3876" stopIfTrue="1" operator="equal">
      <formula>"Napkin Hs"</formula>
    </cfRule>
    <cfRule type="cellIs" dxfId="16195" priority="3881" stopIfTrue="1" operator="equal">
      <formula>"Towel"</formula>
    </cfRule>
    <cfRule type="cellIs" dxfId="16194" priority="3882" stopIfTrue="1" operator="equal">
      <formula>"Napkin Hs"</formula>
    </cfRule>
    <cfRule type="cellIs" dxfId="16193" priority="3887" stopIfTrue="1" operator="equal">
      <formula>"Towel"</formula>
    </cfRule>
    <cfRule type="cellIs" dxfId="16192" priority="3888" stopIfTrue="1" operator="equal">
      <formula>"Napkin Hs"</formula>
    </cfRule>
    <cfRule type="cellIs" dxfId="16191" priority="3893" stopIfTrue="1" operator="equal">
      <formula>"Towel"</formula>
    </cfRule>
    <cfRule type="cellIs" dxfId="16190" priority="3894" stopIfTrue="1" operator="equal">
      <formula>"Napkin Hs"</formula>
    </cfRule>
  </conditionalFormatting>
  <conditionalFormatting sqref="C95">
    <cfRule type="cellIs" dxfId="16189" priority="3847" stopIfTrue="1" operator="equal">
      <formula>"Towel"</formula>
    </cfRule>
    <cfRule type="cellIs" dxfId="16188" priority="3848" stopIfTrue="1" operator="equal">
      <formula>"Napkin Hs"</formula>
    </cfRule>
    <cfRule type="cellIs" dxfId="16187" priority="3849" stopIfTrue="1" operator="equal">
      <formula>"Towel"</formula>
    </cfRule>
    <cfRule type="cellIs" dxfId="16186" priority="3850" stopIfTrue="1" operator="equal">
      <formula>"Napkin Hs"</formula>
    </cfRule>
    <cfRule type="cellIs" dxfId="16185" priority="3853" stopIfTrue="1" operator="equal">
      <formula>"Towel"</formula>
    </cfRule>
    <cfRule type="cellIs" dxfId="16184" priority="3854" stopIfTrue="1" operator="equal">
      <formula>"Napkin Hs"</formula>
    </cfRule>
    <cfRule type="cellIs" dxfId="16183" priority="3855" stopIfTrue="1" operator="equal">
      <formula>"Towel"</formula>
    </cfRule>
    <cfRule type="cellIs" dxfId="16182" priority="3856" stopIfTrue="1" operator="equal">
      <formula>"Napkin Hs"</formula>
    </cfRule>
    <cfRule type="cellIs" dxfId="16181" priority="3859" stopIfTrue="1" operator="equal">
      <formula>"Towel"</formula>
    </cfRule>
    <cfRule type="cellIs" dxfId="16180" priority="3860" stopIfTrue="1" operator="equal">
      <formula>"Napkin Hs"</formula>
    </cfRule>
    <cfRule type="cellIs" dxfId="16179" priority="3861" stopIfTrue="1" operator="equal">
      <formula>"Towel"</formula>
    </cfRule>
    <cfRule type="cellIs" dxfId="16178" priority="3862" stopIfTrue="1" operator="equal">
      <formula>"Napkin Hs"</formula>
    </cfRule>
    <cfRule type="cellIs" dxfId="16177" priority="3865" stopIfTrue="1" operator="equal">
      <formula>"Towel"</formula>
    </cfRule>
    <cfRule type="cellIs" dxfId="16176" priority="3866" stopIfTrue="1" operator="equal">
      <formula>"Napkin Hs"</formula>
    </cfRule>
    <cfRule type="cellIs" dxfId="16175" priority="3867" stopIfTrue="1" operator="equal">
      <formula>"Towel"</formula>
    </cfRule>
    <cfRule type="cellIs" dxfId="16174" priority="3868" stopIfTrue="1" operator="equal">
      <formula>"Napkin Hs"</formula>
    </cfRule>
    <cfRule type="cellIs" dxfId="16173" priority="3871" stopIfTrue="1" operator="equal">
      <formula>"Towel"</formula>
    </cfRule>
    <cfRule type="cellIs" dxfId="16172" priority="3872" stopIfTrue="1" operator="equal">
      <formula>"Napkin Hs"</formula>
    </cfRule>
    <cfRule type="cellIs" dxfId="16171" priority="3873" stopIfTrue="1" operator="equal">
      <formula>"Towel"</formula>
    </cfRule>
    <cfRule type="cellIs" dxfId="16170" priority="3874" stopIfTrue="1" operator="equal">
      <formula>"Napkin Hs"</formula>
    </cfRule>
    <cfRule type="cellIs" dxfId="16169" priority="3877" stopIfTrue="1" operator="equal">
      <formula>"Towel"</formula>
    </cfRule>
    <cfRule type="cellIs" dxfId="16168" priority="3878" stopIfTrue="1" operator="equal">
      <formula>"Napkin Hs"</formula>
    </cfRule>
    <cfRule type="cellIs" dxfId="16167" priority="3879" stopIfTrue="1" operator="equal">
      <formula>"Towel"</formula>
    </cfRule>
    <cfRule type="cellIs" dxfId="16166" priority="3880" stopIfTrue="1" operator="equal">
      <formula>"Napkin Hs"</formula>
    </cfRule>
    <cfRule type="cellIs" dxfId="16165" priority="3883" stopIfTrue="1" operator="equal">
      <formula>"Towel"</formula>
    </cfRule>
    <cfRule type="cellIs" dxfId="16164" priority="3884" stopIfTrue="1" operator="equal">
      <formula>"Napkin Hs"</formula>
    </cfRule>
    <cfRule type="cellIs" dxfId="16163" priority="3885" stopIfTrue="1" operator="equal">
      <formula>"Towel"</formula>
    </cfRule>
    <cfRule type="cellIs" dxfId="16162" priority="3886" stopIfTrue="1" operator="equal">
      <formula>"Napkin Hs"</formula>
    </cfRule>
    <cfRule type="cellIs" dxfId="16161" priority="3889" stopIfTrue="1" operator="equal">
      <formula>"Towel"</formula>
    </cfRule>
    <cfRule type="cellIs" dxfId="16160" priority="3890" stopIfTrue="1" operator="equal">
      <formula>"Napkin Hs"</formula>
    </cfRule>
  </conditionalFormatting>
  <conditionalFormatting sqref="C95">
    <cfRule type="cellIs" dxfId="16159" priority="3891" stopIfTrue="1" operator="equal">
      <formula>"Towel"</formula>
    </cfRule>
    <cfRule type="cellIs" dxfId="16158" priority="3892" stopIfTrue="1" operator="equal">
      <formula>"Napkin Hs"</formula>
    </cfRule>
  </conditionalFormatting>
  <conditionalFormatting sqref="B95:C95">
    <cfRule type="cellIs" dxfId="16157" priority="3803" stopIfTrue="1" operator="equal">
      <formula>"Towel"</formula>
    </cfRule>
    <cfRule type="cellIs" dxfId="16156" priority="3804" stopIfTrue="1" operator="equal">
      <formula>"Napkin Hs"</formula>
    </cfRule>
    <cfRule type="cellIs" dxfId="16155" priority="3809" stopIfTrue="1" operator="equal">
      <formula>"Towel"</formula>
    </cfRule>
    <cfRule type="cellIs" dxfId="16154" priority="3810" stopIfTrue="1" operator="equal">
      <formula>"Napkin Hs"</formula>
    </cfRule>
    <cfRule type="cellIs" dxfId="16153" priority="3815" stopIfTrue="1" operator="equal">
      <formula>"Towel"</formula>
    </cfRule>
    <cfRule type="cellIs" dxfId="16152" priority="3816" stopIfTrue="1" operator="equal">
      <formula>"Napkin Hs"</formula>
    </cfRule>
    <cfRule type="cellIs" dxfId="16151" priority="3821" stopIfTrue="1" operator="equal">
      <formula>"Towel"</formula>
    </cfRule>
    <cfRule type="cellIs" dxfId="16150" priority="3822" stopIfTrue="1" operator="equal">
      <formula>"Napkin Hs"</formula>
    </cfRule>
    <cfRule type="cellIs" dxfId="16149" priority="3827" stopIfTrue="1" operator="equal">
      <formula>"Towel"</formula>
    </cfRule>
    <cfRule type="cellIs" dxfId="16148" priority="3828" stopIfTrue="1" operator="equal">
      <formula>"Napkin Hs"</formula>
    </cfRule>
    <cfRule type="cellIs" dxfId="16147" priority="3833" stopIfTrue="1" operator="equal">
      <formula>"Towel"</formula>
    </cfRule>
    <cfRule type="cellIs" dxfId="16146" priority="3834" stopIfTrue="1" operator="equal">
      <formula>"Napkin Hs"</formula>
    </cfRule>
    <cfRule type="cellIs" dxfId="16145" priority="3839" stopIfTrue="1" operator="equal">
      <formula>"Towel"</formula>
    </cfRule>
    <cfRule type="cellIs" dxfId="16144" priority="3840" stopIfTrue="1" operator="equal">
      <formula>"Napkin Hs"</formula>
    </cfRule>
    <cfRule type="cellIs" dxfId="16143" priority="3845" stopIfTrue="1" operator="equal">
      <formula>"Towel"</formula>
    </cfRule>
    <cfRule type="cellIs" dxfId="16142" priority="3846" stopIfTrue="1" operator="equal">
      <formula>"Napkin Hs"</formula>
    </cfRule>
  </conditionalFormatting>
  <conditionalFormatting sqref="C95">
    <cfRule type="cellIs" dxfId="16141" priority="3799" stopIfTrue="1" operator="equal">
      <formula>"Towel"</formula>
    </cfRule>
    <cfRule type="cellIs" dxfId="16140" priority="3800" stopIfTrue="1" operator="equal">
      <formula>"Napkin Hs"</formula>
    </cfRule>
    <cfRule type="cellIs" dxfId="16139" priority="3801" stopIfTrue="1" operator="equal">
      <formula>"Towel"</formula>
    </cfRule>
    <cfRule type="cellIs" dxfId="16138" priority="3802" stopIfTrue="1" operator="equal">
      <formula>"Napkin Hs"</formula>
    </cfRule>
    <cfRule type="cellIs" dxfId="16137" priority="3805" stopIfTrue="1" operator="equal">
      <formula>"Towel"</formula>
    </cfRule>
    <cfRule type="cellIs" dxfId="16136" priority="3806" stopIfTrue="1" operator="equal">
      <formula>"Napkin Hs"</formula>
    </cfRule>
    <cfRule type="cellIs" dxfId="16135" priority="3807" stopIfTrue="1" operator="equal">
      <formula>"Towel"</formula>
    </cfRule>
    <cfRule type="cellIs" dxfId="16134" priority="3808" stopIfTrue="1" operator="equal">
      <formula>"Napkin Hs"</formula>
    </cfRule>
    <cfRule type="cellIs" dxfId="16133" priority="3811" stopIfTrue="1" operator="equal">
      <formula>"Towel"</formula>
    </cfRule>
    <cfRule type="cellIs" dxfId="16132" priority="3812" stopIfTrue="1" operator="equal">
      <formula>"Napkin Hs"</formula>
    </cfRule>
    <cfRule type="cellIs" dxfId="16131" priority="3813" stopIfTrue="1" operator="equal">
      <formula>"Towel"</formula>
    </cfRule>
    <cfRule type="cellIs" dxfId="16130" priority="3814" stopIfTrue="1" operator="equal">
      <formula>"Napkin Hs"</formula>
    </cfRule>
    <cfRule type="cellIs" dxfId="16129" priority="3817" stopIfTrue="1" operator="equal">
      <formula>"Towel"</formula>
    </cfRule>
    <cfRule type="cellIs" dxfId="16128" priority="3818" stopIfTrue="1" operator="equal">
      <formula>"Napkin Hs"</formula>
    </cfRule>
    <cfRule type="cellIs" dxfId="16127" priority="3819" stopIfTrue="1" operator="equal">
      <formula>"Towel"</formula>
    </cfRule>
    <cfRule type="cellIs" dxfId="16126" priority="3820" stopIfTrue="1" operator="equal">
      <formula>"Napkin Hs"</formula>
    </cfRule>
    <cfRule type="cellIs" dxfId="16125" priority="3823" stopIfTrue="1" operator="equal">
      <formula>"Towel"</formula>
    </cfRule>
    <cfRule type="cellIs" dxfId="16124" priority="3824" stopIfTrue="1" operator="equal">
      <formula>"Napkin Hs"</formula>
    </cfRule>
    <cfRule type="cellIs" dxfId="16123" priority="3825" stopIfTrue="1" operator="equal">
      <formula>"Towel"</formula>
    </cfRule>
    <cfRule type="cellIs" dxfId="16122" priority="3826" stopIfTrue="1" operator="equal">
      <formula>"Napkin Hs"</formula>
    </cfRule>
    <cfRule type="cellIs" dxfId="16121" priority="3829" stopIfTrue="1" operator="equal">
      <formula>"Towel"</formula>
    </cfRule>
    <cfRule type="cellIs" dxfId="16120" priority="3830" stopIfTrue="1" operator="equal">
      <formula>"Napkin Hs"</formula>
    </cfRule>
    <cfRule type="cellIs" dxfId="16119" priority="3831" stopIfTrue="1" operator="equal">
      <formula>"Towel"</formula>
    </cfRule>
    <cfRule type="cellIs" dxfId="16118" priority="3832" stopIfTrue="1" operator="equal">
      <formula>"Napkin Hs"</formula>
    </cfRule>
    <cfRule type="cellIs" dxfId="16117" priority="3835" stopIfTrue="1" operator="equal">
      <formula>"Towel"</formula>
    </cfRule>
    <cfRule type="cellIs" dxfId="16116" priority="3836" stopIfTrue="1" operator="equal">
      <formula>"Napkin Hs"</formula>
    </cfRule>
    <cfRule type="cellIs" dxfId="16115" priority="3837" stopIfTrue="1" operator="equal">
      <formula>"Towel"</formula>
    </cfRule>
    <cfRule type="cellIs" dxfId="16114" priority="3838" stopIfTrue="1" operator="equal">
      <formula>"Napkin Hs"</formula>
    </cfRule>
    <cfRule type="cellIs" dxfId="16113" priority="3841" stopIfTrue="1" operator="equal">
      <formula>"Towel"</formula>
    </cfRule>
    <cfRule type="cellIs" dxfId="16112" priority="3842" stopIfTrue="1" operator="equal">
      <formula>"Napkin Hs"</formula>
    </cfRule>
  </conditionalFormatting>
  <conditionalFormatting sqref="C95">
    <cfRule type="cellIs" dxfId="16111" priority="3843" stopIfTrue="1" operator="equal">
      <formula>"Towel"</formula>
    </cfRule>
    <cfRule type="cellIs" dxfId="16110" priority="3844" stopIfTrue="1" operator="equal">
      <formula>"Napkin Hs"</formula>
    </cfRule>
  </conditionalFormatting>
  <conditionalFormatting sqref="B95:C95">
    <cfRule type="cellIs" dxfId="16109" priority="3797" stopIfTrue="1" operator="equal">
      <formula>"Towel"</formula>
    </cfRule>
    <cfRule type="cellIs" dxfId="16108" priority="3798" stopIfTrue="1" operator="equal">
      <formula>"Napkin Hs"</formula>
    </cfRule>
  </conditionalFormatting>
  <conditionalFormatting sqref="B95:C95">
    <cfRule type="cellIs" dxfId="16107" priority="3773" stopIfTrue="1" operator="equal">
      <formula>"Towel"</formula>
    </cfRule>
    <cfRule type="cellIs" dxfId="16106" priority="3774" stopIfTrue="1" operator="equal">
      <formula>"Napkin Hs"</formula>
    </cfRule>
    <cfRule type="cellIs" dxfId="16105" priority="3779" stopIfTrue="1" operator="equal">
      <formula>"Towel"</formula>
    </cfRule>
    <cfRule type="cellIs" dxfId="16104" priority="3780" stopIfTrue="1" operator="equal">
      <formula>"Napkin Hs"</formula>
    </cfRule>
    <cfRule type="cellIs" dxfId="16103" priority="3785" stopIfTrue="1" operator="equal">
      <formula>"Towel"</formula>
    </cfRule>
    <cfRule type="cellIs" dxfId="16102" priority="3786" stopIfTrue="1" operator="equal">
      <formula>"Napkin Hs"</formula>
    </cfRule>
    <cfRule type="cellIs" dxfId="16101" priority="3791" stopIfTrue="1" operator="equal">
      <formula>"Towel"</formula>
    </cfRule>
    <cfRule type="cellIs" dxfId="16100" priority="3792" stopIfTrue="1" operator="equal">
      <formula>"Napkin Hs"</formula>
    </cfRule>
  </conditionalFormatting>
  <conditionalFormatting sqref="C95">
    <cfRule type="cellIs" dxfId="16099" priority="3787" stopIfTrue="1" operator="equal">
      <formula>"Towel"</formula>
    </cfRule>
    <cfRule type="cellIs" dxfId="16098" priority="3788" stopIfTrue="1" operator="equal">
      <formula>"Napkin Hs"</formula>
    </cfRule>
    <cfRule type="cellIs" dxfId="16097" priority="3793" stopIfTrue="1" operator="equal">
      <formula>"Towel"</formula>
    </cfRule>
    <cfRule type="cellIs" dxfId="16096" priority="3794" stopIfTrue="1" operator="equal">
      <formula>"Napkin Hs"</formula>
    </cfRule>
  </conditionalFormatting>
  <conditionalFormatting sqref="C95">
    <cfRule type="cellIs" dxfId="16095" priority="3767" stopIfTrue="1" operator="equal">
      <formula>"Towel"</formula>
    </cfRule>
    <cfRule type="cellIs" dxfId="16094" priority="3768" stopIfTrue="1" operator="equal">
      <formula>"Napkin Hs"</formula>
    </cfRule>
    <cfRule type="cellIs" dxfId="16093" priority="3769" stopIfTrue="1" operator="equal">
      <formula>"Towel"</formula>
    </cfRule>
    <cfRule type="cellIs" dxfId="16092" priority="3770" stopIfTrue="1" operator="equal">
      <formula>"Napkin Hs"</formula>
    </cfRule>
    <cfRule type="cellIs" dxfId="16091" priority="3777" stopIfTrue="1" operator="equal">
      <formula>"Towel"</formula>
    </cfRule>
    <cfRule type="cellIs" dxfId="16090" priority="3778" stopIfTrue="1" operator="equal">
      <formula>"Napkin Hs"</formula>
    </cfRule>
    <cfRule type="cellIs" dxfId="16089" priority="3781" stopIfTrue="1" operator="equal">
      <formula>"Towel"</formula>
    </cfRule>
    <cfRule type="cellIs" dxfId="16088" priority="3782" stopIfTrue="1" operator="equal">
      <formula>"Napkin Hs"</formula>
    </cfRule>
    <cfRule type="cellIs" dxfId="16087" priority="3783" stopIfTrue="1" operator="equal">
      <formula>"Towel"</formula>
    </cfRule>
    <cfRule type="cellIs" dxfId="16086" priority="3784" stopIfTrue="1" operator="equal">
      <formula>"Napkin Hs"</formula>
    </cfRule>
  </conditionalFormatting>
  <conditionalFormatting sqref="C95">
    <cfRule type="cellIs" dxfId="16085" priority="3795" stopIfTrue="1" operator="equal">
      <formula>"Towel"</formula>
    </cfRule>
    <cfRule type="cellIs" dxfId="16084" priority="3796" stopIfTrue="1" operator="equal">
      <formula>"Napkin Hs"</formula>
    </cfRule>
  </conditionalFormatting>
  <conditionalFormatting sqref="C95">
    <cfRule type="cellIs" dxfId="16083" priority="3771" stopIfTrue="1" operator="equal">
      <formula>"Towel"</formula>
    </cfRule>
    <cfRule type="cellIs" dxfId="16082" priority="3772" stopIfTrue="1" operator="equal">
      <formula>"Napkin Hs"</formula>
    </cfRule>
    <cfRule type="cellIs" dxfId="16081" priority="3775" stopIfTrue="1" operator="equal">
      <formula>"Towel"</formula>
    </cfRule>
    <cfRule type="cellIs" dxfId="16080" priority="3776" stopIfTrue="1" operator="equal">
      <formula>"Napkin Hs"</formula>
    </cfRule>
    <cfRule type="cellIs" dxfId="16079" priority="3789" stopIfTrue="1" operator="equal">
      <formula>"Towel"</formula>
    </cfRule>
    <cfRule type="cellIs" dxfId="16078" priority="3790" stopIfTrue="1" operator="equal">
      <formula>"Napkin Hs"</formula>
    </cfRule>
  </conditionalFormatting>
  <conditionalFormatting sqref="B95:C95">
    <cfRule type="cellIs" dxfId="16077" priority="3723" stopIfTrue="1" operator="equal">
      <formula>"Towel"</formula>
    </cfRule>
    <cfRule type="cellIs" dxfId="16076" priority="3724" stopIfTrue="1" operator="equal">
      <formula>"Napkin Hs"</formula>
    </cfRule>
    <cfRule type="cellIs" dxfId="16075" priority="3729" stopIfTrue="1" operator="equal">
      <formula>"Towel"</formula>
    </cfRule>
    <cfRule type="cellIs" dxfId="16074" priority="3730" stopIfTrue="1" operator="equal">
      <formula>"Napkin Hs"</formula>
    </cfRule>
    <cfRule type="cellIs" dxfId="16073" priority="3735" stopIfTrue="1" operator="equal">
      <formula>"Towel"</formula>
    </cfRule>
    <cfRule type="cellIs" dxfId="16072" priority="3736" stopIfTrue="1" operator="equal">
      <formula>"Napkin Hs"</formula>
    </cfRule>
    <cfRule type="cellIs" dxfId="16071" priority="3741" stopIfTrue="1" operator="equal">
      <formula>"Towel"</formula>
    </cfRule>
    <cfRule type="cellIs" dxfId="16070" priority="3742" stopIfTrue="1" operator="equal">
      <formula>"Napkin Hs"</formula>
    </cfRule>
    <cfRule type="cellIs" dxfId="16069" priority="3747" stopIfTrue="1" operator="equal">
      <formula>"Towel"</formula>
    </cfRule>
    <cfRule type="cellIs" dxfId="16068" priority="3748" stopIfTrue="1" operator="equal">
      <formula>"Napkin Hs"</formula>
    </cfRule>
    <cfRule type="cellIs" dxfId="16067" priority="3753" stopIfTrue="1" operator="equal">
      <formula>"Towel"</formula>
    </cfRule>
    <cfRule type="cellIs" dxfId="16066" priority="3754" stopIfTrue="1" operator="equal">
      <formula>"Napkin Hs"</formula>
    </cfRule>
    <cfRule type="cellIs" dxfId="16065" priority="3759" stopIfTrue="1" operator="equal">
      <formula>"Towel"</formula>
    </cfRule>
    <cfRule type="cellIs" dxfId="16064" priority="3760" stopIfTrue="1" operator="equal">
      <formula>"Napkin Hs"</formula>
    </cfRule>
    <cfRule type="cellIs" dxfId="16063" priority="3765" stopIfTrue="1" operator="equal">
      <formula>"Towel"</formula>
    </cfRule>
    <cfRule type="cellIs" dxfId="16062" priority="3766" stopIfTrue="1" operator="equal">
      <formula>"Napkin Hs"</formula>
    </cfRule>
  </conditionalFormatting>
  <conditionalFormatting sqref="C95">
    <cfRule type="cellIs" dxfId="16061" priority="3719" stopIfTrue="1" operator="equal">
      <formula>"Towel"</formula>
    </cfRule>
    <cfRule type="cellIs" dxfId="16060" priority="3720" stopIfTrue="1" operator="equal">
      <formula>"Napkin Hs"</formula>
    </cfRule>
    <cfRule type="cellIs" dxfId="16059" priority="3721" stopIfTrue="1" operator="equal">
      <formula>"Towel"</formula>
    </cfRule>
    <cfRule type="cellIs" dxfId="16058" priority="3722" stopIfTrue="1" operator="equal">
      <formula>"Napkin Hs"</formula>
    </cfRule>
    <cfRule type="cellIs" dxfId="16057" priority="3725" stopIfTrue="1" operator="equal">
      <formula>"Towel"</formula>
    </cfRule>
    <cfRule type="cellIs" dxfId="16056" priority="3726" stopIfTrue="1" operator="equal">
      <formula>"Napkin Hs"</formula>
    </cfRule>
    <cfRule type="cellIs" dxfId="16055" priority="3727" stopIfTrue="1" operator="equal">
      <formula>"Towel"</formula>
    </cfRule>
    <cfRule type="cellIs" dxfId="16054" priority="3728" stopIfTrue="1" operator="equal">
      <formula>"Napkin Hs"</formula>
    </cfRule>
    <cfRule type="cellIs" dxfId="16053" priority="3731" stopIfTrue="1" operator="equal">
      <formula>"Towel"</formula>
    </cfRule>
    <cfRule type="cellIs" dxfId="16052" priority="3732" stopIfTrue="1" operator="equal">
      <formula>"Napkin Hs"</formula>
    </cfRule>
    <cfRule type="cellIs" dxfId="16051" priority="3733" stopIfTrue="1" operator="equal">
      <formula>"Towel"</formula>
    </cfRule>
    <cfRule type="cellIs" dxfId="16050" priority="3734" stopIfTrue="1" operator="equal">
      <formula>"Napkin Hs"</formula>
    </cfRule>
    <cfRule type="cellIs" dxfId="16049" priority="3737" stopIfTrue="1" operator="equal">
      <formula>"Towel"</formula>
    </cfRule>
    <cfRule type="cellIs" dxfId="16048" priority="3738" stopIfTrue="1" operator="equal">
      <formula>"Napkin Hs"</formula>
    </cfRule>
    <cfRule type="cellIs" dxfId="16047" priority="3739" stopIfTrue="1" operator="equal">
      <formula>"Towel"</formula>
    </cfRule>
    <cfRule type="cellIs" dxfId="16046" priority="3740" stopIfTrue="1" operator="equal">
      <formula>"Napkin Hs"</formula>
    </cfRule>
    <cfRule type="cellIs" dxfId="16045" priority="3743" stopIfTrue="1" operator="equal">
      <formula>"Towel"</formula>
    </cfRule>
    <cfRule type="cellIs" dxfId="16044" priority="3744" stopIfTrue="1" operator="equal">
      <formula>"Napkin Hs"</formula>
    </cfRule>
    <cfRule type="cellIs" dxfId="16043" priority="3745" stopIfTrue="1" operator="equal">
      <formula>"Towel"</formula>
    </cfRule>
    <cfRule type="cellIs" dxfId="16042" priority="3746" stopIfTrue="1" operator="equal">
      <formula>"Napkin Hs"</formula>
    </cfRule>
    <cfRule type="cellIs" dxfId="16041" priority="3749" stopIfTrue="1" operator="equal">
      <formula>"Towel"</formula>
    </cfRule>
    <cfRule type="cellIs" dxfId="16040" priority="3750" stopIfTrue="1" operator="equal">
      <formula>"Napkin Hs"</formula>
    </cfRule>
    <cfRule type="cellIs" dxfId="16039" priority="3751" stopIfTrue="1" operator="equal">
      <formula>"Towel"</formula>
    </cfRule>
    <cfRule type="cellIs" dxfId="16038" priority="3752" stopIfTrue="1" operator="equal">
      <formula>"Napkin Hs"</formula>
    </cfRule>
    <cfRule type="cellIs" dxfId="16037" priority="3755" stopIfTrue="1" operator="equal">
      <formula>"Towel"</formula>
    </cfRule>
    <cfRule type="cellIs" dxfId="16036" priority="3756" stopIfTrue="1" operator="equal">
      <formula>"Napkin Hs"</formula>
    </cfRule>
    <cfRule type="cellIs" dxfId="16035" priority="3757" stopIfTrue="1" operator="equal">
      <formula>"Towel"</formula>
    </cfRule>
    <cfRule type="cellIs" dxfId="16034" priority="3758" stopIfTrue="1" operator="equal">
      <formula>"Napkin Hs"</formula>
    </cfRule>
    <cfRule type="cellIs" dxfId="16033" priority="3761" stopIfTrue="1" operator="equal">
      <formula>"Towel"</formula>
    </cfRule>
    <cfRule type="cellIs" dxfId="16032" priority="3762" stopIfTrue="1" operator="equal">
      <formula>"Napkin Hs"</formula>
    </cfRule>
  </conditionalFormatting>
  <conditionalFormatting sqref="C95">
    <cfRule type="cellIs" dxfId="16031" priority="3763" stopIfTrue="1" operator="equal">
      <formula>"Towel"</formula>
    </cfRule>
    <cfRule type="cellIs" dxfId="16030" priority="3764" stopIfTrue="1" operator="equal">
      <formula>"Napkin Hs"</formula>
    </cfRule>
  </conditionalFormatting>
  <conditionalFormatting sqref="B95">
    <cfRule type="cellIs" dxfId="16029" priority="3713" stopIfTrue="1" operator="equal">
      <formula>"Towel"</formula>
    </cfRule>
    <cfRule type="cellIs" dxfId="16028" priority="3714" stopIfTrue="1" operator="equal">
      <formula>"Napkin Hs"</formula>
    </cfRule>
    <cfRule type="cellIs" dxfId="16027" priority="3715" stopIfTrue="1" operator="equal">
      <formula>"Towel"</formula>
    </cfRule>
    <cfRule type="cellIs" dxfId="16026" priority="3716" stopIfTrue="1" operator="equal">
      <formula>"Napkin Hs"</formula>
    </cfRule>
    <cfRule type="cellIs" dxfId="16025" priority="3717" stopIfTrue="1" operator="equal">
      <formula>"Towel"</formula>
    </cfRule>
    <cfRule type="cellIs" dxfId="16024" priority="3718" stopIfTrue="1" operator="equal">
      <formula>"Napkin Hs"</formula>
    </cfRule>
  </conditionalFormatting>
  <conditionalFormatting sqref="B95:C95">
    <cfRule type="cellIs" dxfId="16023" priority="3675" stopIfTrue="1" operator="equal">
      <formula>"Towel"</formula>
    </cfRule>
    <cfRule type="cellIs" dxfId="16022" priority="3676" stopIfTrue="1" operator="equal">
      <formula>"Napkin Hs"</formula>
    </cfRule>
    <cfRule type="cellIs" dxfId="16021" priority="3681" stopIfTrue="1" operator="equal">
      <formula>"Towel"</formula>
    </cfRule>
    <cfRule type="cellIs" dxfId="16020" priority="3682" stopIfTrue="1" operator="equal">
      <formula>"Napkin Hs"</formula>
    </cfRule>
    <cfRule type="cellIs" dxfId="16019" priority="3687" stopIfTrue="1" operator="equal">
      <formula>"Towel"</formula>
    </cfRule>
    <cfRule type="cellIs" dxfId="16018" priority="3688" stopIfTrue="1" operator="equal">
      <formula>"Napkin Hs"</formula>
    </cfRule>
    <cfRule type="cellIs" dxfId="16017" priority="3693" stopIfTrue="1" operator="equal">
      <formula>"Towel"</formula>
    </cfRule>
    <cfRule type="cellIs" dxfId="16016" priority="3694" stopIfTrue="1" operator="equal">
      <formula>"Napkin Hs"</formula>
    </cfRule>
    <cfRule type="cellIs" dxfId="16015" priority="3699" stopIfTrue="1" operator="equal">
      <formula>"Towel"</formula>
    </cfRule>
    <cfRule type="cellIs" dxfId="16014" priority="3700" stopIfTrue="1" operator="equal">
      <formula>"Napkin Hs"</formula>
    </cfRule>
    <cfRule type="cellIs" dxfId="16013" priority="3705" stopIfTrue="1" operator="equal">
      <formula>"Towel"</formula>
    </cfRule>
    <cfRule type="cellIs" dxfId="16012" priority="3706" stopIfTrue="1" operator="equal">
      <formula>"Napkin Hs"</formula>
    </cfRule>
    <cfRule type="cellIs" dxfId="16011" priority="3711" stopIfTrue="1" operator="equal">
      <formula>"Towel"</formula>
    </cfRule>
    <cfRule type="cellIs" dxfId="16010" priority="3712" stopIfTrue="1" operator="equal">
      <formula>"Napkin Hs"</formula>
    </cfRule>
  </conditionalFormatting>
  <conditionalFormatting sqref="C95">
    <cfRule type="cellIs" dxfId="16009" priority="3671" stopIfTrue="1" operator="equal">
      <formula>"Towel"</formula>
    </cfRule>
    <cfRule type="cellIs" dxfId="16008" priority="3672" stopIfTrue="1" operator="equal">
      <formula>"Napkin Hs"</formula>
    </cfRule>
    <cfRule type="cellIs" dxfId="16007" priority="3673" stopIfTrue="1" operator="equal">
      <formula>"Towel"</formula>
    </cfRule>
    <cfRule type="cellIs" dxfId="16006" priority="3674" stopIfTrue="1" operator="equal">
      <formula>"Napkin Hs"</formula>
    </cfRule>
    <cfRule type="cellIs" dxfId="16005" priority="3677" stopIfTrue="1" operator="equal">
      <formula>"Towel"</formula>
    </cfRule>
    <cfRule type="cellIs" dxfId="16004" priority="3678" stopIfTrue="1" operator="equal">
      <formula>"Napkin Hs"</formula>
    </cfRule>
    <cfRule type="cellIs" dxfId="16003" priority="3679" stopIfTrue="1" operator="equal">
      <formula>"Towel"</formula>
    </cfRule>
    <cfRule type="cellIs" dxfId="16002" priority="3680" stopIfTrue="1" operator="equal">
      <formula>"Napkin Hs"</formula>
    </cfRule>
    <cfRule type="cellIs" dxfId="16001" priority="3683" stopIfTrue="1" operator="equal">
      <formula>"Towel"</formula>
    </cfRule>
    <cfRule type="cellIs" dxfId="16000" priority="3684" stopIfTrue="1" operator="equal">
      <formula>"Napkin Hs"</formula>
    </cfRule>
    <cfRule type="cellIs" dxfId="15999" priority="3685" stopIfTrue="1" operator="equal">
      <formula>"Towel"</formula>
    </cfRule>
    <cfRule type="cellIs" dxfId="15998" priority="3686" stopIfTrue="1" operator="equal">
      <formula>"Napkin Hs"</formula>
    </cfRule>
    <cfRule type="cellIs" dxfId="15997" priority="3689" stopIfTrue="1" operator="equal">
      <formula>"Towel"</formula>
    </cfRule>
    <cfRule type="cellIs" dxfId="15996" priority="3690" stopIfTrue="1" operator="equal">
      <formula>"Napkin Hs"</formula>
    </cfRule>
    <cfRule type="cellIs" dxfId="15995" priority="3691" stopIfTrue="1" operator="equal">
      <formula>"Towel"</formula>
    </cfRule>
    <cfRule type="cellIs" dxfId="15994" priority="3692" stopIfTrue="1" operator="equal">
      <formula>"Napkin Hs"</formula>
    </cfRule>
    <cfRule type="cellIs" dxfId="15993" priority="3695" stopIfTrue="1" operator="equal">
      <formula>"Towel"</formula>
    </cfRule>
    <cfRule type="cellIs" dxfId="15992" priority="3696" stopIfTrue="1" operator="equal">
      <formula>"Napkin Hs"</formula>
    </cfRule>
    <cfRule type="cellIs" dxfId="15991" priority="3697" stopIfTrue="1" operator="equal">
      <formula>"Towel"</formula>
    </cfRule>
    <cfRule type="cellIs" dxfId="15990" priority="3698" stopIfTrue="1" operator="equal">
      <formula>"Napkin Hs"</formula>
    </cfRule>
    <cfRule type="cellIs" dxfId="15989" priority="3701" stopIfTrue="1" operator="equal">
      <formula>"Towel"</formula>
    </cfRule>
    <cfRule type="cellIs" dxfId="15988" priority="3702" stopIfTrue="1" operator="equal">
      <formula>"Napkin Hs"</formula>
    </cfRule>
    <cfRule type="cellIs" dxfId="15987" priority="3703" stopIfTrue="1" operator="equal">
      <formula>"Towel"</formula>
    </cfRule>
    <cfRule type="cellIs" dxfId="15986" priority="3704" stopIfTrue="1" operator="equal">
      <formula>"Napkin Hs"</formula>
    </cfRule>
    <cfRule type="cellIs" dxfId="15985" priority="3707" stopIfTrue="1" operator="equal">
      <formula>"Towel"</formula>
    </cfRule>
    <cfRule type="cellIs" dxfId="15984" priority="3708" stopIfTrue="1" operator="equal">
      <formula>"Napkin Hs"</formula>
    </cfRule>
  </conditionalFormatting>
  <conditionalFormatting sqref="C95">
    <cfRule type="cellIs" dxfId="15983" priority="3709" stopIfTrue="1" operator="equal">
      <formula>"Towel"</formula>
    </cfRule>
    <cfRule type="cellIs" dxfId="15982" priority="3710" stopIfTrue="1" operator="equal">
      <formula>"Napkin Hs"</formula>
    </cfRule>
  </conditionalFormatting>
  <conditionalFormatting sqref="B95:C95">
    <cfRule type="cellIs" dxfId="15981" priority="3669" stopIfTrue="1" operator="equal">
      <formula>"Towel"</formula>
    </cfRule>
    <cfRule type="cellIs" dxfId="15980" priority="3670" stopIfTrue="1" operator="equal">
      <formula>"Napkin Hs"</formula>
    </cfRule>
  </conditionalFormatting>
  <conditionalFormatting sqref="B95:C95">
    <cfRule type="cellIs" dxfId="15979" priority="3633" stopIfTrue="1" operator="equal">
      <formula>"Towel"</formula>
    </cfRule>
    <cfRule type="cellIs" dxfId="15978" priority="3634" stopIfTrue="1" operator="equal">
      <formula>"Napkin Hs"</formula>
    </cfRule>
    <cfRule type="cellIs" dxfId="15977" priority="3639" stopIfTrue="1" operator="equal">
      <formula>"Towel"</formula>
    </cfRule>
    <cfRule type="cellIs" dxfId="15976" priority="3640" stopIfTrue="1" operator="equal">
      <formula>"Napkin Hs"</formula>
    </cfRule>
    <cfRule type="cellIs" dxfId="15975" priority="3645" stopIfTrue="1" operator="equal">
      <formula>"Towel"</formula>
    </cfRule>
    <cfRule type="cellIs" dxfId="15974" priority="3646" stopIfTrue="1" operator="equal">
      <formula>"Napkin Hs"</formula>
    </cfRule>
    <cfRule type="cellIs" dxfId="15973" priority="3651" stopIfTrue="1" operator="equal">
      <formula>"Towel"</formula>
    </cfRule>
    <cfRule type="cellIs" dxfId="15972" priority="3652" stopIfTrue="1" operator="equal">
      <formula>"Napkin Hs"</formula>
    </cfRule>
    <cfRule type="cellIs" dxfId="15971" priority="3657" stopIfTrue="1" operator="equal">
      <formula>"Towel"</formula>
    </cfRule>
    <cfRule type="cellIs" dxfId="15970" priority="3658" stopIfTrue="1" operator="equal">
      <formula>"Napkin Hs"</formula>
    </cfRule>
    <cfRule type="cellIs" dxfId="15969" priority="3663" stopIfTrue="1" operator="equal">
      <formula>"Towel"</formula>
    </cfRule>
    <cfRule type="cellIs" dxfId="15968" priority="3664" stopIfTrue="1" operator="equal">
      <formula>"Napkin Hs"</formula>
    </cfRule>
  </conditionalFormatting>
  <conditionalFormatting sqref="C95">
    <cfRule type="cellIs" dxfId="15967" priority="3668" stopIfTrue="1" operator="equal">
      <formula>"Napkin Hs"</formula>
    </cfRule>
  </conditionalFormatting>
  <conditionalFormatting sqref="C95">
    <cfRule type="cellIs" dxfId="15966" priority="3667" stopIfTrue="1" operator="equal">
      <formula>"Towel"</formula>
    </cfRule>
  </conditionalFormatting>
  <conditionalFormatting sqref="C95">
    <cfRule type="cellIs" dxfId="15965" priority="3661" stopIfTrue="1" operator="equal">
      <formula>"Towel"</formula>
    </cfRule>
    <cfRule type="cellIs" dxfId="15964" priority="3662" stopIfTrue="1" operator="equal">
      <formula>"Napkin Hs"</formula>
    </cfRule>
  </conditionalFormatting>
  <conditionalFormatting sqref="C95">
    <cfRule type="cellIs" dxfId="15963" priority="3659" stopIfTrue="1" operator="equal">
      <formula>"Towel"</formula>
    </cfRule>
    <cfRule type="cellIs" dxfId="15962" priority="3660" stopIfTrue="1" operator="equal">
      <formula>"Napkin Hs"</formula>
    </cfRule>
    <cfRule type="cellIs" dxfId="15961" priority="3665" stopIfTrue="1" operator="equal">
      <formula>"Towel"</formula>
    </cfRule>
    <cfRule type="cellIs" dxfId="15960" priority="3666" stopIfTrue="1" operator="equal">
      <formula>"Napkin Hs"</formula>
    </cfRule>
  </conditionalFormatting>
  <conditionalFormatting sqref="C95">
    <cfRule type="cellIs" dxfId="15959" priority="3631" stopIfTrue="1" operator="equal">
      <formula>"Towel"</formula>
    </cfRule>
    <cfRule type="cellIs" dxfId="15958" priority="3632" stopIfTrue="1" operator="equal">
      <formula>"Napkin Hs"</formula>
    </cfRule>
    <cfRule type="cellIs" dxfId="15957" priority="3635" stopIfTrue="1" operator="equal">
      <formula>"Towel"</formula>
    </cfRule>
    <cfRule type="cellIs" dxfId="15956" priority="3636" stopIfTrue="1" operator="equal">
      <formula>"Napkin Hs"</formula>
    </cfRule>
    <cfRule type="cellIs" dxfId="15955" priority="3637" stopIfTrue="1" operator="equal">
      <formula>"Towel"</formula>
    </cfRule>
    <cfRule type="cellIs" dxfId="15954" priority="3638" stopIfTrue="1" operator="equal">
      <formula>"Napkin Hs"</formula>
    </cfRule>
    <cfRule type="cellIs" dxfId="15953" priority="3641" stopIfTrue="1" operator="equal">
      <formula>"Towel"</formula>
    </cfRule>
    <cfRule type="cellIs" dxfId="15952" priority="3642" stopIfTrue="1" operator="equal">
      <formula>"Napkin Hs"</formula>
    </cfRule>
    <cfRule type="cellIs" dxfId="15951" priority="3643" stopIfTrue="1" operator="equal">
      <formula>"Towel"</formula>
    </cfRule>
    <cfRule type="cellIs" dxfId="15950" priority="3644" stopIfTrue="1" operator="equal">
      <formula>"Napkin Hs"</formula>
    </cfRule>
    <cfRule type="cellIs" dxfId="15949" priority="3647" stopIfTrue="1" operator="equal">
      <formula>"Towel"</formula>
    </cfRule>
    <cfRule type="cellIs" dxfId="15948" priority="3648" stopIfTrue="1" operator="equal">
      <formula>"Napkin Hs"</formula>
    </cfRule>
    <cfRule type="cellIs" dxfId="15947" priority="3649" stopIfTrue="1" operator="equal">
      <formula>"Towel"</formula>
    </cfRule>
    <cfRule type="cellIs" dxfId="15946" priority="3650" stopIfTrue="1" operator="equal">
      <formula>"Napkin Hs"</formula>
    </cfRule>
    <cfRule type="cellIs" dxfId="15945" priority="3653" stopIfTrue="1" operator="equal">
      <formula>"Towel"</formula>
    </cfRule>
    <cfRule type="cellIs" dxfId="15944" priority="3654" stopIfTrue="1" operator="equal">
      <formula>"Napkin Hs"</formula>
    </cfRule>
    <cfRule type="cellIs" dxfId="15943" priority="3655" stopIfTrue="1" operator="equal">
      <formula>"Towel"</formula>
    </cfRule>
    <cfRule type="cellIs" dxfId="15942" priority="3656" stopIfTrue="1" operator="equal">
      <formula>"Napkin Hs"</formula>
    </cfRule>
  </conditionalFormatting>
  <conditionalFormatting sqref="C95">
    <cfRule type="cellIs" dxfId="15941" priority="3629" stopIfTrue="1" operator="equal">
      <formula>"Towel"</formula>
    </cfRule>
    <cfRule type="cellIs" dxfId="15940" priority="3630" stopIfTrue="1" operator="equal">
      <formula>"Napkin Hs"</formula>
    </cfRule>
  </conditionalFormatting>
  <conditionalFormatting sqref="C95">
    <cfRule type="cellIs" dxfId="15939" priority="3609" stopIfTrue="1" operator="equal">
      <formula>"Towel"</formula>
    </cfRule>
    <cfRule type="cellIs" dxfId="15938" priority="3610" stopIfTrue="1" operator="equal">
      <formula>"Napkin Hs"</formula>
    </cfRule>
    <cfRule type="cellIs" dxfId="15937" priority="3615" stopIfTrue="1" operator="equal">
      <formula>"Towel"</formula>
    </cfRule>
    <cfRule type="cellIs" dxfId="15936" priority="3616" stopIfTrue="1" operator="equal">
      <formula>"Napkin Hs"</formula>
    </cfRule>
    <cfRule type="cellIs" dxfId="15935" priority="3621" stopIfTrue="1" operator="equal">
      <formula>"Towel"</formula>
    </cfRule>
    <cfRule type="cellIs" dxfId="15934" priority="3622" stopIfTrue="1" operator="equal">
      <formula>"Napkin Hs"</formula>
    </cfRule>
    <cfRule type="cellIs" dxfId="15933" priority="3627" stopIfTrue="1" operator="equal">
      <formula>"Towel"</formula>
    </cfRule>
    <cfRule type="cellIs" dxfId="15932" priority="3628" stopIfTrue="1" operator="equal">
      <formula>"Napkin Hs"</formula>
    </cfRule>
  </conditionalFormatting>
  <conditionalFormatting sqref="C95">
    <cfRule type="cellIs" dxfId="15931" priority="3619" stopIfTrue="1" operator="equal">
      <formula>"Towel"</formula>
    </cfRule>
    <cfRule type="cellIs" dxfId="15930" priority="3620" stopIfTrue="1" operator="equal">
      <formula>"Napkin Hs"</formula>
    </cfRule>
    <cfRule type="cellIs" dxfId="15929" priority="3625" stopIfTrue="1" operator="equal">
      <formula>"Towel"</formula>
    </cfRule>
    <cfRule type="cellIs" dxfId="15928" priority="3626" stopIfTrue="1" operator="equal">
      <formula>"Napkin Hs"</formula>
    </cfRule>
  </conditionalFormatting>
  <conditionalFormatting sqref="C95">
    <cfRule type="cellIs" dxfId="15927" priority="3605" stopIfTrue="1" operator="equal">
      <formula>"Towel"</formula>
    </cfRule>
    <cfRule type="cellIs" dxfId="15926" priority="3606" stopIfTrue="1" operator="equal">
      <formula>"Napkin Hs"</formula>
    </cfRule>
    <cfRule type="cellIs" dxfId="15925" priority="3613" stopIfTrue="1" operator="equal">
      <formula>"Towel"</formula>
    </cfRule>
    <cfRule type="cellIs" dxfId="15924" priority="3614" stopIfTrue="1" operator="equal">
      <formula>"Napkin Hs"</formula>
    </cfRule>
    <cfRule type="cellIs" dxfId="15923" priority="3617" stopIfTrue="1" operator="equal">
      <formula>"Towel"</formula>
    </cfRule>
    <cfRule type="cellIs" dxfId="15922" priority="3618" stopIfTrue="1" operator="equal">
      <formula>"Napkin Hs"</formula>
    </cfRule>
  </conditionalFormatting>
  <conditionalFormatting sqref="C95">
    <cfRule type="cellIs" dxfId="15921" priority="3607" stopIfTrue="1" operator="equal">
      <formula>"Towel"</formula>
    </cfRule>
    <cfRule type="cellIs" dxfId="15920" priority="3608" stopIfTrue="1" operator="equal">
      <formula>"Napkin Hs"</formula>
    </cfRule>
    <cfRule type="cellIs" dxfId="15919" priority="3611" stopIfTrue="1" operator="equal">
      <formula>"Towel"</formula>
    </cfRule>
    <cfRule type="cellIs" dxfId="15918" priority="3612" stopIfTrue="1" operator="equal">
      <formula>"Napkin Hs"</formula>
    </cfRule>
    <cfRule type="cellIs" dxfId="15917" priority="3623" stopIfTrue="1" operator="equal">
      <formula>"Towel"</formula>
    </cfRule>
    <cfRule type="cellIs" dxfId="15916" priority="3624" stopIfTrue="1" operator="equal">
      <formula>"Napkin Hs"</formula>
    </cfRule>
  </conditionalFormatting>
  <conditionalFormatting sqref="C95">
    <cfRule type="cellIs" dxfId="15915" priority="3603" stopIfTrue="1" operator="equal">
      <formula>"Towel"</formula>
    </cfRule>
    <cfRule type="cellIs" dxfId="15914" priority="3604" stopIfTrue="1" operator="equal">
      <formula>"Napkin Hs"</formula>
    </cfRule>
  </conditionalFormatting>
  <conditionalFormatting sqref="C95">
    <cfRule type="cellIs" dxfId="15913" priority="3599" stopIfTrue="1" operator="equal">
      <formula>"Towel"</formula>
    </cfRule>
    <cfRule type="cellIs" dxfId="15912" priority="3600" stopIfTrue="1" operator="equal">
      <formula>"Napkin Hs"</formula>
    </cfRule>
  </conditionalFormatting>
  <conditionalFormatting sqref="C95">
    <cfRule type="cellIs" dxfId="15911" priority="3601" stopIfTrue="1" operator="equal">
      <formula>"Towel"</formula>
    </cfRule>
    <cfRule type="cellIs" dxfId="15910" priority="3602" stopIfTrue="1" operator="equal">
      <formula>"Napkin Hs"</formula>
    </cfRule>
  </conditionalFormatting>
  <conditionalFormatting sqref="C95">
    <cfRule type="cellIs" dxfId="15909" priority="3597" stopIfTrue="1" operator="equal">
      <formula>"Towel"</formula>
    </cfRule>
    <cfRule type="cellIs" dxfId="15908" priority="3598" stopIfTrue="1" operator="equal">
      <formula>"Napkin Hs"</formula>
    </cfRule>
  </conditionalFormatting>
  <conditionalFormatting sqref="C95">
    <cfRule type="cellIs" dxfId="15907" priority="3593" stopIfTrue="1" operator="equal">
      <formula>"Towel"</formula>
    </cfRule>
    <cfRule type="cellIs" dxfId="15906" priority="3594" stopIfTrue="1" operator="equal">
      <formula>"Napkin Hs"</formula>
    </cfRule>
  </conditionalFormatting>
  <conditionalFormatting sqref="C95">
    <cfRule type="cellIs" dxfId="15905" priority="3595" stopIfTrue="1" operator="equal">
      <formula>"Towel"</formula>
    </cfRule>
    <cfRule type="cellIs" dxfId="15904" priority="3596" stopIfTrue="1" operator="equal">
      <formula>"Napkin Hs"</formula>
    </cfRule>
  </conditionalFormatting>
  <conditionalFormatting sqref="C95">
    <cfRule type="cellIs" dxfId="15903" priority="3591" stopIfTrue="1" operator="equal">
      <formula>"Towel"</formula>
    </cfRule>
    <cfRule type="cellIs" dxfId="15902" priority="3592" stopIfTrue="1" operator="equal">
      <formula>"Napkin Hs"</formula>
    </cfRule>
  </conditionalFormatting>
  <conditionalFormatting sqref="C95">
    <cfRule type="cellIs" dxfId="15901" priority="3587" stopIfTrue="1" operator="equal">
      <formula>"Towel"</formula>
    </cfRule>
    <cfRule type="cellIs" dxfId="15900" priority="3588" stopIfTrue="1" operator="equal">
      <formula>"Napkin Hs"</formula>
    </cfRule>
  </conditionalFormatting>
  <conditionalFormatting sqref="C95">
    <cfRule type="cellIs" dxfId="15899" priority="3589" stopIfTrue="1" operator="equal">
      <formula>"Towel"</formula>
    </cfRule>
    <cfRule type="cellIs" dxfId="15898" priority="3590" stopIfTrue="1" operator="equal">
      <formula>"Napkin Hs"</formula>
    </cfRule>
  </conditionalFormatting>
  <conditionalFormatting sqref="C95">
    <cfRule type="cellIs" dxfId="15897" priority="3585" stopIfTrue="1" operator="equal">
      <formula>"Towel"</formula>
    </cfRule>
    <cfRule type="cellIs" dxfId="15896" priority="3586" stopIfTrue="1" operator="equal">
      <formula>"Napkin Hs"</formula>
    </cfRule>
  </conditionalFormatting>
  <conditionalFormatting sqref="C95">
    <cfRule type="cellIs" dxfId="15895" priority="3583" stopIfTrue="1" operator="equal">
      <formula>"Towel"</formula>
    </cfRule>
    <cfRule type="cellIs" dxfId="15894" priority="3584" stopIfTrue="1" operator="equal">
      <formula>"Napkin Hs"</formula>
    </cfRule>
  </conditionalFormatting>
  <conditionalFormatting sqref="C95">
    <cfRule type="cellIs" dxfId="15893" priority="3581" stopIfTrue="1" operator="equal">
      <formula>"Towel"</formula>
    </cfRule>
    <cfRule type="cellIs" dxfId="15892" priority="3582" stopIfTrue="1" operator="equal">
      <formula>"Napkin Hs"</formula>
    </cfRule>
  </conditionalFormatting>
  <conditionalFormatting sqref="C95">
    <cfRule type="cellIs" dxfId="15891" priority="3579" stopIfTrue="1" operator="equal">
      <formula>"Towel"</formula>
    </cfRule>
    <cfRule type="cellIs" dxfId="15890" priority="3580" stopIfTrue="1" operator="equal">
      <formula>"Napkin Hs"</formula>
    </cfRule>
  </conditionalFormatting>
  <conditionalFormatting sqref="C95">
    <cfRule type="cellIs" dxfId="15889" priority="3578" stopIfTrue="1" operator="equal">
      <formula>"Napkin Hs"</formula>
    </cfRule>
  </conditionalFormatting>
  <conditionalFormatting sqref="C95">
    <cfRule type="cellIs" dxfId="15888" priority="3575" stopIfTrue="1" operator="equal">
      <formula>"Towel"</formula>
    </cfRule>
    <cfRule type="cellIs" dxfId="15887" priority="3576" stopIfTrue="1" operator="equal">
      <formula>"Napkin Hs"</formula>
    </cfRule>
  </conditionalFormatting>
  <conditionalFormatting sqref="C95">
    <cfRule type="cellIs" dxfId="15886" priority="3577" stopIfTrue="1" operator="equal">
      <formula>"Towel"</formula>
    </cfRule>
  </conditionalFormatting>
  <conditionalFormatting sqref="B95">
    <cfRule type="cellIs" dxfId="15885" priority="3573" stopIfTrue="1" operator="equal">
      <formula>"Towel"</formula>
    </cfRule>
    <cfRule type="cellIs" dxfId="15884" priority="3574" stopIfTrue="1" operator="equal">
      <formula>"Napkin Hs"</formula>
    </cfRule>
  </conditionalFormatting>
  <conditionalFormatting sqref="B95">
    <cfRule type="cellIs" dxfId="15883" priority="3571" stopIfTrue="1" operator="equal">
      <formula>"Towel"</formula>
    </cfRule>
    <cfRule type="cellIs" dxfId="15882" priority="3572" stopIfTrue="1" operator="equal">
      <formula>"Napkin Hs"</formula>
    </cfRule>
  </conditionalFormatting>
  <conditionalFormatting sqref="B95">
    <cfRule type="cellIs" dxfId="15881" priority="3569" stopIfTrue="1" operator="equal">
      <formula>"Towel"</formula>
    </cfRule>
    <cfRule type="cellIs" dxfId="15880" priority="3570" stopIfTrue="1" operator="equal">
      <formula>"Napkin Hs"</formula>
    </cfRule>
  </conditionalFormatting>
  <conditionalFormatting sqref="B95">
    <cfRule type="cellIs" dxfId="15879" priority="3567" stopIfTrue="1" operator="equal">
      <formula>"Towel"</formula>
    </cfRule>
    <cfRule type="cellIs" dxfId="15878" priority="3568" stopIfTrue="1" operator="equal">
      <formula>"Napkin Hs"</formula>
    </cfRule>
  </conditionalFormatting>
  <conditionalFormatting sqref="B95">
    <cfRule type="cellIs" dxfId="15877" priority="3565" stopIfTrue="1" operator="equal">
      <formula>"Towel"</formula>
    </cfRule>
    <cfRule type="cellIs" dxfId="15876" priority="3566" stopIfTrue="1" operator="equal">
      <formula>"Napkin Hs"</formula>
    </cfRule>
  </conditionalFormatting>
  <conditionalFormatting sqref="B95">
    <cfRule type="cellIs" dxfId="15875" priority="3563" stopIfTrue="1" operator="equal">
      <formula>"Towel"</formula>
    </cfRule>
    <cfRule type="cellIs" dxfId="15874" priority="3564" stopIfTrue="1" operator="equal">
      <formula>"Napkin Hs"</formula>
    </cfRule>
  </conditionalFormatting>
  <conditionalFormatting sqref="B95">
    <cfRule type="cellIs" dxfId="15873" priority="3559" stopIfTrue="1" operator="equal">
      <formula>"Towel"</formula>
    </cfRule>
    <cfRule type="cellIs" dxfId="15872" priority="3560" stopIfTrue="1" operator="equal">
      <formula>"Napkin Hs"</formula>
    </cfRule>
    <cfRule type="cellIs" dxfId="15871" priority="3561" stopIfTrue="1" operator="equal">
      <formula>"Towel"</formula>
    </cfRule>
    <cfRule type="cellIs" dxfId="15870" priority="3562" stopIfTrue="1" operator="equal">
      <formula>"Napkin Hs"</formula>
    </cfRule>
  </conditionalFormatting>
  <conditionalFormatting sqref="B95">
    <cfRule type="cellIs" dxfId="15869" priority="3557" stopIfTrue="1" operator="equal">
      <formula>"Towel"</formula>
    </cfRule>
    <cfRule type="cellIs" dxfId="15868" priority="3558" stopIfTrue="1" operator="equal">
      <formula>"Napkin Hs"</formula>
    </cfRule>
  </conditionalFormatting>
  <conditionalFormatting sqref="B95">
    <cfRule type="cellIs" dxfId="15867" priority="3555" stopIfTrue="1" operator="equal">
      <formula>"Towel"</formula>
    </cfRule>
    <cfRule type="cellIs" dxfId="15866" priority="3556" stopIfTrue="1" operator="equal">
      <formula>"Napkin Hs"</formula>
    </cfRule>
  </conditionalFormatting>
  <conditionalFormatting sqref="B95">
    <cfRule type="cellIs" dxfId="15865" priority="3553" stopIfTrue="1" operator="equal">
      <formula>"Towel"</formula>
    </cfRule>
    <cfRule type="cellIs" dxfId="15864" priority="3554" stopIfTrue="1" operator="equal">
      <formula>"Napkin Hs"</formula>
    </cfRule>
  </conditionalFormatting>
  <conditionalFormatting sqref="B95">
    <cfRule type="cellIs" dxfId="15863" priority="3551" stopIfTrue="1" operator="equal">
      <formula>"Towel"</formula>
    </cfRule>
    <cfRule type="cellIs" dxfId="15862" priority="3552" stopIfTrue="1" operator="equal">
      <formula>"Napkin Hs"</formula>
    </cfRule>
  </conditionalFormatting>
  <conditionalFormatting sqref="B95">
    <cfRule type="cellIs" dxfId="15861" priority="3549" stopIfTrue="1" operator="equal">
      <formula>"Towel"</formula>
    </cfRule>
    <cfRule type="cellIs" dxfId="15860" priority="3550" stopIfTrue="1" operator="equal">
      <formula>"Napkin Hs"</formula>
    </cfRule>
  </conditionalFormatting>
  <conditionalFormatting sqref="B95:C95">
    <cfRule type="cellIs" dxfId="15859" priority="3535" stopIfTrue="1" operator="equal">
      <formula>"Towel"</formula>
    </cfRule>
    <cfRule type="cellIs" dxfId="15858" priority="3536" stopIfTrue="1" operator="equal">
      <formula>"Napkin Hs"</formula>
    </cfRule>
    <cfRule type="cellIs" dxfId="15857" priority="3541" stopIfTrue="1" operator="equal">
      <formula>"Towel"</formula>
    </cfRule>
    <cfRule type="cellIs" dxfId="15856" priority="3542" stopIfTrue="1" operator="equal">
      <formula>"Napkin Hs"</formula>
    </cfRule>
    <cfRule type="cellIs" dxfId="15855" priority="3547" stopIfTrue="1" operator="equal">
      <formula>"Towel"</formula>
    </cfRule>
    <cfRule type="cellIs" dxfId="15854" priority="3548" stopIfTrue="1" operator="equal">
      <formula>"Napkin Hs"</formula>
    </cfRule>
  </conditionalFormatting>
  <conditionalFormatting sqref="C95">
    <cfRule type="cellIs" dxfId="15853" priority="3529" stopIfTrue="1" operator="equal">
      <formula>"Towel"</formula>
    </cfRule>
    <cfRule type="cellIs" dxfId="15852" priority="3530" stopIfTrue="1" operator="equal">
      <formula>"Napkin Hs"</formula>
    </cfRule>
    <cfRule type="cellIs" dxfId="15851" priority="3531" stopIfTrue="1" operator="equal">
      <formula>"Towel"</formula>
    </cfRule>
    <cfRule type="cellIs" dxfId="15850" priority="3532" stopIfTrue="1" operator="equal">
      <formula>"Napkin Hs"</formula>
    </cfRule>
    <cfRule type="cellIs" dxfId="15849" priority="3539" stopIfTrue="1" operator="equal">
      <formula>"Towel"</formula>
    </cfRule>
    <cfRule type="cellIs" dxfId="15848" priority="3540" stopIfTrue="1" operator="equal">
      <formula>"Napkin Hs"</formula>
    </cfRule>
    <cfRule type="cellIs" dxfId="15847" priority="3543" stopIfTrue="1" operator="equal">
      <formula>"Towel"</formula>
    </cfRule>
    <cfRule type="cellIs" dxfId="15846" priority="3544" stopIfTrue="1" operator="equal">
      <formula>"Napkin Hs"</formula>
    </cfRule>
  </conditionalFormatting>
  <conditionalFormatting sqref="C95">
    <cfRule type="cellIs" dxfId="15845" priority="3533" stopIfTrue="1" operator="equal">
      <formula>"Towel"</formula>
    </cfRule>
    <cfRule type="cellIs" dxfId="15844" priority="3534" stopIfTrue="1" operator="equal">
      <formula>"Napkin Hs"</formula>
    </cfRule>
    <cfRule type="cellIs" dxfId="15843" priority="3537" stopIfTrue="1" operator="equal">
      <formula>"Towel"</formula>
    </cfRule>
    <cfRule type="cellIs" dxfId="15842" priority="3538" stopIfTrue="1" operator="equal">
      <formula>"Napkin Hs"</formula>
    </cfRule>
    <cfRule type="cellIs" dxfId="15841" priority="3545" stopIfTrue="1" operator="equal">
      <formula>"Towel"</formula>
    </cfRule>
    <cfRule type="cellIs" dxfId="15840" priority="3546" stopIfTrue="1" operator="equal">
      <formula>"Napkin Hs"</formula>
    </cfRule>
  </conditionalFormatting>
  <conditionalFormatting sqref="B95:C95">
    <cfRule type="cellIs" dxfId="15839" priority="3527" stopIfTrue="1" operator="equal">
      <formula>"Towel"</formula>
    </cfRule>
    <cfRule type="cellIs" dxfId="15838" priority="3528" stopIfTrue="1" operator="equal">
      <formula>"Napkin Hs"</formula>
    </cfRule>
  </conditionalFormatting>
  <conditionalFormatting sqref="B95:C95">
    <cfRule type="cellIs" dxfId="15837" priority="3519" stopIfTrue="1" operator="equal">
      <formula>"Towel"</formula>
    </cfRule>
    <cfRule type="cellIs" dxfId="15836" priority="3520" stopIfTrue="1" operator="equal">
      <formula>"Napkin Hs"</formula>
    </cfRule>
    <cfRule type="cellIs" dxfId="15835" priority="3525" stopIfTrue="1" operator="equal">
      <formula>"Towel"</formula>
    </cfRule>
    <cfRule type="cellIs" dxfId="15834" priority="3526" stopIfTrue="1" operator="equal">
      <formula>"Napkin Hs"</formula>
    </cfRule>
  </conditionalFormatting>
  <conditionalFormatting sqref="C95">
    <cfRule type="cellIs" dxfId="15833" priority="3515" stopIfTrue="1" operator="equal">
      <formula>"Towel"</formula>
    </cfRule>
    <cfRule type="cellIs" dxfId="15832" priority="3516" stopIfTrue="1" operator="equal">
      <formula>"Napkin Hs"</formula>
    </cfRule>
  </conditionalFormatting>
  <conditionalFormatting sqref="C95">
    <cfRule type="cellIs" dxfId="15831" priority="3513" stopIfTrue="1" operator="equal">
      <formula>"Towel"</formula>
    </cfRule>
    <cfRule type="cellIs" dxfId="15830" priority="3514" stopIfTrue="1" operator="equal">
      <formula>"Napkin Hs"</formula>
    </cfRule>
    <cfRule type="cellIs" dxfId="15829" priority="3523" stopIfTrue="1" operator="equal">
      <formula>"Towel"</formula>
    </cfRule>
    <cfRule type="cellIs" dxfId="15828" priority="3524" stopIfTrue="1" operator="equal">
      <formula>"Napkin Hs"</formula>
    </cfRule>
  </conditionalFormatting>
  <conditionalFormatting sqref="C95">
    <cfRule type="cellIs" dxfId="15827" priority="3517" stopIfTrue="1" operator="equal">
      <formula>"Towel"</formula>
    </cfRule>
    <cfRule type="cellIs" dxfId="15826" priority="3518" stopIfTrue="1" operator="equal">
      <formula>"Napkin Hs"</formula>
    </cfRule>
    <cfRule type="cellIs" dxfId="15825" priority="3521" stopIfTrue="1" operator="equal">
      <formula>"Towel"</formula>
    </cfRule>
    <cfRule type="cellIs" dxfId="15824" priority="3522" stopIfTrue="1" operator="equal">
      <formula>"Napkin Hs"</formula>
    </cfRule>
  </conditionalFormatting>
  <conditionalFormatting sqref="C95">
    <cfRule type="cellIs" dxfId="15823" priority="3512" stopIfTrue="1" operator="equal">
      <formula>"Napkin Hs"</formula>
    </cfRule>
  </conditionalFormatting>
  <conditionalFormatting sqref="C95">
    <cfRule type="cellIs" dxfId="15822" priority="3511" stopIfTrue="1" operator="equal">
      <formula>"Towel"</formula>
    </cfRule>
  </conditionalFormatting>
  <conditionalFormatting sqref="C95">
    <cfRule type="cellIs" dxfId="15821" priority="3507" stopIfTrue="1" operator="equal">
      <formula>"Towel"</formula>
    </cfRule>
    <cfRule type="cellIs" dxfId="15820" priority="3508" stopIfTrue="1" operator="equal">
      <formula>"Napkin Hs"</formula>
    </cfRule>
    <cfRule type="cellIs" dxfId="15819" priority="3509" stopIfTrue="1" operator="equal">
      <formula>"Towel"</formula>
    </cfRule>
    <cfRule type="cellIs" dxfId="15818" priority="3510" stopIfTrue="1" operator="equal">
      <formula>"Napkin Hs"</formula>
    </cfRule>
  </conditionalFormatting>
  <conditionalFormatting sqref="B95:C95">
    <cfRule type="cellIs" dxfId="15817" priority="3505" stopIfTrue="1" operator="equal">
      <formula>"Towel"</formula>
    </cfRule>
    <cfRule type="cellIs" dxfId="15816" priority="3506" stopIfTrue="1" operator="equal">
      <formula>"Napkin Hs"</formula>
    </cfRule>
  </conditionalFormatting>
  <conditionalFormatting sqref="C95">
    <cfRule type="cellIs" dxfId="15815" priority="3501" stopIfTrue="1" operator="equal">
      <formula>"Towel"</formula>
    </cfRule>
    <cfRule type="cellIs" dxfId="15814" priority="3502" stopIfTrue="1" operator="equal">
      <formula>"Napkin Hs"</formula>
    </cfRule>
  </conditionalFormatting>
  <conditionalFormatting sqref="C95">
    <cfRule type="cellIs" dxfId="15813" priority="3503" stopIfTrue="1" operator="equal">
      <formula>"Towel"</formula>
    </cfRule>
    <cfRule type="cellIs" dxfId="15812" priority="3504" stopIfTrue="1" operator="equal">
      <formula>"Napkin Hs"</formula>
    </cfRule>
  </conditionalFormatting>
  <conditionalFormatting sqref="B95:C95">
    <cfRule type="cellIs" dxfId="15811" priority="3499" stopIfTrue="1" operator="equal">
      <formula>"Towel"</formula>
    </cfRule>
    <cfRule type="cellIs" dxfId="15810" priority="3500" stopIfTrue="1" operator="equal">
      <formula>"Napkin Hs"</formula>
    </cfRule>
  </conditionalFormatting>
  <conditionalFormatting sqref="C95">
    <cfRule type="cellIs" dxfId="15809" priority="3495" stopIfTrue="1" operator="equal">
      <formula>"Towel"</formula>
    </cfRule>
    <cfRule type="cellIs" dxfId="15808" priority="3496" stopIfTrue="1" operator="equal">
      <formula>"Napkin Hs"</formula>
    </cfRule>
  </conditionalFormatting>
  <conditionalFormatting sqref="C95">
    <cfRule type="cellIs" dxfId="15807" priority="3497" stopIfTrue="1" operator="equal">
      <formula>"Towel"</formula>
    </cfRule>
    <cfRule type="cellIs" dxfId="15806" priority="3498" stopIfTrue="1" operator="equal">
      <formula>"Napkin Hs"</formula>
    </cfRule>
  </conditionalFormatting>
  <conditionalFormatting sqref="B95:C95">
    <cfRule type="cellIs" dxfId="15805" priority="3493" stopIfTrue="1" operator="equal">
      <formula>"Towel"</formula>
    </cfRule>
    <cfRule type="cellIs" dxfId="15804" priority="3494" stopIfTrue="1" operator="equal">
      <formula>"Napkin Hs"</formula>
    </cfRule>
  </conditionalFormatting>
  <conditionalFormatting sqref="C95">
    <cfRule type="cellIs" dxfId="15803" priority="3489" stopIfTrue="1" operator="equal">
      <formula>"Towel"</formula>
    </cfRule>
    <cfRule type="cellIs" dxfId="15802" priority="3490" stopIfTrue="1" operator="equal">
      <formula>"Napkin Hs"</formula>
    </cfRule>
  </conditionalFormatting>
  <conditionalFormatting sqref="C95">
    <cfRule type="cellIs" dxfId="15801" priority="3491" stopIfTrue="1" operator="equal">
      <formula>"Towel"</formula>
    </cfRule>
    <cfRule type="cellIs" dxfId="15800" priority="3492" stopIfTrue="1" operator="equal">
      <formula>"Napkin Hs"</formula>
    </cfRule>
  </conditionalFormatting>
  <conditionalFormatting sqref="B95:C95">
    <cfRule type="cellIs" dxfId="15799" priority="3487" stopIfTrue="1" operator="equal">
      <formula>"Towel"</formula>
    </cfRule>
    <cfRule type="cellIs" dxfId="15798" priority="3488" stopIfTrue="1" operator="equal">
      <formula>"Napkin Hs"</formula>
    </cfRule>
  </conditionalFormatting>
  <conditionalFormatting sqref="C95">
    <cfRule type="cellIs" dxfId="15797" priority="3485" stopIfTrue="1" operator="equal">
      <formula>"Towel"</formula>
    </cfRule>
    <cfRule type="cellIs" dxfId="15796" priority="3486" stopIfTrue="1" operator="equal">
      <formula>"Napkin Hs"</formula>
    </cfRule>
  </conditionalFormatting>
  <conditionalFormatting sqref="C95">
    <cfRule type="cellIs" dxfId="15795" priority="3483" stopIfTrue="1" operator="equal">
      <formula>"Towel"</formula>
    </cfRule>
    <cfRule type="cellIs" dxfId="15794" priority="3484" stopIfTrue="1" operator="equal">
      <formula>"Napkin Hs"</formula>
    </cfRule>
  </conditionalFormatting>
  <conditionalFormatting sqref="B95:C95">
    <cfRule type="cellIs" dxfId="15793" priority="3481" stopIfTrue="1" operator="equal">
      <formula>"Towel"</formula>
    </cfRule>
    <cfRule type="cellIs" dxfId="15792" priority="3482" stopIfTrue="1" operator="equal">
      <formula>"Napkin Hs"</formula>
    </cfRule>
  </conditionalFormatting>
  <conditionalFormatting sqref="C95">
    <cfRule type="cellIs" dxfId="15791" priority="3480" stopIfTrue="1" operator="equal">
      <formula>"Napkin Hs"</formula>
    </cfRule>
  </conditionalFormatting>
  <conditionalFormatting sqref="C95">
    <cfRule type="cellIs" dxfId="15790" priority="3477" stopIfTrue="1" operator="equal">
      <formula>"Towel"</formula>
    </cfRule>
    <cfRule type="cellIs" dxfId="15789" priority="3478" stopIfTrue="1" operator="equal">
      <formula>"Napkin Hs"</formula>
    </cfRule>
  </conditionalFormatting>
  <conditionalFormatting sqref="C95">
    <cfRule type="cellIs" dxfId="15788" priority="3479" stopIfTrue="1" operator="equal">
      <formula>"Towel"</formula>
    </cfRule>
  </conditionalFormatting>
  <conditionalFormatting sqref="B100:C100">
    <cfRule type="cellIs" dxfId="15787" priority="3443" stopIfTrue="1" operator="equal">
      <formula>"Towel"</formula>
    </cfRule>
    <cfRule type="cellIs" dxfId="15786" priority="3444" stopIfTrue="1" operator="equal">
      <formula>"Napkin Hs"</formula>
    </cfRule>
    <cfRule type="cellIs" dxfId="15785" priority="3449" stopIfTrue="1" operator="equal">
      <formula>"Towel"</formula>
    </cfRule>
    <cfRule type="cellIs" dxfId="15784" priority="3450" stopIfTrue="1" operator="equal">
      <formula>"Napkin Hs"</formula>
    </cfRule>
    <cfRule type="cellIs" dxfId="15783" priority="3455" stopIfTrue="1" operator="equal">
      <formula>"Towel"</formula>
    </cfRule>
    <cfRule type="cellIs" dxfId="15782" priority="3456" stopIfTrue="1" operator="equal">
      <formula>"Napkin Hs"</formula>
    </cfRule>
    <cfRule type="cellIs" dxfId="15781" priority="3461" stopIfTrue="1" operator="equal">
      <formula>"Towel"</formula>
    </cfRule>
    <cfRule type="cellIs" dxfId="15780" priority="3462" stopIfTrue="1" operator="equal">
      <formula>"Napkin Hs"</formula>
    </cfRule>
    <cfRule type="cellIs" dxfId="15779" priority="3467" stopIfTrue="1" operator="equal">
      <formula>"Towel"</formula>
    </cfRule>
    <cfRule type="cellIs" dxfId="15778" priority="3468" stopIfTrue="1" operator="equal">
      <formula>"Napkin Hs"</formula>
    </cfRule>
  </conditionalFormatting>
  <conditionalFormatting sqref="B100:C101">
    <cfRule type="cellIs" dxfId="15777" priority="3473" stopIfTrue="1" operator="equal">
      <formula>"Towel"</formula>
    </cfRule>
    <cfRule type="cellIs" dxfId="15776" priority="3474" stopIfTrue="1" operator="equal">
      <formula>"Napkin Hs"</formula>
    </cfRule>
  </conditionalFormatting>
  <conditionalFormatting sqref="C100">
    <cfRule type="cellIs" dxfId="15775" priority="3439" stopIfTrue="1" operator="equal">
      <formula>"Towel"</formula>
    </cfRule>
    <cfRule type="cellIs" dxfId="15774" priority="3440" stopIfTrue="1" operator="equal">
      <formula>"Napkin Hs"</formula>
    </cfRule>
  </conditionalFormatting>
  <conditionalFormatting sqref="C100">
    <cfRule type="cellIs" dxfId="15773" priority="3441" stopIfTrue="1" operator="equal">
      <formula>"Towel"</formula>
    </cfRule>
    <cfRule type="cellIs" dxfId="15772" priority="3442" stopIfTrue="1" operator="equal">
      <formula>"Napkin Hs"</formula>
    </cfRule>
    <cfRule type="cellIs" dxfId="15771" priority="3445" stopIfTrue="1" operator="equal">
      <formula>"Towel"</formula>
    </cfRule>
    <cfRule type="cellIs" dxfId="15770" priority="3446" stopIfTrue="1" operator="equal">
      <formula>"Napkin Hs"</formula>
    </cfRule>
    <cfRule type="cellIs" dxfId="15769" priority="3447" stopIfTrue="1" operator="equal">
      <formula>"Towel"</formula>
    </cfRule>
    <cfRule type="cellIs" dxfId="15768" priority="3448" stopIfTrue="1" operator="equal">
      <formula>"Napkin Hs"</formula>
    </cfRule>
    <cfRule type="cellIs" dxfId="15767" priority="3451" stopIfTrue="1" operator="equal">
      <formula>"Towel"</formula>
    </cfRule>
    <cfRule type="cellIs" dxfId="15766" priority="3452" stopIfTrue="1" operator="equal">
      <formula>"Napkin Hs"</formula>
    </cfRule>
    <cfRule type="cellIs" dxfId="15765" priority="3453" stopIfTrue="1" operator="equal">
      <formula>"Towel"</formula>
    </cfRule>
    <cfRule type="cellIs" dxfId="15764" priority="3454" stopIfTrue="1" operator="equal">
      <formula>"Napkin Hs"</formula>
    </cfRule>
    <cfRule type="cellIs" dxfId="15763" priority="3457" stopIfTrue="1" operator="equal">
      <formula>"Towel"</formula>
    </cfRule>
    <cfRule type="cellIs" dxfId="15762" priority="3458" stopIfTrue="1" operator="equal">
      <formula>"Napkin Hs"</formula>
    </cfRule>
    <cfRule type="cellIs" dxfId="15761" priority="3459" stopIfTrue="1" operator="equal">
      <formula>"Towel"</formula>
    </cfRule>
    <cfRule type="cellIs" dxfId="15760" priority="3460" stopIfTrue="1" operator="equal">
      <formula>"Napkin Hs"</formula>
    </cfRule>
    <cfRule type="cellIs" dxfId="15759" priority="3463" stopIfTrue="1" operator="equal">
      <formula>"Towel"</formula>
    </cfRule>
    <cfRule type="cellIs" dxfId="15758" priority="3464" stopIfTrue="1" operator="equal">
      <formula>"Napkin Hs"</formula>
    </cfRule>
    <cfRule type="cellIs" dxfId="15757" priority="3465" stopIfTrue="1" operator="equal">
      <formula>"Towel"</formula>
    </cfRule>
    <cfRule type="cellIs" dxfId="15756" priority="3466" stopIfTrue="1" operator="equal">
      <formula>"Napkin Hs"</formula>
    </cfRule>
    <cfRule type="cellIs" dxfId="15755" priority="3469" stopIfTrue="1" operator="equal">
      <formula>"Towel"</formula>
    </cfRule>
    <cfRule type="cellIs" dxfId="15754" priority="3470" stopIfTrue="1" operator="equal">
      <formula>"Napkin Hs"</formula>
    </cfRule>
  </conditionalFormatting>
  <conditionalFormatting sqref="C100:C101">
    <cfRule type="cellIs" dxfId="15753" priority="3471" stopIfTrue="1" operator="equal">
      <formula>"Towel"</formula>
    </cfRule>
    <cfRule type="cellIs" dxfId="15752" priority="3472" stopIfTrue="1" operator="equal">
      <formula>"Napkin Hs"</formula>
    </cfRule>
  </conditionalFormatting>
  <conditionalFormatting sqref="C101">
    <cfRule type="cellIs" dxfId="15751" priority="3475" stopIfTrue="1" operator="equal">
      <formula>"Towel"</formula>
    </cfRule>
    <cfRule type="cellIs" dxfId="15750" priority="3476" stopIfTrue="1" operator="equal">
      <formula>"Napkin Hs"</formula>
    </cfRule>
  </conditionalFormatting>
  <conditionalFormatting sqref="B97:C97">
    <cfRule type="cellIs" dxfId="15749" priority="3403" stopIfTrue="1" operator="equal">
      <formula>"Towel"</formula>
    </cfRule>
    <cfRule type="cellIs" dxfId="15748" priority="3404" stopIfTrue="1" operator="equal">
      <formula>"Napkin Hs"</formula>
    </cfRule>
    <cfRule type="cellIs" dxfId="15747" priority="3409" stopIfTrue="1" operator="equal">
      <formula>"Towel"</formula>
    </cfRule>
    <cfRule type="cellIs" dxfId="15746" priority="3410" stopIfTrue="1" operator="equal">
      <formula>"Napkin Hs"</formula>
    </cfRule>
    <cfRule type="cellIs" dxfId="15745" priority="3415" stopIfTrue="1" operator="equal">
      <formula>"Towel"</formula>
    </cfRule>
    <cfRule type="cellIs" dxfId="15744" priority="3416" stopIfTrue="1" operator="equal">
      <formula>"Napkin Hs"</formula>
    </cfRule>
    <cfRule type="cellIs" dxfId="15743" priority="3421" stopIfTrue="1" operator="equal">
      <formula>"Towel"</formula>
    </cfRule>
    <cfRule type="cellIs" dxfId="15742" priority="3422" stopIfTrue="1" operator="equal">
      <formula>"Napkin Hs"</formula>
    </cfRule>
    <cfRule type="cellIs" dxfId="15741" priority="3427" stopIfTrue="1" operator="equal">
      <formula>"Towel"</formula>
    </cfRule>
    <cfRule type="cellIs" dxfId="15740" priority="3428" stopIfTrue="1" operator="equal">
      <formula>"Napkin Hs"</formula>
    </cfRule>
    <cfRule type="cellIs" dxfId="15739" priority="3433" stopIfTrue="1" operator="equal">
      <formula>"Towel"</formula>
    </cfRule>
    <cfRule type="cellIs" dxfId="15738" priority="3434" stopIfTrue="1" operator="equal">
      <formula>"Napkin Hs"</formula>
    </cfRule>
  </conditionalFormatting>
  <conditionalFormatting sqref="B98:C98">
    <cfRule type="cellIs" dxfId="15737" priority="3437" stopIfTrue="1" operator="equal">
      <formula>"Towel"</formula>
    </cfRule>
    <cfRule type="cellIs" dxfId="15736" priority="3438" stopIfTrue="1" operator="equal">
      <formula>"Napkin Hs"</formula>
    </cfRule>
  </conditionalFormatting>
  <conditionalFormatting sqref="C97">
    <cfRule type="cellIs" dxfId="15735" priority="3399" stopIfTrue="1" operator="equal">
      <formula>"Towel"</formula>
    </cfRule>
    <cfRule type="cellIs" dxfId="15734" priority="3400" stopIfTrue="1" operator="equal">
      <formula>"Napkin Hs"</formula>
    </cfRule>
  </conditionalFormatting>
  <conditionalFormatting sqref="C97">
    <cfRule type="cellIs" dxfId="15733" priority="3401" stopIfTrue="1" operator="equal">
      <formula>"Towel"</formula>
    </cfRule>
    <cfRule type="cellIs" dxfId="15732" priority="3402" stopIfTrue="1" operator="equal">
      <formula>"Napkin Hs"</formula>
    </cfRule>
    <cfRule type="cellIs" dxfId="15731" priority="3405" stopIfTrue="1" operator="equal">
      <formula>"Towel"</formula>
    </cfRule>
    <cfRule type="cellIs" dxfId="15730" priority="3406" stopIfTrue="1" operator="equal">
      <formula>"Napkin Hs"</formula>
    </cfRule>
    <cfRule type="cellIs" dxfId="15729" priority="3407" stopIfTrue="1" operator="equal">
      <formula>"Towel"</formula>
    </cfRule>
    <cfRule type="cellIs" dxfId="15728" priority="3408" stopIfTrue="1" operator="equal">
      <formula>"Napkin Hs"</formula>
    </cfRule>
    <cfRule type="cellIs" dxfId="15727" priority="3411" stopIfTrue="1" operator="equal">
      <formula>"Towel"</formula>
    </cfRule>
    <cfRule type="cellIs" dxfId="15726" priority="3412" stopIfTrue="1" operator="equal">
      <formula>"Napkin Hs"</formula>
    </cfRule>
    <cfRule type="cellIs" dxfId="15725" priority="3413" stopIfTrue="1" operator="equal">
      <formula>"Towel"</formula>
    </cfRule>
    <cfRule type="cellIs" dxfId="15724" priority="3414" stopIfTrue="1" operator="equal">
      <formula>"Napkin Hs"</formula>
    </cfRule>
    <cfRule type="cellIs" dxfId="15723" priority="3417" stopIfTrue="1" operator="equal">
      <formula>"Towel"</formula>
    </cfRule>
    <cfRule type="cellIs" dxfId="15722" priority="3418" stopIfTrue="1" operator="equal">
      <formula>"Napkin Hs"</formula>
    </cfRule>
    <cfRule type="cellIs" dxfId="15721" priority="3419" stopIfTrue="1" operator="equal">
      <formula>"Towel"</formula>
    </cfRule>
    <cfRule type="cellIs" dxfId="15720" priority="3420" stopIfTrue="1" operator="equal">
      <formula>"Napkin Hs"</formula>
    </cfRule>
    <cfRule type="cellIs" dxfId="15719" priority="3423" stopIfTrue="1" operator="equal">
      <formula>"Towel"</formula>
    </cfRule>
    <cfRule type="cellIs" dxfId="15718" priority="3424" stopIfTrue="1" operator="equal">
      <formula>"Napkin Hs"</formula>
    </cfRule>
    <cfRule type="cellIs" dxfId="15717" priority="3425" stopIfTrue="1" operator="equal">
      <formula>"Towel"</formula>
    </cfRule>
    <cfRule type="cellIs" dxfId="15716" priority="3426" stopIfTrue="1" operator="equal">
      <formula>"Napkin Hs"</formula>
    </cfRule>
    <cfRule type="cellIs" dxfId="15715" priority="3429" stopIfTrue="1" operator="equal">
      <formula>"Towel"</formula>
    </cfRule>
    <cfRule type="cellIs" dxfId="15714" priority="3430" stopIfTrue="1" operator="equal">
      <formula>"Napkin Hs"</formula>
    </cfRule>
  </conditionalFormatting>
  <conditionalFormatting sqref="C97:C98">
    <cfRule type="cellIs" dxfId="15713" priority="3431" stopIfTrue="1" operator="equal">
      <formula>"Towel"</formula>
    </cfRule>
    <cfRule type="cellIs" dxfId="15712" priority="3432" stopIfTrue="1" operator="equal">
      <formula>"Napkin Hs"</formula>
    </cfRule>
  </conditionalFormatting>
  <conditionalFormatting sqref="C98">
    <cfRule type="cellIs" dxfId="15711" priority="3435" stopIfTrue="1" operator="equal">
      <formula>"Towel"</formula>
    </cfRule>
    <cfRule type="cellIs" dxfId="15710" priority="3436" stopIfTrue="1" operator="equal">
      <formula>"Napkin Hs"</formula>
    </cfRule>
  </conditionalFormatting>
  <conditionalFormatting sqref="B97:C98">
    <cfRule type="cellIs" dxfId="15709" priority="3397" stopIfTrue="1" operator="equal">
      <formula>"Towel"</formula>
    </cfRule>
    <cfRule type="cellIs" dxfId="15708" priority="3398" stopIfTrue="1" operator="equal">
      <formula>"Napkin Hs"</formula>
    </cfRule>
  </conditionalFormatting>
  <conditionalFormatting sqref="C97:C98">
    <cfRule type="cellIs" dxfId="15707" priority="3393" stopIfTrue="1" operator="equal">
      <formula>"Towel"</formula>
    </cfRule>
    <cfRule type="cellIs" dxfId="15706" priority="3394" stopIfTrue="1" operator="equal">
      <formula>"Napkin Hs"</formula>
    </cfRule>
  </conditionalFormatting>
  <conditionalFormatting sqref="C97:C98">
    <cfRule type="cellIs" dxfId="15705" priority="3395" stopIfTrue="1" operator="equal">
      <formula>"Towel"</formula>
    </cfRule>
    <cfRule type="cellIs" dxfId="15704" priority="3396" stopIfTrue="1" operator="equal">
      <formula>"Napkin Hs"</formula>
    </cfRule>
  </conditionalFormatting>
  <conditionalFormatting sqref="B97:C98">
    <cfRule type="cellIs" dxfId="15703" priority="3349" stopIfTrue="1" operator="equal">
      <formula>"Towel"</formula>
    </cfRule>
    <cfRule type="cellIs" dxfId="15702" priority="3350" stopIfTrue="1" operator="equal">
      <formula>"Napkin Hs"</formula>
    </cfRule>
    <cfRule type="cellIs" dxfId="15701" priority="3355" stopIfTrue="1" operator="equal">
      <formula>"Towel"</formula>
    </cfRule>
    <cfRule type="cellIs" dxfId="15700" priority="3356" stopIfTrue="1" operator="equal">
      <formula>"Napkin Hs"</formula>
    </cfRule>
    <cfRule type="cellIs" dxfId="15699" priority="3361" stopIfTrue="1" operator="equal">
      <formula>"Towel"</formula>
    </cfRule>
    <cfRule type="cellIs" dxfId="15698" priority="3362" stopIfTrue="1" operator="equal">
      <formula>"Napkin Hs"</formula>
    </cfRule>
    <cfRule type="cellIs" dxfId="15697" priority="3367" stopIfTrue="1" operator="equal">
      <formula>"Towel"</formula>
    </cfRule>
    <cfRule type="cellIs" dxfId="15696" priority="3368" stopIfTrue="1" operator="equal">
      <formula>"Napkin Hs"</formula>
    </cfRule>
    <cfRule type="cellIs" dxfId="15695" priority="3373" stopIfTrue="1" operator="equal">
      <formula>"Towel"</formula>
    </cfRule>
    <cfRule type="cellIs" dxfId="15694" priority="3374" stopIfTrue="1" operator="equal">
      <formula>"Napkin Hs"</formula>
    </cfRule>
    <cfRule type="cellIs" dxfId="15693" priority="3379" stopIfTrue="1" operator="equal">
      <formula>"Towel"</formula>
    </cfRule>
    <cfRule type="cellIs" dxfId="15692" priority="3380" stopIfTrue="1" operator="equal">
      <formula>"Napkin Hs"</formula>
    </cfRule>
    <cfRule type="cellIs" dxfId="15691" priority="3385" stopIfTrue="1" operator="equal">
      <formula>"Towel"</formula>
    </cfRule>
    <cfRule type="cellIs" dxfId="15690" priority="3386" stopIfTrue="1" operator="equal">
      <formula>"Napkin Hs"</formula>
    </cfRule>
    <cfRule type="cellIs" dxfId="15689" priority="3391" stopIfTrue="1" operator="equal">
      <formula>"Towel"</formula>
    </cfRule>
    <cfRule type="cellIs" dxfId="15688" priority="3392" stopIfTrue="1" operator="equal">
      <formula>"Napkin Hs"</formula>
    </cfRule>
  </conditionalFormatting>
  <conditionalFormatting sqref="C97:C98">
    <cfRule type="cellIs" dxfId="15687" priority="3345" stopIfTrue="1" operator="equal">
      <formula>"Towel"</formula>
    </cfRule>
    <cfRule type="cellIs" dxfId="15686" priority="3346" stopIfTrue="1" operator="equal">
      <formula>"Napkin Hs"</formula>
    </cfRule>
    <cfRule type="cellIs" dxfId="15685" priority="3347" stopIfTrue="1" operator="equal">
      <formula>"Towel"</formula>
    </cfRule>
    <cfRule type="cellIs" dxfId="15684" priority="3348" stopIfTrue="1" operator="equal">
      <formula>"Napkin Hs"</formula>
    </cfRule>
    <cfRule type="cellIs" dxfId="15683" priority="3351" stopIfTrue="1" operator="equal">
      <formula>"Towel"</formula>
    </cfRule>
    <cfRule type="cellIs" dxfId="15682" priority="3352" stopIfTrue="1" operator="equal">
      <formula>"Napkin Hs"</formula>
    </cfRule>
    <cfRule type="cellIs" dxfId="15681" priority="3353" stopIfTrue="1" operator="equal">
      <formula>"Towel"</formula>
    </cfRule>
    <cfRule type="cellIs" dxfId="15680" priority="3354" stopIfTrue="1" operator="equal">
      <formula>"Napkin Hs"</formula>
    </cfRule>
    <cfRule type="cellIs" dxfId="15679" priority="3357" stopIfTrue="1" operator="equal">
      <formula>"Towel"</formula>
    </cfRule>
    <cfRule type="cellIs" dxfId="15678" priority="3358" stopIfTrue="1" operator="equal">
      <formula>"Napkin Hs"</formula>
    </cfRule>
    <cfRule type="cellIs" dxfId="15677" priority="3359" stopIfTrue="1" operator="equal">
      <formula>"Towel"</formula>
    </cfRule>
    <cfRule type="cellIs" dxfId="15676" priority="3360" stopIfTrue="1" operator="equal">
      <formula>"Napkin Hs"</formula>
    </cfRule>
    <cfRule type="cellIs" dxfId="15675" priority="3363" stopIfTrue="1" operator="equal">
      <formula>"Towel"</formula>
    </cfRule>
    <cfRule type="cellIs" dxfId="15674" priority="3364" stopIfTrue="1" operator="equal">
      <formula>"Napkin Hs"</formula>
    </cfRule>
    <cfRule type="cellIs" dxfId="15673" priority="3365" stopIfTrue="1" operator="equal">
      <formula>"Towel"</formula>
    </cfRule>
    <cfRule type="cellIs" dxfId="15672" priority="3366" stopIfTrue="1" operator="equal">
      <formula>"Napkin Hs"</formula>
    </cfRule>
    <cfRule type="cellIs" dxfId="15671" priority="3369" stopIfTrue="1" operator="equal">
      <formula>"Towel"</formula>
    </cfRule>
    <cfRule type="cellIs" dxfId="15670" priority="3370" stopIfTrue="1" operator="equal">
      <formula>"Napkin Hs"</formula>
    </cfRule>
    <cfRule type="cellIs" dxfId="15669" priority="3371" stopIfTrue="1" operator="equal">
      <formula>"Towel"</formula>
    </cfRule>
    <cfRule type="cellIs" dxfId="15668" priority="3372" stopIfTrue="1" operator="equal">
      <formula>"Napkin Hs"</formula>
    </cfRule>
    <cfRule type="cellIs" dxfId="15667" priority="3375" stopIfTrue="1" operator="equal">
      <formula>"Towel"</formula>
    </cfRule>
    <cfRule type="cellIs" dxfId="15666" priority="3376" stopIfTrue="1" operator="equal">
      <formula>"Napkin Hs"</formula>
    </cfRule>
    <cfRule type="cellIs" dxfId="15665" priority="3377" stopIfTrue="1" operator="equal">
      <formula>"Towel"</formula>
    </cfRule>
    <cfRule type="cellIs" dxfId="15664" priority="3378" stopIfTrue="1" operator="equal">
      <formula>"Napkin Hs"</formula>
    </cfRule>
    <cfRule type="cellIs" dxfId="15663" priority="3381" stopIfTrue="1" operator="equal">
      <formula>"Towel"</formula>
    </cfRule>
    <cfRule type="cellIs" dxfId="15662" priority="3382" stopIfTrue="1" operator="equal">
      <formula>"Napkin Hs"</formula>
    </cfRule>
    <cfRule type="cellIs" dxfId="15661" priority="3383" stopIfTrue="1" operator="equal">
      <formula>"Towel"</formula>
    </cfRule>
    <cfRule type="cellIs" dxfId="15660" priority="3384" stopIfTrue="1" operator="equal">
      <formula>"Napkin Hs"</formula>
    </cfRule>
    <cfRule type="cellIs" dxfId="15659" priority="3387" stopIfTrue="1" operator="equal">
      <formula>"Towel"</formula>
    </cfRule>
    <cfRule type="cellIs" dxfId="15658" priority="3388" stopIfTrue="1" operator="equal">
      <formula>"Napkin Hs"</formula>
    </cfRule>
  </conditionalFormatting>
  <conditionalFormatting sqref="C97:C98">
    <cfRule type="cellIs" dxfId="15657" priority="3389" stopIfTrue="1" operator="equal">
      <formula>"Towel"</formula>
    </cfRule>
    <cfRule type="cellIs" dxfId="15656" priority="3390" stopIfTrue="1" operator="equal">
      <formula>"Napkin Hs"</formula>
    </cfRule>
  </conditionalFormatting>
  <conditionalFormatting sqref="B97:C98">
    <cfRule type="cellIs" dxfId="15655" priority="3301" stopIfTrue="1" operator="equal">
      <formula>"Towel"</formula>
    </cfRule>
    <cfRule type="cellIs" dxfId="15654" priority="3302" stopIfTrue="1" operator="equal">
      <formula>"Napkin Hs"</formula>
    </cfRule>
    <cfRule type="cellIs" dxfId="15653" priority="3307" stopIfTrue="1" operator="equal">
      <formula>"Towel"</formula>
    </cfRule>
    <cfRule type="cellIs" dxfId="15652" priority="3308" stopIfTrue="1" operator="equal">
      <formula>"Napkin Hs"</formula>
    </cfRule>
    <cfRule type="cellIs" dxfId="15651" priority="3313" stopIfTrue="1" operator="equal">
      <formula>"Towel"</formula>
    </cfRule>
    <cfRule type="cellIs" dxfId="15650" priority="3314" stopIfTrue="1" operator="equal">
      <formula>"Napkin Hs"</formula>
    </cfRule>
    <cfRule type="cellIs" dxfId="15649" priority="3319" stopIfTrue="1" operator="equal">
      <formula>"Towel"</formula>
    </cfRule>
    <cfRule type="cellIs" dxfId="15648" priority="3320" stopIfTrue="1" operator="equal">
      <formula>"Napkin Hs"</formula>
    </cfRule>
    <cfRule type="cellIs" dxfId="15647" priority="3325" stopIfTrue="1" operator="equal">
      <formula>"Towel"</formula>
    </cfRule>
    <cfRule type="cellIs" dxfId="15646" priority="3326" stopIfTrue="1" operator="equal">
      <formula>"Napkin Hs"</formula>
    </cfRule>
    <cfRule type="cellIs" dxfId="15645" priority="3331" stopIfTrue="1" operator="equal">
      <formula>"Towel"</formula>
    </cfRule>
    <cfRule type="cellIs" dxfId="15644" priority="3332" stopIfTrue="1" operator="equal">
      <formula>"Napkin Hs"</formula>
    </cfRule>
    <cfRule type="cellIs" dxfId="15643" priority="3337" stopIfTrue="1" operator="equal">
      <formula>"Towel"</formula>
    </cfRule>
    <cfRule type="cellIs" dxfId="15642" priority="3338" stopIfTrue="1" operator="equal">
      <formula>"Napkin Hs"</formula>
    </cfRule>
    <cfRule type="cellIs" dxfId="15641" priority="3343" stopIfTrue="1" operator="equal">
      <formula>"Towel"</formula>
    </cfRule>
    <cfRule type="cellIs" dxfId="15640" priority="3344" stopIfTrue="1" operator="equal">
      <formula>"Napkin Hs"</formula>
    </cfRule>
  </conditionalFormatting>
  <conditionalFormatting sqref="C97:C98">
    <cfRule type="cellIs" dxfId="15639" priority="3297" stopIfTrue="1" operator="equal">
      <formula>"Towel"</formula>
    </cfRule>
    <cfRule type="cellIs" dxfId="15638" priority="3298" stopIfTrue="1" operator="equal">
      <formula>"Napkin Hs"</formula>
    </cfRule>
    <cfRule type="cellIs" dxfId="15637" priority="3299" stopIfTrue="1" operator="equal">
      <formula>"Towel"</formula>
    </cfRule>
    <cfRule type="cellIs" dxfId="15636" priority="3300" stopIfTrue="1" operator="equal">
      <formula>"Napkin Hs"</formula>
    </cfRule>
    <cfRule type="cellIs" dxfId="15635" priority="3303" stopIfTrue="1" operator="equal">
      <formula>"Towel"</formula>
    </cfRule>
    <cfRule type="cellIs" dxfId="15634" priority="3304" stopIfTrue="1" operator="equal">
      <formula>"Napkin Hs"</formula>
    </cfRule>
    <cfRule type="cellIs" dxfId="15633" priority="3305" stopIfTrue="1" operator="equal">
      <formula>"Towel"</formula>
    </cfRule>
    <cfRule type="cellIs" dxfId="15632" priority="3306" stopIfTrue="1" operator="equal">
      <formula>"Napkin Hs"</formula>
    </cfRule>
    <cfRule type="cellIs" dxfId="15631" priority="3309" stopIfTrue="1" operator="equal">
      <formula>"Towel"</formula>
    </cfRule>
    <cfRule type="cellIs" dxfId="15630" priority="3310" stopIfTrue="1" operator="equal">
      <formula>"Napkin Hs"</formula>
    </cfRule>
    <cfRule type="cellIs" dxfId="15629" priority="3311" stopIfTrue="1" operator="equal">
      <formula>"Towel"</formula>
    </cfRule>
    <cfRule type="cellIs" dxfId="15628" priority="3312" stopIfTrue="1" operator="equal">
      <formula>"Napkin Hs"</formula>
    </cfRule>
    <cfRule type="cellIs" dxfId="15627" priority="3315" stopIfTrue="1" operator="equal">
      <formula>"Towel"</formula>
    </cfRule>
    <cfRule type="cellIs" dxfId="15626" priority="3316" stopIfTrue="1" operator="equal">
      <formula>"Napkin Hs"</formula>
    </cfRule>
    <cfRule type="cellIs" dxfId="15625" priority="3317" stopIfTrue="1" operator="equal">
      <formula>"Towel"</formula>
    </cfRule>
    <cfRule type="cellIs" dxfId="15624" priority="3318" stopIfTrue="1" operator="equal">
      <formula>"Napkin Hs"</formula>
    </cfRule>
    <cfRule type="cellIs" dxfId="15623" priority="3321" stopIfTrue="1" operator="equal">
      <formula>"Towel"</formula>
    </cfRule>
    <cfRule type="cellIs" dxfId="15622" priority="3322" stopIfTrue="1" operator="equal">
      <formula>"Napkin Hs"</formula>
    </cfRule>
    <cfRule type="cellIs" dxfId="15621" priority="3323" stopIfTrue="1" operator="equal">
      <formula>"Towel"</formula>
    </cfRule>
    <cfRule type="cellIs" dxfId="15620" priority="3324" stopIfTrue="1" operator="equal">
      <formula>"Napkin Hs"</formula>
    </cfRule>
    <cfRule type="cellIs" dxfId="15619" priority="3327" stopIfTrue="1" operator="equal">
      <formula>"Towel"</formula>
    </cfRule>
    <cfRule type="cellIs" dxfId="15618" priority="3328" stopIfTrue="1" operator="equal">
      <formula>"Napkin Hs"</formula>
    </cfRule>
    <cfRule type="cellIs" dxfId="15617" priority="3329" stopIfTrue="1" operator="equal">
      <formula>"Towel"</formula>
    </cfRule>
    <cfRule type="cellIs" dxfId="15616" priority="3330" stopIfTrue="1" operator="equal">
      <formula>"Napkin Hs"</formula>
    </cfRule>
    <cfRule type="cellIs" dxfId="15615" priority="3333" stopIfTrue="1" operator="equal">
      <formula>"Towel"</formula>
    </cfRule>
    <cfRule type="cellIs" dxfId="15614" priority="3334" stopIfTrue="1" operator="equal">
      <formula>"Napkin Hs"</formula>
    </cfRule>
    <cfRule type="cellIs" dxfId="15613" priority="3335" stopIfTrue="1" operator="equal">
      <formula>"Towel"</formula>
    </cfRule>
    <cfRule type="cellIs" dxfId="15612" priority="3336" stopIfTrue="1" operator="equal">
      <formula>"Napkin Hs"</formula>
    </cfRule>
    <cfRule type="cellIs" dxfId="15611" priority="3339" stopIfTrue="1" operator="equal">
      <formula>"Towel"</formula>
    </cfRule>
    <cfRule type="cellIs" dxfId="15610" priority="3340" stopIfTrue="1" operator="equal">
      <formula>"Napkin Hs"</formula>
    </cfRule>
  </conditionalFormatting>
  <conditionalFormatting sqref="C97:C98">
    <cfRule type="cellIs" dxfId="15609" priority="3341" stopIfTrue="1" operator="equal">
      <formula>"Towel"</formula>
    </cfRule>
    <cfRule type="cellIs" dxfId="15608" priority="3342" stopIfTrue="1" operator="equal">
      <formula>"Napkin Hs"</formula>
    </cfRule>
  </conditionalFormatting>
  <conditionalFormatting sqref="B97:C98">
    <cfRule type="cellIs" dxfId="15607" priority="3295" stopIfTrue="1" operator="equal">
      <formula>"Towel"</formula>
    </cfRule>
    <cfRule type="cellIs" dxfId="15606" priority="3296" stopIfTrue="1" operator="equal">
      <formula>"Napkin Hs"</formula>
    </cfRule>
  </conditionalFormatting>
  <conditionalFormatting sqref="B97:C98">
    <cfRule type="cellIs" dxfId="15605" priority="3271" stopIfTrue="1" operator="equal">
      <formula>"Towel"</formula>
    </cfRule>
    <cfRule type="cellIs" dxfId="15604" priority="3272" stopIfTrue="1" operator="equal">
      <formula>"Napkin Hs"</formula>
    </cfRule>
    <cfRule type="cellIs" dxfId="15603" priority="3277" stopIfTrue="1" operator="equal">
      <formula>"Towel"</formula>
    </cfRule>
    <cfRule type="cellIs" dxfId="15602" priority="3278" stopIfTrue="1" operator="equal">
      <formula>"Napkin Hs"</formula>
    </cfRule>
    <cfRule type="cellIs" dxfId="15601" priority="3283" stopIfTrue="1" operator="equal">
      <formula>"Towel"</formula>
    </cfRule>
    <cfRule type="cellIs" dxfId="15600" priority="3284" stopIfTrue="1" operator="equal">
      <formula>"Napkin Hs"</formula>
    </cfRule>
    <cfRule type="cellIs" dxfId="15599" priority="3289" stopIfTrue="1" operator="equal">
      <formula>"Towel"</formula>
    </cfRule>
    <cfRule type="cellIs" dxfId="15598" priority="3290" stopIfTrue="1" operator="equal">
      <formula>"Napkin Hs"</formula>
    </cfRule>
  </conditionalFormatting>
  <conditionalFormatting sqref="C97:C98">
    <cfRule type="cellIs" dxfId="15597" priority="3285" stopIfTrue="1" operator="equal">
      <formula>"Towel"</formula>
    </cfRule>
    <cfRule type="cellIs" dxfId="15596" priority="3286" stopIfTrue="1" operator="equal">
      <formula>"Napkin Hs"</formula>
    </cfRule>
    <cfRule type="cellIs" dxfId="15595" priority="3291" stopIfTrue="1" operator="equal">
      <formula>"Towel"</formula>
    </cfRule>
    <cfRule type="cellIs" dxfId="15594" priority="3292" stopIfTrue="1" operator="equal">
      <formula>"Napkin Hs"</formula>
    </cfRule>
  </conditionalFormatting>
  <conditionalFormatting sqref="C97:C98">
    <cfRule type="cellIs" dxfId="15593" priority="3265" stopIfTrue="1" operator="equal">
      <formula>"Towel"</formula>
    </cfRule>
    <cfRule type="cellIs" dxfId="15592" priority="3266" stopIfTrue="1" operator="equal">
      <formula>"Napkin Hs"</formula>
    </cfRule>
    <cfRule type="cellIs" dxfId="15591" priority="3267" stopIfTrue="1" operator="equal">
      <formula>"Towel"</formula>
    </cfRule>
    <cfRule type="cellIs" dxfId="15590" priority="3268" stopIfTrue="1" operator="equal">
      <formula>"Napkin Hs"</formula>
    </cfRule>
    <cfRule type="cellIs" dxfId="15589" priority="3275" stopIfTrue="1" operator="equal">
      <formula>"Towel"</formula>
    </cfRule>
    <cfRule type="cellIs" dxfId="15588" priority="3276" stopIfTrue="1" operator="equal">
      <formula>"Napkin Hs"</formula>
    </cfRule>
    <cfRule type="cellIs" dxfId="15587" priority="3279" stopIfTrue="1" operator="equal">
      <formula>"Towel"</formula>
    </cfRule>
    <cfRule type="cellIs" dxfId="15586" priority="3280" stopIfTrue="1" operator="equal">
      <formula>"Napkin Hs"</formula>
    </cfRule>
    <cfRule type="cellIs" dxfId="15585" priority="3281" stopIfTrue="1" operator="equal">
      <formula>"Towel"</formula>
    </cfRule>
    <cfRule type="cellIs" dxfId="15584" priority="3282" stopIfTrue="1" operator="equal">
      <formula>"Napkin Hs"</formula>
    </cfRule>
  </conditionalFormatting>
  <conditionalFormatting sqref="C97:C98">
    <cfRule type="cellIs" dxfId="15583" priority="3293" stopIfTrue="1" operator="equal">
      <formula>"Towel"</formula>
    </cfRule>
    <cfRule type="cellIs" dxfId="15582" priority="3294" stopIfTrue="1" operator="equal">
      <formula>"Napkin Hs"</formula>
    </cfRule>
  </conditionalFormatting>
  <conditionalFormatting sqref="C97:C98">
    <cfRule type="cellIs" dxfId="15581" priority="3269" stopIfTrue="1" operator="equal">
      <formula>"Towel"</formula>
    </cfRule>
    <cfRule type="cellIs" dxfId="15580" priority="3270" stopIfTrue="1" operator="equal">
      <formula>"Napkin Hs"</formula>
    </cfRule>
    <cfRule type="cellIs" dxfId="15579" priority="3273" stopIfTrue="1" operator="equal">
      <formula>"Towel"</formula>
    </cfRule>
    <cfRule type="cellIs" dxfId="15578" priority="3274" stopIfTrue="1" operator="equal">
      <formula>"Napkin Hs"</formula>
    </cfRule>
    <cfRule type="cellIs" dxfId="15577" priority="3287" stopIfTrue="1" operator="equal">
      <formula>"Towel"</formula>
    </cfRule>
    <cfRule type="cellIs" dxfId="15576" priority="3288" stopIfTrue="1" operator="equal">
      <formula>"Napkin Hs"</formula>
    </cfRule>
  </conditionalFormatting>
  <conditionalFormatting sqref="B97:C98">
    <cfRule type="cellIs" dxfId="15575" priority="3221" stopIfTrue="1" operator="equal">
      <formula>"Towel"</formula>
    </cfRule>
    <cfRule type="cellIs" dxfId="15574" priority="3222" stopIfTrue="1" operator="equal">
      <formula>"Napkin Hs"</formula>
    </cfRule>
    <cfRule type="cellIs" dxfId="15573" priority="3227" stopIfTrue="1" operator="equal">
      <formula>"Towel"</formula>
    </cfRule>
    <cfRule type="cellIs" dxfId="15572" priority="3228" stopIfTrue="1" operator="equal">
      <formula>"Napkin Hs"</formula>
    </cfRule>
    <cfRule type="cellIs" dxfId="15571" priority="3233" stopIfTrue="1" operator="equal">
      <formula>"Towel"</formula>
    </cfRule>
    <cfRule type="cellIs" dxfId="15570" priority="3234" stopIfTrue="1" operator="equal">
      <formula>"Napkin Hs"</formula>
    </cfRule>
    <cfRule type="cellIs" dxfId="15569" priority="3239" stopIfTrue="1" operator="equal">
      <formula>"Towel"</formula>
    </cfRule>
    <cfRule type="cellIs" dxfId="15568" priority="3240" stopIfTrue="1" operator="equal">
      <formula>"Napkin Hs"</formula>
    </cfRule>
    <cfRule type="cellIs" dxfId="15567" priority="3245" stopIfTrue="1" operator="equal">
      <formula>"Towel"</formula>
    </cfRule>
    <cfRule type="cellIs" dxfId="15566" priority="3246" stopIfTrue="1" operator="equal">
      <formula>"Napkin Hs"</formula>
    </cfRule>
    <cfRule type="cellIs" dxfId="15565" priority="3251" stopIfTrue="1" operator="equal">
      <formula>"Towel"</formula>
    </cfRule>
    <cfRule type="cellIs" dxfId="15564" priority="3252" stopIfTrue="1" operator="equal">
      <formula>"Napkin Hs"</formula>
    </cfRule>
    <cfRule type="cellIs" dxfId="15563" priority="3257" stopIfTrue="1" operator="equal">
      <formula>"Towel"</formula>
    </cfRule>
    <cfRule type="cellIs" dxfId="15562" priority="3258" stopIfTrue="1" operator="equal">
      <formula>"Napkin Hs"</formula>
    </cfRule>
    <cfRule type="cellIs" dxfId="15561" priority="3263" stopIfTrue="1" operator="equal">
      <formula>"Towel"</formula>
    </cfRule>
    <cfRule type="cellIs" dxfId="15560" priority="3264" stopIfTrue="1" operator="equal">
      <formula>"Napkin Hs"</formula>
    </cfRule>
  </conditionalFormatting>
  <conditionalFormatting sqref="C97:C98">
    <cfRule type="cellIs" dxfId="15559" priority="3217" stopIfTrue="1" operator="equal">
      <formula>"Towel"</formula>
    </cfRule>
    <cfRule type="cellIs" dxfId="15558" priority="3218" stopIfTrue="1" operator="equal">
      <formula>"Napkin Hs"</formula>
    </cfRule>
    <cfRule type="cellIs" dxfId="15557" priority="3219" stopIfTrue="1" operator="equal">
      <formula>"Towel"</formula>
    </cfRule>
    <cfRule type="cellIs" dxfId="15556" priority="3220" stopIfTrue="1" operator="equal">
      <formula>"Napkin Hs"</formula>
    </cfRule>
    <cfRule type="cellIs" dxfId="15555" priority="3223" stopIfTrue="1" operator="equal">
      <formula>"Towel"</formula>
    </cfRule>
    <cfRule type="cellIs" dxfId="15554" priority="3224" stopIfTrue="1" operator="equal">
      <formula>"Napkin Hs"</formula>
    </cfRule>
    <cfRule type="cellIs" dxfId="15553" priority="3225" stopIfTrue="1" operator="equal">
      <formula>"Towel"</formula>
    </cfRule>
    <cfRule type="cellIs" dxfId="15552" priority="3226" stopIfTrue="1" operator="equal">
      <formula>"Napkin Hs"</formula>
    </cfRule>
    <cfRule type="cellIs" dxfId="15551" priority="3229" stopIfTrue="1" operator="equal">
      <formula>"Towel"</formula>
    </cfRule>
    <cfRule type="cellIs" dxfId="15550" priority="3230" stopIfTrue="1" operator="equal">
      <formula>"Napkin Hs"</formula>
    </cfRule>
    <cfRule type="cellIs" dxfId="15549" priority="3231" stopIfTrue="1" operator="equal">
      <formula>"Towel"</formula>
    </cfRule>
    <cfRule type="cellIs" dxfId="15548" priority="3232" stopIfTrue="1" operator="equal">
      <formula>"Napkin Hs"</formula>
    </cfRule>
    <cfRule type="cellIs" dxfId="15547" priority="3235" stopIfTrue="1" operator="equal">
      <formula>"Towel"</formula>
    </cfRule>
    <cfRule type="cellIs" dxfId="15546" priority="3236" stopIfTrue="1" operator="equal">
      <formula>"Napkin Hs"</formula>
    </cfRule>
    <cfRule type="cellIs" dxfId="15545" priority="3237" stopIfTrue="1" operator="equal">
      <formula>"Towel"</formula>
    </cfRule>
    <cfRule type="cellIs" dxfId="15544" priority="3238" stopIfTrue="1" operator="equal">
      <formula>"Napkin Hs"</formula>
    </cfRule>
    <cfRule type="cellIs" dxfId="15543" priority="3241" stopIfTrue="1" operator="equal">
      <formula>"Towel"</formula>
    </cfRule>
    <cfRule type="cellIs" dxfId="15542" priority="3242" stopIfTrue="1" operator="equal">
      <formula>"Napkin Hs"</formula>
    </cfRule>
    <cfRule type="cellIs" dxfId="15541" priority="3243" stopIfTrue="1" operator="equal">
      <formula>"Towel"</formula>
    </cfRule>
    <cfRule type="cellIs" dxfId="15540" priority="3244" stopIfTrue="1" operator="equal">
      <formula>"Napkin Hs"</formula>
    </cfRule>
    <cfRule type="cellIs" dxfId="15539" priority="3247" stopIfTrue="1" operator="equal">
      <formula>"Towel"</formula>
    </cfRule>
    <cfRule type="cellIs" dxfId="15538" priority="3248" stopIfTrue="1" operator="equal">
      <formula>"Napkin Hs"</formula>
    </cfRule>
    <cfRule type="cellIs" dxfId="15537" priority="3249" stopIfTrue="1" operator="equal">
      <formula>"Towel"</formula>
    </cfRule>
    <cfRule type="cellIs" dxfId="15536" priority="3250" stopIfTrue="1" operator="equal">
      <formula>"Napkin Hs"</formula>
    </cfRule>
    <cfRule type="cellIs" dxfId="15535" priority="3253" stopIfTrue="1" operator="equal">
      <formula>"Towel"</formula>
    </cfRule>
    <cfRule type="cellIs" dxfId="15534" priority="3254" stopIfTrue="1" operator="equal">
      <formula>"Napkin Hs"</formula>
    </cfRule>
    <cfRule type="cellIs" dxfId="15533" priority="3255" stopIfTrue="1" operator="equal">
      <formula>"Towel"</formula>
    </cfRule>
    <cfRule type="cellIs" dxfId="15532" priority="3256" stopIfTrue="1" operator="equal">
      <formula>"Napkin Hs"</formula>
    </cfRule>
    <cfRule type="cellIs" dxfId="15531" priority="3259" stopIfTrue="1" operator="equal">
      <formula>"Towel"</formula>
    </cfRule>
    <cfRule type="cellIs" dxfId="15530" priority="3260" stopIfTrue="1" operator="equal">
      <formula>"Napkin Hs"</formula>
    </cfRule>
  </conditionalFormatting>
  <conditionalFormatting sqref="C97:C98">
    <cfRule type="cellIs" dxfId="15529" priority="3261" stopIfTrue="1" operator="equal">
      <formula>"Towel"</formula>
    </cfRule>
    <cfRule type="cellIs" dxfId="15528" priority="3262" stopIfTrue="1" operator="equal">
      <formula>"Napkin Hs"</formula>
    </cfRule>
  </conditionalFormatting>
  <conditionalFormatting sqref="B97:B98">
    <cfRule type="cellIs" dxfId="15527" priority="3211" stopIfTrue="1" operator="equal">
      <formula>"Towel"</formula>
    </cfRule>
    <cfRule type="cellIs" dxfId="15526" priority="3212" stopIfTrue="1" operator="equal">
      <formula>"Napkin Hs"</formula>
    </cfRule>
    <cfRule type="cellIs" dxfId="15525" priority="3213" stopIfTrue="1" operator="equal">
      <formula>"Towel"</formula>
    </cfRule>
    <cfRule type="cellIs" dxfId="15524" priority="3214" stopIfTrue="1" operator="equal">
      <formula>"Napkin Hs"</formula>
    </cfRule>
    <cfRule type="cellIs" dxfId="15523" priority="3215" stopIfTrue="1" operator="equal">
      <formula>"Towel"</formula>
    </cfRule>
    <cfRule type="cellIs" dxfId="15522" priority="3216" stopIfTrue="1" operator="equal">
      <formula>"Napkin Hs"</formula>
    </cfRule>
  </conditionalFormatting>
  <conditionalFormatting sqref="B97:C98">
    <cfRule type="cellIs" dxfId="15521" priority="3173" stopIfTrue="1" operator="equal">
      <formula>"Towel"</formula>
    </cfRule>
    <cfRule type="cellIs" dxfId="15520" priority="3174" stopIfTrue="1" operator="equal">
      <formula>"Napkin Hs"</formula>
    </cfRule>
    <cfRule type="cellIs" dxfId="15519" priority="3179" stopIfTrue="1" operator="equal">
      <formula>"Towel"</formula>
    </cfRule>
    <cfRule type="cellIs" dxfId="15518" priority="3180" stopIfTrue="1" operator="equal">
      <formula>"Napkin Hs"</formula>
    </cfRule>
    <cfRule type="cellIs" dxfId="15517" priority="3185" stopIfTrue="1" operator="equal">
      <formula>"Towel"</formula>
    </cfRule>
    <cfRule type="cellIs" dxfId="15516" priority="3186" stopIfTrue="1" operator="equal">
      <formula>"Napkin Hs"</formula>
    </cfRule>
    <cfRule type="cellIs" dxfId="15515" priority="3191" stopIfTrue="1" operator="equal">
      <formula>"Towel"</formula>
    </cfRule>
    <cfRule type="cellIs" dxfId="15514" priority="3192" stopIfTrue="1" operator="equal">
      <formula>"Napkin Hs"</formula>
    </cfRule>
    <cfRule type="cellIs" dxfId="15513" priority="3197" stopIfTrue="1" operator="equal">
      <formula>"Towel"</formula>
    </cfRule>
    <cfRule type="cellIs" dxfId="15512" priority="3198" stopIfTrue="1" operator="equal">
      <formula>"Napkin Hs"</formula>
    </cfRule>
    <cfRule type="cellIs" dxfId="15511" priority="3203" stopIfTrue="1" operator="equal">
      <formula>"Towel"</formula>
    </cfRule>
    <cfRule type="cellIs" dxfId="15510" priority="3204" stopIfTrue="1" operator="equal">
      <formula>"Napkin Hs"</formula>
    </cfRule>
    <cfRule type="cellIs" dxfId="15509" priority="3209" stopIfTrue="1" operator="equal">
      <formula>"Towel"</formula>
    </cfRule>
    <cfRule type="cellIs" dxfId="15508" priority="3210" stopIfTrue="1" operator="equal">
      <formula>"Napkin Hs"</formula>
    </cfRule>
  </conditionalFormatting>
  <conditionalFormatting sqref="C97:C98">
    <cfRule type="cellIs" dxfId="15507" priority="3169" stopIfTrue="1" operator="equal">
      <formula>"Towel"</formula>
    </cfRule>
    <cfRule type="cellIs" dxfId="15506" priority="3170" stopIfTrue="1" operator="equal">
      <formula>"Napkin Hs"</formula>
    </cfRule>
    <cfRule type="cellIs" dxfId="15505" priority="3171" stopIfTrue="1" operator="equal">
      <formula>"Towel"</formula>
    </cfRule>
    <cfRule type="cellIs" dxfId="15504" priority="3172" stopIfTrue="1" operator="equal">
      <formula>"Napkin Hs"</formula>
    </cfRule>
    <cfRule type="cellIs" dxfId="15503" priority="3175" stopIfTrue="1" operator="equal">
      <formula>"Towel"</formula>
    </cfRule>
    <cfRule type="cellIs" dxfId="15502" priority="3176" stopIfTrue="1" operator="equal">
      <formula>"Napkin Hs"</formula>
    </cfRule>
    <cfRule type="cellIs" dxfId="15501" priority="3177" stopIfTrue="1" operator="equal">
      <formula>"Towel"</formula>
    </cfRule>
    <cfRule type="cellIs" dxfId="15500" priority="3178" stopIfTrue="1" operator="equal">
      <formula>"Napkin Hs"</formula>
    </cfRule>
    <cfRule type="cellIs" dxfId="15499" priority="3181" stopIfTrue="1" operator="equal">
      <formula>"Towel"</formula>
    </cfRule>
    <cfRule type="cellIs" dxfId="15498" priority="3182" stopIfTrue="1" operator="equal">
      <formula>"Napkin Hs"</formula>
    </cfRule>
    <cfRule type="cellIs" dxfId="15497" priority="3183" stopIfTrue="1" operator="equal">
      <formula>"Towel"</formula>
    </cfRule>
    <cfRule type="cellIs" dxfId="15496" priority="3184" stopIfTrue="1" operator="equal">
      <formula>"Napkin Hs"</formula>
    </cfRule>
    <cfRule type="cellIs" dxfId="15495" priority="3187" stopIfTrue="1" operator="equal">
      <formula>"Towel"</formula>
    </cfRule>
    <cfRule type="cellIs" dxfId="15494" priority="3188" stopIfTrue="1" operator="equal">
      <formula>"Napkin Hs"</formula>
    </cfRule>
    <cfRule type="cellIs" dxfId="15493" priority="3189" stopIfTrue="1" operator="equal">
      <formula>"Towel"</formula>
    </cfRule>
    <cfRule type="cellIs" dxfId="15492" priority="3190" stopIfTrue="1" operator="equal">
      <formula>"Napkin Hs"</formula>
    </cfRule>
    <cfRule type="cellIs" dxfId="15491" priority="3193" stopIfTrue="1" operator="equal">
      <formula>"Towel"</formula>
    </cfRule>
    <cfRule type="cellIs" dxfId="15490" priority="3194" stopIfTrue="1" operator="equal">
      <formula>"Napkin Hs"</formula>
    </cfRule>
    <cfRule type="cellIs" dxfId="15489" priority="3195" stopIfTrue="1" operator="equal">
      <formula>"Towel"</formula>
    </cfRule>
    <cfRule type="cellIs" dxfId="15488" priority="3196" stopIfTrue="1" operator="equal">
      <formula>"Napkin Hs"</formula>
    </cfRule>
    <cfRule type="cellIs" dxfId="15487" priority="3199" stopIfTrue="1" operator="equal">
      <formula>"Towel"</formula>
    </cfRule>
    <cfRule type="cellIs" dxfId="15486" priority="3200" stopIfTrue="1" operator="equal">
      <formula>"Napkin Hs"</formula>
    </cfRule>
    <cfRule type="cellIs" dxfId="15485" priority="3201" stopIfTrue="1" operator="equal">
      <formula>"Towel"</formula>
    </cfRule>
    <cfRule type="cellIs" dxfId="15484" priority="3202" stopIfTrue="1" operator="equal">
      <formula>"Napkin Hs"</formula>
    </cfRule>
    <cfRule type="cellIs" dxfId="15483" priority="3205" stopIfTrue="1" operator="equal">
      <formula>"Towel"</formula>
    </cfRule>
    <cfRule type="cellIs" dxfId="15482" priority="3206" stopIfTrue="1" operator="equal">
      <formula>"Napkin Hs"</formula>
    </cfRule>
  </conditionalFormatting>
  <conditionalFormatting sqref="C97:C98">
    <cfRule type="cellIs" dxfId="15481" priority="3207" stopIfTrue="1" operator="equal">
      <formula>"Towel"</formula>
    </cfRule>
    <cfRule type="cellIs" dxfId="15480" priority="3208" stopIfTrue="1" operator="equal">
      <formula>"Napkin Hs"</formula>
    </cfRule>
  </conditionalFormatting>
  <conditionalFormatting sqref="B97:C98">
    <cfRule type="cellIs" dxfId="15479" priority="3167" stopIfTrue="1" operator="equal">
      <formula>"Towel"</formula>
    </cfRule>
    <cfRule type="cellIs" dxfId="15478" priority="3168" stopIfTrue="1" operator="equal">
      <formula>"Napkin Hs"</formula>
    </cfRule>
  </conditionalFormatting>
  <conditionalFormatting sqref="B97:C98">
    <cfRule type="cellIs" dxfId="15477" priority="3131" stopIfTrue="1" operator="equal">
      <formula>"Towel"</formula>
    </cfRule>
    <cfRule type="cellIs" dxfId="15476" priority="3132" stopIfTrue="1" operator="equal">
      <formula>"Napkin Hs"</formula>
    </cfRule>
    <cfRule type="cellIs" dxfId="15475" priority="3137" stopIfTrue="1" operator="equal">
      <formula>"Towel"</formula>
    </cfRule>
    <cfRule type="cellIs" dxfId="15474" priority="3138" stopIfTrue="1" operator="equal">
      <formula>"Napkin Hs"</formula>
    </cfRule>
    <cfRule type="cellIs" dxfId="15473" priority="3143" stopIfTrue="1" operator="equal">
      <formula>"Towel"</formula>
    </cfRule>
    <cfRule type="cellIs" dxfId="15472" priority="3144" stopIfTrue="1" operator="equal">
      <formula>"Napkin Hs"</formula>
    </cfRule>
    <cfRule type="cellIs" dxfId="15471" priority="3149" stopIfTrue="1" operator="equal">
      <formula>"Towel"</formula>
    </cfRule>
    <cfRule type="cellIs" dxfId="15470" priority="3150" stopIfTrue="1" operator="equal">
      <formula>"Napkin Hs"</formula>
    </cfRule>
    <cfRule type="cellIs" dxfId="15469" priority="3155" stopIfTrue="1" operator="equal">
      <formula>"Towel"</formula>
    </cfRule>
    <cfRule type="cellIs" dxfId="15468" priority="3156" stopIfTrue="1" operator="equal">
      <formula>"Napkin Hs"</formula>
    </cfRule>
    <cfRule type="cellIs" dxfId="15467" priority="3161" stopIfTrue="1" operator="equal">
      <formula>"Towel"</formula>
    </cfRule>
    <cfRule type="cellIs" dxfId="15466" priority="3162" stopIfTrue="1" operator="equal">
      <formula>"Napkin Hs"</formula>
    </cfRule>
  </conditionalFormatting>
  <conditionalFormatting sqref="C97:C98">
    <cfRule type="cellIs" dxfId="15465" priority="3166" stopIfTrue="1" operator="equal">
      <formula>"Napkin Hs"</formula>
    </cfRule>
  </conditionalFormatting>
  <conditionalFormatting sqref="C97:C98">
    <cfRule type="cellIs" dxfId="15464" priority="3165" stopIfTrue="1" operator="equal">
      <formula>"Towel"</formula>
    </cfRule>
  </conditionalFormatting>
  <conditionalFormatting sqref="C97:C98">
    <cfRule type="cellIs" dxfId="15463" priority="3159" stopIfTrue="1" operator="equal">
      <formula>"Towel"</formula>
    </cfRule>
    <cfRule type="cellIs" dxfId="15462" priority="3160" stopIfTrue="1" operator="equal">
      <formula>"Napkin Hs"</formula>
    </cfRule>
  </conditionalFormatting>
  <conditionalFormatting sqref="C97:C98">
    <cfRule type="cellIs" dxfId="15461" priority="3157" stopIfTrue="1" operator="equal">
      <formula>"Towel"</formula>
    </cfRule>
    <cfRule type="cellIs" dxfId="15460" priority="3158" stopIfTrue="1" operator="equal">
      <formula>"Napkin Hs"</formula>
    </cfRule>
    <cfRule type="cellIs" dxfId="15459" priority="3163" stopIfTrue="1" operator="equal">
      <formula>"Towel"</formula>
    </cfRule>
    <cfRule type="cellIs" dxfId="15458" priority="3164" stopIfTrue="1" operator="equal">
      <formula>"Napkin Hs"</formula>
    </cfRule>
  </conditionalFormatting>
  <conditionalFormatting sqref="C97:C98">
    <cfRule type="cellIs" dxfId="15457" priority="3129" stopIfTrue="1" operator="equal">
      <formula>"Towel"</formula>
    </cfRule>
    <cfRule type="cellIs" dxfId="15456" priority="3130" stopIfTrue="1" operator="equal">
      <formula>"Napkin Hs"</formula>
    </cfRule>
    <cfRule type="cellIs" dxfId="15455" priority="3133" stopIfTrue="1" operator="equal">
      <formula>"Towel"</formula>
    </cfRule>
    <cfRule type="cellIs" dxfId="15454" priority="3134" stopIfTrue="1" operator="equal">
      <formula>"Napkin Hs"</formula>
    </cfRule>
    <cfRule type="cellIs" dxfId="15453" priority="3135" stopIfTrue="1" operator="equal">
      <formula>"Towel"</formula>
    </cfRule>
    <cfRule type="cellIs" dxfId="15452" priority="3136" stopIfTrue="1" operator="equal">
      <formula>"Napkin Hs"</formula>
    </cfRule>
    <cfRule type="cellIs" dxfId="15451" priority="3139" stopIfTrue="1" operator="equal">
      <formula>"Towel"</formula>
    </cfRule>
    <cfRule type="cellIs" dxfId="15450" priority="3140" stopIfTrue="1" operator="equal">
      <formula>"Napkin Hs"</formula>
    </cfRule>
    <cfRule type="cellIs" dxfId="15449" priority="3141" stopIfTrue="1" operator="equal">
      <formula>"Towel"</formula>
    </cfRule>
    <cfRule type="cellIs" dxfId="15448" priority="3142" stopIfTrue="1" operator="equal">
      <formula>"Napkin Hs"</formula>
    </cfRule>
    <cfRule type="cellIs" dxfId="15447" priority="3145" stopIfTrue="1" operator="equal">
      <formula>"Towel"</formula>
    </cfRule>
    <cfRule type="cellIs" dxfId="15446" priority="3146" stopIfTrue="1" operator="equal">
      <formula>"Napkin Hs"</formula>
    </cfRule>
    <cfRule type="cellIs" dxfId="15445" priority="3147" stopIfTrue="1" operator="equal">
      <formula>"Towel"</formula>
    </cfRule>
    <cfRule type="cellIs" dxfId="15444" priority="3148" stopIfTrue="1" operator="equal">
      <formula>"Napkin Hs"</formula>
    </cfRule>
    <cfRule type="cellIs" dxfId="15443" priority="3151" stopIfTrue="1" operator="equal">
      <formula>"Towel"</formula>
    </cfRule>
    <cfRule type="cellIs" dxfId="15442" priority="3152" stopIfTrue="1" operator="equal">
      <formula>"Napkin Hs"</formula>
    </cfRule>
    <cfRule type="cellIs" dxfId="15441" priority="3153" stopIfTrue="1" operator="equal">
      <formula>"Towel"</formula>
    </cfRule>
    <cfRule type="cellIs" dxfId="15440" priority="3154" stopIfTrue="1" operator="equal">
      <formula>"Napkin Hs"</formula>
    </cfRule>
  </conditionalFormatting>
  <conditionalFormatting sqref="C97:C98">
    <cfRule type="cellIs" dxfId="15439" priority="3127" stopIfTrue="1" operator="equal">
      <formula>"Towel"</formula>
    </cfRule>
    <cfRule type="cellIs" dxfId="15438" priority="3128" stopIfTrue="1" operator="equal">
      <formula>"Napkin Hs"</formula>
    </cfRule>
  </conditionalFormatting>
  <conditionalFormatting sqref="C97:C98">
    <cfRule type="cellIs" dxfId="15437" priority="3107" stopIfTrue="1" operator="equal">
      <formula>"Towel"</formula>
    </cfRule>
    <cfRule type="cellIs" dxfId="15436" priority="3108" stopIfTrue="1" operator="equal">
      <formula>"Napkin Hs"</formula>
    </cfRule>
    <cfRule type="cellIs" dxfId="15435" priority="3113" stopIfTrue="1" operator="equal">
      <formula>"Towel"</formula>
    </cfRule>
    <cfRule type="cellIs" dxfId="15434" priority="3114" stopIfTrue="1" operator="equal">
      <formula>"Napkin Hs"</formula>
    </cfRule>
    <cfRule type="cellIs" dxfId="15433" priority="3119" stopIfTrue="1" operator="equal">
      <formula>"Towel"</formula>
    </cfRule>
    <cfRule type="cellIs" dxfId="15432" priority="3120" stopIfTrue="1" operator="equal">
      <formula>"Napkin Hs"</formula>
    </cfRule>
    <cfRule type="cellIs" dxfId="15431" priority="3125" stopIfTrue="1" operator="equal">
      <formula>"Towel"</formula>
    </cfRule>
    <cfRule type="cellIs" dxfId="15430" priority="3126" stopIfTrue="1" operator="equal">
      <formula>"Napkin Hs"</formula>
    </cfRule>
  </conditionalFormatting>
  <conditionalFormatting sqref="C97:C98">
    <cfRule type="cellIs" dxfId="15429" priority="3117" stopIfTrue="1" operator="equal">
      <formula>"Towel"</formula>
    </cfRule>
    <cfRule type="cellIs" dxfId="15428" priority="3118" stopIfTrue="1" operator="equal">
      <formula>"Napkin Hs"</formula>
    </cfRule>
    <cfRule type="cellIs" dxfId="15427" priority="3123" stopIfTrue="1" operator="equal">
      <formula>"Towel"</formula>
    </cfRule>
    <cfRule type="cellIs" dxfId="15426" priority="3124" stopIfTrue="1" operator="equal">
      <formula>"Napkin Hs"</formula>
    </cfRule>
  </conditionalFormatting>
  <conditionalFormatting sqref="C97:C98">
    <cfRule type="cellIs" dxfId="15425" priority="3103" stopIfTrue="1" operator="equal">
      <formula>"Towel"</formula>
    </cfRule>
    <cfRule type="cellIs" dxfId="15424" priority="3104" stopIfTrue="1" operator="equal">
      <formula>"Napkin Hs"</formula>
    </cfRule>
    <cfRule type="cellIs" dxfId="15423" priority="3111" stopIfTrue="1" operator="equal">
      <formula>"Towel"</formula>
    </cfRule>
    <cfRule type="cellIs" dxfId="15422" priority="3112" stopIfTrue="1" operator="equal">
      <formula>"Napkin Hs"</formula>
    </cfRule>
    <cfRule type="cellIs" dxfId="15421" priority="3115" stopIfTrue="1" operator="equal">
      <formula>"Towel"</formula>
    </cfRule>
    <cfRule type="cellIs" dxfId="15420" priority="3116" stopIfTrue="1" operator="equal">
      <formula>"Napkin Hs"</formula>
    </cfRule>
  </conditionalFormatting>
  <conditionalFormatting sqref="C97:C98">
    <cfRule type="cellIs" dxfId="15419" priority="3105" stopIfTrue="1" operator="equal">
      <formula>"Towel"</formula>
    </cfRule>
    <cfRule type="cellIs" dxfId="15418" priority="3106" stopIfTrue="1" operator="equal">
      <formula>"Napkin Hs"</formula>
    </cfRule>
    <cfRule type="cellIs" dxfId="15417" priority="3109" stopIfTrue="1" operator="equal">
      <formula>"Towel"</formula>
    </cfRule>
    <cfRule type="cellIs" dxfId="15416" priority="3110" stopIfTrue="1" operator="equal">
      <formula>"Napkin Hs"</formula>
    </cfRule>
    <cfRule type="cellIs" dxfId="15415" priority="3121" stopIfTrue="1" operator="equal">
      <formula>"Towel"</formula>
    </cfRule>
    <cfRule type="cellIs" dxfId="15414" priority="3122" stopIfTrue="1" operator="equal">
      <formula>"Napkin Hs"</formula>
    </cfRule>
  </conditionalFormatting>
  <conditionalFormatting sqref="C97:C98">
    <cfRule type="cellIs" dxfId="15413" priority="3101" stopIfTrue="1" operator="equal">
      <formula>"Towel"</formula>
    </cfRule>
    <cfRule type="cellIs" dxfId="15412" priority="3102" stopIfTrue="1" operator="equal">
      <formula>"Napkin Hs"</formula>
    </cfRule>
  </conditionalFormatting>
  <conditionalFormatting sqref="C97:C98">
    <cfRule type="cellIs" dxfId="15411" priority="3097" stopIfTrue="1" operator="equal">
      <formula>"Towel"</formula>
    </cfRule>
    <cfRule type="cellIs" dxfId="15410" priority="3098" stopIfTrue="1" operator="equal">
      <formula>"Napkin Hs"</formula>
    </cfRule>
  </conditionalFormatting>
  <conditionalFormatting sqref="C97:C98">
    <cfRule type="cellIs" dxfId="15409" priority="3099" stopIfTrue="1" operator="equal">
      <formula>"Towel"</formula>
    </cfRule>
    <cfRule type="cellIs" dxfId="15408" priority="3100" stopIfTrue="1" operator="equal">
      <formula>"Napkin Hs"</formula>
    </cfRule>
  </conditionalFormatting>
  <conditionalFormatting sqref="C97:C98">
    <cfRule type="cellIs" dxfId="15407" priority="3095" stopIfTrue="1" operator="equal">
      <formula>"Towel"</formula>
    </cfRule>
    <cfRule type="cellIs" dxfId="15406" priority="3096" stopIfTrue="1" operator="equal">
      <formula>"Napkin Hs"</formula>
    </cfRule>
  </conditionalFormatting>
  <conditionalFormatting sqref="C97:C98">
    <cfRule type="cellIs" dxfId="15405" priority="3091" stopIfTrue="1" operator="equal">
      <formula>"Towel"</formula>
    </cfRule>
    <cfRule type="cellIs" dxfId="15404" priority="3092" stopIfTrue="1" operator="equal">
      <formula>"Napkin Hs"</formula>
    </cfRule>
  </conditionalFormatting>
  <conditionalFormatting sqref="C97:C98">
    <cfRule type="cellIs" dxfId="15403" priority="3093" stopIfTrue="1" operator="equal">
      <formula>"Towel"</formula>
    </cfRule>
    <cfRule type="cellIs" dxfId="15402" priority="3094" stopIfTrue="1" operator="equal">
      <formula>"Napkin Hs"</formula>
    </cfRule>
  </conditionalFormatting>
  <conditionalFormatting sqref="C97:C98">
    <cfRule type="cellIs" dxfId="15401" priority="3089" stopIfTrue="1" operator="equal">
      <formula>"Towel"</formula>
    </cfRule>
    <cfRule type="cellIs" dxfId="15400" priority="3090" stopIfTrue="1" operator="equal">
      <formula>"Napkin Hs"</formula>
    </cfRule>
  </conditionalFormatting>
  <conditionalFormatting sqref="C97:C98">
    <cfRule type="cellIs" dxfId="15399" priority="3085" stopIfTrue="1" operator="equal">
      <formula>"Towel"</formula>
    </cfRule>
    <cfRule type="cellIs" dxfId="15398" priority="3086" stopIfTrue="1" operator="equal">
      <formula>"Napkin Hs"</formula>
    </cfRule>
  </conditionalFormatting>
  <conditionalFormatting sqref="C97:C98">
    <cfRule type="cellIs" dxfId="15397" priority="3087" stopIfTrue="1" operator="equal">
      <formula>"Towel"</formula>
    </cfRule>
    <cfRule type="cellIs" dxfId="15396" priority="3088" stopIfTrue="1" operator="equal">
      <formula>"Napkin Hs"</formula>
    </cfRule>
  </conditionalFormatting>
  <conditionalFormatting sqref="C97:C98">
    <cfRule type="cellIs" dxfId="15395" priority="3083" stopIfTrue="1" operator="equal">
      <formula>"Towel"</formula>
    </cfRule>
    <cfRule type="cellIs" dxfId="15394" priority="3084" stopIfTrue="1" operator="equal">
      <formula>"Napkin Hs"</formula>
    </cfRule>
  </conditionalFormatting>
  <conditionalFormatting sqref="C97:C98">
    <cfRule type="cellIs" dxfId="15393" priority="3081" stopIfTrue="1" operator="equal">
      <formula>"Towel"</formula>
    </cfRule>
    <cfRule type="cellIs" dxfId="15392" priority="3082" stopIfTrue="1" operator="equal">
      <formula>"Napkin Hs"</formula>
    </cfRule>
  </conditionalFormatting>
  <conditionalFormatting sqref="C97:C98">
    <cfRule type="cellIs" dxfId="15391" priority="3079" stopIfTrue="1" operator="equal">
      <formula>"Towel"</formula>
    </cfRule>
    <cfRule type="cellIs" dxfId="15390" priority="3080" stopIfTrue="1" operator="equal">
      <formula>"Napkin Hs"</formula>
    </cfRule>
  </conditionalFormatting>
  <conditionalFormatting sqref="C97:C98">
    <cfRule type="cellIs" dxfId="15389" priority="3077" stopIfTrue="1" operator="equal">
      <formula>"Towel"</formula>
    </cfRule>
    <cfRule type="cellIs" dxfId="15388" priority="3078" stopIfTrue="1" operator="equal">
      <formula>"Napkin Hs"</formula>
    </cfRule>
  </conditionalFormatting>
  <conditionalFormatting sqref="C97:C98">
    <cfRule type="cellIs" dxfId="15387" priority="3076" stopIfTrue="1" operator="equal">
      <formula>"Napkin Hs"</formula>
    </cfRule>
  </conditionalFormatting>
  <conditionalFormatting sqref="C97:C98">
    <cfRule type="cellIs" dxfId="15386" priority="3073" stopIfTrue="1" operator="equal">
      <formula>"Towel"</formula>
    </cfRule>
    <cfRule type="cellIs" dxfId="15385" priority="3074" stopIfTrue="1" operator="equal">
      <formula>"Napkin Hs"</formula>
    </cfRule>
  </conditionalFormatting>
  <conditionalFormatting sqref="C97:C98">
    <cfRule type="cellIs" dxfId="15384" priority="3075" stopIfTrue="1" operator="equal">
      <formula>"Towel"</formula>
    </cfRule>
  </conditionalFormatting>
  <conditionalFormatting sqref="B97:B98">
    <cfRule type="cellIs" dxfId="15383" priority="3071" stopIfTrue="1" operator="equal">
      <formula>"Towel"</formula>
    </cfRule>
    <cfRule type="cellIs" dxfId="15382" priority="3072" stopIfTrue="1" operator="equal">
      <formula>"Napkin Hs"</formula>
    </cfRule>
  </conditionalFormatting>
  <conditionalFormatting sqref="B97:B98">
    <cfRule type="cellIs" dxfId="15381" priority="3069" stopIfTrue="1" operator="equal">
      <formula>"Towel"</formula>
    </cfRule>
    <cfRule type="cellIs" dxfId="15380" priority="3070" stopIfTrue="1" operator="equal">
      <formula>"Napkin Hs"</formula>
    </cfRule>
  </conditionalFormatting>
  <conditionalFormatting sqref="B97:B98">
    <cfRule type="cellIs" dxfId="15379" priority="3067" stopIfTrue="1" operator="equal">
      <formula>"Towel"</formula>
    </cfRule>
    <cfRule type="cellIs" dxfId="15378" priority="3068" stopIfTrue="1" operator="equal">
      <formula>"Napkin Hs"</formula>
    </cfRule>
  </conditionalFormatting>
  <conditionalFormatting sqref="B97:B98">
    <cfRule type="cellIs" dxfId="15377" priority="3065" stopIfTrue="1" operator="equal">
      <formula>"Towel"</formula>
    </cfRule>
    <cfRule type="cellIs" dxfId="15376" priority="3066" stopIfTrue="1" operator="equal">
      <formula>"Napkin Hs"</formula>
    </cfRule>
  </conditionalFormatting>
  <conditionalFormatting sqref="B97:B98">
    <cfRule type="cellIs" dxfId="15375" priority="3063" stopIfTrue="1" operator="equal">
      <formula>"Towel"</formula>
    </cfRule>
    <cfRule type="cellIs" dxfId="15374" priority="3064" stopIfTrue="1" operator="equal">
      <formula>"Napkin Hs"</formula>
    </cfRule>
  </conditionalFormatting>
  <conditionalFormatting sqref="B97:B98">
    <cfRule type="cellIs" dxfId="15373" priority="3061" stopIfTrue="1" operator="equal">
      <formula>"Towel"</formula>
    </cfRule>
    <cfRule type="cellIs" dxfId="15372" priority="3062" stopIfTrue="1" operator="equal">
      <formula>"Napkin Hs"</formula>
    </cfRule>
  </conditionalFormatting>
  <conditionalFormatting sqref="B97:B98">
    <cfRule type="cellIs" dxfId="15371" priority="3057" stopIfTrue="1" operator="equal">
      <formula>"Towel"</formula>
    </cfRule>
    <cfRule type="cellIs" dxfId="15370" priority="3058" stopIfTrue="1" operator="equal">
      <formula>"Napkin Hs"</formula>
    </cfRule>
    <cfRule type="cellIs" dxfId="15369" priority="3059" stopIfTrue="1" operator="equal">
      <formula>"Towel"</formula>
    </cfRule>
    <cfRule type="cellIs" dxfId="15368" priority="3060" stopIfTrue="1" operator="equal">
      <formula>"Napkin Hs"</formula>
    </cfRule>
  </conditionalFormatting>
  <conditionalFormatting sqref="B97:B98">
    <cfRule type="cellIs" dxfId="15367" priority="3055" stopIfTrue="1" operator="equal">
      <formula>"Towel"</formula>
    </cfRule>
    <cfRule type="cellIs" dxfId="15366" priority="3056" stopIfTrue="1" operator="equal">
      <formula>"Napkin Hs"</formula>
    </cfRule>
  </conditionalFormatting>
  <conditionalFormatting sqref="B97:B98">
    <cfRule type="cellIs" dxfId="15365" priority="3053" stopIfTrue="1" operator="equal">
      <formula>"Towel"</formula>
    </cfRule>
    <cfRule type="cellIs" dxfId="15364" priority="3054" stopIfTrue="1" operator="equal">
      <formula>"Napkin Hs"</formula>
    </cfRule>
  </conditionalFormatting>
  <conditionalFormatting sqref="B97:B98">
    <cfRule type="cellIs" dxfId="15363" priority="3051" stopIfTrue="1" operator="equal">
      <formula>"Towel"</formula>
    </cfRule>
    <cfRule type="cellIs" dxfId="15362" priority="3052" stopIfTrue="1" operator="equal">
      <formula>"Napkin Hs"</formula>
    </cfRule>
  </conditionalFormatting>
  <conditionalFormatting sqref="B97:B98">
    <cfRule type="cellIs" dxfId="15361" priority="3049" stopIfTrue="1" operator="equal">
      <formula>"Towel"</formula>
    </cfRule>
    <cfRule type="cellIs" dxfId="15360" priority="3050" stopIfTrue="1" operator="equal">
      <formula>"Napkin Hs"</formula>
    </cfRule>
  </conditionalFormatting>
  <conditionalFormatting sqref="B97:B98">
    <cfRule type="cellIs" dxfId="15359" priority="3047" stopIfTrue="1" operator="equal">
      <formula>"Towel"</formula>
    </cfRule>
    <cfRule type="cellIs" dxfId="15358" priority="3048" stopIfTrue="1" operator="equal">
      <formula>"Napkin Hs"</formula>
    </cfRule>
  </conditionalFormatting>
  <conditionalFormatting sqref="B97:C98">
    <cfRule type="cellIs" dxfId="15357" priority="3033" stopIfTrue="1" operator="equal">
      <formula>"Towel"</formula>
    </cfRule>
    <cfRule type="cellIs" dxfId="15356" priority="3034" stopIfTrue="1" operator="equal">
      <formula>"Napkin Hs"</formula>
    </cfRule>
    <cfRule type="cellIs" dxfId="15355" priority="3039" stopIfTrue="1" operator="equal">
      <formula>"Towel"</formula>
    </cfRule>
    <cfRule type="cellIs" dxfId="15354" priority="3040" stopIfTrue="1" operator="equal">
      <formula>"Napkin Hs"</formula>
    </cfRule>
    <cfRule type="cellIs" dxfId="15353" priority="3045" stopIfTrue="1" operator="equal">
      <formula>"Towel"</formula>
    </cfRule>
    <cfRule type="cellIs" dxfId="15352" priority="3046" stopIfTrue="1" operator="equal">
      <formula>"Napkin Hs"</formula>
    </cfRule>
  </conditionalFormatting>
  <conditionalFormatting sqref="C97:C98">
    <cfRule type="cellIs" dxfId="15351" priority="3027" stopIfTrue="1" operator="equal">
      <formula>"Towel"</formula>
    </cfRule>
    <cfRule type="cellIs" dxfId="15350" priority="3028" stopIfTrue="1" operator="equal">
      <formula>"Napkin Hs"</formula>
    </cfRule>
    <cfRule type="cellIs" dxfId="15349" priority="3029" stopIfTrue="1" operator="equal">
      <formula>"Towel"</formula>
    </cfRule>
    <cfRule type="cellIs" dxfId="15348" priority="3030" stopIfTrue="1" operator="equal">
      <formula>"Napkin Hs"</formula>
    </cfRule>
    <cfRule type="cellIs" dxfId="15347" priority="3037" stopIfTrue="1" operator="equal">
      <formula>"Towel"</formula>
    </cfRule>
    <cfRule type="cellIs" dxfId="15346" priority="3038" stopIfTrue="1" operator="equal">
      <formula>"Napkin Hs"</formula>
    </cfRule>
    <cfRule type="cellIs" dxfId="15345" priority="3041" stopIfTrue="1" operator="equal">
      <formula>"Towel"</formula>
    </cfRule>
    <cfRule type="cellIs" dxfId="15344" priority="3042" stopIfTrue="1" operator="equal">
      <formula>"Napkin Hs"</formula>
    </cfRule>
  </conditionalFormatting>
  <conditionalFormatting sqref="C97:C98">
    <cfRule type="cellIs" dxfId="15343" priority="3031" stopIfTrue="1" operator="equal">
      <formula>"Towel"</formula>
    </cfRule>
    <cfRule type="cellIs" dxfId="15342" priority="3032" stopIfTrue="1" operator="equal">
      <formula>"Napkin Hs"</formula>
    </cfRule>
    <cfRule type="cellIs" dxfId="15341" priority="3035" stopIfTrue="1" operator="equal">
      <formula>"Towel"</formula>
    </cfRule>
    <cfRule type="cellIs" dxfId="15340" priority="3036" stopIfTrue="1" operator="equal">
      <formula>"Napkin Hs"</formula>
    </cfRule>
    <cfRule type="cellIs" dxfId="15339" priority="3043" stopIfTrue="1" operator="equal">
      <formula>"Towel"</formula>
    </cfRule>
    <cfRule type="cellIs" dxfId="15338" priority="3044" stopIfTrue="1" operator="equal">
      <formula>"Napkin Hs"</formula>
    </cfRule>
  </conditionalFormatting>
  <conditionalFormatting sqref="B97:C98">
    <cfRule type="cellIs" dxfId="15337" priority="3025" stopIfTrue="1" operator="equal">
      <formula>"Towel"</formula>
    </cfRule>
    <cfRule type="cellIs" dxfId="15336" priority="3026" stopIfTrue="1" operator="equal">
      <formula>"Napkin Hs"</formula>
    </cfRule>
  </conditionalFormatting>
  <conditionalFormatting sqref="B97:C98">
    <cfRule type="cellIs" dxfId="15335" priority="3017" stopIfTrue="1" operator="equal">
      <formula>"Towel"</formula>
    </cfRule>
    <cfRule type="cellIs" dxfId="15334" priority="3018" stopIfTrue="1" operator="equal">
      <formula>"Napkin Hs"</formula>
    </cfRule>
    <cfRule type="cellIs" dxfId="15333" priority="3023" stopIfTrue="1" operator="equal">
      <formula>"Towel"</formula>
    </cfRule>
    <cfRule type="cellIs" dxfId="15332" priority="3024" stopIfTrue="1" operator="equal">
      <formula>"Napkin Hs"</formula>
    </cfRule>
  </conditionalFormatting>
  <conditionalFormatting sqref="C97:C98">
    <cfRule type="cellIs" dxfId="15331" priority="3013" stopIfTrue="1" operator="equal">
      <formula>"Towel"</formula>
    </cfRule>
    <cfRule type="cellIs" dxfId="15330" priority="3014" stopIfTrue="1" operator="equal">
      <formula>"Napkin Hs"</formula>
    </cfRule>
  </conditionalFormatting>
  <conditionalFormatting sqref="C97:C98">
    <cfRule type="cellIs" dxfId="15329" priority="3011" stopIfTrue="1" operator="equal">
      <formula>"Towel"</formula>
    </cfRule>
    <cfRule type="cellIs" dxfId="15328" priority="3012" stopIfTrue="1" operator="equal">
      <formula>"Napkin Hs"</formula>
    </cfRule>
    <cfRule type="cellIs" dxfId="15327" priority="3021" stopIfTrue="1" operator="equal">
      <formula>"Towel"</formula>
    </cfRule>
    <cfRule type="cellIs" dxfId="15326" priority="3022" stopIfTrue="1" operator="equal">
      <formula>"Napkin Hs"</formula>
    </cfRule>
  </conditionalFormatting>
  <conditionalFormatting sqref="C97:C98">
    <cfRule type="cellIs" dxfId="15325" priority="3015" stopIfTrue="1" operator="equal">
      <formula>"Towel"</formula>
    </cfRule>
    <cfRule type="cellIs" dxfId="15324" priority="3016" stopIfTrue="1" operator="equal">
      <formula>"Napkin Hs"</formula>
    </cfRule>
    <cfRule type="cellIs" dxfId="15323" priority="3019" stopIfTrue="1" operator="equal">
      <formula>"Towel"</formula>
    </cfRule>
    <cfRule type="cellIs" dxfId="15322" priority="3020" stopIfTrue="1" operator="equal">
      <formula>"Napkin Hs"</formula>
    </cfRule>
  </conditionalFormatting>
  <conditionalFormatting sqref="C97:C98">
    <cfRule type="cellIs" dxfId="15321" priority="3010" stopIfTrue="1" operator="equal">
      <formula>"Napkin Hs"</formula>
    </cfRule>
  </conditionalFormatting>
  <conditionalFormatting sqref="C97:C98">
    <cfRule type="cellIs" dxfId="15320" priority="3009" stopIfTrue="1" operator="equal">
      <formula>"Towel"</formula>
    </cfRule>
  </conditionalFormatting>
  <conditionalFormatting sqref="C97:C98">
    <cfRule type="cellIs" dxfId="15319" priority="3005" stopIfTrue="1" operator="equal">
      <formula>"Towel"</formula>
    </cfRule>
    <cfRule type="cellIs" dxfId="15318" priority="3006" stopIfTrue="1" operator="equal">
      <formula>"Napkin Hs"</formula>
    </cfRule>
    <cfRule type="cellIs" dxfId="15317" priority="3007" stopIfTrue="1" operator="equal">
      <formula>"Towel"</formula>
    </cfRule>
    <cfRule type="cellIs" dxfId="15316" priority="3008" stopIfTrue="1" operator="equal">
      <formula>"Napkin Hs"</formula>
    </cfRule>
  </conditionalFormatting>
  <conditionalFormatting sqref="B97:C98">
    <cfRule type="cellIs" dxfId="15315" priority="3003" stopIfTrue="1" operator="equal">
      <formula>"Towel"</formula>
    </cfRule>
    <cfRule type="cellIs" dxfId="15314" priority="3004" stopIfTrue="1" operator="equal">
      <formula>"Napkin Hs"</formula>
    </cfRule>
  </conditionalFormatting>
  <conditionalFormatting sqref="C97:C98">
    <cfRule type="cellIs" dxfId="15313" priority="2999" stopIfTrue="1" operator="equal">
      <formula>"Towel"</formula>
    </cfRule>
    <cfRule type="cellIs" dxfId="15312" priority="3000" stopIfTrue="1" operator="equal">
      <formula>"Napkin Hs"</formula>
    </cfRule>
  </conditionalFormatting>
  <conditionalFormatting sqref="C97:C98">
    <cfRule type="cellIs" dxfId="15311" priority="3001" stopIfTrue="1" operator="equal">
      <formula>"Towel"</formula>
    </cfRule>
    <cfRule type="cellIs" dxfId="15310" priority="3002" stopIfTrue="1" operator="equal">
      <formula>"Napkin Hs"</formula>
    </cfRule>
  </conditionalFormatting>
  <conditionalFormatting sqref="B97:C98">
    <cfRule type="cellIs" dxfId="15309" priority="2997" stopIfTrue="1" operator="equal">
      <formula>"Towel"</formula>
    </cfRule>
    <cfRule type="cellIs" dxfId="15308" priority="2998" stopIfTrue="1" operator="equal">
      <formula>"Napkin Hs"</formula>
    </cfRule>
  </conditionalFormatting>
  <conditionalFormatting sqref="C97:C98">
    <cfRule type="cellIs" dxfId="15307" priority="2993" stopIfTrue="1" operator="equal">
      <formula>"Towel"</formula>
    </cfRule>
    <cfRule type="cellIs" dxfId="15306" priority="2994" stopIfTrue="1" operator="equal">
      <formula>"Napkin Hs"</formula>
    </cfRule>
  </conditionalFormatting>
  <conditionalFormatting sqref="C97:C98">
    <cfRule type="cellIs" dxfId="15305" priority="2995" stopIfTrue="1" operator="equal">
      <formula>"Towel"</formula>
    </cfRule>
    <cfRule type="cellIs" dxfId="15304" priority="2996" stopIfTrue="1" operator="equal">
      <formula>"Napkin Hs"</formula>
    </cfRule>
  </conditionalFormatting>
  <conditionalFormatting sqref="B97:C98">
    <cfRule type="cellIs" dxfId="15303" priority="2991" stopIfTrue="1" operator="equal">
      <formula>"Towel"</formula>
    </cfRule>
    <cfRule type="cellIs" dxfId="15302" priority="2992" stopIfTrue="1" operator="equal">
      <formula>"Napkin Hs"</formula>
    </cfRule>
  </conditionalFormatting>
  <conditionalFormatting sqref="C97:C98">
    <cfRule type="cellIs" dxfId="15301" priority="2987" stopIfTrue="1" operator="equal">
      <formula>"Towel"</formula>
    </cfRule>
    <cfRule type="cellIs" dxfId="15300" priority="2988" stopIfTrue="1" operator="equal">
      <formula>"Napkin Hs"</formula>
    </cfRule>
  </conditionalFormatting>
  <conditionalFormatting sqref="C97:C98">
    <cfRule type="cellIs" dxfId="15299" priority="2989" stopIfTrue="1" operator="equal">
      <formula>"Towel"</formula>
    </cfRule>
    <cfRule type="cellIs" dxfId="15298" priority="2990" stopIfTrue="1" operator="equal">
      <formula>"Napkin Hs"</formula>
    </cfRule>
  </conditionalFormatting>
  <conditionalFormatting sqref="B97:C98">
    <cfRule type="cellIs" dxfId="15297" priority="2985" stopIfTrue="1" operator="equal">
      <formula>"Towel"</formula>
    </cfRule>
    <cfRule type="cellIs" dxfId="15296" priority="2986" stopIfTrue="1" operator="equal">
      <formula>"Napkin Hs"</formula>
    </cfRule>
  </conditionalFormatting>
  <conditionalFormatting sqref="C97:C98">
    <cfRule type="cellIs" dxfId="15295" priority="2983" stopIfTrue="1" operator="equal">
      <formula>"Towel"</formula>
    </cfRule>
    <cfRule type="cellIs" dxfId="15294" priority="2984" stopIfTrue="1" operator="equal">
      <formula>"Napkin Hs"</formula>
    </cfRule>
  </conditionalFormatting>
  <conditionalFormatting sqref="C97:C98">
    <cfRule type="cellIs" dxfId="15293" priority="2981" stopIfTrue="1" operator="equal">
      <formula>"Towel"</formula>
    </cfRule>
    <cfRule type="cellIs" dxfId="15292" priority="2982" stopIfTrue="1" operator="equal">
      <formula>"Napkin Hs"</formula>
    </cfRule>
  </conditionalFormatting>
  <conditionalFormatting sqref="B97:C98">
    <cfRule type="cellIs" dxfId="15291" priority="2979" stopIfTrue="1" operator="equal">
      <formula>"Towel"</formula>
    </cfRule>
    <cfRule type="cellIs" dxfId="15290" priority="2980" stopIfTrue="1" operator="equal">
      <formula>"Napkin Hs"</formula>
    </cfRule>
  </conditionalFormatting>
  <conditionalFormatting sqref="C97:C98">
    <cfRule type="cellIs" dxfId="15289" priority="2978" stopIfTrue="1" operator="equal">
      <formula>"Napkin Hs"</formula>
    </cfRule>
  </conditionalFormatting>
  <conditionalFormatting sqref="C97:C98">
    <cfRule type="cellIs" dxfId="15288" priority="2975" stopIfTrue="1" operator="equal">
      <formula>"Towel"</formula>
    </cfRule>
    <cfRule type="cellIs" dxfId="15287" priority="2976" stopIfTrue="1" operator="equal">
      <formula>"Napkin Hs"</formula>
    </cfRule>
  </conditionalFormatting>
  <conditionalFormatting sqref="C97:C98">
    <cfRule type="cellIs" dxfId="15286" priority="2977" stopIfTrue="1" operator="equal">
      <formula>"Towel"</formula>
    </cfRule>
  </conditionalFormatting>
  <conditionalFormatting sqref="B99:C99">
    <cfRule type="cellIs" dxfId="15285" priority="2973" stopIfTrue="1" operator="equal">
      <formula>"Towel"</formula>
    </cfRule>
    <cfRule type="cellIs" dxfId="15284" priority="2974" stopIfTrue="1" operator="equal">
      <formula>"Napkin Hs"</formula>
    </cfRule>
  </conditionalFormatting>
  <conditionalFormatting sqref="C99">
    <cfRule type="cellIs" dxfId="15283" priority="2969" stopIfTrue="1" operator="equal">
      <formula>"Towel"</formula>
    </cfRule>
    <cfRule type="cellIs" dxfId="15282" priority="2970" stopIfTrue="1" operator="equal">
      <formula>"Napkin Hs"</formula>
    </cfRule>
  </conditionalFormatting>
  <conditionalFormatting sqref="C99">
    <cfRule type="cellIs" dxfId="15281" priority="2971" stopIfTrue="1" operator="equal">
      <formula>"Towel"</formula>
    </cfRule>
    <cfRule type="cellIs" dxfId="15280" priority="2972" stopIfTrue="1" operator="equal">
      <formula>"Napkin Hs"</formula>
    </cfRule>
  </conditionalFormatting>
  <conditionalFormatting sqref="B99:C99">
    <cfRule type="cellIs" dxfId="15279" priority="2967" stopIfTrue="1" operator="equal">
      <formula>"Towel"</formula>
    </cfRule>
    <cfRule type="cellIs" dxfId="15278" priority="2968" stopIfTrue="1" operator="equal">
      <formula>"Napkin Hs"</formula>
    </cfRule>
  </conditionalFormatting>
  <conditionalFormatting sqref="C99">
    <cfRule type="cellIs" dxfId="15277" priority="2963" stopIfTrue="1" operator="equal">
      <formula>"Towel"</formula>
    </cfRule>
    <cfRule type="cellIs" dxfId="15276" priority="2964" stopIfTrue="1" operator="equal">
      <formula>"Napkin Hs"</formula>
    </cfRule>
  </conditionalFormatting>
  <conditionalFormatting sqref="C99">
    <cfRule type="cellIs" dxfId="15275" priority="2965" stopIfTrue="1" operator="equal">
      <formula>"Towel"</formula>
    </cfRule>
    <cfRule type="cellIs" dxfId="15274" priority="2966" stopIfTrue="1" operator="equal">
      <formula>"Napkin Hs"</formula>
    </cfRule>
  </conditionalFormatting>
  <conditionalFormatting sqref="B99:C99">
    <cfRule type="cellIs" dxfId="15273" priority="2919" stopIfTrue="1" operator="equal">
      <formula>"Towel"</formula>
    </cfRule>
    <cfRule type="cellIs" dxfId="15272" priority="2920" stopIfTrue="1" operator="equal">
      <formula>"Napkin Hs"</formula>
    </cfRule>
    <cfRule type="cellIs" dxfId="15271" priority="2925" stopIfTrue="1" operator="equal">
      <formula>"Towel"</formula>
    </cfRule>
    <cfRule type="cellIs" dxfId="15270" priority="2926" stopIfTrue="1" operator="equal">
      <formula>"Napkin Hs"</formula>
    </cfRule>
    <cfRule type="cellIs" dxfId="15269" priority="2931" stopIfTrue="1" operator="equal">
      <formula>"Towel"</formula>
    </cfRule>
    <cfRule type="cellIs" dxfId="15268" priority="2932" stopIfTrue="1" operator="equal">
      <formula>"Napkin Hs"</formula>
    </cfRule>
    <cfRule type="cellIs" dxfId="15267" priority="2937" stopIfTrue="1" operator="equal">
      <formula>"Towel"</formula>
    </cfRule>
    <cfRule type="cellIs" dxfId="15266" priority="2938" stopIfTrue="1" operator="equal">
      <formula>"Napkin Hs"</formula>
    </cfRule>
    <cfRule type="cellIs" dxfId="15265" priority="2943" stopIfTrue="1" operator="equal">
      <formula>"Towel"</formula>
    </cfRule>
    <cfRule type="cellIs" dxfId="15264" priority="2944" stopIfTrue="1" operator="equal">
      <formula>"Napkin Hs"</formula>
    </cfRule>
    <cfRule type="cellIs" dxfId="15263" priority="2949" stopIfTrue="1" operator="equal">
      <formula>"Towel"</formula>
    </cfRule>
    <cfRule type="cellIs" dxfId="15262" priority="2950" stopIfTrue="1" operator="equal">
      <formula>"Napkin Hs"</formula>
    </cfRule>
    <cfRule type="cellIs" dxfId="15261" priority="2955" stopIfTrue="1" operator="equal">
      <formula>"Towel"</formula>
    </cfRule>
    <cfRule type="cellIs" dxfId="15260" priority="2956" stopIfTrue="1" operator="equal">
      <formula>"Napkin Hs"</formula>
    </cfRule>
    <cfRule type="cellIs" dxfId="15259" priority="2961" stopIfTrue="1" operator="equal">
      <formula>"Towel"</formula>
    </cfRule>
    <cfRule type="cellIs" dxfId="15258" priority="2962" stopIfTrue="1" operator="equal">
      <formula>"Napkin Hs"</formula>
    </cfRule>
  </conditionalFormatting>
  <conditionalFormatting sqref="C99">
    <cfRule type="cellIs" dxfId="15257" priority="2915" stopIfTrue="1" operator="equal">
      <formula>"Towel"</formula>
    </cfRule>
    <cfRule type="cellIs" dxfId="15256" priority="2916" stopIfTrue="1" operator="equal">
      <formula>"Napkin Hs"</formula>
    </cfRule>
    <cfRule type="cellIs" dxfId="15255" priority="2917" stopIfTrue="1" operator="equal">
      <formula>"Towel"</formula>
    </cfRule>
    <cfRule type="cellIs" dxfId="15254" priority="2918" stopIfTrue="1" operator="equal">
      <formula>"Napkin Hs"</formula>
    </cfRule>
    <cfRule type="cellIs" dxfId="15253" priority="2921" stopIfTrue="1" operator="equal">
      <formula>"Towel"</formula>
    </cfRule>
    <cfRule type="cellIs" dxfId="15252" priority="2922" stopIfTrue="1" operator="equal">
      <formula>"Napkin Hs"</formula>
    </cfRule>
    <cfRule type="cellIs" dxfId="15251" priority="2923" stopIfTrue="1" operator="equal">
      <formula>"Towel"</formula>
    </cfRule>
    <cfRule type="cellIs" dxfId="15250" priority="2924" stopIfTrue="1" operator="equal">
      <formula>"Napkin Hs"</formula>
    </cfRule>
    <cfRule type="cellIs" dxfId="15249" priority="2927" stopIfTrue="1" operator="equal">
      <formula>"Towel"</formula>
    </cfRule>
    <cfRule type="cellIs" dxfId="15248" priority="2928" stopIfTrue="1" operator="equal">
      <formula>"Napkin Hs"</formula>
    </cfRule>
    <cfRule type="cellIs" dxfId="15247" priority="2929" stopIfTrue="1" operator="equal">
      <formula>"Towel"</formula>
    </cfRule>
    <cfRule type="cellIs" dxfId="15246" priority="2930" stopIfTrue="1" operator="equal">
      <formula>"Napkin Hs"</formula>
    </cfRule>
    <cfRule type="cellIs" dxfId="15245" priority="2933" stopIfTrue="1" operator="equal">
      <formula>"Towel"</formula>
    </cfRule>
    <cfRule type="cellIs" dxfId="15244" priority="2934" stopIfTrue="1" operator="equal">
      <formula>"Napkin Hs"</formula>
    </cfRule>
    <cfRule type="cellIs" dxfId="15243" priority="2935" stopIfTrue="1" operator="equal">
      <formula>"Towel"</formula>
    </cfRule>
    <cfRule type="cellIs" dxfId="15242" priority="2936" stopIfTrue="1" operator="equal">
      <formula>"Napkin Hs"</formula>
    </cfRule>
    <cfRule type="cellIs" dxfId="15241" priority="2939" stopIfTrue="1" operator="equal">
      <formula>"Towel"</formula>
    </cfRule>
    <cfRule type="cellIs" dxfId="15240" priority="2940" stopIfTrue="1" operator="equal">
      <formula>"Napkin Hs"</formula>
    </cfRule>
    <cfRule type="cellIs" dxfId="15239" priority="2941" stopIfTrue="1" operator="equal">
      <formula>"Towel"</formula>
    </cfRule>
    <cfRule type="cellIs" dxfId="15238" priority="2942" stopIfTrue="1" operator="equal">
      <formula>"Napkin Hs"</formula>
    </cfRule>
    <cfRule type="cellIs" dxfId="15237" priority="2945" stopIfTrue="1" operator="equal">
      <formula>"Towel"</formula>
    </cfRule>
    <cfRule type="cellIs" dxfId="15236" priority="2946" stopIfTrue="1" operator="equal">
      <formula>"Napkin Hs"</formula>
    </cfRule>
    <cfRule type="cellIs" dxfId="15235" priority="2947" stopIfTrue="1" operator="equal">
      <formula>"Towel"</formula>
    </cfRule>
    <cfRule type="cellIs" dxfId="15234" priority="2948" stopIfTrue="1" operator="equal">
      <formula>"Napkin Hs"</formula>
    </cfRule>
    <cfRule type="cellIs" dxfId="15233" priority="2951" stopIfTrue="1" operator="equal">
      <formula>"Towel"</formula>
    </cfRule>
    <cfRule type="cellIs" dxfId="15232" priority="2952" stopIfTrue="1" operator="equal">
      <formula>"Napkin Hs"</formula>
    </cfRule>
    <cfRule type="cellIs" dxfId="15231" priority="2953" stopIfTrue="1" operator="equal">
      <formula>"Towel"</formula>
    </cfRule>
    <cfRule type="cellIs" dxfId="15230" priority="2954" stopIfTrue="1" operator="equal">
      <formula>"Napkin Hs"</formula>
    </cfRule>
    <cfRule type="cellIs" dxfId="15229" priority="2957" stopIfTrue="1" operator="equal">
      <formula>"Towel"</formula>
    </cfRule>
    <cfRule type="cellIs" dxfId="15228" priority="2958" stopIfTrue="1" operator="equal">
      <formula>"Napkin Hs"</formula>
    </cfRule>
  </conditionalFormatting>
  <conditionalFormatting sqref="C99">
    <cfRule type="cellIs" dxfId="15227" priority="2959" stopIfTrue="1" operator="equal">
      <formula>"Towel"</formula>
    </cfRule>
    <cfRule type="cellIs" dxfId="15226" priority="2960" stopIfTrue="1" operator="equal">
      <formula>"Napkin Hs"</formula>
    </cfRule>
  </conditionalFormatting>
  <conditionalFormatting sqref="B99:C99">
    <cfRule type="cellIs" dxfId="15225" priority="2871" stopIfTrue="1" operator="equal">
      <formula>"Towel"</formula>
    </cfRule>
    <cfRule type="cellIs" dxfId="15224" priority="2872" stopIfTrue="1" operator="equal">
      <formula>"Napkin Hs"</formula>
    </cfRule>
    <cfRule type="cellIs" dxfId="15223" priority="2877" stopIfTrue="1" operator="equal">
      <formula>"Towel"</formula>
    </cfRule>
    <cfRule type="cellIs" dxfId="15222" priority="2878" stopIfTrue="1" operator="equal">
      <formula>"Napkin Hs"</formula>
    </cfRule>
    <cfRule type="cellIs" dxfId="15221" priority="2883" stopIfTrue="1" operator="equal">
      <formula>"Towel"</formula>
    </cfRule>
    <cfRule type="cellIs" dxfId="15220" priority="2884" stopIfTrue="1" operator="equal">
      <formula>"Napkin Hs"</formula>
    </cfRule>
    <cfRule type="cellIs" dxfId="15219" priority="2889" stopIfTrue="1" operator="equal">
      <formula>"Towel"</formula>
    </cfRule>
    <cfRule type="cellIs" dxfId="15218" priority="2890" stopIfTrue="1" operator="equal">
      <formula>"Napkin Hs"</formula>
    </cfRule>
    <cfRule type="cellIs" dxfId="15217" priority="2895" stopIfTrue="1" operator="equal">
      <formula>"Towel"</formula>
    </cfRule>
    <cfRule type="cellIs" dxfId="15216" priority="2896" stopIfTrue="1" operator="equal">
      <formula>"Napkin Hs"</formula>
    </cfRule>
    <cfRule type="cellIs" dxfId="15215" priority="2901" stopIfTrue="1" operator="equal">
      <formula>"Towel"</formula>
    </cfRule>
    <cfRule type="cellIs" dxfId="15214" priority="2902" stopIfTrue="1" operator="equal">
      <formula>"Napkin Hs"</formula>
    </cfRule>
    <cfRule type="cellIs" dxfId="15213" priority="2907" stopIfTrue="1" operator="equal">
      <formula>"Towel"</formula>
    </cfRule>
    <cfRule type="cellIs" dxfId="15212" priority="2908" stopIfTrue="1" operator="equal">
      <formula>"Napkin Hs"</formula>
    </cfRule>
    <cfRule type="cellIs" dxfId="15211" priority="2913" stopIfTrue="1" operator="equal">
      <formula>"Towel"</formula>
    </cfRule>
    <cfRule type="cellIs" dxfId="15210" priority="2914" stopIfTrue="1" operator="equal">
      <formula>"Napkin Hs"</formula>
    </cfRule>
  </conditionalFormatting>
  <conditionalFormatting sqref="C99">
    <cfRule type="cellIs" dxfId="15209" priority="2867" stopIfTrue="1" operator="equal">
      <formula>"Towel"</formula>
    </cfRule>
    <cfRule type="cellIs" dxfId="15208" priority="2868" stopIfTrue="1" operator="equal">
      <formula>"Napkin Hs"</formula>
    </cfRule>
    <cfRule type="cellIs" dxfId="15207" priority="2869" stopIfTrue="1" operator="equal">
      <formula>"Towel"</formula>
    </cfRule>
    <cfRule type="cellIs" dxfId="15206" priority="2870" stopIfTrue="1" operator="equal">
      <formula>"Napkin Hs"</formula>
    </cfRule>
    <cfRule type="cellIs" dxfId="15205" priority="2873" stopIfTrue="1" operator="equal">
      <formula>"Towel"</formula>
    </cfRule>
    <cfRule type="cellIs" dxfId="15204" priority="2874" stopIfTrue="1" operator="equal">
      <formula>"Napkin Hs"</formula>
    </cfRule>
    <cfRule type="cellIs" dxfId="15203" priority="2875" stopIfTrue="1" operator="equal">
      <formula>"Towel"</formula>
    </cfRule>
    <cfRule type="cellIs" dxfId="15202" priority="2876" stopIfTrue="1" operator="equal">
      <formula>"Napkin Hs"</formula>
    </cfRule>
    <cfRule type="cellIs" dxfId="15201" priority="2879" stopIfTrue="1" operator="equal">
      <formula>"Towel"</formula>
    </cfRule>
    <cfRule type="cellIs" dxfId="15200" priority="2880" stopIfTrue="1" operator="equal">
      <formula>"Napkin Hs"</formula>
    </cfRule>
    <cfRule type="cellIs" dxfId="15199" priority="2881" stopIfTrue="1" operator="equal">
      <formula>"Towel"</formula>
    </cfRule>
    <cfRule type="cellIs" dxfId="15198" priority="2882" stopIfTrue="1" operator="equal">
      <formula>"Napkin Hs"</formula>
    </cfRule>
    <cfRule type="cellIs" dxfId="15197" priority="2885" stopIfTrue="1" operator="equal">
      <formula>"Towel"</formula>
    </cfRule>
    <cfRule type="cellIs" dxfId="15196" priority="2886" stopIfTrue="1" operator="equal">
      <formula>"Napkin Hs"</formula>
    </cfRule>
    <cfRule type="cellIs" dxfId="15195" priority="2887" stopIfTrue="1" operator="equal">
      <formula>"Towel"</formula>
    </cfRule>
    <cfRule type="cellIs" dxfId="15194" priority="2888" stopIfTrue="1" operator="equal">
      <formula>"Napkin Hs"</formula>
    </cfRule>
    <cfRule type="cellIs" dxfId="15193" priority="2891" stopIfTrue="1" operator="equal">
      <formula>"Towel"</formula>
    </cfRule>
    <cfRule type="cellIs" dxfId="15192" priority="2892" stopIfTrue="1" operator="equal">
      <formula>"Napkin Hs"</formula>
    </cfRule>
    <cfRule type="cellIs" dxfId="15191" priority="2893" stopIfTrue="1" operator="equal">
      <formula>"Towel"</formula>
    </cfRule>
    <cfRule type="cellIs" dxfId="15190" priority="2894" stopIfTrue="1" operator="equal">
      <formula>"Napkin Hs"</formula>
    </cfRule>
    <cfRule type="cellIs" dxfId="15189" priority="2897" stopIfTrue="1" operator="equal">
      <formula>"Towel"</formula>
    </cfRule>
    <cfRule type="cellIs" dxfId="15188" priority="2898" stopIfTrue="1" operator="equal">
      <formula>"Napkin Hs"</formula>
    </cfRule>
    <cfRule type="cellIs" dxfId="15187" priority="2899" stopIfTrue="1" operator="equal">
      <formula>"Towel"</formula>
    </cfRule>
    <cfRule type="cellIs" dxfId="15186" priority="2900" stopIfTrue="1" operator="equal">
      <formula>"Napkin Hs"</formula>
    </cfRule>
    <cfRule type="cellIs" dxfId="15185" priority="2903" stopIfTrue="1" operator="equal">
      <formula>"Towel"</formula>
    </cfRule>
    <cfRule type="cellIs" dxfId="15184" priority="2904" stopIfTrue="1" operator="equal">
      <formula>"Napkin Hs"</formula>
    </cfRule>
    <cfRule type="cellIs" dxfId="15183" priority="2905" stopIfTrue="1" operator="equal">
      <formula>"Towel"</formula>
    </cfRule>
    <cfRule type="cellIs" dxfId="15182" priority="2906" stopIfTrue="1" operator="equal">
      <formula>"Napkin Hs"</formula>
    </cfRule>
    <cfRule type="cellIs" dxfId="15181" priority="2909" stopIfTrue="1" operator="equal">
      <formula>"Towel"</formula>
    </cfRule>
    <cfRule type="cellIs" dxfId="15180" priority="2910" stopIfTrue="1" operator="equal">
      <formula>"Napkin Hs"</formula>
    </cfRule>
  </conditionalFormatting>
  <conditionalFormatting sqref="C99">
    <cfRule type="cellIs" dxfId="15179" priority="2911" stopIfTrue="1" operator="equal">
      <formula>"Towel"</formula>
    </cfRule>
    <cfRule type="cellIs" dxfId="15178" priority="2912" stopIfTrue="1" operator="equal">
      <formula>"Napkin Hs"</formula>
    </cfRule>
  </conditionalFormatting>
  <conditionalFormatting sqref="B99:C99">
    <cfRule type="cellIs" dxfId="15177" priority="2865" stopIfTrue="1" operator="equal">
      <formula>"Towel"</formula>
    </cfRule>
    <cfRule type="cellIs" dxfId="15176" priority="2866" stopIfTrue="1" operator="equal">
      <formula>"Napkin Hs"</formula>
    </cfRule>
  </conditionalFormatting>
  <conditionalFormatting sqref="B99:C99">
    <cfRule type="cellIs" dxfId="15175" priority="2841" stopIfTrue="1" operator="equal">
      <formula>"Towel"</formula>
    </cfRule>
    <cfRule type="cellIs" dxfId="15174" priority="2842" stopIfTrue="1" operator="equal">
      <formula>"Napkin Hs"</formula>
    </cfRule>
    <cfRule type="cellIs" dxfId="15173" priority="2847" stopIfTrue="1" operator="equal">
      <formula>"Towel"</formula>
    </cfRule>
    <cfRule type="cellIs" dxfId="15172" priority="2848" stopIfTrue="1" operator="equal">
      <formula>"Napkin Hs"</formula>
    </cfRule>
    <cfRule type="cellIs" dxfId="15171" priority="2853" stopIfTrue="1" operator="equal">
      <formula>"Towel"</formula>
    </cfRule>
    <cfRule type="cellIs" dxfId="15170" priority="2854" stopIfTrue="1" operator="equal">
      <formula>"Napkin Hs"</formula>
    </cfRule>
    <cfRule type="cellIs" dxfId="15169" priority="2859" stopIfTrue="1" operator="equal">
      <formula>"Towel"</formula>
    </cfRule>
    <cfRule type="cellIs" dxfId="15168" priority="2860" stopIfTrue="1" operator="equal">
      <formula>"Napkin Hs"</formula>
    </cfRule>
  </conditionalFormatting>
  <conditionalFormatting sqref="C99">
    <cfRule type="cellIs" dxfId="15167" priority="2855" stopIfTrue="1" operator="equal">
      <formula>"Towel"</formula>
    </cfRule>
    <cfRule type="cellIs" dxfId="15166" priority="2856" stopIfTrue="1" operator="equal">
      <formula>"Napkin Hs"</formula>
    </cfRule>
    <cfRule type="cellIs" dxfId="15165" priority="2861" stopIfTrue="1" operator="equal">
      <formula>"Towel"</formula>
    </cfRule>
    <cfRule type="cellIs" dxfId="15164" priority="2862" stopIfTrue="1" operator="equal">
      <formula>"Napkin Hs"</formula>
    </cfRule>
  </conditionalFormatting>
  <conditionalFormatting sqref="C99">
    <cfRule type="cellIs" dxfId="15163" priority="2835" stopIfTrue="1" operator="equal">
      <formula>"Towel"</formula>
    </cfRule>
    <cfRule type="cellIs" dxfId="15162" priority="2836" stopIfTrue="1" operator="equal">
      <formula>"Napkin Hs"</formula>
    </cfRule>
    <cfRule type="cellIs" dxfId="15161" priority="2837" stopIfTrue="1" operator="equal">
      <formula>"Towel"</formula>
    </cfRule>
    <cfRule type="cellIs" dxfId="15160" priority="2838" stopIfTrue="1" operator="equal">
      <formula>"Napkin Hs"</formula>
    </cfRule>
    <cfRule type="cellIs" dxfId="15159" priority="2845" stopIfTrue="1" operator="equal">
      <formula>"Towel"</formula>
    </cfRule>
    <cfRule type="cellIs" dxfId="15158" priority="2846" stopIfTrue="1" operator="equal">
      <formula>"Napkin Hs"</formula>
    </cfRule>
    <cfRule type="cellIs" dxfId="15157" priority="2849" stopIfTrue="1" operator="equal">
      <formula>"Towel"</formula>
    </cfRule>
    <cfRule type="cellIs" dxfId="15156" priority="2850" stopIfTrue="1" operator="equal">
      <formula>"Napkin Hs"</formula>
    </cfRule>
    <cfRule type="cellIs" dxfId="15155" priority="2851" stopIfTrue="1" operator="equal">
      <formula>"Towel"</formula>
    </cfRule>
    <cfRule type="cellIs" dxfId="15154" priority="2852" stopIfTrue="1" operator="equal">
      <formula>"Napkin Hs"</formula>
    </cfRule>
  </conditionalFormatting>
  <conditionalFormatting sqref="C99">
    <cfRule type="cellIs" dxfId="15153" priority="2863" stopIfTrue="1" operator="equal">
      <formula>"Towel"</formula>
    </cfRule>
    <cfRule type="cellIs" dxfId="15152" priority="2864" stopIfTrue="1" operator="equal">
      <formula>"Napkin Hs"</formula>
    </cfRule>
  </conditionalFormatting>
  <conditionalFormatting sqref="C99">
    <cfRule type="cellIs" dxfId="15151" priority="2839" stopIfTrue="1" operator="equal">
      <formula>"Towel"</formula>
    </cfRule>
    <cfRule type="cellIs" dxfId="15150" priority="2840" stopIfTrue="1" operator="equal">
      <formula>"Napkin Hs"</formula>
    </cfRule>
    <cfRule type="cellIs" dxfId="15149" priority="2843" stopIfTrue="1" operator="equal">
      <formula>"Towel"</formula>
    </cfRule>
    <cfRule type="cellIs" dxfId="15148" priority="2844" stopIfTrue="1" operator="equal">
      <formula>"Napkin Hs"</formula>
    </cfRule>
    <cfRule type="cellIs" dxfId="15147" priority="2857" stopIfTrue="1" operator="equal">
      <formula>"Towel"</formula>
    </cfRule>
    <cfRule type="cellIs" dxfId="15146" priority="2858" stopIfTrue="1" operator="equal">
      <formula>"Napkin Hs"</formula>
    </cfRule>
  </conditionalFormatting>
  <conditionalFormatting sqref="B99:C99">
    <cfRule type="cellIs" dxfId="15145" priority="2791" stopIfTrue="1" operator="equal">
      <formula>"Towel"</formula>
    </cfRule>
    <cfRule type="cellIs" dxfId="15144" priority="2792" stopIfTrue="1" operator="equal">
      <formula>"Napkin Hs"</formula>
    </cfRule>
    <cfRule type="cellIs" dxfId="15143" priority="2797" stopIfTrue="1" operator="equal">
      <formula>"Towel"</formula>
    </cfRule>
    <cfRule type="cellIs" dxfId="15142" priority="2798" stopIfTrue="1" operator="equal">
      <formula>"Napkin Hs"</formula>
    </cfRule>
    <cfRule type="cellIs" dxfId="15141" priority="2803" stopIfTrue="1" operator="equal">
      <formula>"Towel"</formula>
    </cfRule>
    <cfRule type="cellIs" dxfId="15140" priority="2804" stopIfTrue="1" operator="equal">
      <formula>"Napkin Hs"</formula>
    </cfRule>
    <cfRule type="cellIs" dxfId="15139" priority="2809" stopIfTrue="1" operator="equal">
      <formula>"Towel"</formula>
    </cfRule>
    <cfRule type="cellIs" dxfId="15138" priority="2810" stopIfTrue="1" operator="equal">
      <formula>"Napkin Hs"</formula>
    </cfRule>
    <cfRule type="cellIs" dxfId="15137" priority="2815" stopIfTrue="1" operator="equal">
      <formula>"Towel"</formula>
    </cfRule>
    <cfRule type="cellIs" dxfId="15136" priority="2816" stopIfTrue="1" operator="equal">
      <formula>"Napkin Hs"</formula>
    </cfRule>
    <cfRule type="cellIs" dxfId="15135" priority="2821" stopIfTrue="1" operator="equal">
      <formula>"Towel"</formula>
    </cfRule>
    <cfRule type="cellIs" dxfId="15134" priority="2822" stopIfTrue="1" operator="equal">
      <formula>"Napkin Hs"</formula>
    </cfRule>
    <cfRule type="cellIs" dxfId="15133" priority="2827" stopIfTrue="1" operator="equal">
      <formula>"Towel"</formula>
    </cfRule>
    <cfRule type="cellIs" dxfId="15132" priority="2828" stopIfTrue="1" operator="equal">
      <formula>"Napkin Hs"</formula>
    </cfRule>
    <cfRule type="cellIs" dxfId="15131" priority="2833" stopIfTrue="1" operator="equal">
      <formula>"Towel"</formula>
    </cfRule>
    <cfRule type="cellIs" dxfId="15130" priority="2834" stopIfTrue="1" operator="equal">
      <formula>"Napkin Hs"</formula>
    </cfRule>
  </conditionalFormatting>
  <conditionalFormatting sqref="C99">
    <cfRule type="cellIs" dxfId="15129" priority="2787" stopIfTrue="1" operator="equal">
      <formula>"Towel"</formula>
    </cfRule>
    <cfRule type="cellIs" dxfId="15128" priority="2788" stopIfTrue="1" operator="equal">
      <formula>"Napkin Hs"</formula>
    </cfRule>
    <cfRule type="cellIs" dxfId="15127" priority="2789" stopIfTrue="1" operator="equal">
      <formula>"Towel"</formula>
    </cfRule>
    <cfRule type="cellIs" dxfId="15126" priority="2790" stopIfTrue="1" operator="equal">
      <formula>"Napkin Hs"</formula>
    </cfRule>
    <cfRule type="cellIs" dxfId="15125" priority="2793" stopIfTrue="1" operator="equal">
      <formula>"Towel"</formula>
    </cfRule>
    <cfRule type="cellIs" dxfId="15124" priority="2794" stopIfTrue="1" operator="equal">
      <formula>"Napkin Hs"</formula>
    </cfRule>
    <cfRule type="cellIs" dxfId="15123" priority="2795" stopIfTrue="1" operator="equal">
      <formula>"Towel"</formula>
    </cfRule>
    <cfRule type="cellIs" dxfId="15122" priority="2796" stopIfTrue="1" operator="equal">
      <formula>"Napkin Hs"</formula>
    </cfRule>
    <cfRule type="cellIs" dxfId="15121" priority="2799" stopIfTrue="1" operator="equal">
      <formula>"Towel"</formula>
    </cfRule>
    <cfRule type="cellIs" dxfId="15120" priority="2800" stopIfTrue="1" operator="equal">
      <formula>"Napkin Hs"</formula>
    </cfRule>
    <cfRule type="cellIs" dxfId="15119" priority="2801" stopIfTrue="1" operator="equal">
      <formula>"Towel"</formula>
    </cfRule>
    <cfRule type="cellIs" dxfId="15118" priority="2802" stopIfTrue="1" operator="equal">
      <formula>"Napkin Hs"</formula>
    </cfRule>
    <cfRule type="cellIs" dxfId="15117" priority="2805" stopIfTrue="1" operator="equal">
      <formula>"Towel"</formula>
    </cfRule>
    <cfRule type="cellIs" dxfId="15116" priority="2806" stopIfTrue="1" operator="equal">
      <formula>"Napkin Hs"</formula>
    </cfRule>
    <cfRule type="cellIs" dxfId="15115" priority="2807" stopIfTrue="1" operator="equal">
      <formula>"Towel"</formula>
    </cfRule>
    <cfRule type="cellIs" dxfId="15114" priority="2808" stopIfTrue="1" operator="equal">
      <formula>"Napkin Hs"</formula>
    </cfRule>
    <cfRule type="cellIs" dxfId="15113" priority="2811" stopIfTrue="1" operator="equal">
      <formula>"Towel"</formula>
    </cfRule>
    <cfRule type="cellIs" dxfId="15112" priority="2812" stopIfTrue="1" operator="equal">
      <formula>"Napkin Hs"</formula>
    </cfRule>
    <cfRule type="cellIs" dxfId="15111" priority="2813" stopIfTrue="1" operator="equal">
      <formula>"Towel"</formula>
    </cfRule>
    <cfRule type="cellIs" dxfId="15110" priority="2814" stopIfTrue="1" operator="equal">
      <formula>"Napkin Hs"</formula>
    </cfRule>
    <cfRule type="cellIs" dxfId="15109" priority="2817" stopIfTrue="1" operator="equal">
      <formula>"Towel"</formula>
    </cfRule>
    <cfRule type="cellIs" dxfId="15108" priority="2818" stopIfTrue="1" operator="equal">
      <formula>"Napkin Hs"</formula>
    </cfRule>
    <cfRule type="cellIs" dxfId="15107" priority="2819" stopIfTrue="1" operator="equal">
      <formula>"Towel"</formula>
    </cfRule>
    <cfRule type="cellIs" dxfId="15106" priority="2820" stopIfTrue="1" operator="equal">
      <formula>"Napkin Hs"</formula>
    </cfRule>
    <cfRule type="cellIs" dxfId="15105" priority="2823" stopIfTrue="1" operator="equal">
      <formula>"Towel"</formula>
    </cfRule>
    <cfRule type="cellIs" dxfId="15104" priority="2824" stopIfTrue="1" operator="equal">
      <formula>"Napkin Hs"</formula>
    </cfRule>
    <cfRule type="cellIs" dxfId="15103" priority="2825" stopIfTrue="1" operator="equal">
      <formula>"Towel"</formula>
    </cfRule>
    <cfRule type="cellIs" dxfId="15102" priority="2826" stopIfTrue="1" operator="equal">
      <formula>"Napkin Hs"</formula>
    </cfRule>
    <cfRule type="cellIs" dxfId="15101" priority="2829" stopIfTrue="1" operator="equal">
      <formula>"Towel"</formula>
    </cfRule>
    <cfRule type="cellIs" dxfId="15100" priority="2830" stopIfTrue="1" operator="equal">
      <formula>"Napkin Hs"</formula>
    </cfRule>
  </conditionalFormatting>
  <conditionalFormatting sqref="C99">
    <cfRule type="cellIs" dxfId="15099" priority="2831" stopIfTrue="1" operator="equal">
      <formula>"Towel"</formula>
    </cfRule>
    <cfRule type="cellIs" dxfId="15098" priority="2832" stopIfTrue="1" operator="equal">
      <formula>"Napkin Hs"</formula>
    </cfRule>
  </conditionalFormatting>
  <conditionalFormatting sqref="B99">
    <cfRule type="cellIs" dxfId="15097" priority="2781" stopIfTrue="1" operator="equal">
      <formula>"Towel"</formula>
    </cfRule>
    <cfRule type="cellIs" dxfId="15096" priority="2782" stopIfTrue="1" operator="equal">
      <formula>"Napkin Hs"</formula>
    </cfRule>
    <cfRule type="cellIs" dxfId="15095" priority="2783" stopIfTrue="1" operator="equal">
      <formula>"Towel"</formula>
    </cfRule>
    <cfRule type="cellIs" dxfId="15094" priority="2784" stopIfTrue="1" operator="equal">
      <formula>"Napkin Hs"</formula>
    </cfRule>
    <cfRule type="cellIs" dxfId="15093" priority="2785" stopIfTrue="1" operator="equal">
      <formula>"Towel"</formula>
    </cfRule>
    <cfRule type="cellIs" dxfId="15092" priority="2786" stopIfTrue="1" operator="equal">
      <formula>"Napkin Hs"</formula>
    </cfRule>
  </conditionalFormatting>
  <conditionalFormatting sqref="B99:C99">
    <cfRule type="cellIs" dxfId="15091" priority="2743" stopIfTrue="1" operator="equal">
      <formula>"Towel"</formula>
    </cfRule>
    <cfRule type="cellIs" dxfId="15090" priority="2744" stopIfTrue="1" operator="equal">
      <formula>"Napkin Hs"</formula>
    </cfRule>
    <cfRule type="cellIs" dxfId="15089" priority="2749" stopIfTrue="1" operator="equal">
      <formula>"Towel"</formula>
    </cfRule>
    <cfRule type="cellIs" dxfId="15088" priority="2750" stopIfTrue="1" operator="equal">
      <formula>"Napkin Hs"</formula>
    </cfRule>
    <cfRule type="cellIs" dxfId="15087" priority="2755" stopIfTrue="1" operator="equal">
      <formula>"Towel"</formula>
    </cfRule>
    <cfRule type="cellIs" dxfId="15086" priority="2756" stopIfTrue="1" operator="equal">
      <formula>"Napkin Hs"</formula>
    </cfRule>
    <cfRule type="cellIs" dxfId="15085" priority="2761" stopIfTrue="1" operator="equal">
      <formula>"Towel"</formula>
    </cfRule>
    <cfRule type="cellIs" dxfId="15084" priority="2762" stopIfTrue="1" operator="equal">
      <formula>"Napkin Hs"</formula>
    </cfRule>
    <cfRule type="cellIs" dxfId="15083" priority="2767" stopIfTrue="1" operator="equal">
      <formula>"Towel"</formula>
    </cfRule>
    <cfRule type="cellIs" dxfId="15082" priority="2768" stopIfTrue="1" operator="equal">
      <formula>"Napkin Hs"</formula>
    </cfRule>
    <cfRule type="cellIs" dxfId="15081" priority="2773" stopIfTrue="1" operator="equal">
      <formula>"Towel"</formula>
    </cfRule>
    <cfRule type="cellIs" dxfId="15080" priority="2774" stopIfTrue="1" operator="equal">
      <formula>"Napkin Hs"</formula>
    </cfRule>
    <cfRule type="cellIs" dxfId="15079" priority="2779" stopIfTrue="1" operator="equal">
      <formula>"Towel"</formula>
    </cfRule>
    <cfRule type="cellIs" dxfId="15078" priority="2780" stopIfTrue="1" operator="equal">
      <formula>"Napkin Hs"</formula>
    </cfRule>
  </conditionalFormatting>
  <conditionalFormatting sqref="C99">
    <cfRule type="cellIs" dxfId="15077" priority="2739" stopIfTrue="1" operator="equal">
      <formula>"Towel"</formula>
    </cfRule>
    <cfRule type="cellIs" dxfId="15076" priority="2740" stopIfTrue="1" operator="equal">
      <formula>"Napkin Hs"</formula>
    </cfRule>
    <cfRule type="cellIs" dxfId="15075" priority="2741" stopIfTrue="1" operator="equal">
      <formula>"Towel"</formula>
    </cfRule>
    <cfRule type="cellIs" dxfId="15074" priority="2742" stopIfTrue="1" operator="equal">
      <formula>"Napkin Hs"</formula>
    </cfRule>
    <cfRule type="cellIs" dxfId="15073" priority="2745" stopIfTrue="1" operator="equal">
      <formula>"Towel"</formula>
    </cfRule>
    <cfRule type="cellIs" dxfId="15072" priority="2746" stopIfTrue="1" operator="equal">
      <formula>"Napkin Hs"</formula>
    </cfRule>
    <cfRule type="cellIs" dxfId="15071" priority="2747" stopIfTrue="1" operator="equal">
      <formula>"Towel"</formula>
    </cfRule>
    <cfRule type="cellIs" dxfId="15070" priority="2748" stopIfTrue="1" operator="equal">
      <formula>"Napkin Hs"</formula>
    </cfRule>
    <cfRule type="cellIs" dxfId="15069" priority="2751" stopIfTrue="1" operator="equal">
      <formula>"Towel"</formula>
    </cfRule>
    <cfRule type="cellIs" dxfId="15068" priority="2752" stopIfTrue="1" operator="equal">
      <formula>"Napkin Hs"</formula>
    </cfRule>
    <cfRule type="cellIs" dxfId="15067" priority="2753" stopIfTrue="1" operator="equal">
      <formula>"Towel"</formula>
    </cfRule>
    <cfRule type="cellIs" dxfId="15066" priority="2754" stopIfTrue="1" operator="equal">
      <formula>"Napkin Hs"</formula>
    </cfRule>
    <cfRule type="cellIs" dxfId="15065" priority="2757" stopIfTrue="1" operator="equal">
      <formula>"Towel"</formula>
    </cfRule>
    <cfRule type="cellIs" dxfId="15064" priority="2758" stopIfTrue="1" operator="equal">
      <formula>"Napkin Hs"</formula>
    </cfRule>
    <cfRule type="cellIs" dxfId="15063" priority="2759" stopIfTrue="1" operator="equal">
      <formula>"Towel"</formula>
    </cfRule>
    <cfRule type="cellIs" dxfId="15062" priority="2760" stopIfTrue="1" operator="equal">
      <formula>"Napkin Hs"</formula>
    </cfRule>
    <cfRule type="cellIs" dxfId="15061" priority="2763" stopIfTrue="1" operator="equal">
      <formula>"Towel"</formula>
    </cfRule>
    <cfRule type="cellIs" dxfId="15060" priority="2764" stopIfTrue="1" operator="equal">
      <formula>"Napkin Hs"</formula>
    </cfRule>
    <cfRule type="cellIs" dxfId="15059" priority="2765" stopIfTrue="1" operator="equal">
      <formula>"Towel"</formula>
    </cfRule>
    <cfRule type="cellIs" dxfId="15058" priority="2766" stopIfTrue="1" operator="equal">
      <formula>"Napkin Hs"</formula>
    </cfRule>
    <cfRule type="cellIs" dxfId="15057" priority="2769" stopIfTrue="1" operator="equal">
      <formula>"Towel"</formula>
    </cfRule>
    <cfRule type="cellIs" dxfId="15056" priority="2770" stopIfTrue="1" operator="equal">
      <formula>"Napkin Hs"</formula>
    </cfRule>
    <cfRule type="cellIs" dxfId="15055" priority="2771" stopIfTrue="1" operator="equal">
      <formula>"Towel"</formula>
    </cfRule>
    <cfRule type="cellIs" dxfId="15054" priority="2772" stopIfTrue="1" operator="equal">
      <formula>"Napkin Hs"</formula>
    </cfRule>
    <cfRule type="cellIs" dxfId="15053" priority="2775" stopIfTrue="1" operator="equal">
      <formula>"Towel"</formula>
    </cfRule>
    <cfRule type="cellIs" dxfId="15052" priority="2776" stopIfTrue="1" operator="equal">
      <formula>"Napkin Hs"</formula>
    </cfRule>
  </conditionalFormatting>
  <conditionalFormatting sqref="C99">
    <cfRule type="cellIs" dxfId="15051" priority="2777" stopIfTrue="1" operator="equal">
      <formula>"Towel"</formula>
    </cfRule>
    <cfRule type="cellIs" dxfId="15050" priority="2778" stopIfTrue="1" operator="equal">
      <formula>"Napkin Hs"</formula>
    </cfRule>
  </conditionalFormatting>
  <conditionalFormatting sqref="B99:C99">
    <cfRule type="cellIs" dxfId="15049" priority="2737" stopIfTrue="1" operator="equal">
      <formula>"Towel"</formula>
    </cfRule>
    <cfRule type="cellIs" dxfId="15048" priority="2738" stopIfTrue="1" operator="equal">
      <formula>"Napkin Hs"</formula>
    </cfRule>
  </conditionalFormatting>
  <conditionalFormatting sqref="B99:C99">
    <cfRule type="cellIs" dxfId="15047" priority="2701" stopIfTrue="1" operator="equal">
      <formula>"Towel"</formula>
    </cfRule>
    <cfRule type="cellIs" dxfId="15046" priority="2702" stopIfTrue="1" operator="equal">
      <formula>"Napkin Hs"</formula>
    </cfRule>
    <cfRule type="cellIs" dxfId="15045" priority="2707" stopIfTrue="1" operator="equal">
      <formula>"Towel"</formula>
    </cfRule>
    <cfRule type="cellIs" dxfId="15044" priority="2708" stopIfTrue="1" operator="equal">
      <formula>"Napkin Hs"</formula>
    </cfRule>
    <cfRule type="cellIs" dxfId="15043" priority="2713" stopIfTrue="1" operator="equal">
      <formula>"Towel"</formula>
    </cfRule>
    <cfRule type="cellIs" dxfId="15042" priority="2714" stopIfTrue="1" operator="equal">
      <formula>"Napkin Hs"</formula>
    </cfRule>
    <cfRule type="cellIs" dxfId="15041" priority="2719" stopIfTrue="1" operator="equal">
      <formula>"Towel"</formula>
    </cfRule>
    <cfRule type="cellIs" dxfId="15040" priority="2720" stopIfTrue="1" operator="equal">
      <formula>"Napkin Hs"</formula>
    </cfRule>
    <cfRule type="cellIs" dxfId="15039" priority="2725" stopIfTrue="1" operator="equal">
      <formula>"Towel"</formula>
    </cfRule>
    <cfRule type="cellIs" dxfId="15038" priority="2726" stopIfTrue="1" operator="equal">
      <formula>"Napkin Hs"</formula>
    </cfRule>
    <cfRule type="cellIs" dxfId="15037" priority="2731" stopIfTrue="1" operator="equal">
      <formula>"Towel"</formula>
    </cfRule>
    <cfRule type="cellIs" dxfId="15036" priority="2732" stopIfTrue="1" operator="equal">
      <formula>"Napkin Hs"</formula>
    </cfRule>
  </conditionalFormatting>
  <conditionalFormatting sqref="C99">
    <cfRule type="cellIs" dxfId="15035" priority="2736" stopIfTrue="1" operator="equal">
      <formula>"Napkin Hs"</formula>
    </cfRule>
  </conditionalFormatting>
  <conditionalFormatting sqref="C99">
    <cfRule type="cellIs" dxfId="15034" priority="2735" stopIfTrue="1" operator="equal">
      <formula>"Towel"</formula>
    </cfRule>
  </conditionalFormatting>
  <conditionalFormatting sqref="C99">
    <cfRule type="cellIs" dxfId="15033" priority="2729" stopIfTrue="1" operator="equal">
      <formula>"Towel"</formula>
    </cfRule>
    <cfRule type="cellIs" dxfId="15032" priority="2730" stopIfTrue="1" operator="equal">
      <formula>"Napkin Hs"</formula>
    </cfRule>
  </conditionalFormatting>
  <conditionalFormatting sqref="C99">
    <cfRule type="cellIs" dxfId="15031" priority="2727" stopIfTrue="1" operator="equal">
      <formula>"Towel"</formula>
    </cfRule>
    <cfRule type="cellIs" dxfId="15030" priority="2728" stopIfTrue="1" operator="equal">
      <formula>"Napkin Hs"</formula>
    </cfRule>
    <cfRule type="cellIs" dxfId="15029" priority="2733" stopIfTrue="1" operator="equal">
      <formula>"Towel"</formula>
    </cfRule>
    <cfRule type="cellIs" dxfId="15028" priority="2734" stopIfTrue="1" operator="equal">
      <formula>"Napkin Hs"</formula>
    </cfRule>
  </conditionalFormatting>
  <conditionalFormatting sqref="C99">
    <cfRule type="cellIs" dxfId="15027" priority="2699" stopIfTrue="1" operator="equal">
      <formula>"Towel"</formula>
    </cfRule>
    <cfRule type="cellIs" dxfId="15026" priority="2700" stopIfTrue="1" operator="equal">
      <formula>"Napkin Hs"</formula>
    </cfRule>
    <cfRule type="cellIs" dxfId="15025" priority="2703" stopIfTrue="1" operator="equal">
      <formula>"Towel"</formula>
    </cfRule>
    <cfRule type="cellIs" dxfId="15024" priority="2704" stopIfTrue="1" operator="equal">
      <formula>"Napkin Hs"</formula>
    </cfRule>
    <cfRule type="cellIs" dxfId="15023" priority="2705" stopIfTrue="1" operator="equal">
      <formula>"Towel"</formula>
    </cfRule>
    <cfRule type="cellIs" dxfId="15022" priority="2706" stopIfTrue="1" operator="equal">
      <formula>"Napkin Hs"</formula>
    </cfRule>
    <cfRule type="cellIs" dxfId="15021" priority="2709" stopIfTrue="1" operator="equal">
      <formula>"Towel"</formula>
    </cfRule>
    <cfRule type="cellIs" dxfId="15020" priority="2710" stopIfTrue="1" operator="equal">
      <formula>"Napkin Hs"</formula>
    </cfRule>
    <cfRule type="cellIs" dxfId="15019" priority="2711" stopIfTrue="1" operator="equal">
      <formula>"Towel"</formula>
    </cfRule>
    <cfRule type="cellIs" dxfId="15018" priority="2712" stopIfTrue="1" operator="equal">
      <formula>"Napkin Hs"</formula>
    </cfRule>
    <cfRule type="cellIs" dxfId="15017" priority="2715" stopIfTrue="1" operator="equal">
      <formula>"Towel"</formula>
    </cfRule>
    <cfRule type="cellIs" dxfId="15016" priority="2716" stopIfTrue="1" operator="equal">
      <formula>"Napkin Hs"</formula>
    </cfRule>
    <cfRule type="cellIs" dxfId="15015" priority="2717" stopIfTrue="1" operator="equal">
      <formula>"Towel"</formula>
    </cfRule>
    <cfRule type="cellIs" dxfId="15014" priority="2718" stopIfTrue="1" operator="equal">
      <formula>"Napkin Hs"</formula>
    </cfRule>
    <cfRule type="cellIs" dxfId="15013" priority="2721" stopIfTrue="1" operator="equal">
      <formula>"Towel"</formula>
    </cfRule>
    <cfRule type="cellIs" dxfId="15012" priority="2722" stopIfTrue="1" operator="equal">
      <formula>"Napkin Hs"</formula>
    </cfRule>
    <cfRule type="cellIs" dxfId="15011" priority="2723" stopIfTrue="1" operator="equal">
      <formula>"Towel"</formula>
    </cfRule>
    <cfRule type="cellIs" dxfId="15010" priority="2724" stopIfTrue="1" operator="equal">
      <formula>"Napkin Hs"</formula>
    </cfRule>
  </conditionalFormatting>
  <conditionalFormatting sqref="C99">
    <cfRule type="cellIs" dxfId="15009" priority="2697" stopIfTrue="1" operator="equal">
      <formula>"Towel"</formula>
    </cfRule>
    <cfRule type="cellIs" dxfId="15008" priority="2698" stopIfTrue="1" operator="equal">
      <formula>"Napkin Hs"</formula>
    </cfRule>
  </conditionalFormatting>
  <conditionalFormatting sqref="C99">
    <cfRule type="cellIs" dxfId="15007" priority="2677" stopIfTrue="1" operator="equal">
      <formula>"Towel"</formula>
    </cfRule>
    <cfRule type="cellIs" dxfId="15006" priority="2678" stopIfTrue="1" operator="equal">
      <formula>"Napkin Hs"</formula>
    </cfRule>
    <cfRule type="cellIs" dxfId="15005" priority="2683" stopIfTrue="1" operator="equal">
      <formula>"Towel"</formula>
    </cfRule>
    <cfRule type="cellIs" dxfId="15004" priority="2684" stopIfTrue="1" operator="equal">
      <formula>"Napkin Hs"</formula>
    </cfRule>
    <cfRule type="cellIs" dxfId="15003" priority="2689" stopIfTrue="1" operator="equal">
      <formula>"Towel"</formula>
    </cfRule>
    <cfRule type="cellIs" dxfId="15002" priority="2690" stopIfTrue="1" operator="equal">
      <formula>"Napkin Hs"</formula>
    </cfRule>
    <cfRule type="cellIs" dxfId="15001" priority="2695" stopIfTrue="1" operator="equal">
      <formula>"Towel"</formula>
    </cfRule>
    <cfRule type="cellIs" dxfId="15000" priority="2696" stopIfTrue="1" operator="equal">
      <formula>"Napkin Hs"</formula>
    </cfRule>
  </conditionalFormatting>
  <conditionalFormatting sqref="C99">
    <cfRule type="cellIs" dxfId="14999" priority="2687" stopIfTrue="1" operator="equal">
      <formula>"Towel"</formula>
    </cfRule>
    <cfRule type="cellIs" dxfId="14998" priority="2688" stopIfTrue="1" operator="equal">
      <formula>"Napkin Hs"</formula>
    </cfRule>
    <cfRule type="cellIs" dxfId="14997" priority="2693" stopIfTrue="1" operator="equal">
      <formula>"Towel"</formula>
    </cfRule>
    <cfRule type="cellIs" dxfId="14996" priority="2694" stopIfTrue="1" operator="equal">
      <formula>"Napkin Hs"</formula>
    </cfRule>
  </conditionalFormatting>
  <conditionalFormatting sqref="C99">
    <cfRule type="cellIs" dxfId="14995" priority="2673" stopIfTrue="1" operator="equal">
      <formula>"Towel"</formula>
    </cfRule>
    <cfRule type="cellIs" dxfId="14994" priority="2674" stopIfTrue="1" operator="equal">
      <formula>"Napkin Hs"</formula>
    </cfRule>
    <cfRule type="cellIs" dxfId="14993" priority="2681" stopIfTrue="1" operator="equal">
      <formula>"Towel"</formula>
    </cfRule>
    <cfRule type="cellIs" dxfId="14992" priority="2682" stopIfTrue="1" operator="equal">
      <formula>"Napkin Hs"</formula>
    </cfRule>
    <cfRule type="cellIs" dxfId="14991" priority="2685" stopIfTrue="1" operator="equal">
      <formula>"Towel"</formula>
    </cfRule>
    <cfRule type="cellIs" dxfId="14990" priority="2686" stopIfTrue="1" operator="equal">
      <formula>"Napkin Hs"</formula>
    </cfRule>
  </conditionalFormatting>
  <conditionalFormatting sqref="C99">
    <cfRule type="cellIs" dxfId="14989" priority="2675" stopIfTrue="1" operator="equal">
      <formula>"Towel"</formula>
    </cfRule>
    <cfRule type="cellIs" dxfId="14988" priority="2676" stopIfTrue="1" operator="equal">
      <formula>"Napkin Hs"</formula>
    </cfRule>
    <cfRule type="cellIs" dxfId="14987" priority="2679" stopIfTrue="1" operator="equal">
      <formula>"Towel"</formula>
    </cfRule>
    <cfRule type="cellIs" dxfId="14986" priority="2680" stopIfTrue="1" operator="equal">
      <formula>"Napkin Hs"</formula>
    </cfRule>
    <cfRule type="cellIs" dxfId="14985" priority="2691" stopIfTrue="1" operator="equal">
      <formula>"Towel"</formula>
    </cfRule>
    <cfRule type="cellIs" dxfId="14984" priority="2692" stopIfTrue="1" operator="equal">
      <formula>"Napkin Hs"</formula>
    </cfRule>
  </conditionalFormatting>
  <conditionalFormatting sqref="C99">
    <cfRule type="cellIs" dxfId="14983" priority="2671" stopIfTrue="1" operator="equal">
      <formula>"Towel"</formula>
    </cfRule>
    <cfRule type="cellIs" dxfId="14982" priority="2672" stopIfTrue="1" operator="equal">
      <formula>"Napkin Hs"</formula>
    </cfRule>
  </conditionalFormatting>
  <conditionalFormatting sqref="C99">
    <cfRule type="cellIs" dxfId="14981" priority="2667" stopIfTrue="1" operator="equal">
      <formula>"Towel"</formula>
    </cfRule>
    <cfRule type="cellIs" dxfId="14980" priority="2668" stopIfTrue="1" operator="equal">
      <formula>"Napkin Hs"</formula>
    </cfRule>
  </conditionalFormatting>
  <conditionalFormatting sqref="C99">
    <cfRule type="cellIs" dxfId="14979" priority="2669" stopIfTrue="1" operator="equal">
      <formula>"Towel"</formula>
    </cfRule>
    <cfRule type="cellIs" dxfId="14978" priority="2670" stopIfTrue="1" operator="equal">
      <formula>"Napkin Hs"</formula>
    </cfRule>
  </conditionalFormatting>
  <conditionalFormatting sqref="C99">
    <cfRule type="cellIs" dxfId="14977" priority="2665" stopIfTrue="1" operator="equal">
      <formula>"Towel"</formula>
    </cfRule>
    <cfRule type="cellIs" dxfId="14976" priority="2666" stopIfTrue="1" operator="equal">
      <formula>"Napkin Hs"</formula>
    </cfRule>
  </conditionalFormatting>
  <conditionalFormatting sqref="C99">
    <cfRule type="cellIs" dxfId="14975" priority="2661" stopIfTrue="1" operator="equal">
      <formula>"Towel"</formula>
    </cfRule>
    <cfRule type="cellIs" dxfId="14974" priority="2662" stopIfTrue="1" operator="equal">
      <formula>"Napkin Hs"</formula>
    </cfRule>
  </conditionalFormatting>
  <conditionalFormatting sqref="C99">
    <cfRule type="cellIs" dxfId="14973" priority="2663" stopIfTrue="1" operator="equal">
      <formula>"Towel"</formula>
    </cfRule>
    <cfRule type="cellIs" dxfId="14972" priority="2664" stopIfTrue="1" operator="equal">
      <formula>"Napkin Hs"</formula>
    </cfRule>
  </conditionalFormatting>
  <conditionalFormatting sqref="C99">
    <cfRule type="cellIs" dxfId="14971" priority="2659" stopIfTrue="1" operator="equal">
      <formula>"Towel"</formula>
    </cfRule>
    <cfRule type="cellIs" dxfId="14970" priority="2660" stopIfTrue="1" operator="equal">
      <formula>"Napkin Hs"</formula>
    </cfRule>
  </conditionalFormatting>
  <conditionalFormatting sqref="C99">
    <cfRule type="cellIs" dxfId="14969" priority="2655" stopIfTrue="1" operator="equal">
      <formula>"Towel"</formula>
    </cfRule>
    <cfRule type="cellIs" dxfId="14968" priority="2656" stopIfTrue="1" operator="equal">
      <formula>"Napkin Hs"</formula>
    </cfRule>
  </conditionalFormatting>
  <conditionalFormatting sqref="C99">
    <cfRule type="cellIs" dxfId="14967" priority="2657" stopIfTrue="1" operator="equal">
      <formula>"Towel"</formula>
    </cfRule>
    <cfRule type="cellIs" dxfId="14966" priority="2658" stopIfTrue="1" operator="equal">
      <formula>"Napkin Hs"</formula>
    </cfRule>
  </conditionalFormatting>
  <conditionalFormatting sqref="C99">
    <cfRule type="cellIs" dxfId="14965" priority="2653" stopIfTrue="1" operator="equal">
      <formula>"Towel"</formula>
    </cfRule>
    <cfRule type="cellIs" dxfId="14964" priority="2654" stopIfTrue="1" operator="equal">
      <formula>"Napkin Hs"</formula>
    </cfRule>
  </conditionalFormatting>
  <conditionalFormatting sqref="C99">
    <cfRule type="cellIs" dxfId="14963" priority="2651" stopIfTrue="1" operator="equal">
      <formula>"Towel"</formula>
    </cfRule>
    <cfRule type="cellIs" dxfId="14962" priority="2652" stopIfTrue="1" operator="equal">
      <formula>"Napkin Hs"</formula>
    </cfRule>
  </conditionalFormatting>
  <conditionalFormatting sqref="C99">
    <cfRule type="cellIs" dxfId="14961" priority="2649" stopIfTrue="1" operator="equal">
      <formula>"Towel"</formula>
    </cfRule>
    <cfRule type="cellIs" dxfId="14960" priority="2650" stopIfTrue="1" operator="equal">
      <formula>"Napkin Hs"</formula>
    </cfRule>
  </conditionalFormatting>
  <conditionalFormatting sqref="C99">
    <cfRule type="cellIs" dxfId="14959" priority="2647" stopIfTrue="1" operator="equal">
      <formula>"Towel"</formula>
    </cfRule>
    <cfRule type="cellIs" dxfId="14958" priority="2648" stopIfTrue="1" operator="equal">
      <formula>"Napkin Hs"</formula>
    </cfRule>
  </conditionalFormatting>
  <conditionalFormatting sqref="C99">
    <cfRule type="cellIs" dxfId="14957" priority="2646" stopIfTrue="1" operator="equal">
      <formula>"Napkin Hs"</formula>
    </cfRule>
  </conditionalFormatting>
  <conditionalFormatting sqref="C99">
    <cfRule type="cellIs" dxfId="14956" priority="2643" stopIfTrue="1" operator="equal">
      <formula>"Towel"</formula>
    </cfRule>
    <cfRule type="cellIs" dxfId="14955" priority="2644" stopIfTrue="1" operator="equal">
      <formula>"Napkin Hs"</formula>
    </cfRule>
  </conditionalFormatting>
  <conditionalFormatting sqref="C99">
    <cfRule type="cellIs" dxfId="14954" priority="2645" stopIfTrue="1" operator="equal">
      <formula>"Towel"</formula>
    </cfRule>
  </conditionalFormatting>
  <conditionalFormatting sqref="B99">
    <cfRule type="cellIs" dxfId="14953" priority="2641" stopIfTrue="1" operator="equal">
      <formula>"Towel"</formula>
    </cfRule>
    <cfRule type="cellIs" dxfId="14952" priority="2642" stopIfTrue="1" operator="equal">
      <formula>"Napkin Hs"</formula>
    </cfRule>
  </conditionalFormatting>
  <conditionalFormatting sqref="B99">
    <cfRule type="cellIs" dxfId="14951" priority="2639" stopIfTrue="1" operator="equal">
      <formula>"Towel"</formula>
    </cfRule>
    <cfRule type="cellIs" dxfId="14950" priority="2640" stopIfTrue="1" operator="equal">
      <formula>"Napkin Hs"</formula>
    </cfRule>
  </conditionalFormatting>
  <conditionalFormatting sqref="B99">
    <cfRule type="cellIs" dxfId="14949" priority="2637" stopIfTrue="1" operator="equal">
      <formula>"Towel"</formula>
    </cfRule>
    <cfRule type="cellIs" dxfId="14948" priority="2638" stopIfTrue="1" operator="equal">
      <formula>"Napkin Hs"</formula>
    </cfRule>
  </conditionalFormatting>
  <conditionalFormatting sqref="B99">
    <cfRule type="cellIs" dxfId="14947" priority="2635" stopIfTrue="1" operator="equal">
      <formula>"Towel"</formula>
    </cfRule>
    <cfRule type="cellIs" dxfId="14946" priority="2636" stopIfTrue="1" operator="equal">
      <formula>"Napkin Hs"</formula>
    </cfRule>
  </conditionalFormatting>
  <conditionalFormatting sqref="B99">
    <cfRule type="cellIs" dxfId="14945" priority="2633" stopIfTrue="1" operator="equal">
      <formula>"Towel"</formula>
    </cfRule>
    <cfRule type="cellIs" dxfId="14944" priority="2634" stopIfTrue="1" operator="equal">
      <formula>"Napkin Hs"</formula>
    </cfRule>
  </conditionalFormatting>
  <conditionalFormatting sqref="B99">
    <cfRule type="cellIs" dxfId="14943" priority="2631" stopIfTrue="1" operator="equal">
      <formula>"Towel"</formula>
    </cfRule>
    <cfRule type="cellIs" dxfId="14942" priority="2632" stopIfTrue="1" operator="equal">
      <formula>"Napkin Hs"</formula>
    </cfRule>
  </conditionalFormatting>
  <conditionalFormatting sqref="B99">
    <cfRule type="cellIs" dxfId="14941" priority="2627" stopIfTrue="1" operator="equal">
      <formula>"Towel"</formula>
    </cfRule>
    <cfRule type="cellIs" dxfId="14940" priority="2628" stopIfTrue="1" operator="equal">
      <formula>"Napkin Hs"</formula>
    </cfRule>
    <cfRule type="cellIs" dxfId="14939" priority="2629" stopIfTrue="1" operator="equal">
      <formula>"Towel"</formula>
    </cfRule>
    <cfRule type="cellIs" dxfId="14938" priority="2630" stopIfTrue="1" operator="equal">
      <formula>"Napkin Hs"</formula>
    </cfRule>
  </conditionalFormatting>
  <conditionalFormatting sqref="B99">
    <cfRule type="cellIs" dxfId="14937" priority="2625" stopIfTrue="1" operator="equal">
      <formula>"Towel"</formula>
    </cfRule>
    <cfRule type="cellIs" dxfId="14936" priority="2626" stopIfTrue="1" operator="equal">
      <formula>"Napkin Hs"</formula>
    </cfRule>
  </conditionalFormatting>
  <conditionalFormatting sqref="B99">
    <cfRule type="cellIs" dxfId="14935" priority="2623" stopIfTrue="1" operator="equal">
      <formula>"Towel"</formula>
    </cfRule>
    <cfRule type="cellIs" dxfId="14934" priority="2624" stopIfTrue="1" operator="equal">
      <formula>"Napkin Hs"</formula>
    </cfRule>
  </conditionalFormatting>
  <conditionalFormatting sqref="B99">
    <cfRule type="cellIs" dxfId="14933" priority="2621" stopIfTrue="1" operator="equal">
      <formula>"Towel"</formula>
    </cfRule>
    <cfRule type="cellIs" dxfId="14932" priority="2622" stopIfTrue="1" operator="equal">
      <formula>"Napkin Hs"</formula>
    </cfRule>
  </conditionalFormatting>
  <conditionalFormatting sqref="B99">
    <cfRule type="cellIs" dxfId="14931" priority="2619" stopIfTrue="1" operator="equal">
      <formula>"Towel"</formula>
    </cfRule>
    <cfRule type="cellIs" dxfId="14930" priority="2620" stopIfTrue="1" operator="equal">
      <formula>"Napkin Hs"</formula>
    </cfRule>
  </conditionalFormatting>
  <conditionalFormatting sqref="B99">
    <cfRule type="cellIs" dxfId="14929" priority="2617" stopIfTrue="1" operator="equal">
      <formula>"Towel"</formula>
    </cfRule>
    <cfRule type="cellIs" dxfId="14928" priority="2618" stopIfTrue="1" operator="equal">
      <formula>"Napkin Hs"</formula>
    </cfRule>
  </conditionalFormatting>
  <conditionalFormatting sqref="B99:C99">
    <cfRule type="cellIs" dxfId="14927" priority="2603" stopIfTrue="1" operator="equal">
      <formula>"Towel"</formula>
    </cfRule>
    <cfRule type="cellIs" dxfId="14926" priority="2604" stopIfTrue="1" operator="equal">
      <formula>"Napkin Hs"</formula>
    </cfRule>
    <cfRule type="cellIs" dxfId="14925" priority="2609" stopIfTrue="1" operator="equal">
      <formula>"Towel"</formula>
    </cfRule>
    <cfRule type="cellIs" dxfId="14924" priority="2610" stopIfTrue="1" operator="equal">
      <formula>"Napkin Hs"</formula>
    </cfRule>
    <cfRule type="cellIs" dxfId="14923" priority="2615" stopIfTrue="1" operator="equal">
      <formula>"Towel"</formula>
    </cfRule>
    <cfRule type="cellIs" dxfId="14922" priority="2616" stopIfTrue="1" operator="equal">
      <formula>"Napkin Hs"</formula>
    </cfRule>
  </conditionalFormatting>
  <conditionalFormatting sqref="C99">
    <cfRule type="cellIs" dxfId="14921" priority="2597" stopIfTrue="1" operator="equal">
      <formula>"Towel"</formula>
    </cfRule>
    <cfRule type="cellIs" dxfId="14920" priority="2598" stopIfTrue="1" operator="equal">
      <formula>"Napkin Hs"</formula>
    </cfRule>
    <cfRule type="cellIs" dxfId="14919" priority="2599" stopIfTrue="1" operator="equal">
      <formula>"Towel"</formula>
    </cfRule>
    <cfRule type="cellIs" dxfId="14918" priority="2600" stopIfTrue="1" operator="equal">
      <formula>"Napkin Hs"</formula>
    </cfRule>
    <cfRule type="cellIs" dxfId="14917" priority="2607" stopIfTrue="1" operator="equal">
      <formula>"Towel"</formula>
    </cfRule>
    <cfRule type="cellIs" dxfId="14916" priority="2608" stopIfTrue="1" operator="equal">
      <formula>"Napkin Hs"</formula>
    </cfRule>
    <cfRule type="cellIs" dxfId="14915" priority="2611" stopIfTrue="1" operator="equal">
      <formula>"Towel"</formula>
    </cfRule>
    <cfRule type="cellIs" dxfId="14914" priority="2612" stopIfTrue="1" operator="equal">
      <formula>"Napkin Hs"</formula>
    </cfRule>
  </conditionalFormatting>
  <conditionalFormatting sqref="C99">
    <cfRule type="cellIs" dxfId="14913" priority="2601" stopIfTrue="1" operator="equal">
      <formula>"Towel"</formula>
    </cfRule>
    <cfRule type="cellIs" dxfId="14912" priority="2602" stopIfTrue="1" operator="equal">
      <formula>"Napkin Hs"</formula>
    </cfRule>
    <cfRule type="cellIs" dxfId="14911" priority="2605" stopIfTrue="1" operator="equal">
      <formula>"Towel"</formula>
    </cfRule>
    <cfRule type="cellIs" dxfId="14910" priority="2606" stopIfTrue="1" operator="equal">
      <formula>"Napkin Hs"</formula>
    </cfRule>
    <cfRule type="cellIs" dxfId="14909" priority="2613" stopIfTrue="1" operator="equal">
      <formula>"Towel"</formula>
    </cfRule>
    <cfRule type="cellIs" dxfId="14908" priority="2614" stopIfTrue="1" operator="equal">
      <formula>"Napkin Hs"</formula>
    </cfRule>
  </conditionalFormatting>
  <conditionalFormatting sqref="B99:C99">
    <cfRule type="cellIs" dxfId="14907" priority="2595" stopIfTrue="1" operator="equal">
      <formula>"Towel"</formula>
    </cfRule>
    <cfRule type="cellIs" dxfId="14906" priority="2596" stopIfTrue="1" operator="equal">
      <formula>"Napkin Hs"</formula>
    </cfRule>
  </conditionalFormatting>
  <conditionalFormatting sqref="B99:C99">
    <cfRule type="cellIs" dxfId="14905" priority="2587" stopIfTrue="1" operator="equal">
      <formula>"Towel"</formula>
    </cfRule>
    <cfRule type="cellIs" dxfId="14904" priority="2588" stopIfTrue="1" operator="equal">
      <formula>"Napkin Hs"</formula>
    </cfRule>
    <cfRule type="cellIs" dxfId="14903" priority="2593" stopIfTrue="1" operator="equal">
      <formula>"Towel"</formula>
    </cfRule>
    <cfRule type="cellIs" dxfId="14902" priority="2594" stopIfTrue="1" operator="equal">
      <formula>"Napkin Hs"</formula>
    </cfRule>
  </conditionalFormatting>
  <conditionalFormatting sqref="C99">
    <cfRule type="cellIs" dxfId="14901" priority="2583" stopIfTrue="1" operator="equal">
      <formula>"Towel"</formula>
    </cfRule>
    <cfRule type="cellIs" dxfId="14900" priority="2584" stopIfTrue="1" operator="equal">
      <formula>"Napkin Hs"</formula>
    </cfRule>
  </conditionalFormatting>
  <conditionalFormatting sqref="C99">
    <cfRule type="cellIs" dxfId="14899" priority="2581" stopIfTrue="1" operator="equal">
      <formula>"Towel"</formula>
    </cfRule>
    <cfRule type="cellIs" dxfId="14898" priority="2582" stopIfTrue="1" operator="equal">
      <formula>"Napkin Hs"</formula>
    </cfRule>
    <cfRule type="cellIs" dxfId="14897" priority="2591" stopIfTrue="1" operator="equal">
      <formula>"Towel"</formula>
    </cfRule>
    <cfRule type="cellIs" dxfId="14896" priority="2592" stopIfTrue="1" operator="equal">
      <formula>"Napkin Hs"</formula>
    </cfRule>
  </conditionalFormatting>
  <conditionalFormatting sqref="C99">
    <cfRule type="cellIs" dxfId="14895" priority="2585" stopIfTrue="1" operator="equal">
      <formula>"Towel"</formula>
    </cfRule>
    <cfRule type="cellIs" dxfId="14894" priority="2586" stopIfTrue="1" operator="equal">
      <formula>"Napkin Hs"</formula>
    </cfRule>
    <cfRule type="cellIs" dxfId="14893" priority="2589" stopIfTrue="1" operator="equal">
      <formula>"Towel"</formula>
    </cfRule>
    <cfRule type="cellIs" dxfId="14892" priority="2590" stopIfTrue="1" operator="equal">
      <formula>"Napkin Hs"</formula>
    </cfRule>
  </conditionalFormatting>
  <conditionalFormatting sqref="C99">
    <cfRule type="cellIs" dxfId="14891" priority="2580" stopIfTrue="1" operator="equal">
      <formula>"Napkin Hs"</formula>
    </cfRule>
  </conditionalFormatting>
  <conditionalFormatting sqref="C99">
    <cfRule type="cellIs" dxfId="14890" priority="2579" stopIfTrue="1" operator="equal">
      <formula>"Towel"</formula>
    </cfRule>
  </conditionalFormatting>
  <conditionalFormatting sqref="C99">
    <cfRule type="cellIs" dxfId="14889" priority="2575" stopIfTrue="1" operator="equal">
      <formula>"Towel"</formula>
    </cfRule>
    <cfRule type="cellIs" dxfId="14888" priority="2576" stopIfTrue="1" operator="equal">
      <formula>"Napkin Hs"</formula>
    </cfRule>
    <cfRule type="cellIs" dxfId="14887" priority="2577" stopIfTrue="1" operator="equal">
      <formula>"Towel"</formula>
    </cfRule>
    <cfRule type="cellIs" dxfId="14886" priority="2578" stopIfTrue="1" operator="equal">
      <formula>"Napkin Hs"</formula>
    </cfRule>
  </conditionalFormatting>
  <conditionalFormatting sqref="B99:C99">
    <cfRule type="cellIs" dxfId="14885" priority="2573" stopIfTrue="1" operator="equal">
      <formula>"Towel"</formula>
    </cfRule>
    <cfRule type="cellIs" dxfId="14884" priority="2574" stopIfTrue="1" operator="equal">
      <formula>"Napkin Hs"</formula>
    </cfRule>
  </conditionalFormatting>
  <conditionalFormatting sqref="C99">
    <cfRule type="cellIs" dxfId="14883" priority="2569" stopIfTrue="1" operator="equal">
      <formula>"Towel"</formula>
    </cfRule>
    <cfRule type="cellIs" dxfId="14882" priority="2570" stopIfTrue="1" operator="equal">
      <formula>"Napkin Hs"</formula>
    </cfRule>
  </conditionalFormatting>
  <conditionalFormatting sqref="C99">
    <cfRule type="cellIs" dxfId="14881" priority="2571" stopIfTrue="1" operator="equal">
      <formula>"Towel"</formula>
    </cfRule>
    <cfRule type="cellIs" dxfId="14880" priority="2572" stopIfTrue="1" operator="equal">
      <formula>"Napkin Hs"</formula>
    </cfRule>
  </conditionalFormatting>
  <conditionalFormatting sqref="B99:C99">
    <cfRule type="cellIs" dxfId="14879" priority="2567" stopIfTrue="1" operator="equal">
      <formula>"Towel"</formula>
    </cfRule>
    <cfRule type="cellIs" dxfId="14878" priority="2568" stopIfTrue="1" operator="equal">
      <formula>"Napkin Hs"</formula>
    </cfRule>
  </conditionalFormatting>
  <conditionalFormatting sqref="C99">
    <cfRule type="cellIs" dxfId="14877" priority="2563" stopIfTrue="1" operator="equal">
      <formula>"Towel"</formula>
    </cfRule>
    <cfRule type="cellIs" dxfId="14876" priority="2564" stopIfTrue="1" operator="equal">
      <formula>"Napkin Hs"</formula>
    </cfRule>
  </conditionalFormatting>
  <conditionalFormatting sqref="C99">
    <cfRule type="cellIs" dxfId="14875" priority="2565" stopIfTrue="1" operator="equal">
      <formula>"Towel"</formula>
    </cfRule>
    <cfRule type="cellIs" dxfId="14874" priority="2566" stopIfTrue="1" operator="equal">
      <formula>"Napkin Hs"</formula>
    </cfRule>
  </conditionalFormatting>
  <conditionalFormatting sqref="B99:C99">
    <cfRule type="cellIs" dxfId="14873" priority="2561" stopIfTrue="1" operator="equal">
      <formula>"Towel"</formula>
    </cfRule>
    <cfRule type="cellIs" dxfId="14872" priority="2562" stopIfTrue="1" operator="equal">
      <formula>"Napkin Hs"</formula>
    </cfRule>
  </conditionalFormatting>
  <conditionalFormatting sqref="C99">
    <cfRule type="cellIs" dxfId="14871" priority="2557" stopIfTrue="1" operator="equal">
      <formula>"Towel"</formula>
    </cfRule>
    <cfRule type="cellIs" dxfId="14870" priority="2558" stopIfTrue="1" operator="equal">
      <formula>"Napkin Hs"</formula>
    </cfRule>
  </conditionalFormatting>
  <conditionalFormatting sqref="C99">
    <cfRule type="cellIs" dxfId="14869" priority="2559" stopIfTrue="1" operator="equal">
      <formula>"Towel"</formula>
    </cfRule>
    <cfRule type="cellIs" dxfId="14868" priority="2560" stopIfTrue="1" operator="equal">
      <formula>"Napkin Hs"</formula>
    </cfRule>
  </conditionalFormatting>
  <conditionalFormatting sqref="B99:C99">
    <cfRule type="cellIs" dxfId="14867" priority="2555" stopIfTrue="1" operator="equal">
      <formula>"Towel"</formula>
    </cfRule>
    <cfRule type="cellIs" dxfId="14866" priority="2556" stopIfTrue="1" operator="equal">
      <formula>"Napkin Hs"</formula>
    </cfRule>
  </conditionalFormatting>
  <conditionalFormatting sqref="C99">
    <cfRule type="cellIs" dxfId="14865" priority="2553" stopIfTrue="1" operator="equal">
      <formula>"Towel"</formula>
    </cfRule>
    <cfRule type="cellIs" dxfId="14864" priority="2554" stopIfTrue="1" operator="equal">
      <formula>"Napkin Hs"</formula>
    </cfRule>
  </conditionalFormatting>
  <conditionalFormatting sqref="C99">
    <cfRule type="cellIs" dxfId="14863" priority="2551" stopIfTrue="1" operator="equal">
      <formula>"Towel"</formula>
    </cfRule>
    <cfRule type="cellIs" dxfId="14862" priority="2552" stopIfTrue="1" operator="equal">
      <formula>"Napkin Hs"</formula>
    </cfRule>
  </conditionalFormatting>
  <conditionalFormatting sqref="B99:C99">
    <cfRule type="cellIs" dxfId="14861" priority="2549" stopIfTrue="1" operator="equal">
      <formula>"Towel"</formula>
    </cfRule>
    <cfRule type="cellIs" dxfId="14860" priority="2550" stopIfTrue="1" operator="equal">
      <formula>"Napkin Hs"</formula>
    </cfRule>
  </conditionalFormatting>
  <conditionalFormatting sqref="C99">
    <cfRule type="cellIs" dxfId="14859" priority="2548" stopIfTrue="1" operator="equal">
      <formula>"Napkin Hs"</formula>
    </cfRule>
  </conditionalFormatting>
  <conditionalFormatting sqref="C99">
    <cfRule type="cellIs" dxfId="14858" priority="2545" stopIfTrue="1" operator="equal">
      <formula>"Towel"</formula>
    </cfRule>
    <cfRule type="cellIs" dxfId="14857" priority="2546" stopIfTrue="1" operator="equal">
      <formula>"Napkin Hs"</formula>
    </cfRule>
  </conditionalFormatting>
  <conditionalFormatting sqref="C99">
    <cfRule type="cellIs" dxfId="14856" priority="2547" stopIfTrue="1" operator="equal">
      <formula>"Towel"</formula>
    </cfRule>
  </conditionalFormatting>
  <conditionalFormatting sqref="B97:C97">
    <cfRule type="cellIs" dxfId="14855" priority="2517" stopIfTrue="1" operator="equal">
      <formula>"Towel"</formula>
    </cfRule>
    <cfRule type="cellIs" dxfId="14854" priority="2518" stopIfTrue="1" operator="equal">
      <formula>"Napkin Hs"</formula>
    </cfRule>
    <cfRule type="cellIs" dxfId="14853" priority="2523" stopIfTrue="1" operator="equal">
      <formula>"Towel"</formula>
    </cfRule>
    <cfRule type="cellIs" dxfId="14852" priority="2524" stopIfTrue="1" operator="equal">
      <formula>"Napkin Hs"</formula>
    </cfRule>
    <cfRule type="cellIs" dxfId="14851" priority="2529" stopIfTrue="1" operator="equal">
      <formula>"Towel"</formula>
    </cfRule>
    <cfRule type="cellIs" dxfId="14850" priority="2530" stopIfTrue="1" operator="equal">
      <formula>"Napkin Hs"</formula>
    </cfRule>
    <cfRule type="cellIs" dxfId="14849" priority="2535" stopIfTrue="1" operator="equal">
      <formula>"Towel"</formula>
    </cfRule>
    <cfRule type="cellIs" dxfId="14848" priority="2536" stopIfTrue="1" operator="equal">
      <formula>"Napkin Hs"</formula>
    </cfRule>
    <cfRule type="cellIs" dxfId="14847" priority="2541" stopIfTrue="1" operator="equal">
      <formula>"Towel"</formula>
    </cfRule>
    <cfRule type="cellIs" dxfId="14846" priority="2542" stopIfTrue="1" operator="equal">
      <formula>"Napkin Hs"</formula>
    </cfRule>
  </conditionalFormatting>
  <conditionalFormatting sqref="C97">
    <cfRule type="cellIs" dxfId="14845" priority="2513" stopIfTrue="1" operator="equal">
      <formula>"Towel"</formula>
    </cfRule>
    <cfRule type="cellIs" dxfId="14844" priority="2514" stopIfTrue="1" operator="equal">
      <formula>"Napkin Hs"</formula>
    </cfRule>
  </conditionalFormatting>
  <conditionalFormatting sqref="C97">
    <cfRule type="cellIs" dxfId="14843" priority="2515" stopIfTrue="1" operator="equal">
      <formula>"Towel"</formula>
    </cfRule>
    <cfRule type="cellIs" dxfId="14842" priority="2516" stopIfTrue="1" operator="equal">
      <formula>"Napkin Hs"</formula>
    </cfRule>
    <cfRule type="cellIs" dxfId="14841" priority="2519" stopIfTrue="1" operator="equal">
      <formula>"Towel"</formula>
    </cfRule>
    <cfRule type="cellIs" dxfId="14840" priority="2520" stopIfTrue="1" operator="equal">
      <formula>"Napkin Hs"</formula>
    </cfRule>
    <cfRule type="cellIs" dxfId="14839" priority="2521" stopIfTrue="1" operator="equal">
      <formula>"Towel"</formula>
    </cfRule>
    <cfRule type="cellIs" dxfId="14838" priority="2522" stopIfTrue="1" operator="equal">
      <formula>"Napkin Hs"</formula>
    </cfRule>
    <cfRule type="cellIs" dxfId="14837" priority="2525" stopIfTrue="1" operator="equal">
      <formula>"Towel"</formula>
    </cfRule>
    <cfRule type="cellIs" dxfId="14836" priority="2526" stopIfTrue="1" operator="equal">
      <formula>"Napkin Hs"</formula>
    </cfRule>
    <cfRule type="cellIs" dxfId="14835" priority="2527" stopIfTrue="1" operator="equal">
      <formula>"Towel"</formula>
    </cfRule>
    <cfRule type="cellIs" dxfId="14834" priority="2528" stopIfTrue="1" operator="equal">
      <formula>"Napkin Hs"</formula>
    </cfRule>
    <cfRule type="cellIs" dxfId="14833" priority="2531" stopIfTrue="1" operator="equal">
      <formula>"Towel"</formula>
    </cfRule>
    <cfRule type="cellIs" dxfId="14832" priority="2532" stopIfTrue="1" operator="equal">
      <formula>"Napkin Hs"</formula>
    </cfRule>
    <cfRule type="cellIs" dxfId="14831" priority="2533" stopIfTrue="1" operator="equal">
      <formula>"Towel"</formula>
    </cfRule>
    <cfRule type="cellIs" dxfId="14830" priority="2534" stopIfTrue="1" operator="equal">
      <formula>"Napkin Hs"</formula>
    </cfRule>
    <cfRule type="cellIs" dxfId="14829" priority="2537" stopIfTrue="1" operator="equal">
      <formula>"Towel"</formula>
    </cfRule>
    <cfRule type="cellIs" dxfId="14828" priority="2538" stopIfTrue="1" operator="equal">
      <formula>"Napkin Hs"</formula>
    </cfRule>
    <cfRule type="cellIs" dxfId="14827" priority="2539" stopIfTrue="1" operator="equal">
      <formula>"Towel"</formula>
    </cfRule>
    <cfRule type="cellIs" dxfId="14826" priority="2540" stopIfTrue="1" operator="equal">
      <formula>"Napkin Hs"</formula>
    </cfRule>
    <cfRule type="cellIs" dxfId="14825" priority="2543" stopIfTrue="1" operator="equal">
      <formula>"Towel"</formula>
    </cfRule>
    <cfRule type="cellIs" dxfId="14824" priority="2544" stopIfTrue="1" operator="equal">
      <formula>"Napkin Hs"</formula>
    </cfRule>
  </conditionalFormatting>
  <conditionalFormatting sqref="B96:C96">
    <cfRule type="cellIs" dxfId="14823" priority="2511" stopIfTrue="1" operator="equal">
      <formula>"Towel"</formula>
    </cfRule>
    <cfRule type="cellIs" dxfId="14822" priority="2512" stopIfTrue="1" operator="equal">
      <formula>"Napkin Hs"</formula>
    </cfRule>
  </conditionalFormatting>
  <conditionalFormatting sqref="C96">
    <cfRule type="cellIs" dxfId="14821" priority="2507" stopIfTrue="1" operator="equal">
      <formula>"Towel"</formula>
    </cfRule>
    <cfRule type="cellIs" dxfId="14820" priority="2508" stopIfTrue="1" operator="equal">
      <formula>"Napkin Hs"</formula>
    </cfRule>
  </conditionalFormatting>
  <conditionalFormatting sqref="C96">
    <cfRule type="cellIs" dxfId="14819" priority="2509" stopIfTrue="1" operator="equal">
      <formula>"Towel"</formula>
    </cfRule>
    <cfRule type="cellIs" dxfId="14818" priority="2510" stopIfTrue="1" operator="equal">
      <formula>"Napkin Hs"</formula>
    </cfRule>
  </conditionalFormatting>
  <conditionalFormatting sqref="B96:C96">
    <cfRule type="cellIs" dxfId="14817" priority="2505" stopIfTrue="1" operator="equal">
      <formula>"Towel"</formula>
    </cfRule>
    <cfRule type="cellIs" dxfId="14816" priority="2506" stopIfTrue="1" operator="equal">
      <formula>"Napkin Hs"</formula>
    </cfRule>
  </conditionalFormatting>
  <conditionalFormatting sqref="C96">
    <cfRule type="cellIs" dxfId="14815" priority="2501" stopIfTrue="1" operator="equal">
      <formula>"Towel"</formula>
    </cfRule>
    <cfRule type="cellIs" dxfId="14814" priority="2502" stopIfTrue="1" operator="equal">
      <formula>"Napkin Hs"</formula>
    </cfRule>
  </conditionalFormatting>
  <conditionalFormatting sqref="C96">
    <cfRule type="cellIs" dxfId="14813" priority="2503" stopIfTrue="1" operator="equal">
      <formula>"Towel"</formula>
    </cfRule>
    <cfRule type="cellIs" dxfId="14812" priority="2504" stopIfTrue="1" operator="equal">
      <formula>"Napkin Hs"</formula>
    </cfRule>
  </conditionalFormatting>
  <conditionalFormatting sqref="B96:C96">
    <cfRule type="cellIs" dxfId="14811" priority="2457" stopIfTrue="1" operator="equal">
      <formula>"Towel"</formula>
    </cfRule>
    <cfRule type="cellIs" dxfId="14810" priority="2458" stopIfTrue="1" operator="equal">
      <formula>"Napkin Hs"</formula>
    </cfRule>
    <cfRule type="cellIs" dxfId="14809" priority="2463" stopIfTrue="1" operator="equal">
      <formula>"Towel"</formula>
    </cfRule>
    <cfRule type="cellIs" dxfId="14808" priority="2464" stopIfTrue="1" operator="equal">
      <formula>"Napkin Hs"</formula>
    </cfRule>
    <cfRule type="cellIs" dxfId="14807" priority="2469" stopIfTrue="1" operator="equal">
      <formula>"Towel"</formula>
    </cfRule>
    <cfRule type="cellIs" dxfId="14806" priority="2470" stopIfTrue="1" operator="equal">
      <formula>"Napkin Hs"</formula>
    </cfRule>
    <cfRule type="cellIs" dxfId="14805" priority="2475" stopIfTrue="1" operator="equal">
      <formula>"Towel"</formula>
    </cfRule>
    <cfRule type="cellIs" dxfId="14804" priority="2476" stopIfTrue="1" operator="equal">
      <formula>"Napkin Hs"</formula>
    </cfRule>
    <cfRule type="cellIs" dxfId="14803" priority="2481" stopIfTrue="1" operator="equal">
      <formula>"Towel"</formula>
    </cfRule>
    <cfRule type="cellIs" dxfId="14802" priority="2482" stopIfTrue="1" operator="equal">
      <formula>"Napkin Hs"</formula>
    </cfRule>
    <cfRule type="cellIs" dxfId="14801" priority="2487" stopIfTrue="1" operator="equal">
      <formula>"Towel"</formula>
    </cfRule>
    <cfRule type="cellIs" dxfId="14800" priority="2488" stopIfTrue="1" operator="equal">
      <formula>"Napkin Hs"</formula>
    </cfRule>
    <cfRule type="cellIs" dxfId="14799" priority="2493" stopIfTrue="1" operator="equal">
      <formula>"Towel"</formula>
    </cfRule>
    <cfRule type="cellIs" dxfId="14798" priority="2494" stopIfTrue="1" operator="equal">
      <formula>"Napkin Hs"</formula>
    </cfRule>
    <cfRule type="cellIs" dxfId="14797" priority="2499" stopIfTrue="1" operator="equal">
      <formula>"Towel"</formula>
    </cfRule>
    <cfRule type="cellIs" dxfId="14796" priority="2500" stopIfTrue="1" operator="equal">
      <formula>"Napkin Hs"</formula>
    </cfRule>
  </conditionalFormatting>
  <conditionalFormatting sqref="C96">
    <cfRule type="cellIs" dxfId="14795" priority="2453" stopIfTrue="1" operator="equal">
      <formula>"Towel"</formula>
    </cfRule>
    <cfRule type="cellIs" dxfId="14794" priority="2454" stopIfTrue="1" operator="equal">
      <formula>"Napkin Hs"</formula>
    </cfRule>
    <cfRule type="cellIs" dxfId="14793" priority="2455" stopIfTrue="1" operator="equal">
      <formula>"Towel"</formula>
    </cfRule>
    <cfRule type="cellIs" dxfId="14792" priority="2456" stopIfTrue="1" operator="equal">
      <formula>"Napkin Hs"</formula>
    </cfRule>
    <cfRule type="cellIs" dxfId="14791" priority="2459" stopIfTrue="1" operator="equal">
      <formula>"Towel"</formula>
    </cfRule>
    <cfRule type="cellIs" dxfId="14790" priority="2460" stopIfTrue="1" operator="equal">
      <formula>"Napkin Hs"</formula>
    </cfRule>
    <cfRule type="cellIs" dxfId="14789" priority="2461" stopIfTrue="1" operator="equal">
      <formula>"Towel"</formula>
    </cfRule>
    <cfRule type="cellIs" dxfId="14788" priority="2462" stopIfTrue="1" operator="equal">
      <formula>"Napkin Hs"</formula>
    </cfRule>
    <cfRule type="cellIs" dxfId="14787" priority="2465" stopIfTrue="1" operator="equal">
      <formula>"Towel"</formula>
    </cfRule>
    <cfRule type="cellIs" dxfId="14786" priority="2466" stopIfTrue="1" operator="equal">
      <formula>"Napkin Hs"</formula>
    </cfRule>
    <cfRule type="cellIs" dxfId="14785" priority="2467" stopIfTrue="1" operator="equal">
      <formula>"Towel"</formula>
    </cfRule>
    <cfRule type="cellIs" dxfId="14784" priority="2468" stopIfTrue="1" operator="equal">
      <formula>"Napkin Hs"</formula>
    </cfRule>
    <cfRule type="cellIs" dxfId="14783" priority="2471" stopIfTrue="1" operator="equal">
      <formula>"Towel"</formula>
    </cfRule>
    <cfRule type="cellIs" dxfId="14782" priority="2472" stopIfTrue="1" operator="equal">
      <formula>"Napkin Hs"</formula>
    </cfRule>
    <cfRule type="cellIs" dxfId="14781" priority="2473" stopIfTrue="1" operator="equal">
      <formula>"Towel"</formula>
    </cfRule>
    <cfRule type="cellIs" dxfId="14780" priority="2474" stopIfTrue="1" operator="equal">
      <formula>"Napkin Hs"</formula>
    </cfRule>
    <cfRule type="cellIs" dxfId="14779" priority="2477" stopIfTrue="1" operator="equal">
      <formula>"Towel"</formula>
    </cfRule>
    <cfRule type="cellIs" dxfId="14778" priority="2478" stopIfTrue="1" operator="equal">
      <formula>"Napkin Hs"</formula>
    </cfRule>
    <cfRule type="cellIs" dxfId="14777" priority="2479" stopIfTrue="1" operator="equal">
      <formula>"Towel"</formula>
    </cfRule>
    <cfRule type="cellIs" dxfId="14776" priority="2480" stopIfTrue="1" operator="equal">
      <formula>"Napkin Hs"</formula>
    </cfRule>
    <cfRule type="cellIs" dxfId="14775" priority="2483" stopIfTrue="1" operator="equal">
      <formula>"Towel"</formula>
    </cfRule>
    <cfRule type="cellIs" dxfId="14774" priority="2484" stopIfTrue="1" operator="equal">
      <formula>"Napkin Hs"</formula>
    </cfRule>
    <cfRule type="cellIs" dxfId="14773" priority="2485" stopIfTrue="1" operator="equal">
      <formula>"Towel"</formula>
    </cfRule>
    <cfRule type="cellIs" dxfId="14772" priority="2486" stopIfTrue="1" operator="equal">
      <formula>"Napkin Hs"</formula>
    </cfRule>
    <cfRule type="cellIs" dxfId="14771" priority="2489" stopIfTrue="1" operator="equal">
      <formula>"Towel"</formula>
    </cfRule>
    <cfRule type="cellIs" dxfId="14770" priority="2490" stopIfTrue="1" operator="equal">
      <formula>"Napkin Hs"</formula>
    </cfRule>
    <cfRule type="cellIs" dxfId="14769" priority="2491" stopIfTrue="1" operator="equal">
      <formula>"Towel"</formula>
    </cfRule>
    <cfRule type="cellIs" dxfId="14768" priority="2492" stopIfTrue="1" operator="equal">
      <formula>"Napkin Hs"</formula>
    </cfRule>
    <cfRule type="cellIs" dxfId="14767" priority="2495" stopIfTrue="1" operator="equal">
      <formula>"Towel"</formula>
    </cfRule>
    <cfRule type="cellIs" dxfId="14766" priority="2496" stopIfTrue="1" operator="equal">
      <formula>"Napkin Hs"</formula>
    </cfRule>
  </conditionalFormatting>
  <conditionalFormatting sqref="C96">
    <cfRule type="cellIs" dxfId="14765" priority="2497" stopIfTrue="1" operator="equal">
      <formula>"Towel"</formula>
    </cfRule>
    <cfRule type="cellIs" dxfId="14764" priority="2498" stopIfTrue="1" operator="equal">
      <formula>"Napkin Hs"</formula>
    </cfRule>
  </conditionalFormatting>
  <conditionalFormatting sqref="B96:C96">
    <cfRule type="cellIs" dxfId="14763" priority="2409" stopIfTrue="1" operator="equal">
      <formula>"Towel"</formula>
    </cfRule>
    <cfRule type="cellIs" dxfId="14762" priority="2410" stopIfTrue="1" operator="equal">
      <formula>"Napkin Hs"</formula>
    </cfRule>
    <cfRule type="cellIs" dxfId="14761" priority="2415" stopIfTrue="1" operator="equal">
      <formula>"Towel"</formula>
    </cfRule>
    <cfRule type="cellIs" dxfId="14760" priority="2416" stopIfTrue="1" operator="equal">
      <formula>"Napkin Hs"</formula>
    </cfRule>
    <cfRule type="cellIs" dxfId="14759" priority="2421" stopIfTrue="1" operator="equal">
      <formula>"Towel"</formula>
    </cfRule>
    <cfRule type="cellIs" dxfId="14758" priority="2422" stopIfTrue="1" operator="equal">
      <formula>"Napkin Hs"</formula>
    </cfRule>
    <cfRule type="cellIs" dxfId="14757" priority="2427" stopIfTrue="1" operator="equal">
      <formula>"Towel"</formula>
    </cfRule>
    <cfRule type="cellIs" dxfId="14756" priority="2428" stopIfTrue="1" operator="equal">
      <formula>"Napkin Hs"</formula>
    </cfRule>
    <cfRule type="cellIs" dxfId="14755" priority="2433" stopIfTrue="1" operator="equal">
      <formula>"Towel"</formula>
    </cfRule>
    <cfRule type="cellIs" dxfId="14754" priority="2434" stopIfTrue="1" operator="equal">
      <formula>"Napkin Hs"</formula>
    </cfRule>
    <cfRule type="cellIs" dxfId="14753" priority="2439" stopIfTrue="1" operator="equal">
      <formula>"Towel"</formula>
    </cfRule>
    <cfRule type="cellIs" dxfId="14752" priority="2440" stopIfTrue="1" operator="equal">
      <formula>"Napkin Hs"</formula>
    </cfRule>
    <cfRule type="cellIs" dxfId="14751" priority="2445" stopIfTrue="1" operator="equal">
      <formula>"Towel"</formula>
    </cfRule>
    <cfRule type="cellIs" dxfId="14750" priority="2446" stopIfTrue="1" operator="equal">
      <formula>"Napkin Hs"</formula>
    </cfRule>
    <cfRule type="cellIs" dxfId="14749" priority="2451" stopIfTrue="1" operator="equal">
      <formula>"Towel"</formula>
    </cfRule>
    <cfRule type="cellIs" dxfId="14748" priority="2452" stopIfTrue="1" operator="equal">
      <formula>"Napkin Hs"</formula>
    </cfRule>
  </conditionalFormatting>
  <conditionalFormatting sqref="C96">
    <cfRule type="cellIs" dxfId="14747" priority="2405" stopIfTrue="1" operator="equal">
      <formula>"Towel"</formula>
    </cfRule>
    <cfRule type="cellIs" dxfId="14746" priority="2406" stopIfTrue="1" operator="equal">
      <formula>"Napkin Hs"</formula>
    </cfRule>
    <cfRule type="cellIs" dxfId="14745" priority="2407" stopIfTrue="1" operator="equal">
      <formula>"Towel"</formula>
    </cfRule>
    <cfRule type="cellIs" dxfId="14744" priority="2408" stopIfTrue="1" operator="equal">
      <formula>"Napkin Hs"</formula>
    </cfRule>
    <cfRule type="cellIs" dxfId="14743" priority="2411" stopIfTrue="1" operator="equal">
      <formula>"Towel"</formula>
    </cfRule>
    <cfRule type="cellIs" dxfId="14742" priority="2412" stopIfTrue="1" operator="equal">
      <formula>"Napkin Hs"</formula>
    </cfRule>
    <cfRule type="cellIs" dxfId="14741" priority="2413" stopIfTrue="1" operator="equal">
      <formula>"Towel"</formula>
    </cfRule>
    <cfRule type="cellIs" dxfId="14740" priority="2414" stopIfTrue="1" operator="equal">
      <formula>"Napkin Hs"</formula>
    </cfRule>
    <cfRule type="cellIs" dxfId="14739" priority="2417" stopIfTrue="1" operator="equal">
      <formula>"Towel"</formula>
    </cfRule>
    <cfRule type="cellIs" dxfId="14738" priority="2418" stopIfTrue="1" operator="equal">
      <formula>"Napkin Hs"</formula>
    </cfRule>
    <cfRule type="cellIs" dxfId="14737" priority="2419" stopIfTrue="1" operator="equal">
      <formula>"Towel"</formula>
    </cfRule>
    <cfRule type="cellIs" dxfId="14736" priority="2420" stopIfTrue="1" operator="equal">
      <formula>"Napkin Hs"</formula>
    </cfRule>
    <cfRule type="cellIs" dxfId="14735" priority="2423" stopIfTrue="1" operator="equal">
      <formula>"Towel"</formula>
    </cfRule>
    <cfRule type="cellIs" dxfId="14734" priority="2424" stopIfTrue="1" operator="equal">
      <formula>"Napkin Hs"</formula>
    </cfRule>
    <cfRule type="cellIs" dxfId="14733" priority="2425" stopIfTrue="1" operator="equal">
      <formula>"Towel"</formula>
    </cfRule>
    <cfRule type="cellIs" dxfId="14732" priority="2426" stopIfTrue="1" operator="equal">
      <formula>"Napkin Hs"</formula>
    </cfRule>
    <cfRule type="cellIs" dxfId="14731" priority="2429" stopIfTrue="1" operator="equal">
      <formula>"Towel"</formula>
    </cfRule>
    <cfRule type="cellIs" dxfId="14730" priority="2430" stopIfTrue="1" operator="equal">
      <formula>"Napkin Hs"</formula>
    </cfRule>
    <cfRule type="cellIs" dxfId="14729" priority="2431" stopIfTrue="1" operator="equal">
      <formula>"Towel"</formula>
    </cfRule>
    <cfRule type="cellIs" dxfId="14728" priority="2432" stopIfTrue="1" operator="equal">
      <formula>"Napkin Hs"</formula>
    </cfRule>
    <cfRule type="cellIs" dxfId="14727" priority="2435" stopIfTrue="1" operator="equal">
      <formula>"Towel"</formula>
    </cfRule>
    <cfRule type="cellIs" dxfId="14726" priority="2436" stopIfTrue="1" operator="equal">
      <formula>"Napkin Hs"</formula>
    </cfRule>
    <cfRule type="cellIs" dxfId="14725" priority="2437" stopIfTrue="1" operator="equal">
      <formula>"Towel"</formula>
    </cfRule>
    <cfRule type="cellIs" dxfId="14724" priority="2438" stopIfTrue="1" operator="equal">
      <formula>"Napkin Hs"</formula>
    </cfRule>
    <cfRule type="cellIs" dxfId="14723" priority="2441" stopIfTrue="1" operator="equal">
      <formula>"Towel"</formula>
    </cfRule>
    <cfRule type="cellIs" dxfId="14722" priority="2442" stopIfTrue="1" operator="equal">
      <formula>"Napkin Hs"</formula>
    </cfRule>
    <cfRule type="cellIs" dxfId="14721" priority="2443" stopIfTrue="1" operator="equal">
      <formula>"Towel"</formula>
    </cfRule>
    <cfRule type="cellIs" dxfId="14720" priority="2444" stopIfTrue="1" operator="equal">
      <formula>"Napkin Hs"</formula>
    </cfRule>
    <cfRule type="cellIs" dxfId="14719" priority="2447" stopIfTrue="1" operator="equal">
      <formula>"Towel"</formula>
    </cfRule>
    <cfRule type="cellIs" dxfId="14718" priority="2448" stopIfTrue="1" operator="equal">
      <formula>"Napkin Hs"</formula>
    </cfRule>
  </conditionalFormatting>
  <conditionalFormatting sqref="C96">
    <cfRule type="cellIs" dxfId="14717" priority="2449" stopIfTrue="1" operator="equal">
      <formula>"Towel"</formula>
    </cfRule>
    <cfRule type="cellIs" dxfId="14716" priority="2450" stopIfTrue="1" operator="equal">
      <formula>"Napkin Hs"</formula>
    </cfRule>
  </conditionalFormatting>
  <conditionalFormatting sqref="B96:C96">
    <cfRule type="cellIs" dxfId="14715" priority="2403" stopIfTrue="1" operator="equal">
      <formula>"Towel"</formula>
    </cfRule>
    <cfRule type="cellIs" dxfId="14714" priority="2404" stopIfTrue="1" operator="equal">
      <formula>"Napkin Hs"</formula>
    </cfRule>
  </conditionalFormatting>
  <conditionalFormatting sqref="B96:C96">
    <cfRule type="cellIs" dxfId="14713" priority="2379" stopIfTrue="1" operator="equal">
      <formula>"Towel"</formula>
    </cfRule>
    <cfRule type="cellIs" dxfId="14712" priority="2380" stopIfTrue="1" operator="equal">
      <formula>"Napkin Hs"</formula>
    </cfRule>
    <cfRule type="cellIs" dxfId="14711" priority="2385" stopIfTrue="1" operator="equal">
      <formula>"Towel"</formula>
    </cfRule>
    <cfRule type="cellIs" dxfId="14710" priority="2386" stopIfTrue="1" operator="equal">
      <formula>"Napkin Hs"</formula>
    </cfRule>
    <cfRule type="cellIs" dxfId="14709" priority="2391" stopIfTrue="1" operator="equal">
      <formula>"Towel"</formula>
    </cfRule>
    <cfRule type="cellIs" dxfId="14708" priority="2392" stopIfTrue="1" operator="equal">
      <formula>"Napkin Hs"</formula>
    </cfRule>
    <cfRule type="cellIs" dxfId="14707" priority="2397" stopIfTrue="1" operator="equal">
      <formula>"Towel"</formula>
    </cfRule>
    <cfRule type="cellIs" dxfId="14706" priority="2398" stopIfTrue="1" operator="equal">
      <formula>"Napkin Hs"</formula>
    </cfRule>
  </conditionalFormatting>
  <conditionalFormatting sqref="C96">
    <cfRule type="cellIs" dxfId="14705" priority="2393" stopIfTrue="1" operator="equal">
      <formula>"Towel"</formula>
    </cfRule>
    <cfRule type="cellIs" dxfId="14704" priority="2394" stopIfTrue="1" operator="equal">
      <formula>"Napkin Hs"</formula>
    </cfRule>
    <cfRule type="cellIs" dxfId="14703" priority="2399" stopIfTrue="1" operator="equal">
      <formula>"Towel"</formula>
    </cfRule>
    <cfRule type="cellIs" dxfId="14702" priority="2400" stopIfTrue="1" operator="equal">
      <formula>"Napkin Hs"</formula>
    </cfRule>
  </conditionalFormatting>
  <conditionalFormatting sqref="C96">
    <cfRule type="cellIs" dxfId="14701" priority="2373" stopIfTrue="1" operator="equal">
      <formula>"Towel"</formula>
    </cfRule>
    <cfRule type="cellIs" dxfId="14700" priority="2374" stopIfTrue="1" operator="equal">
      <formula>"Napkin Hs"</formula>
    </cfRule>
    <cfRule type="cellIs" dxfId="14699" priority="2375" stopIfTrue="1" operator="equal">
      <formula>"Towel"</formula>
    </cfRule>
    <cfRule type="cellIs" dxfId="14698" priority="2376" stopIfTrue="1" operator="equal">
      <formula>"Napkin Hs"</formula>
    </cfRule>
    <cfRule type="cellIs" dxfId="14697" priority="2383" stopIfTrue="1" operator="equal">
      <formula>"Towel"</formula>
    </cfRule>
    <cfRule type="cellIs" dxfId="14696" priority="2384" stopIfTrue="1" operator="equal">
      <formula>"Napkin Hs"</formula>
    </cfRule>
    <cfRule type="cellIs" dxfId="14695" priority="2387" stopIfTrue="1" operator="equal">
      <formula>"Towel"</formula>
    </cfRule>
    <cfRule type="cellIs" dxfId="14694" priority="2388" stopIfTrue="1" operator="equal">
      <formula>"Napkin Hs"</formula>
    </cfRule>
    <cfRule type="cellIs" dxfId="14693" priority="2389" stopIfTrue="1" operator="equal">
      <formula>"Towel"</formula>
    </cfRule>
    <cfRule type="cellIs" dxfId="14692" priority="2390" stopIfTrue="1" operator="equal">
      <formula>"Napkin Hs"</formula>
    </cfRule>
  </conditionalFormatting>
  <conditionalFormatting sqref="C96">
    <cfRule type="cellIs" dxfId="14691" priority="2401" stopIfTrue="1" operator="equal">
      <formula>"Towel"</formula>
    </cfRule>
    <cfRule type="cellIs" dxfId="14690" priority="2402" stopIfTrue="1" operator="equal">
      <formula>"Napkin Hs"</formula>
    </cfRule>
  </conditionalFormatting>
  <conditionalFormatting sqref="C96">
    <cfRule type="cellIs" dxfId="14689" priority="2377" stopIfTrue="1" operator="equal">
      <formula>"Towel"</formula>
    </cfRule>
    <cfRule type="cellIs" dxfId="14688" priority="2378" stopIfTrue="1" operator="equal">
      <formula>"Napkin Hs"</formula>
    </cfRule>
    <cfRule type="cellIs" dxfId="14687" priority="2381" stopIfTrue="1" operator="equal">
      <formula>"Towel"</formula>
    </cfRule>
    <cfRule type="cellIs" dxfId="14686" priority="2382" stopIfTrue="1" operator="equal">
      <formula>"Napkin Hs"</formula>
    </cfRule>
    <cfRule type="cellIs" dxfId="14685" priority="2395" stopIfTrue="1" operator="equal">
      <formula>"Towel"</formula>
    </cfRule>
    <cfRule type="cellIs" dxfId="14684" priority="2396" stopIfTrue="1" operator="equal">
      <formula>"Napkin Hs"</formula>
    </cfRule>
  </conditionalFormatting>
  <conditionalFormatting sqref="B96:C96">
    <cfRule type="cellIs" dxfId="14683" priority="2329" stopIfTrue="1" operator="equal">
      <formula>"Towel"</formula>
    </cfRule>
    <cfRule type="cellIs" dxfId="14682" priority="2330" stopIfTrue="1" operator="equal">
      <formula>"Napkin Hs"</formula>
    </cfRule>
    <cfRule type="cellIs" dxfId="14681" priority="2335" stopIfTrue="1" operator="equal">
      <formula>"Towel"</formula>
    </cfRule>
    <cfRule type="cellIs" dxfId="14680" priority="2336" stopIfTrue="1" operator="equal">
      <formula>"Napkin Hs"</formula>
    </cfRule>
    <cfRule type="cellIs" dxfId="14679" priority="2341" stopIfTrue="1" operator="equal">
      <formula>"Towel"</formula>
    </cfRule>
    <cfRule type="cellIs" dxfId="14678" priority="2342" stopIfTrue="1" operator="equal">
      <formula>"Napkin Hs"</formula>
    </cfRule>
    <cfRule type="cellIs" dxfId="14677" priority="2347" stopIfTrue="1" operator="equal">
      <formula>"Towel"</formula>
    </cfRule>
    <cfRule type="cellIs" dxfId="14676" priority="2348" stopIfTrue="1" operator="equal">
      <formula>"Napkin Hs"</formula>
    </cfRule>
    <cfRule type="cellIs" dxfId="14675" priority="2353" stopIfTrue="1" operator="equal">
      <formula>"Towel"</formula>
    </cfRule>
    <cfRule type="cellIs" dxfId="14674" priority="2354" stopIfTrue="1" operator="equal">
      <formula>"Napkin Hs"</formula>
    </cfRule>
    <cfRule type="cellIs" dxfId="14673" priority="2359" stopIfTrue="1" operator="equal">
      <formula>"Towel"</formula>
    </cfRule>
    <cfRule type="cellIs" dxfId="14672" priority="2360" stopIfTrue="1" operator="equal">
      <formula>"Napkin Hs"</formula>
    </cfRule>
    <cfRule type="cellIs" dxfId="14671" priority="2365" stopIfTrue="1" operator="equal">
      <formula>"Towel"</formula>
    </cfRule>
    <cfRule type="cellIs" dxfId="14670" priority="2366" stopIfTrue="1" operator="equal">
      <formula>"Napkin Hs"</formula>
    </cfRule>
    <cfRule type="cellIs" dxfId="14669" priority="2371" stopIfTrue="1" operator="equal">
      <formula>"Towel"</formula>
    </cfRule>
    <cfRule type="cellIs" dxfId="14668" priority="2372" stopIfTrue="1" operator="equal">
      <formula>"Napkin Hs"</formula>
    </cfRule>
  </conditionalFormatting>
  <conditionalFormatting sqref="C96">
    <cfRule type="cellIs" dxfId="14667" priority="2325" stopIfTrue="1" operator="equal">
      <formula>"Towel"</formula>
    </cfRule>
    <cfRule type="cellIs" dxfId="14666" priority="2326" stopIfTrue="1" operator="equal">
      <formula>"Napkin Hs"</formula>
    </cfRule>
    <cfRule type="cellIs" dxfId="14665" priority="2327" stopIfTrue="1" operator="equal">
      <formula>"Towel"</formula>
    </cfRule>
    <cfRule type="cellIs" dxfId="14664" priority="2328" stopIfTrue="1" operator="equal">
      <formula>"Napkin Hs"</formula>
    </cfRule>
    <cfRule type="cellIs" dxfId="14663" priority="2331" stopIfTrue="1" operator="equal">
      <formula>"Towel"</formula>
    </cfRule>
    <cfRule type="cellIs" dxfId="14662" priority="2332" stopIfTrue="1" operator="equal">
      <formula>"Napkin Hs"</formula>
    </cfRule>
    <cfRule type="cellIs" dxfId="14661" priority="2333" stopIfTrue="1" operator="equal">
      <formula>"Towel"</formula>
    </cfRule>
    <cfRule type="cellIs" dxfId="14660" priority="2334" stopIfTrue="1" operator="equal">
      <formula>"Napkin Hs"</formula>
    </cfRule>
    <cfRule type="cellIs" dxfId="14659" priority="2337" stopIfTrue="1" operator="equal">
      <formula>"Towel"</formula>
    </cfRule>
    <cfRule type="cellIs" dxfId="14658" priority="2338" stopIfTrue="1" operator="equal">
      <formula>"Napkin Hs"</formula>
    </cfRule>
    <cfRule type="cellIs" dxfId="14657" priority="2339" stopIfTrue="1" operator="equal">
      <formula>"Towel"</formula>
    </cfRule>
    <cfRule type="cellIs" dxfId="14656" priority="2340" stopIfTrue="1" operator="equal">
      <formula>"Napkin Hs"</formula>
    </cfRule>
    <cfRule type="cellIs" dxfId="14655" priority="2343" stopIfTrue="1" operator="equal">
      <formula>"Towel"</formula>
    </cfRule>
    <cfRule type="cellIs" dxfId="14654" priority="2344" stopIfTrue="1" operator="equal">
      <formula>"Napkin Hs"</formula>
    </cfRule>
    <cfRule type="cellIs" dxfId="14653" priority="2345" stopIfTrue="1" operator="equal">
      <formula>"Towel"</formula>
    </cfRule>
    <cfRule type="cellIs" dxfId="14652" priority="2346" stopIfTrue="1" operator="equal">
      <formula>"Napkin Hs"</formula>
    </cfRule>
    <cfRule type="cellIs" dxfId="14651" priority="2349" stopIfTrue="1" operator="equal">
      <formula>"Towel"</formula>
    </cfRule>
    <cfRule type="cellIs" dxfId="14650" priority="2350" stopIfTrue="1" operator="equal">
      <formula>"Napkin Hs"</formula>
    </cfRule>
    <cfRule type="cellIs" dxfId="14649" priority="2351" stopIfTrue="1" operator="equal">
      <formula>"Towel"</formula>
    </cfRule>
    <cfRule type="cellIs" dxfId="14648" priority="2352" stopIfTrue="1" operator="equal">
      <formula>"Napkin Hs"</formula>
    </cfRule>
    <cfRule type="cellIs" dxfId="14647" priority="2355" stopIfTrue="1" operator="equal">
      <formula>"Towel"</formula>
    </cfRule>
    <cfRule type="cellIs" dxfId="14646" priority="2356" stopIfTrue="1" operator="equal">
      <formula>"Napkin Hs"</formula>
    </cfRule>
    <cfRule type="cellIs" dxfId="14645" priority="2357" stopIfTrue="1" operator="equal">
      <formula>"Towel"</formula>
    </cfRule>
    <cfRule type="cellIs" dxfId="14644" priority="2358" stopIfTrue="1" operator="equal">
      <formula>"Napkin Hs"</formula>
    </cfRule>
    <cfRule type="cellIs" dxfId="14643" priority="2361" stopIfTrue="1" operator="equal">
      <formula>"Towel"</formula>
    </cfRule>
    <cfRule type="cellIs" dxfId="14642" priority="2362" stopIfTrue="1" operator="equal">
      <formula>"Napkin Hs"</formula>
    </cfRule>
    <cfRule type="cellIs" dxfId="14641" priority="2363" stopIfTrue="1" operator="equal">
      <formula>"Towel"</formula>
    </cfRule>
    <cfRule type="cellIs" dxfId="14640" priority="2364" stopIfTrue="1" operator="equal">
      <formula>"Napkin Hs"</formula>
    </cfRule>
    <cfRule type="cellIs" dxfId="14639" priority="2367" stopIfTrue="1" operator="equal">
      <formula>"Towel"</formula>
    </cfRule>
    <cfRule type="cellIs" dxfId="14638" priority="2368" stopIfTrue="1" operator="equal">
      <formula>"Napkin Hs"</formula>
    </cfRule>
  </conditionalFormatting>
  <conditionalFormatting sqref="C96">
    <cfRule type="cellIs" dxfId="14637" priority="2369" stopIfTrue="1" operator="equal">
      <formula>"Towel"</formula>
    </cfRule>
    <cfRule type="cellIs" dxfId="14636" priority="2370" stopIfTrue="1" operator="equal">
      <formula>"Napkin Hs"</formula>
    </cfRule>
  </conditionalFormatting>
  <conditionalFormatting sqref="B96">
    <cfRule type="cellIs" dxfId="14635" priority="2319" stopIfTrue="1" operator="equal">
      <formula>"Towel"</formula>
    </cfRule>
    <cfRule type="cellIs" dxfId="14634" priority="2320" stopIfTrue="1" operator="equal">
      <formula>"Napkin Hs"</formula>
    </cfRule>
    <cfRule type="cellIs" dxfId="14633" priority="2321" stopIfTrue="1" operator="equal">
      <formula>"Towel"</formula>
    </cfRule>
    <cfRule type="cellIs" dxfId="14632" priority="2322" stopIfTrue="1" operator="equal">
      <formula>"Napkin Hs"</formula>
    </cfRule>
    <cfRule type="cellIs" dxfId="14631" priority="2323" stopIfTrue="1" operator="equal">
      <formula>"Towel"</formula>
    </cfRule>
    <cfRule type="cellIs" dxfId="14630" priority="2324" stopIfTrue="1" operator="equal">
      <formula>"Napkin Hs"</formula>
    </cfRule>
  </conditionalFormatting>
  <conditionalFormatting sqref="B96:C96">
    <cfRule type="cellIs" dxfId="14629" priority="2281" stopIfTrue="1" operator="equal">
      <formula>"Towel"</formula>
    </cfRule>
    <cfRule type="cellIs" dxfId="14628" priority="2282" stopIfTrue="1" operator="equal">
      <formula>"Napkin Hs"</formula>
    </cfRule>
    <cfRule type="cellIs" dxfId="14627" priority="2287" stopIfTrue="1" operator="equal">
      <formula>"Towel"</formula>
    </cfRule>
    <cfRule type="cellIs" dxfId="14626" priority="2288" stopIfTrue="1" operator="equal">
      <formula>"Napkin Hs"</formula>
    </cfRule>
    <cfRule type="cellIs" dxfId="14625" priority="2293" stopIfTrue="1" operator="equal">
      <formula>"Towel"</formula>
    </cfRule>
    <cfRule type="cellIs" dxfId="14624" priority="2294" stopIfTrue="1" operator="equal">
      <formula>"Napkin Hs"</formula>
    </cfRule>
    <cfRule type="cellIs" dxfId="14623" priority="2299" stopIfTrue="1" operator="equal">
      <formula>"Towel"</formula>
    </cfRule>
    <cfRule type="cellIs" dxfId="14622" priority="2300" stopIfTrue="1" operator="equal">
      <formula>"Napkin Hs"</formula>
    </cfRule>
    <cfRule type="cellIs" dxfId="14621" priority="2305" stopIfTrue="1" operator="equal">
      <formula>"Towel"</formula>
    </cfRule>
    <cfRule type="cellIs" dxfId="14620" priority="2306" stopIfTrue="1" operator="equal">
      <formula>"Napkin Hs"</formula>
    </cfRule>
    <cfRule type="cellIs" dxfId="14619" priority="2311" stopIfTrue="1" operator="equal">
      <formula>"Towel"</formula>
    </cfRule>
    <cfRule type="cellIs" dxfId="14618" priority="2312" stopIfTrue="1" operator="equal">
      <formula>"Napkin Hs"</formula>
    </cfRule>
    <cfRule type="cellIs" dxfId="14617" priority="2317" stopIfTrue="1" operator="equal">
      <formula>"Towel"</formula>
    </cfRule>
    <cfRule type="cellIs" dxfId="14616" priority="2318" stopIfTrue="1" operator="equal">
      <formula>"Napkin Hs"</formula>
    </cfRule>
  </conditionalFormatting>
  <conditionalFormatting sqref="C96">
    <cfRule type="cellIs" dxfId="14615" priority="2277" stopIfTrue="1" operator="equal">
      <formula>"Towel"</formula>
    </cfRule>
    <cfRule type="cellIs" dxfId="14614" priority="2278" stopIfTrue="1" operator="equal">
      <formula>"Napkin Hs"</formula>
    </cfRule>
    <cfRule type="cellIs" dxfId="14613" priority="2279" stopIfTrue="1" operator="equal">
      <formula>"Towel"</formula>
    </cfRule>
    <cfRule type="cellIs" dxfId="14612" priority="2280" stopIfTrue="1" operator="equal">
      <formula>"Napkin Hs"</formula>
    </cfRule>
    <cfRule type="cellIs" dxfId="14611" priority="2283" stopIfTrue="1" operator="equal">
      <formula>"Towel"</formula>
    </cfRule>
    <cfRule type="cellIs" dxfId="14610" priority="2284" stopIfTrue="1" operator="equal">
      <formula>"Napkin Hs"</formula>
    </cfRule>
    <cfRule type="cellIs" dxfId="14609" priority="2285" stopIfTrue="1" operator="equal">
      <formula>"Towel"</formula>
    </cfRule>
    <cfRule type="cellIs" dxfId="14608" priority="2286" stopIfTrue="1" operator="equal">
      <formula>"Napkin Hs"</formula>
    </cfRule>
    <cfRule type="cellIs" dxfId="14607" priority="2289" stopIfTrue="1" operator="equal">
      <formula>"Towel"</formula>
    </cfRule>
    <cfRule type="cellIs" dxfId="14606" priority="2290" stopIfTrue="1" operator="equal">
      <formula>"Napkin Hs"</formula>
    </cfRule>
    <cfRule type="cellIs" dxfId="14605" priority="2291" stopIfTrue="1" operator="equal">
      <formula>"Towel"</formula>
    </cfRule>
    <cfRule type="cellIs" dxfId="14604" priority="2292" stopIfTrue="1" operator="equal">
      <formula>"Napkin Hs"</formula>
    </cfRule>
    <cfRule type="cellIs" dxfId="14603" priority="2295" stopIfTrue="1" operator="equal">
      <formula>"Towel"</formula>
    </cfRule>
    <cfRule type="cellIs" dxfId="14602" priority="2296" stopIfTrue="1" operator="equal">
      <formula>"Napkin Hs"</formula>
    </cfRule>
    <cfRule type="cellIs" dxfId="14601" priority="2297" stopIfTrue="1" operator="equal">
      <formula>"Towel"</formula>
    </cfRule>
    <cfRule type="cellIs" dxfId="14600" priority="2298" stopIfTrue="1" operator="equal">
      <formula>"Napkin Hs"</formula>
    </cfRule>
    <cfRule type="cellIs" dxfId="14599" priority="2301" stopIfTrue="1" operator="equal">
      <formula>"Towel"</formula>
    </cfRule>
    <cfRule type="cellIs" dxfId="14598" priority="2302" stopIfTrue="1" operator="equal">
      <formula>"Napkin Hs"</formula>
    </cfRule>
    <cfRule type="cellIs" dxfId="14597" priority="2303" stopIfTrue="1" operator="equal">
      <formula>"Towel"</formula>
    </cfRule>
    <cfRule type="cellIs" dxfId="14596" priority="2304" stopIfTrue="1" operator="equal">
      <formula>"Napkin Hs"</formula>
    </cfRule>
    <cfRule type="cellIs" dxfId="14595" priority="2307" stopIfTrue="1" operator="equal">
      <formula>"Towel"</formula>
    </cfRule>
    <cfRule type="cellIs" dxfId="14594" priority="2308" stopIfTrue="1" operator="equal">
      <formula>"Napkin Hs"</formula>
    </cfRule>
    <cfRule type="cellIs" dxfId="14593" priority="2309" stopIfTrue="1" operator="equal">
      <formula>"Towel"</formula>
    </cfRule>
    <cfRule type="cellIs" dxfId="14592" priority="2310" stopIfTrue="1" operator="equal">
      <formula>"Napkin Hs"</formula>
    </cfRule>
    <cfRule type="cellIs" dxfId="14591" priority="2313" stopIfTrue="1" operator="equal">
      <formula>"Towel"</formula>
    </cfRule>
    <cfRule type="cellIs" dxfId="14590" priority="2314" stopIfTrue="1" operator="equal">
      <formula>"Napkin Hs"</formula>
    </cfRule>
  </conditionalFormatting>
  <conditionalFormatting sqref="C96">
    <cfRule type="cellIs" dxfId="14589" priority="2315" stopIfTrue="1" operator="equal">
      <formula>"Towel"</formula>
    </cfRule>
    <cfRule type="cellIs" dxfId="14588" priority="2316" stopIfTrue="1" operator="equal">
      <formula>"Napkin Hs"</formula>
    </cfRule>
  </conditionalFormatting>
  <conditionalFormatting sqref="B96:C96">
    <cfRule type="cellIs" dxfId="14587" priority="2275" stopIfTrue="1" operator="equal">
      <formula>"Towel"</formula>
    </cfRule>
    <cfRule type="cellIs" dxfId="14586" priority="2276" stopIfTrue="1" operator="equal">
      <formula>"Napkin Hs"</formula>
    </cfRule>
  </conditionalFormatting>
  <conditionalFormatting sqref="B96:C96">
    <cfRule type="cellIs" dxfId="14585" priority="2239" stopIfTrue="1" operator="equal">
      <formula>"Towel"</formula>
    </cfRule>
    <cfRule type="cellIs" dxfId="14584" priority="2240" stopIfTrue="1" operator="equal">
      <formula>"Napkin Hs"</formula>
    </cfRule>
    <cfRule type="cellIs" dxfId="14583" priority="2245" stopIfTrue="1" operator="equal">
      <formula>"Towel"</formula>
    </cfRule>
    <cfRule type="cellIs" dxfId="14582" priority="2246" stopIfTrue="1" operator="equal">
      <formula>"Napkin Hs"</formula>
    </cfRule>
    <cfRule type="cellIs" dxfId="14581" priority="2251" stopIfTrue="1" operator="equal">
      <formula>"Towel"</formula>
    </cfRule>
    <cfRule type="cellIs" dxfId="14580" priority="2252" stopIfTrue="1" operator="equal">
      <formula>"Napkin Hs"</formula>
    </cfRule>
    <cfRule type="cellIs" dxfId="14579" priority="2257" stopIfTrue="1" operator="equal">
      <formula>"Towel"</formula>
    </cfRule>
    <cfRule type="cellIs" dxfId="14578" priority="2258" stopIfTrue="1" operator="equal">
      <formula>"Napkin Hs"</formula>
    </cfRule>
    <cfRule type="cellIs" dxfId="14577" priority="2263" stopIfTrue="1" operator="equal">
      <formula>"Towel"</formula>
    </cfRule>
    <cfRule type="cellIs" dxfId="14576" priority="2264" stopIfTrue="1" operator="equal">
      <formula>"Napkin Hs"</formula>
    </cfRule>
    <cfRule type="cellIs" dxfId="14575" priority="2269" stopIfTrue="1" operator="equal">
      <formula>"Towel"</formula>
    </cfRule>
    <cfRule type="cellIs" dxfId="14574" priority="2270" stopIfTrue="1" operator="equal">
      <formula>"Napkin Hs"</formula>
    </cfRule>
  </conditionalFormatting>
  <conditionalFormatting sqref="C96">
    <cfRule type="cellIs" dxfId="14573" priority="2274" stopIfTrue="1" operator="equal">
      <formula>"Napkin Hs"</formula>
    </cfRule>
  </conditionalFormatting>
  <conditionalFormatting sqref="C96">
    <cfRule type="cellIs" dxfId="14572" priority="2273" stopIfTrue="1" operator="equal">
      <formula>"Towel"</formula>
    </cfRule>
  </conditionalFormatting>
  <conditionalFormatting sqref="C96">
    <cfRule type="cellIs" dxfId="14571" priority="2267" stopIfTrue="1" operator="equal">
      <formula>"Towel"</formula>
    </cfRule>
    <cfRule type="cellIs" dxfId="14570" priority="2268" stopIfTrue="1" operator="equal">
      <formula>"Napkin Hs"</formula>
    </cfRule>
  </conditionalFormatting>
  <conditionalFormatting sqref="C96">
    <cfRule type="cellIs" dxfId="14569" priority="2265" stopIfTrue="1" operator="equal">
      <formula>"Towel"</formula>
    </cfRule>
    <cfRule type="cellIs" dxfId="14568" priority="2266" stopIfTrue="1" operator="equal">
      <formula>"Napkin Hs"</formula>
    </cfRule>
    <cfRule type="cellIs" dxfId="14567" priority="2271" stopIfTrue="1" operator="equal">
      <formula>"Towel"</formula>
    </cfRule>
    <cfRule type="cellIs" dxfId="14566" priority="2272" stopIfTrue="1" operator="equal">
      <formula>"Napkin Hs"</formula>
    </cfRule>
  </conditionalFormatting>
  <conditionalFormatting sqref="C96">
    <cfRule type="cellIs" dxfId="14565" priority="2237" stopIfTrue="1" operator="equal">
      <formula>"Towel"</formula>
    </cfRule>
    <cfRule type="cellIs" dxfId="14564" priority="2238" stopIfTrue="1" operator="equal">
      <formula>"Napkin Hs"</formula>
    </cfRule>
    <cfRule type="cellIs" dxfId="14563" priority="2241" stopIfTrue="1" operator="equal">
      <formula>"Towel"</formula>
    </cfRule>
    <cfRule type="cellIs" dxfId="14562" priority="2242" stopIfTrue="1" operator="equal">
      <formula>"Napkin Hs"</formula>
    </cfRule>
    <cfRule type="cellIs" dxfId="14561" priority="2243" stopIfTrue="1" operator="equal">
      <formula>"Towel"</formula>
    </cfRule>
    <cfRule type="cellIs" dxfId="14560" priority="2244" stopIfTrue="1" operator="equal">
      <formula>"Napkin Hs"</formula>
    </cfRule>
    <cfRule type="cellIs" dxfId="14559" priority="2247" stopIfTrue="1" operator="equal">
      <formula>"Towel"</formula>
    </cfRule>
    <cfRule type="cellIs" dxfId="14558" priority="2248" stopIfTrue="1" operator="equal">
      <formula>"Napkin Hs"</formula>
    </cfRule>
    <cfRule type="cellIs" dxfId="14557" priority="2249" stopIfTrue="1" operator="equal">
      <formula>"Towel"</formula>
    </cfRule>
    <cfRule type="cellIs" dxfId="14556" priority="2250" stopIfTrue="1" operator="equal">
      <formula>"Napkin Hs"</formula>
    </cfRule>
    <cfRule type="cellIs" dxfId="14555" priority="2253" stopIfTrue="1" operator="equal">
      <formula>"Towel"</formula>
    </cfRule>
    <cfRule type="cellIs" dxfId="14554" priority="2254" stopIfTrue="1" operator="equal">
      <formula>"Napkin Hs"</formula>
    </cfRule>
    <cfRule type="cellIs" dxfId="14553" priority="2255" stopIfTrue="1" operator="equal">
      <formula>"Towel"</formula>
    </cfRule>
    <cfRule type="cellIs" dxfId="14552" priority="2256" stopIfTrue="1" operator="equal">
      <formula>"Napkin Hs"</formula>
    </cfRule>
    <cfRule type="cellIs" dxfId="14551" priority="2259" stopIfTrue="1" operator="equal">
      <formula>"Towel"</formula>
    </cfRule>
    <cfRule type="cellIs" dxfId="14550" priority="2260" stopIfTrue="1" operator="equal">
      <formula>"Napkin Hs"</formula>
    </cfRule>
    <cfRule type="cellIs" dxfId="14549" priority="2261" stopIfTrue="1" operator="equal">
      <formula>"Towel"</formula>
    </cfRule>
    <cfRule type="cellIs" dxfId="14548" priority="2262" stopIfTrue="1" operator="equal">
      <formula>"Napkin Hs"</formula>
    </cfRule>
  </conditionalFormatting>
  <conditionalFormatting sqref="C96">
    <cfRule type="cellIs" dxfId="14547" priority="2235" stopIfTrue="1" operator="equal">
      <formula>"Towel"</formula>
    </cfRule>
    <cfRule type="cellIs" dxfId="14546" priority="2236" stopIfTrue="1" operator="equal">
      <formula>"Napkin Hs"</formula>
    </cfRule>
  </conditionalFormatting>
  <conditionalFormatting sqref="C96">
    <cfRule type="cellIs" dxfId="14545" priority="2215" stopIfTrue="1" operator="equal">
      <formula>"Towel"</formula>
    </cfRule>
    <cfRule type="cellIs" dxfId="14544" priority="2216" stopIfTrue="1" operator="equal">
      <formula>"Napkin Hs"</formula>
    </cfRule>
    <cfRule type="cellIs" dxfId="14543" priority="2221" stopIfTrue="1" operator="equal">
      <formula>"Towel"</formula>
    </cfRule>
    <cfRule type="cellIs" dxfId="14542" priority="2222" stopIfTrue="1" operator="equal">
      <formula>"Napkin Hs"</formula>
    </cfRule>
    <cfRule type="cellIs" dxfId="14541" priority="2227" stopIfTrue="1" operator="equal">
      <formula>"Towel"</formula>
    </cfRule>
    <cfRule type="cellIs" dxfId="14540" priority="2228" stopIfTrue="1" operator="equal">
      <formula>"Napkin Hs"</formula>
    </cfRule>
    <cfRule type="cellIs" dxfId="14539" priority="2233" stopIfTrue="1" operator="equal">
      <formula>"Towel"</formula>
    </cfRule>
    <cfRule type="cellIs" dxfId="14538" priority="2234" stopIfTrue="1" operator="equal">
      <formula>"Napkin Hs"</formula>
    </cfRule>
  </conditionalFormatting>
  <conditionalFormatting sqref="C96">
    <cfRule type="cellIs" dxfId="14537" priority="2225" stopIfTrue="1" operator="equal">
      <formula>"Towel"</formula>
    </cfRule>
    <cfRule type="cellIs" dxfId="14536" priority="2226" stopIfTrue="1" operator="equal">
      <formula>"Napkin Hs"</formula>
    </cfRule>
    <cfRule type="cellIs" dxfId="14535" priority="2231" stopIfTrue="1" operator="equal">
      <formula>"Towel"</formula>
    </cfRule>
    <cfRule type="cellIs" dxfId="14534" priority="2232" stopIfTrue="1" operator="equal">
      <formula>"Napkin Hs"</formula>
    </cfRule>
  </conditionalFormatting>
  <conditionalFormatting sqref="C96">
    <cfRule type="cellIs" dxfId="14533" priority="2211" stopIfTrue="1" operator="equal">
      <formula>"Towel"</formula>
    </cfRule>
    <cfRule type="cellIs" dxfId="14532" priority="2212" stopIfTrue="1" operator="equal">
      <formula>"Napkin Hs"</formula>
    </cfRule>
    <cfRule type="cellIs" dxfId="14531" priority="2219" stopIfTrue="1" operator="equal">
      <formula>"Towel"</formula>
    </cfRule>
    <cfRule type="cellIs" dxfId="14530" priority="2220" stopIfTrue="1" operator="equal">
      <formula>"Napkin Hs"</formula>
    </cfRule>
    <cfRule type="cellIs" dxfId="14529" priority="2223" stopIfTrue="1" operator="equal">
      <formula>"Towel"</formula>
    </cfRule>
    <cfRule type="cellIs" dxfId="14528" priority="2224" stopIfTrue="1" operator="equal">
      <formula>"Napkin Hs"</formula>
    </cfRule>
  </conditionalFormatting>
  <conditionalFormatting sqref="C96">
    <cfRule type="cellIs" dxfId="14527" priority="2213" stopIfTrue="1" operator="equal">
      <formula>"Towel"</formula>
    </cfRule>
    <cfRule type="cellIs" dxfId="14526" priority="2214" stopIfTrue="1" operator="equal">
      <formula>"Napkin Hs"</formula>
    </cfRule>
    <cfRule type="cellIs" dxfId="14525" priority="2217" stopIfTrue="1" operator="equal">
      <formula>"Towel"</formula>
    </cfRule>
    <cfRule type="cellIs" dxfId="14524" priority="2218" stopIfTrue="1" operator="equal">
      <formula>"Napkin Hs"</formula>
    </cfRule>
    <cfRule type="cellIs" dxfId="14523" priority="2229" stopIfTrue="1" operator="equal">
      <formula>"Towel"</formula>
    </cfRule>
    <cfRule type="cellIs" dxfId="14522" priority="2230" stopIfTrue="1" operator="equal">
      <formula>"Napkin Hs"</formula>
    </cfRule>
  </conditionalFormatting>
  <conditionalFormatting sqref="C96">
    <cfRule type="cellIs" dxfId="14521" priority="2209" stopIfTrue="1" operator="equal">
      <formula>"Towel"</formula>
    </cfRule>
    <cfRule type="cellIs" dxfId="14520" priority="2210" stopIfTrue="1" operator="equal">
      <formula>"Napkin Hs"</formula>
    </cfRule>
  </conditionalFormatting>
  <conditionalFormatting sqref="C96">
    <cfRule type="cellIs" dxfId="14519" priority="2205" stopIfTrue="1" operator="equal">
      <formula>"Towel"</formula>
    </cfRule>
    <cfRule type="cellIs" dxfId="14518" priority="2206" stopIfTrue="1" operator="equal">
      <formula>"Napkin Hs"</formula>
    </cfRule>
  </conditionalFormatting>
  <conditionalFormatting sqref="C96">
    <cfRule type="cellIs" dxfId="14517" priority="2207" stopIfTrue="1" operator="equal">
      <formula>"Towel"</formula>
    </cfRule>
    <cfRule type="cellIs" dxfId="14516" priority="2208" stopIfTrue="1" operator="equal">
      <formula>"Napkin Hs"</formula>
    </cfRule>
  </conditionalFormatting>
  <conditionalFormatting sqref="C96">
    <cfRule type="cellIs" dxfId="14515" priority="2203" stopIfTrue="1" operator="equal">
      <formula>"Towel"</formula>
    </cfRule>
    <cfRule type="cellIs" dxfId="14514" priority="2204" stopIfTrue="1" operator="equal">
      <formula>"Napkin Hs"</formula>
    </cfRule>
  </conditionalFormatting>
  <conditionalFormatting sqref="C96">
    <cfRule type="cellIs" dxfId="14513" priority="2199" stopIfTrue="1" operator="equal">
      <formula>"Towel"</formula>
    </cfRule>
    <cfRule type="cellIs" dxfId="14512" priority="2200" stopIfTrue="1" operator="equal">
      <formula>"Napkin Hs"</formula>
    </cfRule>
  </conditionalFormatting>
  <conditionalFormatting sqref="C96">
    <cfRule type="cellIs" dxfId="14511" priority="2201" stopIfTrue="1" operator="equal">
      <formula>"Towel"</formula>
    </cfRule>
    <cfRule type="cellIs" dxfId="14510" priority="2202" stopIfTrue="1" operator="equal">
      <formula>"Napkin Hs"</formula>
    </cfRule>
  </conditionalFormatting>
  <conditionalFormatting sqref="C96">
    <cfRule type="cellIs" dxfId="14509" priority="2197" stopIfTrue="1" operator="equal">
      <formula>"Towel"</formula>
    </cfRule>
    <cfRule type="cellIs" dxfId="14508" priority="2198" stopIfTrue="1" operator="equal">
      <formula>"Napkin Hs"</formula>
    </cfRule>
  </conditionalFormatting>
  <conditionalFormatting sqref="C96">
    <cfRule type="cellIs" dxfId="14507" priority="2193" stopIfTrue="1" operator="equal">
      <formula>"Towel"</formula>
    </cfRule>
    <cfRule type="cellIs" dxfId="14506" priority="2194" stopIfTrue="1" operator="equal">
      <formula>"Napkin Hs"</formula>
    </cfRule>
  </conditionalFormatting>
  <conditionalFormatting sqref="C96">
    <cfRule type="cellIs" dxfId="14505" priority="2195" stopIfTrue="1" operator="equal">
      <formula>"Towel"</formula>
    </cfRule>
    <cfRule type="cellIs" dxfId="14504" priority="2196" stopIfTrue="1" operator="equal">
      <formula>"Napkin Hs"</formula>
    </cfRule>
  </conditionalFormatting>
  <conditionalFormatting sqref="C96">
    <cfRule type="cellIs" dxfId="14503" priority="2191" stopIfTrue="1" operator="equal">
      <formula>"Towel"</formula>
    </cfRule>
    <cfRule type="cellIs" dxfId="14502" priority="2192" stopIfTrue="1" operator="equal">
      <formula>"Napkin Hs"</formula>
    </cfRule>
  </conditionalFormatting>
  <conditionalFormatting sqref="C96">
    <cfRule type="cellIs" dxfId="14501" priority="2189" stopIfTrue="1" operator="equal">
      <formula>"Towel"</formula>
    </cfRule>
    <cfRule type="cellIs" dxfId="14500" priority="2190" stopIfTrue="1" operator="equal">
      <formula>"Napkin Hs"</formula>
    </cfRule>
  </conditionalFormatting>
  <conditionalFormatting sqref="C96">
    <cfRule type="cellIs" dxfId="14499" priority="2187" stopIfTrue="1" operator="equal">
      <formula>"Towel"</formula>
    </cfRule>
    <cfRule type="cellIs" dxfId="14498" priority="2188" stopIfTrue="1" operator="equal">
      <formula>"Napkin Hs"</formula>
    </cfRule>
  </conditionalFormatting>
  <conditionalFormatting sqref="C96">
    <cfRule type="cellIs" dxfId="14497" priority="2185" stopIfTrue="1" operator="equal">
      <formula>"Towel"</formula>
    </cfRule>
    <cfRule type="cellIs" dxfId="14496" priority="2186" stopIfTrue="1" operator="equal">
      <formula>"Napkin Hs"</formula>
    </cfRule>
  </conditionalFormatting>
  <conditionalFormatting sqref="C96">
    <cfRule type="cellIs" dxfId="14495" priority="2184" stopIfTrue="1" operator="equal">
      <formula>"Napkin Hs"</formula>
    </cfRule>
  </conditionalFormatting>
  <conditionalFormatting sqref="C96">
    <cfRule type="cellIs" dxfId="14494" priority="2181" stopIfTrue="1" operator="equal">
      <formula>"Towel"</formula>
    </cfRule>
    <cfRule type="cellIs" dxfId="14493" priority="2182" stopIfTrue="1" operator="equal">
      <formula>"Napkin Hs"</formula>
    </cfRule>
  </conditionalFormatting>
  <conditionalFormatting sqref="C96">
    <cfRule type="cellIs" dxfId="14492" priority="2183" stopIfTrue="1" operator="equal">
      <formula>"Towel"</formula>
    </cfRule>
  </conditionalFormatting>
  <conditionalFormatting sqref="B96">
    <cfRule type="cellIs" dxfId="14491" priority="2179" stopIfTrue="1" operator="equal">
      <formula>"Towel"</formula>
    </cfRule>
    <cfRule type="cellIs" dxfId="14490" priority="2180" stopIfTrue="1" operator="equal">
      <formula>"Napkin Hs"</formula>
    </cfRule>
  </conditionalFormatting>
  <conditionalFormatting sqref="B96">
    <cfRule type="cellIs" dxfId="14489" priority="2177" stopIfTrue="1" operator="equal">
      <formula>"Towel"</formula>
    </cfRule>
    <cfRule type="cellIs" dxfId="14488" priority="2178" stopIfTrue="1" operator="equal">
      <formula>"Napkin Hs"</formula>
    </cfRule>
  </conditionalFormatting>
  <conditionalFormatting sqref="B96">
    <cfRule type="cellIs" dxfId="14487" priority="2175" stopIfTrue="1" operator="equal">
      <formula>"Towel"</formula>
    </cfRule>
    <cfRule type="cellIs" dxfId="14486" priority="2176" stopIfTrue="1" operator="equal">
      <formula>"Napkin Hs"</formula>
    </cfRule>
  </conditionalFormatting>
  <conditionalFormatting sqref="B96">
    <cfRule type="cellIs" dxfId="14485" priority="2173" stopIfTrue="1" operator="equal">
      <formula>"Towel"</formula>
    </cfRule>
    <cfRule type="cellIs" dxfId="14484" priority="2174" stopIfTrue="1" operator="equal">
      <formula>"Napkin Hs"</formula>
    </cfRule>
  </conditionalFormatting>
  <conditionalFormatting sqref="B96">
    <cfRule type="cellIs" dxfId="14483" priority="2171" stopIfTrue="1" operator="equal">
      <formula>"Towel"</formula>
    </cfRule>
    <cfRule type="cellIs" dxfId="14482" priority="2172" stopIfTrue="1" operator="equal">
      <formula>"Napkin Hs"</formula>
    </cfRule>
  </conditionalFormatting>
  <conditionalFormatting sqref="B96">
    <cfRule type="cellIs" dxfId="14481" priority="2169" stopIfTrue="1" operator="equal">
      <formula>"Towel"</formula>
    </cfRule>
    <cfRule type="cellIs" dxfId="14480" priority="2170" stopIfTrue="1" operator="equal">
      <formula>"Napkin Hs"</formula>
    </cfRule>
  </conditionalFormatting>
  <conditionalFormatting sqref="B96">
    <cfRule type="cellIs" dxfId="14479" priority="2165" stopIfTrue="1" operator="equal">
      <formula>"Towel"</formula>
    </cfRule>
    <cfRule type="cellIs" dxfId="14478" priority="2166" stopIfTrue="1" operator="equal">
      <formula>"Napkin Hs"</formula>
    </cfRule>
    <cfRule type="cellIs" dxfId="14477" priority="2167" stopIfTrue="1" operator="equal">
      <formula>"Towel"</formula>
    </cfRule>
    <cfRule type="cellIs" dxfId="14476" priority="2168" stopIfTrue="1" operator="equal">
      <formula>"Napkin Hs"</formula>
    </cfRule>
  </conditionalFormatting>
  <conditionalFormatting sqref="B96">
    <cfRule type="cellIs" dxfId="14475" priority="2163" stopIfTrue="1" operator="equal">
      <formula>"Towel"</formula>
    </cfRule>
    <cfRule type="cellIs" dxfId="14474" priority="2164" stopIfTrue="1" operator="equal">
      <formula>"Napkin Hs"</formula>
    </cfRule>
  </conditionalFormatting>
  <conditionalFormatting sqref="B96">
    <cfRule type="cellIs" dxfId="14473" priority="2161" stopIfTrue="1" operator="equal">
      <formula>"Towel"</formula>
    </cfRule>
    <cfRule type="cellIs" dxfId="14472" priority="2162" stopIfTrue="1" operator="equal">
      <formula>"Napkin Hs"</formula>
    </cfRule>
  </conditionalFormatting>
  <conditionalFormatting sqref="B96">
    <cfRule type="cellIs" dxfId="14471" priority="2159" stopIfTrue="1" operator="equal">
      <formula>"Towel"</formula>
    </cfRule>
    <cfRule type="cellIs" dxfId="14470" priority="2160" stopIfTrue="1" operator="equal">
      <formula>"Napkin Hs"</formula>
    </cfRule>
  </conditionalFormatting>
  <conditionalFormatting sqref="B96">
    <cfRule type="cellIs" dxfId="14469" priority="2157" stopIfTrue="1" operator="equal">
      <formula>"Towel"</formula>
    </cfRule>
    <cfRule type="cellIs" dxfId="14468" priority="2158" stopIfTrue="1" operator="equal">
      <formula>"Napkin Hs"</formula>
    </cfRule>
  </conditionalFormatting>
  <conditionalFormatting sqref="B96">
    <cfRule type="cellIs" dxfId="14467" priority="2155" stopIfTrue="1" operator="equal">
      <formula>"Towel"</formula>
    </cfRule>
    <cfRule type="cellIs" dxfId="14466" priority="2156" stopIfTrue="1" operator="equal">
      <formula>"Napkin Hs"</formula>
    </cfRule>
  </conditionalFormatting>
  <conditionalFormatting sqref="B96:C96">
    <cfRule type="cellIs" dxfId="14465" priority="2141" stopIfTrue="1" operator="equal">
      <formula>"Towel"</formula>
    </cfRule>
    <cfRule type="cellIs" dxfId="14464" priority="2142" stopIfTrue="1" operator="equal">
      <formula>"Napkin Hs"</formula>
    </cfRule>
    <cfRule type="cellIs" dxfId="14463" priority="2147" stopIfTrue="1" operator="equal">
      <formula>"Towel"</formula>
    </cfRule>
    <cfRule type="cellIs" dxfId="14462" priority="2148" stopIfTrue="1" operator="equal">
      <formula>"Napkin Hs"</formula>
    </cfRule>
    <cfRule type="cellIs" dxfId="14461" priority="2153" stopIfTrue="1" operator="equal">
      <formula>"Towel"</formula>
    </cfRule>
    <cfRule type="cellIs" dxfId="14460" priority="2154" stopIfTrue="1" operator="equal">
      <formula>"Napkin Hs"</formula>
    </cfRule>
  </conditionalFormatting>
  <conditionalFormatting sqref="C96">
    <cfRule type="cellIs" dxfId="14459" priority="2135" stopIfTrue="1" operator="equal">
      <formula>"Towel"</formula>
    </cfRule>
    <cfRule type="cellIs" dxfId="14458" priority="2136" stopIfTrue="1" operator="equal">
      <formula>"Napkin Hs"</formula>
    </cfRule>
    <cfRule type="cellIs" dxfId="14457" priority="2137" stopIfTrue="1" operator="equal">
      <formula>"Towel"</formula>
    </cfRule>
    <cfRule type="cellIs" dxfId="14456" priority="2138" stopIfTrue="1" operator="equal">
      <formula>"Napkin Hs"</formula>
    </cfRule>
    <cfRule type="cellIs" dxfId="14455" priority="2145" stopIfTrue="1" operator="equal">
      <formula>"Towel"</formula>
    </cfRule>
    <cfRule type="cellIs" dxfId="14454" priority="2146" stopIfTrue="1" operator="equal">
      <formula>"Napkin Hs"</formula>
    </cfRule>
    <cfRule type="cellIs" dxfId="14453" priority="2149" stopIfTrue="1" operator="equal">
      <formula>"Towel"</formula>
    </cfRule>
    <cfRule type="cellIs" dxfId="14452" priority="2150" stopIfTrue="1" operator="equal">
      <formula>"Napkin Hs"</formula>
    </cfRule>
  </conditionalFormatting>
  <conditionalFormatting sqref="C96">
    <cfRule type="cellIs" dxfId="14451" priority="2139" stopIfTrue="1" operator="equal">
      <formula>"Towel"</formula>
    </cfRule>
    <cfRule type="cellIs" dxfId="14450" priority="2140" stopIfTrue="1" operator="equal">
      <formula>"Napkin Hs"</formula>
    </cfRule>
    <cfRule type="cellIs" dxfId="14449" priority="2143" stopIfTrue="1" operator="equal">
      <formula>"Towel"</formula>
    </cfRule>
    <cfRule type="cellIs" dxfId="14448" priority="2144" stopIfTrue="1" operator="equal">
      <formula>"Napkin Hs"</formula>
    </cfRule>
    <cfRule type="cellIs" dxfId="14447" priority="2151" stopIfTrue="1" operator="equal">
      <formula>"Towel"</formula>
    </cfRule>
    <cfRule type="cellIs" dxfId="14446" priority="2152" stopIfTrue="1" operator="equal">
      <formula>"Napkin Hs"</formula>
    </cfRule>
  </conditionalFormatting>
  <conditionalFormatting sqref="B96:C96">
    <cfRule type="cellIs" dxfId="14445" priority="2133" stopIfTrue="1" operator="equal">
      <formula>"Towel"</formula>
    </cfRule>
    <cfRule type="cellIs" dxfId="14444" priority="2134" stopIfTrue="1" operator="equal">
      <formula>"Napkin Hs"</formula>
    </cfRule>
  </conditionalFormatting>
  <conditionalFormatting sqref="B96:C96">
    <cfRule type="cellIs" dxfId="14443" priority="2125" stopIfTrue="1" operator="equal">
      <formula>"Towel"</formula>
    </cfRule>
    <cfRule type="cellIs" dxfId="14442" priority="2126" stopIfTrue="1" operator="equal">
      <formula>"Napkin Hs"</formula>
    </cfRule>
    <cfRule type="cellIs" dxfId="14441" priority="2131" stopIfTrue="1" operator="equal">
      <formula>"Towel"</formula>
    </cfRule>
    <cfRule type="cellIs" dxfId="14440" priority="2132" stopIfTrue="1" operator="equal">
      <formula>"Napkin Hs"</formula>
    </cfRule>
  </conditionalFormatting>
  <conditionalFormatting sqref="C96">
    <cfRule type="cellIs" dxfId="14439" priority="2121" stopIfTrue="1" operator="equal">
      <formula>"Towel"</formula>
    </cfRule>
    <cfRule type="cellIs" dxfId="14438" priority="2122" stopIfTrue="1" operator="equal">
      <formula>"Napkin Hs"</formula>
    </cfRule>
  </conditionalFormatting>
  <conditionalFormatting sqref="C96">
    <cfRule type="cellIs" dxfId="14437" priority="2119" stopIfTrue="1" operator="equal">
      <formula>"Towel"</formula>
    </cfRule>
    <cfRule type="cellIs" dxfId="14436" priority="2120" stopIfTrue="1" operator="equal">
      <formula>"Napkin Hs"</formula>
    </cfRule>
    <cfRule type="cellIs" dxfId="14435" priority="2129" stopIfTrue="1" operator="equal">
      <formula>"Towel"</formula>
    </cfRule>
    <cfRule type="cellIs" dxfId="14434" priority="2130" stopIfTrue="1" operator="equal">
      <formula>"Napkin Hs"</formula>
    </cfRule>
  </conditionalFormatting>
  <conditionalFormatting sqref="C96">
    <cfRule type="cellIs" dxfId="14433" priority="2123" stopIfTrue="1" operator="equal">
      <formula>"Towel"</formula>
    </cfRule>
    <cfRule type="cellIs" dxfId="14432" priority="2124" stopIfTrue="1" operator="equal">
      <formula>"Napkin Hs"</formula>
    </cfRule>
    <cfRule type="cellIs" dxfId="14431" priority="2127" stopIfTrue="1" operator="equal">
      <formula>"Towel"</formula>
    </cfRule>
    <cfRule type="cellIs" dxfId="14430" priority="2128" stopIfTrue="1" operator="equal">
      <formula>"Napkin Hs"</formula>
    </cfRule>
  </conditionalFormatting>
  <conditionalFormatting sqref="C96">
    <cfRule type="cellIs" dxfId="14429" priority="2118" stopIfTrue="1" operator="equal">
      <formula>"Napkin Hs"</formula>
    </cfRule>
  </conditionalFormatting>
  <conditionalFormatting sqref="C96">
    <cfRule type="cellIs" dxfId="14428" priority="2117" stopIfTrue="1" operator="equal">
      <formula>"Towel"</formula>
    </cfRule>
  </conditionalFormatting>
  <conditionalFormatting sqref="C96">
    <cfRule type="cellIs" dxfId="14427" priority="2113" stopIfTrue="1" operator="equal">
      <formula>"Towel"</formula>
    </cfRule>
    <cfRule type="cellIs" dxfId="14426" priority="2114" stopIfTrue="1" operator="equal">
      <formula>"Napkin Hs"</formula>
    </cfRule>
    <cfRule type="cellIs" dxfId="14425" priority="2115" stopIfTrue="1" operator="equal">
      <formula>"Towel"</formula>
    </cfRule>
    <cfRule type="cellIs" dxfId="14424" priority="2116" stopIfTrue="1" operator="equal">
      <formula>"Napkin Hs"</formula>
    </cfRule>
  </conditionalFormatting>
  <conditionalFormatting sqref="B96:C96">
    <cfRule type="cellIs" dxfId="14423" priority="2111" stopIfTrue="1" operator="equal">
      <formula>"Towel"</formula>
    </cfRule>
    <cfRule type="cellIs" dxfId="14422" priority="2112" stopIfTrue="1" operator="equal">
      <formula>"Napkin Hs"</formula>
    </cfRule>
  </conditionalFormatting>
  <conditionalFormatting sqref="C96">
    <cfRule type="cellIs" dxfId="14421" priority="2107" stopIfTrue="1" operator="equal">
      <formula>"Towel"</formula>
    </cfRule>
    <cfRule type="cellIs" dxfId="14420" priority="2108" stopIfTrue="1" operator="equal">
      <formula>"Napkin Hs"</formula>
    </cfRule>
  </conditionalFormatting>
  <conditionalFormatting sqref="C96">
    <cfRule type="cellIs" dxfId="14419" priority="2109" stopIfTrue="1" operator="equal">
      <formula>"Towel"</formula>
    </cfRule>
    <cfRule type="cellIs" dxfId="14418" priority="2110" stopIfTrue="1" operator="equal">
      <formula>"Napkin Hs"</formula>
    </cfRule>
  </conditionalFormatting>
  <conditionalFormatting sqref="B96:C96">
    <cfRule type="cellIs" dxfId="14417" priority="2105" stopIfTrue="1" operator="equal">
      <formula>"Towel"</formula>
    </cfRule>
    <cfRule type="cellIs" dxfId="14416" priority="2106" stopIfTrue="1" operator="equal">
      <formula>"Napkin Hs"</formula>
    </cfRule>
  </conditionalFormatting>
  <conditionalFormatting sqref="C96">
    <cfRule type="cellIs" dxfId="14415" priority="2101" stopIfTrue="1" operator="equal">
      <formula>"Towel"</formula>
    </cfRule>
    <cfRule type="cellIs" dxfId="14414" priority="2102" stopIfTrue="1" operator="equal">
      <formula>"Napkin Hs"</formula>
    </cfRule>
  </conditionalFormatting>
  <conditionalFormatting sqref="C96">
    <cfRule type="cellIs" dxfId="14413" priority="2103" stopIfTrue="1" operator="equal">
      <formula>"Towel"</formula>
    </cfRule>
    <cfRule type="cellIs" dxfId="14412" priority="2104" stopIfTrue="1" operator="equal">
      <formula>"Napkin Hs"</formula>
    </cfRule>
  </conditionalFormatting>
  <conditionalFormatting sqref="B96:C96">
    <cfRule type="cellIs" dxfId="14411" priority="2099" stopIfTrue="1" operator="equal">
      <formula>"Towel"</formula>
    </cfRule>
    <cfRule type="cellIs" dxfId="14410" priority="2100" stopIfTrue="1" operator="equal">
      <formula>"Napkin Hs"</formula>
    </cfRule>
  </conditionalFormatting>
  <conditionalFormatting sqref="C96">
    <cfRule type="cellIs" dxfId="14409" priority="2095" stopIfTrue="1" operator="equal">
      <formula>"Towel"</formula>
    </cfRule>
    <cfRule type="cellIs" dxfId="14408" priority="2096" stopIfTrue="1" operator="equal">
      <formula>"Napkin Hs"</formula>
    </cfRule>
  </conditionalFormatting>
  <conditionalFormatting sqref="C96">
    <cfRule type="cellIs" dxfId="14407" priority="2097" stopIfTrue="1" operator="equal">
      <formula>"Towel"</formula>
    </cfRule>
    <cfRule type="cellIs" dxfId="14406" priority="2098" stopIfTrue="1" operator="equal">
      <formula>"Napkin Hs"</formula>
    </cfRule>
  </conditionalFormatting>
  <conditionalFormatting sqref="B96:C96">
    <cfRule type="cellIs" dxfId="14405" priority="2093" stopIfTrue="1" operator="equal">
      <formula>"Towel"</formula>
    </cfRule>
    <cfRule type="cellIs" dxfId="14404" priority="2094" stopIfTrue="1" operator="equal">
      <formula>"Napkin Hs"</formula>
    </cfRule>
  </conditionalFormatting>
  <conditionalFormatting sqref="C96">
    <cfRule type="cellIs" dxfId="14403" priority="2091" stopIfTrue="1" operator="equal">
      <formula>"Towel"</formula>
    </cfRule>
    <cfRule type="cellIs" dxfId="14402" priority="2092" stopIfTrue="1" operator="equal">
      <formula>"Napkin Hs"</formula>
    </cfRule>
  </conditionalFormatting>
  <conditionalFormatting sqref="C96">
    <cfRule type="cellIs" dxfId="14401" priority="2089" stopIfTrue="1" operator="equal">
      <formula>"Towel"</formula>
    </cfRule>
    <cfRule type="cellIs" dxfId="14400" priority="2090" stopIfTrue="1" operator="equal">
      <formula>"Napkin Hs"</formula>
    </cfRule>
  </conditionalFormatting>
  <conditionalFormatting sqref="B96:C96">
    <cfRule type="cellIs" dxfId="14399" priority="2087" stopIfTrue="1" operator="equal">
      <formula>"Towel"</formula>
    </cfRule>
    <cfRule type="cellIs" dxfId="14398" priority="2088" stopIfTrue="1" operator="equal">
      <formula>"Napkin Hs"</formula>
    </cfRule>
  </conditionalFormatting>
  <conditionalFormatting sqref="C96">
    <cfRule type="cellIs" dxfId="14397" priority="2086" stopIfTrue="1" operator="equal">
      <formula>"Napkin Hs"</formula>
    </cfRule>
  </conditionalFormatting>
  <conditionalFormatting sqref="C96">
    <cfRule type="cellIs" dxfId="14396" priority="2083" stopIfTrue="1" operator="equal">
      <formula>"Towel"</formula>
    </cfRule>
    <cfRule type="cellIs" dxfId="14395" priority="2084" stopIfTrue="1" operator="equal">
      <formula>"Napkin Hs"</formula>
    </cfRule>
  </conditionalFormatting>
  <conditionalFormatting sqref="C96">
    <cfRule type="cellIs" dxfId="14394" priority="2085" stopIfTrue="1" operator="equal">
      <formula>"Towel"</formula>
    </cfRule>
  </conditionalFormatting>
  <conditionalFormatting sqref="B98:C98">
    <cfRule type="cellIs" dxfId="14393" priority="2053" stopIfTrue="1" operator="equal">
      <formula>"Towel"</formula>
    </cfRule>
    <cfRule type="cellIs" dxfId="14392" priority="2054" stopIfTrue="1" operator="equal">
      <formula>"Napkin Hs"</formula>
    </cfRule>
    <cfRule type="cellIs" dxfId="14391" priority="2059" stopIfTrue="1" operator="equal">
      <formula>"Towel"</formula>
    </cfRule>
    <cfRule type="cellIs" dxfId="14390" priority="2060" stopIfTrue="1" operator="equal">
      <formula>"Napkin Hs"</formula>
    </cfRule>
    <cfRule type="cellIs" dxfId="14389" priority="2065" stopIfTrue="1" operator="equal">
      <formula>"Towel"</formula>
    </cfRule>
    <cfRule type="cellIs" dxfId="14388" priority="2066" stopIfTrue="1" operator="equal">
      <formula>"Napkin Hs"</formula>
    </cfRule>
    <cfRule type="cellIs" dxfId="14387" priority="2071" stopIfTrue="1" operator="equal">
      <formula>"Towel"</formula>
    </cfRule>
    <cfRule type="cellIs" dxfId="14386" priority="2072" stopIfTrue="1" operator="equal">
      <formula>"Napkin Hs"</formula>
    </cfRule>
    <cfRule type="cellIs" dxfId="14385" priority="2077" stopIfTrue="1" operator="equal">
      <formula>"Towel"</formula>
    </cfRule>
    <cfRule type="cellIs" dxfId="14384" priority="2078" stopIfTrue="1" operator="equal">
      <formula>"Napkin Hs"</formula>
    </cfRule>
    <cfRule type="cellIs" dxfId="14383" priority="2081" stopIfTrue="1" operator="equal">
      <formula>"Towel"</formula>
    </cfRule>
    <cfRule type="cellIs" dxfId="14382" priority="2082" stopIfTrue="1" operator="equal">
      <formula>"Napkin Hs"</formula>
    </cfRule>
  </conditionalFormatting>
  <conditionalFormatting sqref="C98">
    <cfRule type="cellIs" dxfId="14381" priority="2049" stopIfTrue="1" operator="equal">
      <formula>"Towel"</formula>
    </cfRule>
    <cfRule type="cellIs" dxfId="14380" priority="2050" stopIfTrue="1" operator="equal">
      <formula>"Napkin Hs"</formula>
    </cfRule>
  </conditionalFormatting>
  <conditionalFormatting sqref="C98">
    <cfRule type="cellIs" dxfId="14379" priority="2051" stopIfTrue="1" operator="equal">
      <formula>"Towel"</formula>
    </cfRule>
    <cfRule type="cellIs" dxfId="14378" priority="2052" stopIfTrue="1" operator="equal">
      <formula>"Napkin Hs"</formula>
    </cfRule>
    <cfRule type="cellIs" dxfId="14377" priority="2055" stopIfTrue="1" operator="equal">
      <formula>"Towel"</formula>
    </cfRule>
    <cfRule type="cellIs" dxfId="14376" priority="2056" stopIfTrue="1" operator="equal">
      <formula>"Napkin Hs"</formula>
    </cfRule>
    <cfRule type="cellIs" dxfId="14375" priority="2057" stopIfTrue="1" operator="equal">
      <formula>"Towel"</formula>
    </cfRule>
    <cfRule type="cellIs" dxfId="14374" priority="2058" stopIfTrue="1" operator="equal">
      <formula>"Napkin Hs"</formula>
    </cfRule>
    <cfRule type="cellIs" dxfId="14373" priority="2061" stopIfTrue="1" operator="equal">
      <formula>"Towel"</formula>
    </cfRule>
    <cfRule type="cellIs" dxfId="14372" priority="2062" stopIfTrue="1" operator="equal">
      <formula>"Napkin Hs"</formula>
    </cfRule>
    <cfRule type="cellIs" dxfId="14371" priority="2063" stopIfTrue="1" operator="equal">
      <formula>"Towel"</formula>
    </cfRule>
    <cfRule type="cellIs" dxfId="14370" priority="2064" stopIfTrue="1" operator="equal">
      <formula>"Napkin Hs"</formula>
    </cfRule>
    <cfRule type="cellIs" dxfId="14369" priority="2067" stopIfTrue="1" operator="equal">
      <formula>"Towel"</formula>
    </cfRule>
    <cfRule type="cellIs" dxfId="14368" priority="2068" stopIfTrue="1" operator="equal">
      <formula>"Napkin Hs"</formula>
    </cfRule>
    <cfRule type="cellIs" dxfId="14367" priority="2069" stopIfTrue="1" operator="equal">
      <formula>"Towel"</formula>
    </cfRule>
    <cfRule type="cellIs" dxfId="14366" priority="2070" stopIfTrue="1" operator="equal">
      <formula>"Napkin Hs"</formula>
    </cfRule>
    <cfRule type="cellIs" dxfId="14365" priority="2073" stopIfTrue="1" operator="equal">
      <formula>"Towel"</formula>
    </cfRule>
    <cfRule type="cellIs" dxfId="14364" priority="2074" stopIfTrue="1" operator="equal">
      <formula>"Napkin Hs"</formula>
    </cfRule>
    <cfRule type="cellIs" dxfId="14363" priority="2075" stopIfTrue="1" operator="equal">
      <formula>"Towel"</formula>
    </cfRule>
    <cfRule type="cellIs" dxfId="14362" priority="2076" stopIfTrue="1" operator="equal">
      <formula>"Napkin Hs"</formula>
    </cfRule>
    <cfRule type="cellIs" dxfId="14361" priority="2079" stopIfTrue="1" operator="equal">
      <formula>"Towel"</formula>
    </cfRule>
    <cfRule type="cellIs" dxfId="14360" priority="2080" stopIfTrue="1" operator="equal">
      <formula>"Napkin Hs"</formula>
    </cfRule>
  </conditionalFormatting>
  <conditionalFormatting sqref="B104:C104">
    <cfRule type="cellIs" dxfId="14359" priority="2047" stopIfTrue="1" operator="equal">
      <formula>"Towel"</formula>
    </cfRule>
    <cfRule type="cellIs" dxfId="14358" priority="2048" stopIfTrue="1" operator="equal">
      <formula>"Napkin Hs"</formula>
    </cfRule>
  </conditionalFormatting>
  <conditionalFormatting sqref="B103:C104">
    <cfRule type="cellIs" dxfId="14357" priority="2041" stopIfTrue="1" operator="equal">
      <formula>"Towel"</formula>
    </cfRule>
    <cfRule type="cellIs" dxfId="14356" priority="2042" stopIfTrue="1" operator="equal">
      <formula>"Napkin Hs"</formula>
    </cfRule>
  </conditionalFormatting>
  <conditionalFormatting sqref="B104:C104">
    <cfRule type="cellIs" dxfId="14355" priority="1995" stopIfTrue="1" operator="equal">
      <formula>"Towel"</formula>
    </cfRule>
    <cfRule type="cellIs" dxfId="14354" priority="1996" stopIfTrue="1" operator="equal">
      <formula>"Napkin Hs"</formula>
    </cfRule>
    <cfRule type="cellIs" dxfId="14353" priority="2001" stopIfTrue="1" operator="equal">
      <formula>"Towel"</formula>
    </cfRule>
    <cfRule type="cellIs" dxfId="14352" priority="2002" stopIfTrue="1" operator="equal">
      <formula>"Napkin Hs"</formula>
    </cfRule>
    <cfRule type="cellIs" dxfId="14351" priority="2007" stopIfTrue="1" operator="equal">
      <formula>"Towel"</formula>
    </cfRule>
    <cfRule type="cellIs" dxfId="14350" priority="2008" stopIfTrue="1" operator="equal">
      <formula>"Napkin Hs"</formula>
    </cfRule>
    <cfRule type="cellIs" dxfId="14349" priority="2013" stopIfTrue="1" operator="equal">
      <formula>"Towel"</formula>
    </cfRule>
    <cfRule type="cellIs" dxfId="14348" priority="2014" stopIfTrue="1" operator="equal">
      <formula>"Napkin Hs"</formula>
    </cfRule>
    <cfRule type="cellIs" dxfId="14347" priority="2019" stopIfTrue="1" operator="equal">
      <formula>"Towel"</formula>
    </cfRule>
    <cfRule type="cellIs" dxfId="14346" priority="2020" stopIfTrue="1" operator="equal">
      <formula>"Napkin Hs"</formula>
    </cfRule>
    <cfRule type="cellIs" dxfId="14345" priority="2025" stopIfTrue="1" operator="equal">
      <formula>"Towel"</formula>
    </cfRule>
    <cfRule type="cellIs" dxfId="14344" priority="2026" stopIfTrue="1" operator="equal">
      <formula>"Napkin Hs"</formula>
    </cfRule>
    <cfRule type="cellIs" dxfId="14343" priority="2031" stopIfTrue="1" operator="equal">
      <formula>"Towel"</formula>
    </cfRule>
    <cfRule type="cellIs" dxfId="14342" priority="2032" stopIfTrue="1" operator="equal">
      <formula>"Napkin Hs"</formula>
    </cfRule>
    <cfRule type="cellIs" dxfId="14341" priority="2037" stopIfTrue="1" operator="equal">
      <formula>"Towel"</formula>
    </cfRule>
    <cfRule type="cellIs" dxfId="14340" priority="2038" stopIfTrue="1" operator="equal">
      <formula>"Napkin Hs"</formula>
    </cfRule>
  </conditionalFormatting>
  <conditionalFormatting sqref="B105:C106">
    <cfRule type="cellIs" dxfId="14339" priority="1943" stopIfTrue="1" operator="equal">
      <formula>"Towel"</formula>
    </cfRule>
    <cfRule type="cellIs" dxfId="14338" priority="1944" stopIfTrue="1" operator="equal">
      <formula>"Napkin Hs"</formula>
    </cfRule>
    <cfRule type="cellIs" dxfId="14337" priority="1949" stopIfTrue="1" operator="equal">
      <formula>"Towel"</formula>
    </cfRule>
    <cfRule type="cellIs" dxfId="14336" priority="1950" stopIfTrue="1" operator="equal">
      <formula>"Napkin Hs"</formula>
    </cfRule>
    <cfRule type="cellIs" dxfId="14335" priority="1955" stopIfTrue="1" operator="equal">
      <formula>"Towel"</formula>
    </cfRule>
    <cfRule type="cellIs" dxfId="14334" priority="1956" stopIfTrue="1" operator="equal">
      <formula>"Napkin Hs"</formula>
    </cfRule>
    <cfRule type="cellIs" dxfId="14333" priority="1961" stopIfTrue="1" operator="equal">
      <formula>"Towel"</formula>
    </cfRule>
    <cfRule type="cellIs" dxfId="14332" priority="1962" stopIfTrue="1" operator="equal">
      <formula>"Napkin Hs"</formula>
    </cfRule>
    <cfRule type="cellIs" dxfId="14331" priority="1967" stopIfTrue="1" operator="equal">
      <formula>"Towel"</formula>
    </cfRule>
    <cfRule type="cellIs" dxfId="14330" priority="1968" stopIfTrue="1" operator="equal">
      <formula>"Napkin Hs"</formula>
    </cfRule>
    <cfRule type="cellIs" dxfId="14329" priority="1973" stopIfTrue="1" operator="equal">
      <formula>"Towel"</formula>
    </cfRule>
    <cfRule type="cellIs" dxfId="14328" priority="1974" stopIfTrue="1" operator="equal">
      <formula>"Napkin Hs"</formula>
    </cfRule>
    <cfRule type="cellIs" dxfId="14327" priority="1979" stopIfTrue="1" operator="equal">
      <formula>"Towel"</formula>
    </cfRule>
    <cfRule type="cellIs" dxfId="14326" priority="1980" stopIfTrue="1" operator="equal">
      <formula>"Napkin Hs"</formula>
    </cfRule>
    <cfRule type="cellIs" dxfId="14325" priority="1985" stopIfTrue="1" operator="equal">
      <formula>"Towel"</formula>
    </cfRule>
    <cfRule type="cellIs" dxfId="14324" priority="1986" stopIfTrue="1" operator="equal">
      <formula>"Napkin Hs"</formula>
    </cfRule>
  </conditionalFormatting>
  <conditionalFormatting sqref="B105:C106">
    <cfRule type="cellIs" dxfId="14323" priority="1991" stopIfTrue="1" operator="equal">
      <formula>"Towel"</formula>
    </cfRule>
    <cfRule type="cellIs" dxfId="14322" priority="1992" stopIfTrue="1" operator="equal">
      <formula>"Napkin Hs"</formula>
    </cfRule>
  </conditionalFormatting>
  <conditionalFormatting sqref="C104">
    <cfRule type="cellIs" dxfId="14321" priority="2046" stopIfTrue="1" operator="equal">
      <formula>"Napkin Hs"</formula>
    </cfRule>
  </conditionalFormatting>
  <conditionalFormatting sqref="C104">
    <cfRule type="cellIs" dxfId="14320" priority="2045" stopIfTrue="1" operator="equal">
      <formula>"Towel"</formula>
    </cfRule>
  </conditionalFormatting>
  <conditionalFormatting sqref="C103:C104">
    <cfRule type="cellIs" dxfId="14319" priority="2039" stopIfTrue="1" operator="equal">
      <formula>"Towel"</formula>
    </cfRule>
    <cfRule type="cellIs" dxfId="14318" priority="2040" stopIfTrue="1" operator="equal">
      <formula>"Napkin Hs"</formula>
    </cfRule>
  </conditionalFormatting>
  <conditionalFormatting sqref="C103:C104">
    <cfRule type="cellIs" dxfId="14317" priority="2043" stopIfTrue="1" operator="equal">
      <formula>"Towel"</formula>
    </cfRule>
    <cfRule type="cellIs" dxfId="14316" priority="2044" stopIfTrue="1" operator="equal">
      <formula>"Napkin Hs"</formula>
    </cfRule>
  </conditionalFormatting>
  <conditionalFormatting sqref="C104">
    <cfRule type="cellIs" dxfId="14315" priority="1993" stopIfTrue="1" operator="equal">
      <formula>"Towel"</formula>
    </cfRule>
    <cfRule type="cellIs" dxfId="14314" priority="1994" stopIfTrue="1" operator="equal">
      <formula>"Napkin Hs"</formula>
    </cfRule>
    <cfRule type="cellIs" dxfId="14313" priority="1997" stopIfTrue="1" operator="equal">
      <formula>"Towel"</formula>
    </cfRule>
    <cfRule type="cellIs" dxfId="14312" priority="1998" stopIfTrue="1" operator="equal">
      <formula>"Napkin Hs"</formula>
    </cfRule>
    <cfRule type="cellIs" dxfId="14311" priority="1999" stopIfTrue="1" operator="equal">
      <formula>"Towel"</formula>
    </cfRule>
    <cfRule type="cellIs" dxfId="14310" priority="2000" stopIfTrue="1" operator="equal">
      <formula>"Napkin Hs"</formula>
    </cfRule>
    <cfRule type="cellIs" dxfId="14309" priority="2003" stopIfTrue="1" operator="equal">
      <formula>"Towel"</formula>
    </cfRule>
    <cfRule type="cellIs" dxfId="14308" priority="2004" stopIfTrue="1" operator="equal">
      <formula>"Napkin Hs"</formula>
    </cfRule>
    <cfRule type="cellIs" dxfId="14307" priority="2005" stopIfTrue="1" operator="equal">
      <formula>"Towel"</formula>
    </cfRule>
    <cfRule type="cellIs" dxfId="14306" priority="2006" stopIfTrue="1" operator="equal">
      <formula>"Napkin Hs"</formula>
    </cfRule>
    <cfRule type="cellIs" dxfId="14305" priority="2009" stopIfTrue="1" operator="equal">
      <formula>"Towel"</formula>
    </cfRule>
    <cfRule type="cellIs" dxfId="14304" priority="2010" stopIfTrue="1" operator="equal">
      <formula>"Napkin Hs"</formula>
    </cfRule>
    <cfRule type="cellIs" dxfId="14303" priority="2011" stopIfTrue="1" operator="equal">
      <formula>"Towel"</formula>
    </cfRule>
    <cfRule type="cellIs" dxfId="14302" priority="2012" stopIfTrue="1" operator="equal">
      <formula>"Napkin Hs"</formula>
    </cfRule>
    <cfRule type="cellIs" dxfId="14301" priority="2015" stopIfTrue="1" operator="equal">
      <formula>"Towel"</formula>
    </cfRule>
    <cfRule type="cellIs" dxfId="14300" priority="2016" stopIfTrue="1" operator="equal">
      <formula>"Napkin Hs"</formula>
    </cfRule>
    <cfRule type="cellIs" dxfId="14299" priority="2017" stopIfTrue="1" operator="equal">
      <formula>"Towel"</formula>
    </cfRule>
    <cfRule type="cellIs" dxfId="14298" priority="2018" stopIfTrue="1" operator="equal">
      <formula>"Napkin Hs"</formula>
    </cfRule>
    <cfRule type="cellIs" dxfId="14297" priority="2021" stopIfTrue="1" operator="equal">
      <formula>"Towel"</formula>
    </cfRule>
    <cfRule type="cellIs" dxfId="14296" priority="2022" stopIfTrue="1" operator="equal">
      <formula>"Napkin Hs"</formula>
    </cfRule>
    <cfRule type="cellIs" dxfId="14295" priority="2023" stopIfTrue="1" operator="equal">
      <formula>"Towel"</formula>
    </cfRule>
    <cfRule type="cellIs" dxfId="14294" priority="2024" stopIfTrue="1" operator="equal">
      <formula>"Napkin Hs"</formula>
    </cfRule>
    <cfRule type="cellIs" dxfId="14293" priority="2027" stopIfTrue="1" operator="equal">
      <formula>"Towel"</formula>
    </cfRule>
    <cfRule type="cellIs" dxfId="14292" priority="2028" stopIfTrue="1" operator="equal">
      <formula>"Napkin Hs"</formula>
    </cfRule>
    <cfRule type="cellIs" dxfId="14291" priority="2029" stopIfTrue="1" operator="equal">
      <formula>"Towel"</formula>
    </cfRule>
    <cfRule type="cellIs" dxfId="14290" priority="2030" stopIfTrue="1" operator="equal">
      <formula>"Napkin Hs"</formula>
    </cfRule>
    <cfRule type="cellIs" dxfId="14289" priority="2033" stopIfTrue="1" operator="equal">
      <formula>"Towel"</formula>
    </cfRule>
    <cfRule type="cellIs" dxfId="14288" priority="2034" stopIfTrue="1" operator="equal">
      <formula>"Napkin Hs"</formula>
    </cfRule>
    <cfRule type="cellIs" dxfId="14287" priority="2035" stopIfTrue="1" operator="equal">
      <formula>"Towel"</formula>
    </cfRule>
    <cfRule type="cellIs" dxfId="14286" priority="2036" stopIfTrue="1" operator="equal">
      <formula>"Napkin Hs"</formula>
    </cfRule>
  </conditionalFormatting>
  <conditionalFormatting sqref="C104:C106">
    <cfRule type="cellIs" dxfId="14285" priority="1989" stopIfTrue="1" operator="equal">
      <formula>"Towel"</formula>
    </cfRule>
    <cfRule type="cellIs" dxfId="14284" priority="1990" stopIfTrue="1" operator="equal">
      <formula>"Napkin Hs"</formula>
    </cfRule>
  </conditionalFormatting>
  <conditionalFormatting sqref="C105:C106">
    <cfRule type="cellIs" dxfId="14283" priority="1939" stopIfTrue="1" operator="equal">
      <formula>"Towel"</formula>
    </cfRule>
    <cfRule type="cellIs" dxfId="14282" priority="1940" stopIfTrue="1" operator="equal">
      <formula>"Napkin Hs"</formula>
    </cfRule>
    <cfRule type="cellIs" dxfId="14281" priority="1941" stopIfTrue="1" operator="equal">
      <formula>"Towel"</formula>
    </cfRule>
    <cfRule type="cellIs" dxfId="14280" priority="1942" stopIfTrue="1" operator="equal">
      <formula>"Napkin Hs"</formula>
    </cfRule>
    <cfRule type="cellIs" dxfId="14279" priority="1945" stopIfTrue="1" operator="equal">
      <formula>"Towel"</formula>
    </cfRule>
    <cfRule type="cellIs" dxfId="14278" priority="1946" stopIfTrue="1" operator="equal">
      <formula>"Napkin Hs"</formula>
    </cfRule>
    <cfRule type="cellIs" dxfId="14277" priority="1947" stopIfTrue="1" operator="equal">
      <formula>"Towel"</formula>
    </cfRule>
    <cfRule type="cellIs" dxfId="14276" priority="1948" stopIfTrue="1" operator="equal">
      <formula>"Napkin Hs"</formula>
    </cfRule>
    <cfRule type="cellIs" dxfId="14275" priority="1951" stopIfTrue="1" operator="equal">
      <formula>"Towel"</formula>
    </cfRule>
    <cfRule type="cellIs" dxfId="14274" priority="1952" stopIfTrue="1" operator="equal">
      <formula>"Napkin Hs"</formula>
    </cfRule>
    <cfRule type="cellIs" dxfId="14273" priority="1953" stopIfTrue="1" operator="equal">
      <formula>"Towel"</formula>
    </cfRule>
    <cfRule type="cellIs" dxfId="14272" priority="1954" stopIfTrue="1" operator="equal">
      <formula>"Napkin Hs"</formula>
    </cfRule>
    <cfRule type="cellIs" dxfId="14271" priority="1957" stopIfTrue="1" operator="equal">
      <formula>"Towel"</formula>
    </cfRule>
    <cfRule type="cellIs" dxfId="14270" priority="1958" stopIfTrue="1" operator="equal">
      <formula>"Napkin Hs"</formula>
    </cfRule>
    <cfRule type="cellIs" dxfId="14269" priority="1959" stopIfTrue="1" operator="equal">
      <formula>"Towel"</formula>
    </cfRule>
    <cfRule type="cellIs" dxfId="14268" priority="1960" stopIfTrue="1" operator="equal">
      <formula>"Napkin Hs"</formula>
    </cfRule>
    <cfRule type="cellIs" dxfId="14267" priority="1963" stopIfTrue="1" operator="equal">
      <formula>"Towel"</formula>
    </cfRule>
    <cfRule type="cellIs" dxfId="14266" priority="1964" stopIfTrue="1" operator="equal">
      <formula>"Napkin Hs"</formula>
    </cfRule>
    <cfRule type="cellIs" dxfId="14265" priority="1965" stopIfTrue="1" operator="equal">
      <formula>"Towel"</formula>
    </cfRule>
    <cfRule type="cellIs" dxfId="14264" priority="1966" stopIfTrue="1" operator="equal">
      <formula>"Napkin Hs"</formula>
    </cfRule>
    <cfRule type="cellIs" dxfId="14263" priority="1969" stopIfTrue="1" operator="equal">
      <formula>"Towel"</formula>
    </cfRule>
    <cfRule type="cellIs" dxfId="14262" priority="1970" stopIfTrue="1" operator="equal">
      <formula>"Napkin Hs"</formula>
    </cfRule>
    <cfRule type="cellIs" dxfId="14261" priority="1971" stopIfTrue="1" operator="equal">
      <formula>"Towel"</formula>
    </cfRule>
    <cfRule type="cellIs" dxfId="14260" priority="1972" stopIfTrue="1" operator="equal">
      <formula>"Napkin Hs"</formula>
    </cfRule>
    <cfRule type="cellIs" dxfId="14259" priority="1975" stopIfTrue="1" operator="equal">
      <formula>"Towel"</formula>
    </cfRule>
    <cfRule type="cellIs" dxfId="14258" priority="1976" stopIfTrue="1" operator="equal">
      <formula>"Napkin Hs"</formula>
    </cfRule>
    <cfRule type="cellIs" dxfId="14257" priority="1977" stopIfTrue="1" operator="equal">
      <formula>"Towel"</formula>
    </cfRule>
    <cfRule type="cellIs" dxfId="14256" priority="1978" stopIfTrue="1" operator="equal">
      <formula>"Napkin Hs"</formula>
    </cfRule>
    <cfRule type="cellIs" dxfId="14255" priority="1981" stopIfTrue="1" operator="equal">
      <formula>"Towel"</formula>
    </cfRule>
    <cfRule type="cellIs" dxfId="14254" priority="1982" stopIfTrue="1" operator="equal">
      <formula>"Napkin Hs"</formula>
    </cfRule>
    <cfRule type="cellIs" dxfId="14253" priority="1983" stopIfTrue="1" operator="equal">
      <formula>"Towel"</formula>
    </cfRule>
    <cfRule type="cellIs" dxfId="14252" priority="1984" stopIfTrue="1" operator="equal">
      <formula>"Napkin Hs"</formula>
    </cfRule>
    <cfRule type="cellIs" dxfId="14251" priority="1987" stopIfTrue="1" operator="equal">
      <formula>"Towel"</formula>
    </cfRule>
    <cfRule type="cellIs" dxfId="14250" priority="1988" stopIfTrue="1" operator="equal">
      <formula>"Napkin Hs"</formula>
    </cfRule>
  </conditionalFormatting>
  <conditionalFormatting sqref="B106:C106">
    <cfRule type="cellIs" dxfId="14249" priority="1907" stopIfTrue="1" operator="equal">
      <formula>"Towel"</formula>
    </cfRule>
    <cfRule type="cellIs" dxfId="14248" priority="1908" stopIfTrue="1" operator="equal">
      <formula>"Napkin Hs"</formula>
    </cfRule>
    <cfRule type="cellIs" dxfId="14247" priority="1913" stopIfTrue="1" operator="equal">
      <formula>"Towel"</formula>
    </cfRule>
    <cfRule type="cellIs" dxfId="14246" priority="1914" stopIfTrue="1" operator="equal">
      <formula>"Napkin Hs"</formula>
    </cfRule>
    <cfRule type="cellIs" dxfId="14245" priority="1919" stopIfTrue="1" operator="equal">
      <formula>"Towel"</formula>
    </cfRule>
    <cfRule type="cellIs" dxfId="14244" priority="1920" stopIfTrue="1" operator="equal">
      <formula>"Napkin Hs"</formula>
    </cfRule>
    <cfRule type="cellIs" dxfId="14243" priority="1925" stopIfTrue="1" operator="equal">
      <formula>"Towel"</formula>
    </cfRule>
    <cfRule type="cellIs" dxfId="14242" priority="1926" stopIfTrue="1" operator="equal">
      <formula>"Napkin Hs"</formula>
    </cfRule>
    <cfRule type="cellIs" dxfId="14241" priority="1931" stopIfTrue="1" operator="equal">
      <formula>"Towel"</formula>
    </cfRule>
    <cfRule type="cellIs" dxfId="14240" priority="1932" stopIfTrue="1" operator="equal">
      <formula>"Napkin Hs"</formula>
    </cfRule>
  </conditionalFormatting>
  <conditionalFormatting sqref="B106:C106">
    <cfRule type="cellIs" dxfId="14239" priority="1937" stopIfTrue="1" operator="equal">
      <formula>"Towel"</formula>
    </cfRule>
    <cfRule type="cellIs" dxfId="14238" priority="1938" stopIfTrue="1" operator="equal">
      <formula>"Napkin Hs"</formula>
    </cfRule>
  </conditionalFormatting>
  <conditionalFormatting sqref="C106">
    <cfRule type="cellIs" dxfId="14237" priority="1903" stopIfTrue="1" operator="equal">
      <formula>"Towel"</formula>
    </cfRule>
    <cfRule type="cellIs" dxfId="14236" priority="1904" stopIfTrue="1" operator="equal">
      <formula>"Napkin Hs"</formula>
    </cfRule>
  </conditionalFormatting>
  <conditionalFormatting sqref="C106">
    <cfRule type="cellIs" dxfId="14235" priority="1905" stopIfTrue="1" operator="equal">
      <formula>"Towel"</formula>
    </cfRule>
    <cfRule type="cellIs" dxfId="14234" priority="1906" stopIfTrue="1" operator="equal">
      <formula>"Napkin Hs"</formula>
    </cfRule>
    <cfRule type="cellIs" dxfId="14233" priority="1909" stopIfTrue="1" operator="equal">
      <formula>"Towel"</formula>
    </cfRule>
    <cfRule type="cellIs" dxfId="14232" priority="1910" stopIfTrue="1" operator="equal">
      <formula>"Napkin Hs"</formula>
    </cfRule>
    <cfRule type="cellIs" dxfId="14231" priority="1911" stopIfTrue="1" operator="equal">
      <formula>"Towel"</formula>
    </cfRule>
    <cfRule type="cellIs" dxfId="14230" priority="1912" stopIfTrue="1" operator="equal">
      <formula>"Napkin Hs"</formula>
    </cfRule>
    <cfRule type="cellIs" dxfId="14229" priority="1915" stopIfTrue="1" operator="equal">
      <formula>"Towel"</formula>
    </cfRule>
    <cfRule type="cellIs" dxfId="14228" priority="1916" stopIfTrue="1" operator="equal">
      <formula>"Napkin Hs"</formula>
    </cfRule>
    <cfRule type="cellIs" dxfId="14227" priority="1917" stopIfTrue="1" operator="equal">
      <formula>"Towel"</formula>
    </cfRule>
    <cfRule type="cellIs" dxfId="14226" priority="1918" stopIfTrue="1" operator="equal">
      <formula>"Napkin Hs"</formula>
    </cfRule>
    <cfRule type="cellIs" dxfId="14225" priority="1921" stopIfTrue="1" operator="equal">
      <formula>"Towel"</formula>
    </cfRule>
    <cfRule type="cellIs" dxfId="14224" priority="1922" stopIfTrue="1" operator="equal">
      <formula>"Napkin Hs"</formula>
    </cfRule>
    <cfRule type="cellIs" dxfId="14223" priority="1923" stopIfTrue="1" operator="equal">
      <formula>"Towel"</formula>
    </cfRule>
    <cfRule type="cellIs" dxfId="14222" priority="1924" stopIfTrue="1" operator="equal">
      <formula>"Napkin Hs"</formula>
    </cfRule>
    <cfRule type="cellIs" dxfId="14221" priority="1927" stopIfTrue="1" operator="equal">
      <formula>"Towel"</formula>
    </cfRule>
    <cfRule type="cellIs" dxfId="14220" priority="1928" stopIfTrue="1" operator="equal">
      <formula>"Napkin Hs"</formula>
    </cfRule>
    <cfRule type="cellIs" dxfId="14219" priority="1929" stopIfTrue="1" operator="equal">
      <formula>"Towel"</formula>
    </cfRule>
    <cfRule type="cellIs" dxfId="14218" priority="1930" stopIfTrue="1" operator="equal">
      <formula>"Napkin Hs"</formula>
    </cfRule>
    <cfRule type="cellIs" dxfId="14217" priority="1933" stopIfTrue="1" operator="equal">
      <formula>"Towel"</formula>
    </cfRule>
    <cfRule type="cellIs" dxfId="14216" priority="1934" stopIfTrue="1" operator="equal">
      <formula>"Napkin Hs"</formula>
    </cfRule>
  </conditionalFormatting>
  <conditionalFormatting sqref="C106">
    <cfRule type="cellIs" dxfId="14215" priority="1935" stopIfTrue="1" operator="equal">
      <formula>"Towel"</formula>
    </cfRule>
    <cfRule type="cellIs" dxfId="14214" priority="1936" stopIfTrue="1" operator="equal">
      <formula>"Napkin Hs"</formula>
    </cfRule>
  </conditionalFormatting>
  <conditionalFormatting sqref="B103:C103">
    <cfRule type="cellIs" dxfId="14213" priority="1867" stopIfTrue="1" operator="equal">
      <formula>"Towel"</formula>
    </cfRule>
    <cfRule type="cellIs" dxfId="14212" priority="1868" stopIfTrue="1" operator="equal">
      <formula>"Napkin Hs"</formula>
    </cfRule>
    <cfRule type="cellIs" dxfId="14211" priority="1873" stopIfTrue="1" operator="equal">
      <formula>"Towel"</formula>
    </cfRule>
    <cfRule type="cellIs" dxfId="14210" priority="1874" stopIfTrue="1" operator="equal">
      <formula>"Napkin Hs"</formula>
    </cfRule>
    <cfRule type="cellIs" dxfId="14209" priority="1879" stopIfTrue="1" operator="equal">
      <formula>"Towel"</formula>
    </cfRule>
    <cfRule type="cellIs" dxfId="14208" priority="1880" stopIfTrue="1" operator="equal">
      <formula>"Napkin Hs"</formula>
    </cfRule>
    <cfRule type="cellIs" dxfId="14207" priority="1885" stopIfTrue="1" operator="equal">
      <formula>"Towel"</formula>
    </cfRule>
    <cfRule type="cellIs" dxfId="14206" priority="1886" stopIfTrue="1" operator="equal">
      <formula>"Napkin Hs"</formula>
    </cfRule>
    <cfRule type="cellIs" dxfId="14205" priority="1891" stopIfTrue="1" operator="equal">
      <formula>"Towel"</formula>
    </cfRule>
    <cfRule type="cellIs" dxfId="14204" priority="1892" stopIfTrue="1" operator="equal">
      <formula>"Napkin Hs"</formula>
    </cfRule>
    <cfRule type="cellIs" dxfId="14203" priority="1897" stopIfTrue="1" operator="equal">
      <formula>"Towel"</formula>
    </cfRule>
    <cfRule type="cellIs" dxfId="14202" priority="1898" stopIfTrue="1" operator="equal">
      <formula>"Napkin Hs"</formula>
    </cfRule>
  </conditionalFormatting>
  <conditionalFormatting sqref="B104:C104">
    <cfRule type="cellIs" dxfId="14201" priority="1901" stopIfTrue="1" operator="equal">
      <formula>"Towel"</formula>
    </cfRule>
    <cfRule type="cellIs" dxfId="14200" priority="1902" stopIfTrue="1" operator="equal">
      <formula>"Napkin Hs"</formula>
    </cfRule>
  </conditionalFormatting>
  <conditionalFormatting sqref="C103">
    <cfRule type="cellIs" dxfId="14199" priority="1863" stopIfTrue="1" operator="equal">
      <formula>"Towel"</formula>
    </cfRule>
    <cfRule type="cellIs" dxfId="14198" priority="1864" stopIfTrue="1" operator="equal">
      <formula>"Napkin Hs"</formula>
    </cfRule>
  </conditionalFormatting>
  <conditionalFormatting sqref="C103">
    <cfRule type="cellIs" dxfId="14197" priority="1865" stopIfTrue="1" operator="equal">
      <formula>"Towel"</formula>
    </cfRule>
    <cfRule type="cellIs" dxfId="14196" priority="1866" stopIfTrue="1" operator="equal">
      <formula>"Napkin Hs"</formula>
    </cfRule>
    <cfRule type="cellIs" dxfId="14195" priority="1869" stopIfTrue="1" operator="equal">
      <formula>"Towel"</formula>
    </cfRule>
    <cfRule type="cellIs" dxfId="14194" priority="1870" stopIfTrue="1" operator="equal">
      <formula>"Napkin Hs"</formula>
    </cfRule>
    <cfRule type="cellIs" dxfId="14193" priority="1871" stopIfTrue="1" operator="equal">
      <formula>"Towel"</formula>
    </cfRule>
    <cfRule type="cellIs" dxfId="14192" priority="1872" stopIfTrue="1" operator="equal">
      <formula>"Napkin Hs"</formula>
    </cfRule>
    <cfRule type="cellIs" dxfId="14191" priority="1875" stopIfTrue="1" operator="equal">
      <formula>"Towel"</formula>
    </cfRule>
    <cfRule type="cellIs" dxfId="14190" priority="1876" stopIfTrue="1" operator="equal">
      <formula>"Napkin Hs"</formula>
    </cfRule>
    <cfRule type="cellIs" dxfId="14189" priority="1877" stopIfTrue="1" operator="equal">
      <formula>"Towel"</formula>
    </cfRule>
    <cfRule type="cellIs" dxfId="14188" priority="1878" stopIfTrue="1" operator="equal">
      <formula>"Napkin Hs"</formula>
    </cfRule>
    <cfRule type="cellIs" dxfId="14187" priority="1881" stopIfTrue="1" operator="equal">
      <formula>"Towel"</formula>
    </cfRule>
    <cfRule type="cellIs" dxfId="14186" priority="1882" stopIfTrue="1" operator="equal">
      <formula>"Napkin Hs"</formula>
    </cfRule>
    <cfRule type="cellIs" dxfId="14185" priority="1883" stopIfTrue="1" operator="equal">
      <formula>"Towel"</formula>
    </cfRule>
    <cfRule type="cellIs" dxfId="14184" priority="1884" stopIfTrue="1" operator="equal">
      <formula>"Napkin Hs"</formula>
    </cfRule>
    <cfRule type="cellIs" dxfId="14183" priority="1887" stopIfTrue="1" operator="equal">
      <formula>"Towel"</formula>
    </cfRule>
    <cfRule type="cellIs" dxfId="14182" priority="1888" stopIfTrue="1" operator="equal">
      <formula>"Napkin Hs"</formula>
    </cfRule>
    <cfRule type="cellIs" dxfId="14181" priority="1889" stopIfTrue="1" operator="equal">
      <formula>"Towel"</formula>
    </cfRule>
    <cfRule type="cellIs" dxfId="14180" priority="1890" stopIfTrue="1" operator="equal">
      <formula>"Napkin Hs"</formula>
    </cfRule>
    <cfRule type="cellIs" dxfId="14179" priority="1893" stopIfTrue="1" operator="equal">
      <formula>"Towel"</formula>
    </cfRule>
    <cfRule type="cellIs" dxfId="14178" priority="1894" stopIfTrue="1" operator="equal">
      <formula>"Napkin Hs"</formula>
    </cfRule>
  </conditionalFormatting>
  <conditionalFormatting sqref="C103:C104">
    <cfRule type="cellIs" dxfId="14177" priority="1895" stopIfTrue="1" operator="equal">
      <formula>"Towel"</formula>
    </cfRule>
    <cfRule type="cellIs" dxfId="14176" priority="1896" stopIfTrue="1" operator="equal">
      <formula>"Napkin Hs"</formula>
    </cfRule>
  </conditionalFormatting>
  <conditionalFormatting sqref="C104">
    <cfRule type="cellIs" dxfId="14175" priority="1899" stopIfTrue="1" operator="equal">
      <formula>"Towel"</formula>
    </cfRule>
    <cfRule type="cellIs" dxfId="14174" priority="1900" stopIfTrue="1" operator="equal">
      <formula>"Napkin Hs"</formula>
    </cfRule>
  </conditionalFormatting>
  <conditionalFormatting sqref="B103:C104">
    <cfRule type="cellIs" dxfId="14173" priority="1861" stopIfTrue="1" operator="equal">
      <formula>"Towel"</formula>
    </cfRule>
    <cfRule type="cellIs" dxfId="14172" priority="1862" stopIfTrue="1" operator="equal">
      <formula>"Napkin Hs"</formula>
    </cfRule>
  </conditionalFormatting>
  <conditionalFormatting sqref="C103:C104">
    <cfRule type="cellIs" dxfId="14171" priority="1857" stopIfTrue="1" operator="equal">
      <formula>"Towel"</formula>
    </cfRule>
    <cfRule type="cellIs" dxfId="14170" priority="1858" stopIfTrue="1" operator="equal">
      <formula>"Napkin Hs"</formula>
    </cfRule>
  </conditionalFormatting>
  <conditionalFormatting sqref="C103:C104">
    <cfRule type="cellIs" dxfId="14169" priority="1859" stopIfTrue="1" operator="equal">
      <formula>"Towel"</formula>
    </cfRule>
    <cfRule type="cellIs" dxfId="14168" priority="1860" stopIfTrue="1" operator="equal">
      <formula>"Napkin Hs"</formula>
    </cfRule>
  </conditionalFormatting>
  <conditionalFormatting sqref="B103:C104">
    <cfRule type="cellIs" dxfId="14167" priority="1813" stopIfTrue="1" operator="equal">
      <formula>"Towel"</formula>
    </cfRule>
    <cfRule type="cellIs" dxfId="14166" priority="1814" stopIfTrue="1" operator="equal">
      <formula>"Napkin Hs"</formula>
    </cfRule>
    <cfRule type="cellIs" dxfId="14165" priority="1819" stopIfTrue="1" operator="equal">
      <formula>"Towel"</formula>
    </cfRule>
    <cfRule type="cellIs" dxfId="14164" priority="1820" stopIfTrue="1" operator="equal">
      <formula>"Napkin Hs"</formula>
    </cfRule>
    <cfRule type="cellIs" dxfId="14163" priority="1825" stopIfTrue="1" operator="equal">
      <formula>"Towel"</formula>
    </cfRule>
    <cfRule type="cellIs" dxfId="14162" priority="1826" stopIfTrue="1" operator="equal">
      <formula>"Napkin Hs"</formula>
    </cfRule>
    <cfRule type="cellIs" dxfId="14161" priority="1831" stopIfTrue="1" operator="equal">
      <formula>"Towel"</formula>
    </cfRule>
    <cfRule type="cellIs" dxfId="14160" priority="1832" stopIfTrue="1" operator="equal">
      <formula>"Napkin Hs"</formula>
    </cfRule>
    <cfRule type="cellIs" dxfId="14159" priority="1837" stopIfTrue="1" operator="equal">
      <formula>"Towel"</formula>
    </cfRule>
    <cfRule type="cellIs" dxfId="14158" priority="1838" stopIfTrue="1" operator="equal">
      <formula>"Napkin Hs"</formula>
    </cfRule>
    <cfRule type="cellIs" dxfId="14157" priority="1843" stopIfTrue="1" operator="equal">
      <formula>"Towel"</formula>
    </cfRule>
    <cfRule type="cellIs" dxfId="14156" priority="1844" stopIfTrue="1" operator="equal">
      <formula>"Napkin Hs"</formula>
    </cfRule>
    <cfRule type="cellIs" dxfId="14155" priority="1849" stopIfTrue="1" operator="equal">
      <formula>"Towel"</formula>
    </cfRule>
    <cfRule type="cellIs" dxfId="14154" priority="1850" stopIfTrue="1" operator="equal">
      <formula>"Napkin Hs"</formula>
    </cfRule>
    <cfRule type="cellIs" dxfId="14153" priority="1855" stopIfTrue="1" operator="equal">
      <formula>"Towel"</formula>
    </cfRule>
    <cfRule type="cellIs" dxfId="14152" priority="1856" stopIfTrue="1" operator="equal">
      <formula>"Napkin Hs"</formula>
    </cfRule>
  </conditionalFormatting>
  <conditionalFormatting sqref="C103:C104">
    <cfRule type="cellIs" dxfId="14151" priority="1809" stopIfTrue="1" operator="equal">
      <formula>"Towel"</formula>
    </cfRule>
    <cfRule type="cellIs" dxfId="14150" priority="1810" stopIfTrue="1" operator="equal">
      <formula>"Napkin Hs"</formula>
    </cfRule>
    <cfRule type="cellIs" dxfId="14149" priority="1811" stopIfTrue="1" operator="equal">
      <formula>"Towel"</formula>
    </cfRule>
    <cfRule type="cellIs" dxfId="14148" priority="1812" stopIfTrue="1" operator="equal">
      <formula>"Napkin Hs"</formula>
    </cfRule>
    <cfRule type="cellIs" dxfId="14147" priority="1815" stopIfTrue="1" operator="equal">
      <formula>"Towel"</formula>
    </cfRule>
    <cfRule type="cellIs" dxfId="14146" priority="1816" stopIfTrue="1" operator="equal">
      <formula>"Napkin Hs"</formula>
    </cfRule>
    <cfRule type="cellIs" dxfId="14145" priority="1817" stopIfTrue="1" operator="equal">
      <formula>"Towel"</formula>
    </cfRule>
    <cfRule type="cellIs" dxfId="14144" priority="1818" stopIfTrue="1" operator="equal">
      <formula>"Napkin Hs"</formula>
    </cfRule>
    <cfRule type="cellIs" dxfId="14143" priority="1821" stopIfTrue="1" operator="equal">
      <formula>"Towel"</formula>
    </cfRule>
    <cfRule type="cellIs" dxfId="14142" priority="1822" stopIfTrue="1" operator="equal">
      <formula>"Napkin Hs"</formula>
    </cfRule>
    <cfRule type="cellIs" dxfId="14141" priority="1823" stopIfTrue="1" operator="equal">
      <formula>"Towel"</formula>
    </cfRule>
    <cfRule type="cellIs" dxfId="14140" priority="1824" stopIfTrue="1" operator="equal">
      <formula>"Napkin Hs"</formula>
    </cfRule>
    <cfRule type="cellIs" dxfId="14139" priority="1827" stopIfTrue="1" operator="equal">
      <formula>"Towel"</formula>
    </cfRule>
    <cfRule type="cellIs" dxfId="14138" priority="1828" stopIfTrue="1" operator="equal">
      <formula>"Napkin Hs"</formula>
    </cfRule>
    <cfRule type="cellIs" dxfId="14137" priority="1829" stopIfTrue="1" operator="equal">
      <formula>"Towel"</formula>
    </cfRule>
    <cfRule type="cellIs" dxfId="14136" priority="1830" stopIfTrue="1" operator="equal">
      <formula>"Napkin Hs"</formula>
    </cfRule>
    <cfRule type="cellIs" dxfId="14135" priority="1833" stopIfTrue="1" operator="equal">
      <formula>"Towel"</formula>
    </cfRule>
    <cfRule type="cellIs" dxfId="14134" priority="1834" stopIfTrue="1" operator="equal">
      <formula>"Napkin Hs"</formula>
    </cfRule>
    <cfRule type="cellIs" dxfId="14133" priority="1835" stopIfTrue="1" operator="equal">
      <formula>"Towel"</formula>
    </cfRule>
    <cfRule type="cellIs" dxfId="14132" priority="1836" stopIfTrue="1" operator="equal">
      <formula>"Napkin Hs"</formula>
    </cfRule>
    <cfRule type="cellIs" dxfId="14131" priority="1839" stopIfTrue="1" operator="equal">
      <formula>"Towel"</formula>
    </cfRule>
    <cfRule type="cellIs" dxfId="14130" priority="1840" stopIfTrue="1" operator="equal">
      <formula>"Napkin Hs"</formula>
    </cfRule>
    <cfRule type="cellIs" dxfId="14129" priority="1841" stopIfTrue="1" operator="equal">
      <formula>"Towel"</formula>
    </cfRule>
    <cfRule type="cellIs" dxfId="14128" priority="1842" stopIfTrue="1" operator="equal">
      <formula>"Napkin Hs"</formula>
    </cfRule>
    <cfRule type="cellIs" dxfId="14127" priority="1845" stopIfTrue="1" operator="equal">
      <formula>"Towel"</formula>
    </cfRule>
    <cfRule type="cellIs" dxfId="14126" priority="1846" stopIfTrue="1" operator="equal">
      <formula>"Napkin Hs"</formula>
    </cfRule>
    <cfRule type="cellIs" dxfId="14125" priority="1847" stopIfTrue="1" operator="equal">
      <formula>"Towel"</formula>
    </cfRule>
    <cfRule type="cellIs" dxfId="14124" priority="1848" stopIfTrue="1" operator="equal">
      <formula>"Napkin Hs"</formula>
    </cfRule>
    <cfRule type="cellIs" dxfId="14123" priority="1851" stopIfTrue="1" operator="equal">
      <formula>"Towel"</formula>
    </cfRule>
    <cfRule type="cellIs" dxfId="14122" priority="1852" stopIfTrue="1" operator="equal">
      <formula>"Napkin Hs"</formula>
    </cfRule>
  </conditionalFormatting>
  <conditionalFormatting sqref="C103:C104">
    <cfRule type="cellIs" dxfId="14121" priority="1853" stopIfTrue="1" operator="equal">
      <formula>"Towel"</formula>
    </cfRule>
    <cfRule type="cellIs" dxfId="14120" priority="1854" stopIfTrue="1" operator="equal">
      <formula>"Napkin Hs"</formula>
    </cfRule>
  </conditionalFormatting>
  <conditionalFormatting sqref="B103:C104">
    <cfRule type="cellIs" dxfId="14119" priority="1765" stopIfTrue="1" operator="equal">
      <formula>"Towel"</formula>
    </cfRule>
    <cfRule type="cellIs" dxfId="14118" priority="1766" stopIfTrue="1" operator="equal">
      <formula>"Napkin Hs"</formula>
    </cfRule>
    <cfRule type="cellIs" dxfId="14117" priority="1771" stopIfTrue="1" operator="equal">
      <formula>"Towel"</formula>
    </cfRule>
    <cfRule type="cellIs" dxfId="14116" priority="1772" stopIfTrue="1" operator="equal">
      <formula>"Napkin Hs"</formula>
    </cfRule>
    <cfRule type="cellIs" dxfId="14115" priority="1777" stopIfTrue="1" operator="equal">
      <formula>"Towel"</formula>
    </cfRule>
    <cfRule type="cellIs" dxfId="14114" priority="1778" stopIfTrue="1" operator="equal">
      <formula>"Napkin Hs"</formula>
    </cfRule>
    <cfRule type="cellIs" dxfId="14113" priority="1783" stopIfTrue="1" operator="equal">
      <formula>"Towel"</formula>
    </cfRule>
    <cfRule type="cellIs" dxfId="14112" priority="1784" stopIfTrue="1" operator="equal">
      <formula>"Napkin Hs"</formula>
    </cfRule>
    <cfRule type="cellIs" dxfId="14111" priority="1789" stopIfTrue="1" operator="equal">
      <formula>"Towel"</formula>
    </cfRule>
    <cfRule type="cellIs" dxfId="14110" priority="1790" stopIfTrue="1" operator="equal">
      <formula>"Napkin Hs"</formula>
    </cfRule>
    <cfRule type="cellIs" dxfId="14109" priority="1795" stopIfTrue="1" operator="equal">
      <formula>"Towel"</formula>
    </cfRule>
    <cfRule type="cellIs" dxfId="14108" priority="1796" stopIfTrue="1" operator="equal">
      <formula>"Napkin Hs"</formula>
    </cfRule>
    <cfRule type="cellIs" dxfId="14107" priority="1801" stopIfTrue="1" operator="equal">
      <formula>"Towel"</formula>
    </cfRule>
    <cfRule type="cellIs" dxfId="14106" priority="1802" stopIfTrue="1" operator="equal">
      <formula>"Napkin Hs"</formula>
    </cfRule>
    <cfRule type="cellIs" dxfId="14105" priority="1807" stopIfTrue="1" operator="equal">
      <formula>"Towel"</formula>
    </cfRule>
    <cfRule type="cellIs" dxfId="14104" priority="1808" stopIfTrue="1" operator="equal">
      <formula>"Napkin Hs"</formula>
    </cfRule>
  </conditionalFormatting>
  <conditionalFormatting sqref="C103:C104">
    <cfRule type="cellIs" dxfId="14103" priority="1761" stopIfTrue="1" operator="equal">
      <formula>"Towel"</formula>
    </cfRule>
    <cfRule type="cellIs" dxfId="14102" priority="1762" stopIfTrue="1" operator="equal">
      <formula>"Napkin Hs"</formula>
    </cfRule>
    <cfRule type="cellIs" dxfId="14101" priority="1763" stopIfTrue="1" operator="equal">
      <formula>"Towel"</formula>
    </cfRule>
    <cfRule type="cellIs" dxfId="14100" priority="1764" stopIfTrue="1" operator="equal">
      <formula>"Napkin Hs"</formula>
    </cfRule>
    <cfRule type="cellIs" dxfId="14099" priority="1767" stopIfTrue="1" operator="equal">
      <formula>"Towel"</formula>
    </cfRule>
    <cfRule type="cellIs" dxfId="14098" priority="1768" stopIfTrue="1" operator="equal">
      <formula>"Napkin Hs"</formula>
    </cfRule>
    <cfRule type="cellIs" dxfId="14097" priority="1769" stopIfTrue="1" operator="equal">
      <formula>"Towel"</formula>
    </cfRule>
    <cfRule type="cellIs" dxfId="14096" priority="1770" stopIfTrue="1" operator="equal">
      <formula>"Napkin Hs"</formula>
    </cfRule>
    <cfRule type="cellIs" dxfId="14095" priority="1773" stopIfTrue="1" operator="equal">
      <formula>"Towel"</formula>
    </cfRule>
    <cfRule type="cellIs" dxfId="14094" priority="1774" stopIfTrue="1" operator="equal">
      <formula>"Napkin Hs"</formula>
    </cfRule>
    <cfRule type="cellIs" dxfId="14093" priority="1775" stopIfTrue="1" operator="equal">
      <formula>"Towel"</formula>
    </cfRule>
    <cfRule type="cellIs" dxfId="14092" priority="1776" stopIfTrue="1" operator="equal">
      <formula>"Napkin Hs"</formula>
    </cfRule>
    <cfRule type="cellIs" dxfId="14091" priority="1779" stopIfTrue="1" operator="equal">
      <formula>"Towel"</formula>
    </cfRule>
    <cfRule type="cellIs" dxfId="14090" priority="1780" stopIfTrue="1" operator="equal">
      <formula>"Napkin Hs"</formula>
    </cfRule>
    <cfRule type="cellIs" dxfId="14089" priority="1781" stopIfTrue="1" operator="equal">
      <formula>"Towel"</formula>
    </cfRule>
    <cfRule type="cellIs" dxfId="14088" priority="1782" stopIfTrue="1" operator="equal">
      <formula>"Napkin Hs"</formula>
    </cfRule>
    <cfRule type="cellIs" dxfId="14087" priority="1785" stopIfTrue="1" operator="equal">
      <formula>"Towel"</formula>
    </cfRule>
    <cfRule type="cellIs" dxfId="14086" priority="1786" stopIfTrue="1" operator="equal">
      <formula>"Napkin Hs"</formula>
    </cfRule>
    <cfRule type="cellIs" dxfId="14085" priority="1787" stopIfTrue="1" operator="equal">
      <formula>"Towel"</formula>
    </cfRule>
    <cfRule type="cellIs" dxfId="14084" priority="1788" stopIfTrue="1" operator="equal">
      <formula>"Napkin Hs"</formula>
    </cfRule>
    <cfRule type="cellIs" dxfId="14083" priority="1791" stopIfTrue="1" operator="equal">
      <formula>"Towel"</formula>
    </cfRule>
    <cfRule type="cellIs" dxfId="14082" priority="1792" stopIfTrue="1" operator="equal">
      <formula>"Napkin Hs"</formula>
    </cfRule>
    <cfRule type="cellIs" dxfId="14081" priority="1793" stopIfTrue="1" operator="equal">
      <formula>"Towel"</formula>
    </cfRule>
    <cfRule type="cellIs" dxfId="14080" priority="1794" stopIfTrue="1" operator="equal">
      <formula>"Napkin Hs"</formula>
    </cfRule>
    <cfRule type="cellIs" dxfId="14079" priority="1797" stopIfTrue="1" operator="equal">
      <formula>"Towel"</formula>
    </cfRule>
    <cfRule type="cellIs" dxfId="14078" priority="1798" stopIfTrue="1" operator="equal">
      <formula>"Napkin Hs"</formula>
    </cfRule>
    <cfRule type="cellIs" dxfId="14077" priority="1799" stopIfTrue="1" operator="equal">
      <formula>"Towel"</formula>
    </cfRule>
    <cfRule type="cellIs" dxfId="14076" priority="1800" stopIfTrue="1" operator="equal">
      <formula>"Napkin Hs"</formula>
    </cfRule>
    <cfRule type="cellIs" dxfId="14075" priority="1803" stopIfTrue="1" operator="equal">
      <formula>"Towel"</formula>
    </cfRule>
    <cfRule type="cellIs" dxfId="14074" priority="1804" stopIfTrue="1" operator="equal">
      <formula>"Napkin Hs"</formula>
    </cfRule>
  </conditionalFormatting>
  <conditionalFormatting sqref="C103:C104">
    <cfRule type="cellIs" dxfId="14073" priority="1805" stopIfTrue="1" operator="equal">
      <formula>"Towel"</formula>
    </cfRule>
    <cfRule type="cellIs" dxfId="14072" priority="1806" stopIfTrue="1" operator="equal">
      <formula>"Napkin Hs"</formula>
    </cfRule>
  </conditionalFormatting>
  <conditionalFormatting sqref="B103:C104">
    <cfRule type="cellIs" dxfId="14071" priority="1759" stopIfTrue="1" operator="equal">
      <formula>"Towel"</formula>
    </cfRule>
    <cfRule type="cellIs" dxfId="14070" priority="1760" stopIfTrue="1" operator="equal">
      <formula>"Napkin Hs"</formula>
    </cfRule>
  </conditionalFormatting>
  <conditionalFormatting sqref="B103:C104">
    <cfRule type="cellIs" dxfId="14069" priority="1735" stopIfTrue="1" operator="equal">
      <formula>"Towel"</formula>
    </cfRule>
    <cfRule type="cellIs" dxfId="14068" priority="1736" stopIfTrue="1" operator="equal">
      <formula>"Napkin Hs"</formula>
    </cfRule>
    <cfRule type="cellIs" dxfId="14067" priority="1741" stopIfTrue="1" operator="equal">
      <formula>"Towel"</formula>
    </cfRule>
    <cfRule type="cellIs" dxfId="14066" priority="1742" stopIfTrue="1" operator="equal">
      <formula>"Napkin Hs"</formula>
    </cfRule>
    <cfRule type="cellIs" dxfId="14065" priority="1747" stopIfTrue="1" operator="equal">
      <formula>"Towel"</formula>
    </cfRule>
    <cfRule type="cellIs" dxfId="14064" priority="1748" stopIfTrue="1" operator="equal">
      <formula>"Napkin Hs"</formula>
    </cfRule>
    <cfRule type="cellIs" dxfId="14063" priority="1753" stopIfTrue="1" operator="equal">
      <formula>"Towel"</formula>
    </cfRule>
    <cfRule type="cellIs" dxfId="14062" priority="1754" stopIfTrue="1" operator="equal">
      <formula>"Napkin Hs"</formula>
    </cfRule>
  </conditionalFormatting>
  <conditionalFormatting sqref="C103:C104">
    <cfRule type="cellIs" dxfId="14061" priority="1749" stopIfTrue="1" operator="equal">
      <formula>"Towel"</formula>
    </cfRule>
    <cfRule type="cellIs" dxfId="14060" priority="1750" stopIfTrue="1" operator="equal">
      <formula>"Napkin Hs"</formula>
    </cfRule>
    <cfRule type="cellIs" dxfId="14059" priority="1755" stopIfTrue="1" operator="equal">
      <formula>"Towel"</formula>
    </cfRule>
    <cfRule type="cellIs" dxfId="14058" priority="1756" stopIfTrue="1" operator="equal">
      <formula>"Napkin Hs"</formula>
    </cfRule>
  </conditionalFormatting>
  <conditionalFormatting sqref="C103:C104">
    <cfRule type="cellIs" dxfId="14057" priority="1729" stopIfTrue="1" operator="equal">
      <formula>"Towel"</formula>
    </cfRule>
    <cfRule type="cellIs" dxfId="14056" priority="1730" stopIfTrue="1" operator="equal">
      <formula>"Napkin Hs"</formula>
    </cfRule>
    <cfRule type="cellIs" dxfId="14055" priority="1731" stopIfTrue="1" operator="equal">
      <formula>"Towel"</formula>
    </cfRule>
    <cfRule type="cellIs" dxfId="14054" priority="1732" stopIfTrue="1" operator="equal">
      <formula>"Napkin Hs"</formula>
    </cfRule>
    <cfRule type="cellIs" dxfId="14053" priority="1739" stopIfTrue="1" operator="equal">
      <formula>"Towel"</formula>
    </cfRule>
    <cfRule type="cellIs" dxfId="14052" priority="1740" stopIfTrue="1" operator="equal">
      <formula>"Napkin Hs"</formula>
    </cfRule>
    <cfRule type="cellIs" dxfId="14051" priority="1743" stopIfTrue="1" operator="equal">
      <formula>"Towel"</formula>
    </cfRule>
    <cfRule type="cellIs" dxfId="14050" priority="1744" stopIfTrue="1" operator="equal">
      <formula>"Napkin Hs"</formula>
    </cfRule>
    <cfRule type="cellIs" dxfId="14049" priority="1745" stopIfTrue="1" operator="equal">
      <formula>"Towel"</formula>
    </cfRule>
    <cfRule type="cellIs" dxfId="14048" priority="1746" stopIfTrue="1" operator="equal">
      <formula>"Napkin Hs"</formula>
    </cfRule>
  </conditionalFormatting>
  <conditionalFormatting sqref="C103:C104">
    <cfRule type="cellIs" dxfId="14047" priority="1757" stopIfTrue="1" operator="equal">
      <formula>"Towel"</formula>
    </cfRule>
    <cfRule type="cellIs" dxfId="14046" priority="1758" stopIfTrue="1" operator="equal">
      <formula>"Napkin Hs"</formula>
    </cfRule>
  </conditionalFormatting>
  <conditionalFormatting sqref="C103:C104">
    <cfRule type="cellIs" dxfId="14045" priority="1733" stopIfTrue="1" operator="equal">
      <formula>"Towel"</formula>
    </cfRule>
    <cfRule type="cellIs" dxfId="14044" priority="1734" stopIfTrue="1" operator="equal">
      <formula>"Napkin Hs"</formula>
    </cfRule>
    <cfRule type="cellIs" dxfId="14043" priority="1737" stopIfTrue="1" operator="equal">
      <formula>"Towel"</formula>
    </cfRule>
    <cfRule type="cellIs" dxfId="14042" priority="1738" stopIfTrue="1" operator="equal">
      <formula>"Napkin Hs"</formula>
    </cfRule>
    <cfRule type="cellIs" dxfId="14041" priority="1751" stopIfTrue="1" operator="equal">
      <formula>"Towel"</formula>
    </cfRule>
    <cfRule type="cellIs" dxfId="14040" priority="1752" stopIfTrue="1" operator="equal">
      <formula>"Napkin Hs"</formula>
    </cfRule>
  </conditionalFormatting>
  <conditionalFormatting sqref="B103:C104">
    <cfRule type="cellIs" dxfId="14039" priority="1685" stopIfTrue="1" operator="equal">
      <formula>"Towel"</formula>
    </cfRule>
    <cfRule type="cellIs" dxfId="14038" priority="1686" stopIfTrue="1" operator="equal">
      <formula>"Napkin Hs"</formula>
    </cfRule>
    <cfRule type="cellIs" dxfId="14037" priority="1691" stopIfTrue="1" operator="equal">
      <formula>"Towel"</formula>
    </cfRule>
    <cfRule type="cellIs" dxfId="14036" priority="1692" stopIfTrue="1" operator="equal">
      <formula>"Napkin Hs"</formula>
    </cfRule>
    <cfRule type="cellIs" dxfId="14035" priority="1697" stopIfTrue="1" operator="equal">
      <formula>"Towel"</formula>
    </cfRule>
    <cfRule type="cellIs" dxfId="14034" priority="1698" stopIfTrue="1" operator="equal">
      <formula>"Napkin Hs"</formula>
    </cfRule>
    <cfRule type="cellIs" dxfId="14033" priority="1703" stopIfTrue="1" operator="equal">
      <formula>"Towel"</formula>
    </cfRule>
    <cfRule type="cellIs" dxfId="14032" priority="1704" stopIfTrue="1" operator="equal">
      <formula>"Napkin Hs"</formula>
    </cfRule>
    <cfRule type="cellIs" dxfId="14031" priority="1709" stopIfTrue="1" operator="equal">
      <formula>"Towel"</formula>
    </cfRule>
    <cfRule type="cellIs" dxfId="14030" priority="1710" stopIfTrue="1" operator="equal">
      <formula>"Napkin Hs"</formula>
    </cfRule>
    <cfRule type="cellIs" dxfId="14029" priority="1715" stopIfTrue="1" operator="equal">
      <formula>"Towel"</formula>
    </cfRule>
    <cfRule type="cellIs" dxfId="14028" priority="1716" stopIfTrue="1" operator="equal">
      <formula>"Napkin Hs"</formula>
    </cfRule>
    <cfRule type="cellIs" dxfId="14027" priority="1721" stopIfTrue="1" operator="equal">
      <formula>"Towel"</formula>
    </cfRule>
    <cfRule type="cellIs" dxfId="14026" priority="1722" stopIfTrue="1" operator="equal">
      <formula>"Napkin Hs"</formula>
    </cfRule>
    <cfRule type="cellIs" dxfId="14025" priority="1727" stopIfTrue="1" operator="equal">
      <formula>"Towel"</formula>
    </cfRule>
    <cfRule type="cellIs" dxfId="14024" priority="1728" stopIfTrue="1" operator="equal">
      <formula>"Napkin Hs"</formula>
    </cfRule>
  </conditionalFormatting>
  <conditionalFormatting sqref="C103:C104">
    <cfRule type="cellIs" dxfId="14023" priority="1681" stopIfTrue="1" operator="equal">
      <formula>"Towel"</formula>
    </cfRule>
    <cfRule type="cellIs" dxfId="14022" priority="1682" stopIfTrue="1" operator="equal">
      <formula>"Napkin Hs"</formula>
    </cfRule>
    <cfRule type="cellIs" dxfId="14021" priority="1683" stopIfTrue="1" operator="equal">
      <formula>"Towel"</formula>
    </cfRule>
    <cfRule type="cellIs" dxfId="14020" priority="1684" stopIfTrue="1" operator="equal">
      <formula>"Napkin Hs"</formula>
    </cfRule>
    <cfRule type="cellIs" dxfId="14019" priority="1687" stopIfTrue="1" operator="equal">
      <formula>"Towel"</formula>
    </cfRule>
    <cfRule type="cellIs" dxfId="14018" priority="1688" stopIfTrue="1" operator="equal">
      <formula>"Napkin Hs"</formula>
    </cfRule>
    <cfRule type="cellIs" dxfId="14017" priority="1689" stopIfTrue="1" operator="equal">
      <formula>"Towel"</formula>
    </cfRule>
    <cfRule type="cellIs" dxfId="14016" priority="1690" stopIfTrue="1" operator="equal">
      <formula>"Napkin Hs"</formula>
    </cfRule>
    <cfRule type="cellIs" dxfId="14015" priority="1693" stopIfTrue="1" operator="equal">
      <formula>"Towel"</formula>
    </cfRule>
    <cfRule type="cellIs" dxfId="14014" priority="1694" stopIfTrue="1" operator="equal">
      <formula>"Napkin Hs"</formula>
    </cfRule>
    <cfRule type="cellIs" dxfId="14013" priority="1695" stopIfTrue="1" operator="equal">
      <formula>"Towel"</formula>
    </cfRule>
    <cfRule type="cellIs" dxfId="14012" priority="1696" stopIfTrue="1" operator="equal">
      <formula>"Napkin Hs"</formula>
    </cfRule>
    <cfRule type="cellIs" dxfId="14011" priority="1699" stopIfTrue="1" operator="equal">
      <formula>"Towel"</formula>
    </cfRule>
    <cfRule type="cellIs" dxfId="14010" priority="1700" stopIfTrue="1" operator="equal">
      <formula>"Napkin Hs"</formula>
    </cfRule>
    <cfRule type="cellIs" dxfId="14009" priority="1701" stopIfTrue="1" operator="equal">
      <formula>"Towel"</formula>
    </cfRule>
    <cfRule type="cellIs" dxfId="14008" priority="1702" stopIfTrue="1" operator="equal">
      <formula>"Napkin Hs"</formula>
    </cfRule>
    <cfRule type="cellIs" dxfId="14007" priority="1705" stopIfTrue="1" operator="equal">
      <formula>"Towel"</formula>
    </cfRule>
    <cfRule type="cellIs" dxfId="14006" priority="1706" stopIfTrue="1" operator="equal">
      <formula>"Napkin Hs"</formula>
    </cfRule>
    <cfRule type="cellIs" dxfId="14005" priority="1707" stopIfTrue="1" operator="equal">
      <formula>"Towel"</formula>
    </cfRule>
    <cfRule type="cellIs" dxfId="14004" priority="1708" stopIfTrue="1" operator="equal">
      <formula>"Napkin Hs"</formula>
    </cfRule>
    <cfRule type="cellIs" dxfId="14003" priority="1711" stopIfTrue="1" operator="equal">
      <formula>"Towel"</formula>
    </cfRule>
    <cfRule type="cellIs" dxfId="14002" priority="1712" stopIfTrue="1" operator="equal">
      <formula>"Napkin Hs"</formula>
    </cfRule>
    <cfRule type="cellIs" dxfId="14001" priority="1713" stopIfTrue="1" operator="equal">
      <formula>"Towel"</formula>
    </cfRule>
    <cfRule type="cellIs" dxfId="14000" priority="1714" stopIfTrue="1" operator="equal">
      <formula>"Napkin Hs"</formula>
    </cfRule>
    <cfRule type="cellIs" dxfId="13999" priority="1717" stopIfTrue="1" operator="equal">
      <formula>"Towel"</formula>
    </cfRule>
    <cfRule type="cellIs" dxfId="13998" priority="1718" stopIfTrue="1" operator="equal">
      <formula>"Napkin Hs"</formula>
    </cfRule>
    <cfRule type="cellIs" dxfId="13997" priority="1719" stopIfTrue="1" operator="equal">
      <formula>"Towel"</formula>
    </cfRule>
    <cfRule type="cellIs" dxfId="13996" priority="1720" stopIfTrue="1" operator="equal">
      <formula>"Napkin Hs"</formula>
    </cfRule>
    <cfRule type="cellIs" dxfId="13995" priority="1723" stopIfTrue="1" operator="equal">
      <formula>"Towel"</formula>
    </cfRule>
    <cfRule type="cellIs" dxfId="13994" priority="1724" stopIfTrue="1" operator="equal">
      <formula>"Napkin Hs"</formula>
    </cfRule>
  </conditionalFormatting>
  <conditionalFormatting sqref="C103:C104">
    <cfRule type="cellIs" dxfId="13993" priority="1725" stopIfTrue="1" operator="equal">
      <formula>"Towel"</formula>
    </cfRule>
    <cfRule type="cellIs" dxfId="13992" priority="1726" stopIfTrue="1" operator="equal">
      <formula>"Napkin Hs"</formula>
    </cfRule>
  </conditionalFormatting>
  <conditionalFormatting sqref="B103:B104">
    <cfRule type="cellIs" dxfId="13991" priority="1675" stopIfTrue="1" operator="equal">
      <formula>"Towel"</formula>
    </cfRule>
    <cfRule type="cellIs" dxfId="13990" priority="1676" stopIfTrue="1" operator="equal">
      <formula>"Napkin Hs"</formula>
    </cfRule>
    <cfRule type="cellIs" dxfId="13989" priority="1677" stopIfTrue="1" operator="equal">
      <formula>"Towel"</formula>
    </cfRule>
    <cfRule type="cellIs" dxfId="13988" priority="1678" stopIfTrue="1" operator="equal">
      <formula>"Napkin Hs"</formula>
    </cfRule>
    <cfRule type="cellIs" dxfId="13987" priority="1679" stopIfTrue="1" operator="equal">
      <formula>"Towel"</formula>
    </cfRule>
    <cfRule type="cellIs" dxfId="13986" priority="1680" stopIfTrue="1" operator="equal">
      <formula>"Napkin Hs"</formula>
    </cfRule>
  </conditionalFormatting>
  <conditionalFormatting sqref="B103:C104">
    <cfRule type="cellIs" dxfId="13985" priority="1637" stopIfTrue="1" operator="equal">
      <formula>"Towel"</formula>
    </cfRule>
    <cfRule type="cellIs" dxfId="13984" priority="1638" stopIfTrue="1" operator="equal">
      <formula>"Napkin Hs"</formula>
    </cfRule>
    <cfRule type="cellIs" dxfId="13983" priority="1643" stopIfTrue="1" operator="equal">
      <formula>"Towel"</formula>
    </cfRule>
    <cfRule type="cellIs" dxfId="13982" priority="1644" stopIfTrue="1" operator="equal">
      <formula>"Napkin Hs"</formula>
    </cfRule>
    <cfRule type="cellIs" dxfId="13981" priority="1649" stopIfTrue="1" operator="equal">
      <formula>"Towel"</formula>
    </cfRule>
    <cfRule type="cellIs" dxfId="13980" priority="1650" stopIfTrue="1" operator="equal">
      <formula>"Napkin Hs"</formula>
    </cfRule>
    <cfRule type="cellIs" dxfId="13979" priority="1655" stopIfTrue="1" operator="equal">
      <formula>"Towel"</formula>
    </cfRule>
    <cfRule type="cellIs" dxfId="13978" priority="1656" stopIfTrue="1" operator="equal">
      <formula>"Napkin Hs"</formula>
    </cfRule>
    <cfRule type="cellIs" dxfId="13977" priority="1661" stopIfTrue="1" operator="equal">
      <formula>"Towel"</formula>
    </cfRule>
    <cfRule type="cellIs" dxfId="13976" priority="1662" stopIfTrue="1" operator="equal">
      <formula>"Napkin Hs"</formula>
    </cfRule>
    <cfRule type="cellIs" dxfId="13975" priority="1667" stopIfTrue="1" operator="equal">
      <formula>"Towel"</formula>
    </cfRule>
    <cfRule type="cellIs" dxfId="13974" priority="1668" stopIfTrue="1" operator="equal">
      <formula>"Napkin Hs"</formula>
    </cfRule>
    <cfRule type="cellIs" dxfId="13973" priority="1673" stopIfTrue="1" operator="equal">
      <formula>"Towel"</formula>
    </cfRule>
    <cfRule type="cellIs" dxfId="13972" priority="1674" stopIfTrue="1" operator="equal">
      <formula>"Napkin Hs"</formula>
    </cfRule>
  </conditionalFormatting>
  <conditionalFormatting sqref="C103:C104">
    <cfRule type="cellIs" dxfId="13971" priority="1633" stopIfTrue="1" operator="equal">
      <formula>"Towel"</formula>
    </cfRule>
    <cfRule type="cellIs" dxfId="13970" priority="1634" stopIfTrue="1" operator="equal">
      <formula>"Napkin Hs"</formula>
    </cfRule>
    <cfRule type="cellIs" dxfId="13969" priority="1635" stopIfTrue="1" operator="equal">
      <formula>"Towel"</formula>
    </cfRule>
    <cfRule type="cellIs" dxfId="13968" priority="1636" stopIfTrue="1" operator="equal">
      <formula>"Napkin Hs"</formula>
    </cfRule>
    <cfRule type="cellIs" dxfId="13967" priority="1639" stopIfTrue="1" operator="equal">
      <formula>"Towel"</formula>
    </cfRule>
    <cfRule type="cellIs" dxfId="13966" priority="1640" stopIfTrue="1" operator="equal">
      <formula>"Napkin Hs"</formula>
    </cfRule>
    <cfRule type="cellIs" dxfId="13965" priority="1641" stopIfTrue="1" operator="equal">
      <formula>"Towel"</formula>
    </cfRule>
    <cfRule type="cellIs" dxfId="13964" priority="1642" stopIfTrue="1" operator="equal">
      <formula>"Napkin Hs"</formula>
    </cfRule>
    <cfRule type="cellIs" dxfId="13963" priority="1645" stopIfTrue="1" operator="equal">
      <formula>"Towel"</formula>
    </cfRule>
    <cfRule type="cellIs" dxfId="13962" priority="1646" stopIfTrue="1" operator="equal">
      <formula>"Napkin Hs"</formula>
    </cfRule>
    <cfRule type="cellIs" dxfId="13961" priority="1647" stopIfTrue="1" operator="equal">
      <formula>"Towel"</formula>
    </cfRule>
    <cfRule type="cellIs" dxfId="13960" priority="1648" stopIfTrue="1" operator="equal">
      <formula>"Napkin Hs"</formula>
    </cfRule>
    <cfRule type="cellIs" dxfId="13959" priority="1651" stopIfTrue="1" operator="equal">
      <formula>"Towel"</formula>
    </cfRule>
    <cfRule type="cellIs" dxfId="13958" priority="1652" stopIfTrue="1" operator="equal">
      <formula>"Napkin Hs"</formula>
    </cfRule>
    <cfRule type="cellIs" dxfId="13957" priority="1653" stopIfTrue="1" operator="equal">
      <formula>"Towel"</formula>
    </cfRule>
    <cfRule type="cellIs" dxfId="13956" priority="1654" stopIfTrue="1" operator="equal">
      <formula>"Napkin Hs"</formula>
    </cfRule>
    <cfRule type="cellIs" dxfId="13955" priority="1657" stopIfTrue="1" operator="equal">
      <formula>"Towel"</formula>
    </cfRule>
    <cfRule type="cellIs" dxfId="13954" priority="1658" stopIfTrue="1" operator="equal">
      <formula>"Napkin Hs"</formula>
    </cfRule>
    <cfRule type="cellIs" dxfId="13953" priority="1659" stopIfTrue="1" operator="equal">
      <formula>"Towel"</formula>
    </cfRule>
    <cfRule type="cellIs" dxfId="13952" priority="1660" stopIfTrue="1" operator="equal">
      <formula>"Napkin Hs"</formula>
    </cfRule>
    <cfRule type="cellIs" dxfId="13951" priority="1663" stopIfTrue="1" operator="equal">
      <formula>"Towel"</formula>
    </cfRule>
    <cfRule type="cellIs" dxfId="13950" priority="1664" stopIfTrue="1" operator="equal">
      <formula>"Napkin Hs"</formula>
    </cfRule>
    <cfRule type="cellIs" dxfId="13949" priority="1665" stopIfTrue="1" operator="equal">
      <formula>"Towel"</formula>
    </cfRule>
    <cfRule type="cellIs" dxfId="13948" priority="1666" stopIfTrue="1" operator="equal">
      <formula>"Napkin Hs"</formula>
    </cfRule>
    <cfRule type="cellIs" dxfId="13947" priority="1669" stopIfTrue="1" operator="equal">
      <formula>"Towel"</formula>
    </cfRule>
    <cfRule type="cellIs" dxfId="13946" priority="1670" stopIfTrue="1" operator="equal">
      <formula>"Napkin Hs"</formula>
    </cfRule>
  </conditionalFormatting>
  <conditionalFormatting sqref="C103:C104">
    <cfRule type="cellIs" dxfId="13945" priority="1671" stopIfTrue="1" operator="equal">
      <formula>"Towel"</formula>
    </cfRule>
    <cfRule type="cellIs" dxfId="13944" priority="1672" stopIfTrue="1" operator="equal">
      <formula>"Napkin Hs"</formula>
    </cfRule>
  </conditionalFormatting>
  <conditionalFormatting sqref="B103:C104">
    <cfRule type="cellIs" dxfId="13943" priority="1631" stopIfTrue="1" operator="equal">
      <formula>"Towel"</formula>
    </cfRule>
    <cfRule type="cellIs" dxfId="13942" priority="1632" stopIfTrue="1" operator="equal">
      <formula>"Napkin Hs"</formula>
    </cfRule>
  </conditionalFormatting>
  <conditionalFormatting sqref="B103:C104">
    <cfRule type="cellIs" dxfId="13941" priority="1595" stopIfTrue="1" operator="equal">
      <formula>"Towel"</formula>
    </cfRule>
    <cfRule type="cellIs" dxfId="13940" priority="1596" stopIfTrue="1" operator="equal">
      <formula>"Napkin Hs"</formula>
    </cfRule>
    <cfRule type="cellIs" dxfId="13939" priority="1601" stopIfTrue="1" operator="equal">
      <formula>"Towel"</formula>
    </cfRule>
    <cfRule type="cellIs" dxfId="13938" priority="1602" stopIfTrue="1" operator="equal">
      <formula>"Napkin Hs"</formula>
    </cfRule>
    <cfRule type="cellIs" dxfId="13937" priority="1607" stopIfTrue="1" operator="equal">
      <formula>"Towel"</formula>
    </cfRule>
    <cfRule type="cellIs" dxfId="13936" priority="1608" stopIfTrue="1" operator="equal">
      <formula>"Napkin Hs"</formula>
    </cfRule>
    <cfRule type="cellIs" dxfId="13935" priority="1613" stopIfTrue="1" operator="equal">
      <formula>"Towel"</formula>
    </cfRule>
    <cfRule type="cellIs" dxfId="13934" priority="1614" stopIfTrue="1" operator="equal">
      <formula>"Napkin Hs"</formula>
    </cfRule>
    <cfRule type="cellIs" dxfId="13933" priority="1619" stopIfTrue="1" operator="equal">
      <formula>"Towel"</formula>
    </cfRule>
    <cfRule type="cellIs" dxfId="13932" priority="1620" stopIfTrue="1" operator="equal">
      <formula>"Napkin Hs"</formula>
    </cfRule>
    <cfRule type="cellIs" dxfId="13931" priority="1625" stopIfTrue="1" operator="equal">
      <formula>"Towel"</formula>
    </cfRule>
    <cfRule type="cellIs" dxfId="13930" priority="1626" stopIfTrue="1" operator="equal">
      <formula>"Napkin Hs"</formula>
    </cfRule>
  </conditionalFormatting>
  <conditionalFormatting sqref="C103:C104">
    <cfRule type="cellIs" dxfId="13929" priority="1630" stopIfTrue="1" operator="equal">
      <formula>"Napkin Hs"</formula>
    </cfRule>
  </conditionalFormatting>
  <conditionalFormatting sqref="C103:C104">
    <cfRule type="cellIs" dxfId="13928" priority="1629" stopIfTrue="1" operator="equal">
      <formula>"Towel"</formula>
    </cfRule>
  </conditionalFormatting>
  <conditionalFormatting sqref="C103:C104">
    <cfRule type="cellIs" dxfId="13927" priority="1623" stopIfTrue="1" operator="equal">
      <formula>"Towel"</formula>
    </cfRule>
    <cfRule type="cellIs" dxfId="13926" priority="1624" stopIfTrue="1" operator="equal">
      <formula>"Napkin Hs"</formula>
    </cfRule>
  </conditionalFormatting>
  <conditionalFormatting sqref="C103:C104">
    <cfRule type="cellIs" dxfId="13925" priority="1621" stopIfTrue="1" operator="equal">
      <formula>"Towel"</formula>
    </cfRule>
    <cfRule type="cellIs" dxfId="13924" priority="1622" stopIfTrue="1" operator="equal">
      <formula>"Napkin Hs"</formula>
    </cfRule>
    <cfRule type="cellIs" dxfId="13923" priority="1627" stopIfTrue="1" operator="equal">
      <formula>"Towel"</formula>
    </cfRule>
    <cfRule type="cellIs" dxfId="13922" priority="1628" stopIfTrue="1" operator="equal">
      <formula>"Napkin Hs"</formula>
    </cfRule>
  </conditionalFormatting>
  <conditionalFormatting sqref="C103:C104">
    <cfRule type="cellIs" dxfId="13921" priority="1593" stopIfTrue="1" operator="equal">
      <formula>"Towel"</formula>
    </cfRule>
    <cfRule type="cellIs" dxfId="13920" priority="1594" stopIfTrue="1" operator="equal">
      <formula>"Napkin Hs"</formula>
    </cfRule>
    <cfRule type="cellIs" dxfId="13919" priority="1597" stopIfTrue="1" operator="equal">
      <formula>"Towel"</formula>
    </cfRule>
    <cfRule type="cellIs" dxfId="13918" priority="1598" stopIfTrue="1" operator="equal">
      <formula>"Napkin Hs"</formula>
    </cfRule>
    <cfRule type="cellIs" dxfId="13917" priority="1599" stopIfTrue="1" operator="equal">
      <formula>"Towel"</formula>
    </cfRule>
    <cfRule type="cellIs" dxfId="13916" priority="1600" stopIfTrue="1" operator="equal">
      <formula>"Napkin Hs"</formula>
    </cfRule>
    <cfRule type="cellIs" dxfId="13915" priority="1603" stopIfTrue="1" operator="equal">
      <formula>"Towel"</formula>
    </cfRule>
    <cfRule type="cellIs" dxfId="13914" priority="1604" stopIfTrue="1" operator="equal">
      <formula>"Napkin Hs"</formula>
    </cfRule>
    <cfRule type="cellIs" dxfId="13913" priority="1605" stopIfTrue="1" operator="equal">
      <formula>"Towel"</formula>
    </cfRule>
    <cfRule type="cellIs" dxfId="13912" priority="1606" stopIfTrue="1" operator="equal">
      <formula>"Napkin Hs"</formula>
    </cfRule>
    <cfRule type="cellIs" dxfId="13911" priority="1609" stopIfTrue="1" operator="equal">
      <formula>"Towel"</formula>
    </cfRule>
    <cfRule type="cellIs" dxfId="13910" priority="1610" stopIfTrue="1" operator="equal">
      <formula>"Napkin Hs"</formula>
    </cfRule>
    <cfRule type="cellIs" dxfId="13909" priority="1611" stopIfTrue="1" operator="equal">
      <formula>"Towel"</formula>
    </cfRule>
    <cfRule type="cellIs" dxfId="13908" priority="1612" stopIfTrue="1" operator="equal">
      <formula>"Napkin Hs"</formula>
    </cfRule>
    <cfRule type="cellIs" dxfId="13907" priority="1615" stopIfTrue="1" operator="equal">
      <formula>"Towel"</formula>
    </cfRule>
    <cfRule type="cellIs" dxfId="13906" priority="1616" stopIfTrue="1" operator="equal">
      <formula>"Napkin Hs"</formula>
    </cfRule>
    <cfRule type="cellIs" dxfId="13905" priority="1617" stopIfTrue="1" operator="equal">
      <formula>"Towel"</formula>
    </cfRule>
    <cfRule type="cellIs" dxfId="13904" priority="1618" stopIfTrue="1" operator="equal">
      <formula>"Napkin Hs"</formula>
    </cfRule>
  </conditionalFormatting>
  <conditionalFormatting sqref="C103:C104">
    <cfRule type="cellIs" dxfId="13903" priority="1591" stopIfTrue="1" operator="equal">
      <formula>"Towel"</formula>
    </cfRule>
    <cfRule type="cellIs" dxfId="13902" priority="1592" stopIfTrue="1" operator="equal">
      <formula>"Napkin Hs"</formula>
    </cfRule>
  </conditionalFormatting>
  <conditionalFormatting sqref="C103:C104">
    <cfRule type="cellIs" dxfId="13901" priority="1571" stopIfTrue="1" operator="equal">
      <formula>"Towel"</formula>
    </cfRule>
    <cfRule type="cellIs" dxfId="13900" priority="1572" stopIfTrue="1" operator="equal">
      <formula>"Napkin Hs"</formula>
    </cfRule>
    <cfRule type="cellIs" dxfId="13899" priority="1577" stopIfTrue="1" operator="equal">
      <formula>"Towel"</formula>
    </cfRule>
    <cfRule type="cellIs" dxfId="13898" priority="1578" stopIfTrue="1" operator="equal">
      <formula>"Napkin Hs"</formula>
    </cfRule>
    <cfRule type="cellIs" dxfId="13897" priority="1583" stopIfTrue="1" operator="equal">
      <formula>"Towel"</formula>
    </cfRule>
    <cfRule type="cellIs" dxfId="13896" priority="1584" stopIfTrue="1" operator="equal">
      <formula>"Napkin Hs"</formula>
    </cfRule>
    <cfRule type="cellIs" dxfId="13895" priority="1589" stopIfTrue="1" operator="equal">
      <formula>"Towel"</formula>
    </cfRule>
    <cfRule type="cellIs" dxfId="13894" priority="1590" stopIfTrue="1" operator="equal">
      <formula>"Napkin Hs"</formula>
    </cfRule>
  </conditionalFormatting>
  <conditionalFormatting sqref="C103:C104">
    <cfRule type="cellIs" dxfId="13893" priority="1581" stopIfTrue="1" operator="equal">
      <formula>"Towel"</formula>
    </cfRule>
    <cfRule type="cellIs" dxfId="13892" priority="1582" stopIfTrue="1" operator="equal">
      <formula>"Napkin Hs"</formula>
    </cfRule>
    <cfRule type="cellIs" dxfId="13891" priority="1587" stopIfTrue="1" operator="equal">
      <formula>"Towel"</formula>
    </cfRule>
    <cfRule type="cellIs" dxfId="13890" priority="1588" stopIfTrue="1" operator="equal">
      <formula>"Napkin Hs"</formula>
    </cfRule>
  </conditionalFormatting>
  <conditionalFormatting sqref="C103:C104">
    <cfRule type="cellIs" dxfId="13889" priority="1567" stopIfTrue="1" operator="equal">
      <formula>"Towel"</formula>
    </cfRule>
    <cfRule type="cellIs" dxfId="13888" priority="1568" stopIfTrue="1" operator="equal">
      <formula>"Napkin Hs"</formula>
    </cfRule>
    <cfRule type="cellIs" dxfId="13887" priority="1575" stopIfTrue="1" operator="equal">
      <formula>"Towel"</formula>
    </cfRule>
    <cfRule type="cellIs" dxfId="13886" priority="1576" stopIfTrue="1" operator="equal">
      <formula>"Napkin Hs"</formula>
    </cfRule>
    <cfRule type="cellIs" dxfId="13885" priority="1579" stopIfTrue="1" operator="equal">
      <formula>"Towel"</formula>
    </cfRule>
    <cfRule type="cellIs" dxfId="13884" priority="1580" stopIfTrue="1" operator="equal">
      <formula>"Napkin Hs"</formula>
    </cfRule>
  </conditionalFormatting>
  <conditionalFormatting sqref="C103:C104">
    <cfRule type="cellIs" dxfId="13883" priority="1569" stopIfTrue="1" operator="equal">
      <formula>"Towel"</formula>
    </cfRule>
    <cfRule type="cellIs" dxfId="13882" priority="1570" stopIfTrue="1" operator="equal">
      <formula>"Napkin Hs"</formula>
    </cfRule>
    <cfRule type="cellIs" dxfId="13881" priority="1573" stopIfTrue="1" operator="equal">
      <formula>"Towel"</formula>
    </cfRule>
    <cfRule type="cellIs" dxfId="13880" priority="1574" stopIfTrue="1" operator="equal">
      <formula>"Napkin Hs"</formula>
    </cfRule>
    <cfRule type="cellIs" dxfId="13879" priority="1585" stopIfTrue="1" operator="equal">
      <formula>"Towel"</formula>
    </cfRule>
    <cfRule type="cellIs" dxfId="13878" priority="1586" stopIfTrue="1" operator="equal">
      <formula>"Napkin Hs"</formula>
    </cfRule>
  </conditionalFormatting>
  <conditionalFormatting sqref="C103:C104">
    <cfRule type="cellIs" dxfId="13877" priority="1565" stopIfTrue="1" operator="equal">
      <formula>"Towel"</formula>
    </cfRule>
    <cfRule type="cellIs" dxfId="13876" priority="1566" stopIfTrue="1" operator="equal">
      <formula>"Napkin Hs"</formula>
    </cfRule>
  </conditionalFormatting>
  <conditionalFormatting sqref="C103:C104">
    <cfRule type="cellIs" dxfId="13875" priority="1561" stopIfTrue="1" operator="equal">
      <formula>"Towel"</formula>
    </cfRule>
    <cfRule type="cellIs" dxfId="13874" priority="1562" stopIfTrue="1" operator="equal">
      <formula>"Napkin Hs"</formula>
    </cfRule>
  </conditionalFormatting>
  <conditionalFormatting sqref="C103:C104">
    <cfRule type="cellIs" dxfId="13873" priority="1563" stopIfTrue="1" operator="equal">
      <formula>"Towel"</formula>
    </cfRule>
    <cfRule type="cellIs" dxfId="13872" priority="1564" stopIfTrue="1" operator="equal">
      <formula>"Napkin Hs"</formula>
    </cfRule>
  </conditionalFormatting>
  <conditionalFormatting sqref="C103:C104">
    <cfRule type="cellIs" dxfId="13871" priority="1559" stopIfTrue="1" operator="equal">
      <formula>"Towel"</formula>
    </cfRule>
    <cfRule type="cellIs" dxfId="13870" priority="1560" stopIfTrue="1" operator="equal">
      <formula>"Napkin Hs"</formula>
    </cfRule>
  </conditionalFormatting>
  <conditionalFormatting sqref="C103:C104">
    <cfRule type="cellIs" dxfId="13869" priority="1555" stopIfTrue="1" operator="equal">
      <formula>"Towel"</formula>
    </cfRule>
    <cfRule type="cellIs" dxfId="13868" priority="1556" stopIfTrue="1" operator="equal">
      <formula>"Napkin Hs"</formula>
    </cfRule>
  </conditionalFormatting>
  <conditionalFormatting sqref="C103:C104">
    <cfRule type="cellIs" dxfId="13867" priority="1557" stopIfTrue="1" operator="equal">
      <formula>"Towel"</formula>
    </cfRule>
    <cfRule type="cellIs" dxfId="13866" priority="1558" stopIfTrue="1" operator="equal">
      <formula>"Napkin Hs"</formula>
    </cfRule>
  </conditionalFormatting>
  <conditionalFormatting sqref="C103:C104">
    <cfRule type="cellIs" dxfId="13865" priority="1553" stopIfTrue="1" operator="equal">
      <formula>"Towel"</formula>
    </cfRule>
    <cfRule type="cellIs" dxfId="13864" priority="1554" stopIfTrue="1" operator="equal">
      <formula>"Napkin Hs"</formula>
    </cfRule>
  </conditionalFormatting>
  <conditionalFormatting sqref="C103:C104">
    <cfRule type="cellIs" dxfId="13863" priority="1549" stopIfTrue="1" operator="equal">
      <formula>"Towel"</formula>
    </cfRule>
    <cfRule type="cellIs" dxfId="13862" priority="1550" stopIfTrue="1" operator="equal">
      <formula>"Napkin Hs"</formula>
    </cfRule>
  </conditionalFormatting>
  <conditionalFormatting sqref="C103:C104">
    <cfRule type="cellIs" dxfId="13861" priority="1551" stopIfTrue="1" operator="equal">
      <formula>"Towel"</formula>
    </cfRule>
    <cfRule type="cellIs" dxfId="13860" priority="1552" stopIfTrue="1" operator="equal">
      <formula>"Napkin Hs"</formula>
    </cfRule>
  </conditionalFormatting>
  <conditionalFormatting sqref="C103:C104">
    <cfRule type="cellIs" dxfId="13859" priority="1547" stopIfTrue="1" operator="equal">
      <formula>"Towel"</formula>
    </cfRule>
    <cfRule type="cellIs" dxfId="13858" priority="1548" stopIfTrue="1" operator="equal">
      <formula>"Napkin Hs"</formula>
    </cfRule>
  </conditionalFormatting>
  <conditionalFormatting sqref="C103:C104">
    <cfRule type="cellIs" dxfId="13857" priority="1545" stopIfTrue="1" operator="equal">
      <formula>"Towel"</formula>
    </cfRule>
    <cfRule type="cellIs" dxfId="13856" priority="1546" stopIfTrue="1" operator="equal">
      <formula>"Napkin Hs"</formula>
    </cfRule>
  </conditionalFormatting>
  <conditionalFormatting sqref="C103:C104">
    <cfRule type="cellIs" dxfId="13855" priority="1543" stopIfTrue="1" operator="equal">
      <formula>"Towel"</formula>
    </cfRule>
    <cfRule type="cellIs" dxfId="13854" priority="1544" stopIfTrue="1" operator="equal">
      <formula>"Napkin Hs"</formula>
    </cfRule>
  </conditionalFormatting>
  <conditionalFormatting sqref="C103:C104">
    <cfRule type="cellIs" dxfId="13853" priority="1541" stopIfTrue="1" operator="equal">
      <formula>"Towel"</formula>
    </cfRule>
    <cfRule type="cellIs" dxfId="13852" priority="1542" stopIfTrue="1" operator="equal">
      <formula>"Napkin Hs"</formula>
    </cfRule>
  </conditionalFormatting>
  <conditionalFormatting sqref="C103:C104">
    <cfRule type="cellIs" dxfId="13851" priority="1540" stopIfTrue="1" operator="equal">
      <formula>"Napkin Hs"</formula>
    </cfRule>
  </conditionalFormatting>
  <conditionalFormatting sqref="C103:C104">
    <cfRule type="cellIs" dxfId="13850" priority="1537" stopIfTrue="1" operator="equal">
      <formula>"Towel"</formula>
    </cfRule>
    <cfRule type="cellIs" dxfId="13849" priority="1538" stopIfTrue="1" operator="equal">
      <formula>"Napkin Hs"</formula>
    </cfRule>
  </conditionalFormatting>
  <conditionalFormatting sqref="C103:C104">
    <cfRule type="cellIs" dxfId="13848" priority="1539" stopIfTrue="1" operator="equal">
      <formula>"Towel"</formula>
    </cfRule>
  </conditionalFormatting>
  <conditionalFormatting sqref="B103:B104">
    <cfRule type="cellIs" dxfId="13847" priority="1535" stopIfTrue="1" operator="equal">
      <formula>"Towel"</formula>
    </cfRule>
    <cfRule type="cellIs" dxfId="13846" priority="1536" stopIfTrue="1" operator="equal">
      <formula>"Napkin Hs"</formula>
    </cfRule>
  </conditionalFormatting>
  <conditionalFormatting sqref="B103:B104">
    <cfRule type="cellIs" dxfId="13845" priority="1533" stopIfTrue="1" operator="equal">
      <formula>"Towel"</formula>
    </cfRule>
    <cfRule type="cellIs" dxfId="13844" priority="1534" stopIfTrue="1" operator="equal">
      <formula>"Napkin Hs"</formula>
    </cfRule>
  </conditionalFormatting>
  <conditionalFormatting sqref="B103:B104">
    <cfRule type="cellIs" dxfId="13843" priority="1531" stopIfTrue="1" operator="equal">
      <formula>"Towel"</formula>
    </cfRule>
    <cfRule type="cellIs" dxfId="13842" priority="1532" stopIfTrue="1" operator="equal">
      <formula>"Napkin Hs"</formula>
    </cfRule>
  </conditionalFormatting>
  <conditionalFormatting sqref="B103:B104">
    <cfRule type="cellIs" dxfId="13841" priority="1529" stopIfTrue="1" operator="equal">
      <formula>"Towel"</formula>
    </cfRule>
    <cfRule type="cellIs" dxfId="13840" priority="1530" stopIfTrue="1" operator="equal">
      <formula>"Napkin Hs"</formula>
    </cfRule>
  </conditionalFormatting>
  <conditionalFormatting sqref="B103:B104">
    <cfRule type="cellIs" dxfId="13839" priority="1527" stopIfTrue="1" operator="equal">
      <formula>"Towel"</formula>
    </cfRule>
    <cfRule type="cellIs" dxfId="13838" priority="1528" stopIfTrue="1" operator="equal">
      <formula>"Napkin Hs"</formula>
    </cfRule>
  </conditionalFormatting>
  <conditionalFormatting sqref="B103:B104">
    <cfRule type="cellIs" dxfId="13837" priority="1525" stopIfTrue="1" operator="equal">
      <formula>"Towel"</formula>
    </cfRule>
    <cfRule type="cellIs" dxfId="13836" priority="1526" stopIfTrue="1" operator="equal">
      <formula>"Napkin Hs"</formula>
    </cfRule>
  </conditionalFormatting>
  <conditionalFormatting sqref="B103:B104">
    <cfRule type="cellIs" dxfId="13835" priority="1521" stopIfTrue="1" operator="equal">
      <formula>"Towel"</formula>
    </cfRule>
    <cfRule type="cellIs" dxfId="13834" priority="1522" stopIfTrue="1" operator="equal">
      <formula>"Napkin Hs"</formula>
    </cfRule>
    <cfRule type="cellIs" dxfId="13833" priority="1523" stopIfTrue="1" operator="equal">
      <formula>"Towel"</formula>
    </cfRule>
    <cfRule type="cellIs" dxfId="13832" priority="1524" stopIfTrue="1" operator="equal">
      <formula>"Napkin Hs"</formula>
    </cfRule>
  </conditionalFormatting>
  <conditionalFormatting sqref="B103:B104">
    <cfRule type="cellIs" dxfId="13831" priority="1519" stopIfTrue="1" operator="equal">
      <formula>"Towel"</formula>
    </cfRule>
    <cfRule type="cellIs" dxfId="13830" priority="1520" stopIfTrue="1" operator="equal">
      <formula>"Napkin Hs"</formula>
    </cfRule>
  </conditionalFormatting>
  <conditionalFormatting sqref="B103:B104">
    <cfRule type="cellIs" dxfId="13829" priority="1517" stopIfTrue="1" operator="equal">
      <formula>"Towel"</formula>
    </cfRule>
    <cfRule type="cellIs" dxfId="13828" priority="1518" stopIfTrue="1" operator="equal">
      <formula>"Napkin Hs"</formula>
    </cfRule>
  </conditionalFormatting>
  <conditionalFormatting sqref="B103:B104">
    <cfRule type="cellIs" dxfId="13827" priority="1515" stopIfTrue="1" operator="equal">
      <formula>"Towel"</formula>
    </cfRule>
    <cfRule type="cellIs" dxfId="13826" priority="1516" stopIfTrue="1" operator="equal">
      <formula>"Napkin Hs"</formula>
    </cfRule>
  </conditionalFormatting>
  <conditionalFormatting sqref="B103:B104">
    <cfRule type="cellIs" dxfId="13825" priority="1513" stopIfTrue="1" operator="equal">
      <formula>"Towel"</formula>
    </cfRule>
    <cfRule type="cellIs" dxfId="13824" priority="1514" stopIfTrue="1" operator="equal">
      <formula>"Napkin Hs"</formula>
    </cfRule>
  </conditionalFormatting>
  <conditionalFormatting sqref="B103:B104">
    <cfRule type="cellIs" dxfId="13823" priority="1511" stopIfTrue="1" operator="equal">
      <formula>"Towel"</formula>
    </cfRule>
    <cfRule type="cellIs" dxfId="13822" priority="1512" stopIfTrue="1" operator="equal">
      <formula>"Napkin Hs"</formula>
    </cfRule>
  </conditionalFormatting>
  <conditionalFormatting sqref="B103:C104">
    <cfRule type="cellIs" dxfId="13821" priority="1497" stopIfTrue="1" operator="equal">
      <formula>"Towel"</formula>
    </cfRule>
    <cfRule type="cellIs" dxfId="13820" priority="1498" stopIfTrue="1" operator="equal">
      <formula>"Napkin Hs"</formula>
    </cfRule>
    <cfRule type="cellIs" dxfId="13819" priority="1503" stopIfTrue="1" operator="equal">
      <formula>"Towel"</formula>
    </cfRule>
    <cfRule type="cellIs" dxfId="13818" priority="1504" stopIfTrue="1" operator="equal">
      <formula>"Napkin Hs"</formula>
    </cfRule>
    <cfRule type="cellIs" dxfId="13817" priority="1509" stopIfTrue="1" operator="equal">
      <formula>"Towel"</formula>
    </cfRule>
    <cfRule type="cellIs" dxfId="13816" priority="1510" stopIfTrue="1" operator="equal">
      <formula>"Napkin Hs"</formula>
    </cfRule>
  </conditionalFormatting>
  <conditionalFormatting sqref="C103:C104">
    <cfRule type="cellIs" dxfId="13815" priority="1491" stopIfTrue="1" operator="equal">
      <formula>"Towel"</formula>
    </cfRule>
    <cfRule type="cellIs" dxfId="13814" priority="1492" stopIfTrue="1" operator="equal">
      <formula>"Napkin Hs"</formula>
    </cfRule>
    <cfRule type="cellIs" dxfId="13813" priority="1493" stopIfTrue="1" operator="equal">
      <formula>"Towel"</formula>
    </cfRule>
    <cfRule type="cellIs" dxfId="13812" priority="1494" stopIfTrue="1" operator="equal">
      <formula>"Napkin Hs"</formula>
    </cfRule>
    <cfRule type="cellIs" dxfId="13811" priority="1501" stopIfTrue="1" operator="equal">
      <formula>"Towel"</formula>
    </cfRule>
    <cfRule type="cellIs" dxfId="13810" priority="1502" stopIfTrue="1" operator="equal">
      <formula>"Napkin Hs"</formula>
    </cfRule>
    <cfRule type="cellIs" dxfId="13809" priority="1505" stopIfTrue="1" operator="equal">
      <formula>"Towel"</formula>
    </cfRule>
    <cfRule type="cellIs" dxfId="13808" priority="1506" stopIfTrue="1" operator="equal">
      <formula>"Napkin Hs"</formula>
    </cfRule>
  </conditionalFormatting>
  <conditionalFormatting sqref="C103:C104">
    <cfRule type="cellIs" dxfId="13807" priority="1495" stopIfTrue="1" operator="equal">
      <formula>"Towel"</formula>
    </cfRule>
    <cfRule type="cellIs" dxfId="13806" priority="1496" stopIfTrue="1" operator="equal">
      <formula>"Napkin Hs"</formula>
    </cfRule>
    <cfRule type="cellIs" dxfId="13805" priority="1499" stopIfTrue="1" operator="equal">
      <formula>"Towel"</formula>
    </cfRule>
    <cfRule type="cellIs" dxfId="13804" priority="1500" stopIfTrue="1" operator="equal">
      <formula>"Napkin Hs"</formula>
    </cfRule>
    <cfRule type="cellIs" dxfId="13803" priority="1507" stopIfTrue="1" operator="equal">
      <formula>"Towel"</formula>
    </cfRule>
    <cfRule type="cellIs" dxfId="13802" priority="1508" stopIfTrue="1" operator="equal">
      <formula>"Napkin Hs"</formula>
    </cfRule>
  </conditionalFormatting>
  <conditionalFormatting sqref="B103:C104">
    <cfRule type="cellIs" dxfId="13801" priority="1489" stopIfTrue="1" operator="equal">
      <formula>"Towel"</formula>
    </cfRule>
    <cfRule type="cellIs" dxfId="13800" priority="1490" stopIfTrue="1" operator="equal">
      <formula>"Napkin Hs"</formula>
    </cfRule>
  </conditionalFormatting>
  <conditionalFormatting sqref="B103:C104">
    <cfRule type="cellIs" dxfId="13799" priority="1481" stopIfTrue="1" operator="equal">
      <formula>"Towel"</formula>
    </cfRule>
    <cfRule type="cellIs" dxfId="13798" priority="1482" stopIfTrue="1" operator="equal">
      <formula>"Napkin Hs"</formula>
    </cfRule>
    <cfRule type="cellIs" dxfId="13797" priority="1487" stopIfTrue="1" operator="equal">
      <formula>"Towel"</formula>
    </cfRule>
    <cfRule type="cellIs" dxfId="13796" priority="1488" stopIfTrue="1" operator="equal">
      <formula>"Napkin Hs"</formula>
    </cfRule>
  </conditionalFormatting>
  <conditionalFormatting sqref="C103:C104">
    <cfRule type="cellIs" dxfId="13795" priority="1477" stopIfTrue="1" operator="equal">
      <formula>"Towel"</formula>
    </cfRule>
    <cfRule type="cellIs" dxfId="13794" priority="1478" stopIfTrue="1" operator="equal">
      <formula>"Napkin Hs"</formula>
    </cfRule>
  </conditionalFormatting>
  <conditionalFormatting sqref="C103:C104">
    <cfRule type="cellIs" dxfId="13793" priority="1475" stopIfTrue="1" operator="equal">
      <formula>"Towel"</formula>
    </cfRule>
    <cfRule type="cellIs" dxfId="13792" priority="1476" stopIfTrue="1" operator="equal">
      <formula>"Napkin Hs"</formula>
    </cfRule>
    <cfRule type="cellIs" dxfId="13791" priority="1485" stopIfTrue="1" operator="equal">
      <formula>"Towel"</formula>
    </cfRule>
    <cfRule type="cellIs" dxfId="13790" priority="1486" stopIfTrue="1" operator="equal">
      <formula>"Napkin Hs"</formula>
    </cfRule>
  </conditionalFormatting>
  <conditionalFormatting sqref="C103:C104">
    <cfRule type="cellIs" dxfId="13789" priority="1479" stopIfTrue="1" operator="equal">
      <formula>"Towel"</formula>
    </cfRule>
    <cfRule type="cellIs" dxfId="13788" priority="1480" stopIfTrue="1" operator="equal">
      <formula>"Napkin Hs"</formula>
    </cfRule>
    <cfRule type="cellIs" dxfId="13787" priority="1483" stopIfTrue="1" operator="equal">
      <formula>"Towel"</formula>
    </cfRule>
    <cfRule type="cellIs" dxfId="13786" priority="1484" stopIfTrue="1" operator="equal">
      <formula>"Napkin Hs"</formula>
    </cfRule>
  </conditionalFormatting>
  <conditionalFormatting sqref="C103:C104">
    <cfRule type="cellIs" dxfId="13785" priority="1474" stopIfTrue="1" operator="equal">
      <formula>"Napkin Hs"</formula>
    </cfRule>
  </conditionalFormatting>
  <conditionalFormatting sqref="C103:C104">
    <cfRule type="cellIs" dxfId="13784" priority="1473" stopIfTrue="1" operator="equal">
      <formula>"Towel"</formula>
    </cfRule>
  </conditionalFormatting>
  <conditionalFormatting sqref="C103:C104">
    <cfRule type="cellIs" dxfId="13783" priority="1469" stopIfTrue="1" operator="equal">
      <formula>"Towel"</formula>
    </cfRule>
    <cfRule type="cellIs" dxfId="13782" priority="1470" stopIfTrue="1" operator="equal">
      <formula>"Napkin Hs"</formula>
    </cfRule>
    <cfRule type="cellIs" dxfId="13781" priority="1471" stopIfTrue="1" operator="equal">
      <formula>"Towel"</formula>
    </cfRule>
    <cfRule type="cellIs" dxfId="13780" priority="1472" stopIfTrue="1" operator="equal">
      <formula>"Napkin Hs"</formula>
    </cfRule>
  </conditionalFormatting>
  <conditionalFormatting sqref="B103:C104">
    <cfRule type="cellIs" dxfId="13779" priority="1467" stopIfTrue="1" operator="equal">
      <formula>"Towel"</formula>
    </cfRule>
    <cfRule type="cellIs" dxfId="13778" priority="1468" stopIfTrue="1" operator="equal">
      <formula>"Napkin Hs"</formula>
    </cfRule>
  </conditionalFormatting>
  <conditionalFormatting sqref="C103:C104">
    <cfRule type="cellIs" dxfId="13777" priority="1463" stopIfTrue="1" operator="equal">
      <formula>"Towel"</formula>
    </cfRule>
    <cfRule type="cellIs" dxfId="13776" priority="1464" stopIfTrue="1" operator="equal">
      <formula>"Napkin Hs"</formula>
    </cfRule>
  </conditionalFormatting>
  <conditionalFormatting sqref="C103:C104">
    <cfRule type="cellIs" dxfId="13775" priority="1465" stopIfTrue="1" operator="equal">
      <formula>"Towel"</formula>
    </cfRule>
    <cfRule type="cellIs" dxfId="13774" priority="1466" stopIfTrue="1" operator="equal">
      <formula>"Napkin Hs"</formula>
    </cfRule>
  </conditionalFormatting>
  <conditionalFormatting sqref="B103:C104">
    <cfRule type="cellIs" dxfId="13773" priority="1461" stopIfTrue="1" operator="equal">
      <formula>"Towel"</formula>
    </cfRule>
    <cfRule type="cellIs" dxfId="13772" priority="1462" stopIfTrue="1" operator="equal">
      <formula>"Napkin Hs"</formula>
    </cfRule>
  </conditionalFormatting>
  <conditionalFormatting sqref="C103:C104">
    <cfRule type="cellIs" dxfId="13771" priority="1457" stopIfTrue="1" operator="equal">
      <formula>"Towel"</formula>
    </cfRule>
    <cfRule type="cellIs" dxfId="13770" priority="1458" stopIfTrue="1" operator="equal">
      <formula>"Napkin Hs"</formula>
    </cfRule>
  </conditionalFormatting>
  <conditionalFormatting sqref="C103:C104">
    <cfRule type="cellIs" dxfId="13769" priority="1459" stopIfTrue="1" operator="equal">
      <formula>"Towel"</formula>
    </cfRule>
    <cfRule type="cellIs" dxfId="13768" priority="1460" stopIfTrue="1" operator="equal">
      <formula>"Napkin Hs"</formula>
    </cfRule>
  </conditionalFormatting>
  <conditionalFormatting sqref="B103:C104">
    <cfRule type="cellIs" dxfId="13767" priority="1455" stopIfTrue="1" operator="equal">
      <formula>"Towel"</formula>
    </cfRule>
    <cfRule type="cellIs" dxfId="13766" priority="1456" stopIfTrue="1" operator="equal">
      <formula>"Napkin Hs"</formula>
    </cfRule>
  </conditionalFormatting>
  <conditionalFormatting sqref="C103:C104">
    <cfRule type="cellIs" dxfId="13765" priority="1451" stopIfTrue="1" operator="equal">
      <formula>"Towel"</formula>
    </cfRule>
    <cfRule type="cellIs" dxfId="13764" priority="1452" stopIfTrue="1" operator="equal">
      <formula>"Napkin Hs"</formula>
    </cfRule>
  </conditionalFormatting>
  <conditionalFormatting sqref="C103:C104">
    <cfRule type="cellIs" dxfId="13763" priority="1453" stopIfTrue="1" operator="equal">
      <formula>"Towel"</formula>
    </cfRule>
    <cfRule type="cellIs" dxfId="13762" priority="1454" stopIfTrue="1" operator="equal">
      <formula>"Napkin Hs"</formula>
    </cfRule>
  </conditionalFormatting>
  <conditionalFormatting sqref="B103:C104">
    <cfRule type="cellIs" dxfId="13761" priority="1449" stopIfTrue="1" operator="equal">
      <formula>"Towel"</formula>
    </cfRule>
    <cfRule type="cellIs" dxfId="13760" priority="1450" stopIfTrue="1" operator="equal">
      <formula>"Napkin Hs"</formula>
    </cfRule>
  </conditionalFormatting>
  <conditionalFormatting sqref="C103:C104">
    <cfRule type="cellIs" dxfId="13759" priority="1447" stopIfTrue="1" operator="equal">
      <formula>"Towel"</formula>
    </cfRule>
    <cfRule type="cellIs" dxfId="13758" priority="1448" stopIfTrue="1" operator="equal">
      <formula>"Napkin Hs"</formula>
    </cfRule>
  </conditionalFormatting>
  <conditionalFormatting sqref="C103:C104">
    <cfRule type="cellIs" dxfId="13757" priority="1445" stopIfTrue="1" operator="equal">
      <formula>"Towel"</formula>
    </cfRule>
    <cfRule type="cellIs" dxfId="13756" priority="1446" stopIfTrue="1" operator="equal">
      <formula>"Napkin Hs"</formula>
    </cfRule>
  </conditionalFormatting>
  <conditionalFormatting sqref="B103:C104">
    <cfRule type="cellIs" dxfId="13755" priority="1443" stopIfTrue="1" operator="equal">
      <formula>"Towel"</formula>
    </cfRule>
    <cfRule type="cellIs" dxfId="13754" priority="1444" stopIfTrue="1" operator="equal">
      <formula>"Napkin Hs"</formula>
    </cfRule>
  </conditionalFormatting>
  <conditionalFormatting sqref="C103:C104">
    <cfRule type="cellIs" dxfId="13753" priority="1442" stopIfTrue="1" operator="equal">
      <formula>"Napkin Hs"</formula>
    </cfRule>
  </conditionalFormatting>
  <conditionalFormatting sqref="C103:C104">
    <cfRule type="cellIs" dxfId="13752" priority="1439" stopIfTrue="1" operator="equal">
      <formula>"Towel"</formula>
    </cfRule>
    <cfRule type="cellIs" dxfId="13751" priority="1440" stopIfTrue="1" operator="equal">
      <formula>"Napkin Hs"</formula>
    </cfRule>
  </conditionalFormatting>
  <conditionalFormatting sqref="C103:C104">
    <cfRule type="cellIs" dxfId="13750" priority="1441" stopIfTrue="1" operator="equal">
      <formula>"Towel"</formula>
    </cfRule>
  </conditionalFormatting>
  <conditionalFormatting sqref="B105:C105">
    <cfRule type="cellIs" dxfId="13749" priority="1437" stopIfTrue="1" operator="equal">
      <formula>"Towel"</formula>
    </cfRule>
    <cfRule type="cellIs" dxfId="13748" priority="1438" stopIfTrue="1" operator="equal">
      <formula>"Napkin Hs"</formula>
    </cfRule>
  </conditionalFormatting>
  <conditionalFormatting sqref="C105">
    <cfRule type="cellIs" dxfId="13747" priority="1433" stopIfTrue="1" operator="equal">
      <formula>"Towel"</formula>
    </cfRule>
    <cfRule type="cellIs" dxfId="13746" priority="1434" stopIfTrue="1" operator="equal">
      <formula>"Napkin Hs"</formula>
    </cfRule>
  </conditionalFormatting>
  <conditionalFormatting sqref="C105">
    <cfRule type="cellIs" dxfId="13745" priority="1435" stopIfTrue="1" operator="equal">
      <formula>"Towel"</formula>
    </cfRule>
    <cfRule type="cellIs" dxfId="13744" priority="1436" stopIfTrue="1" operator="equal">
      <formula>"Napkin Hs"</formula>
    </cfRule>
  </conditionalFormatting>
  <conditionalFormatting sqref="B105:C105">
    <cfRule type="cellIs" dxfId="13743" priority="1431" stopIfTrue="1" operator="equal">
      <formula>"Towel"</formula>
    </cfRule>
    <cfRule type="cellIs" dxfId="13742" priority="1432" stopIfTrue="1" operator="equal">
      <formula>"Napkin Hs"</formula>
    </cfRule>
  </conditionalFormatting>
  <conditionalFormatting sqref="C105">
    <cfRule type="cellIs" dxfId="13741" priority="1427" stopIfTrue="1" operator="equal">
      <formula>"Towel"</formula>
    </cfRule>
    <cfRule type="cellIs" dxfId="13740" priority="1428" stopIfTrue="1" operator="equal">
      <formula>"Napkin Hs"</formula>
    </cfRule>
  </conditionalFormatting>
  <conditionalFormatting sqref="C105">
    <cfRule type="cellIs" dxfId="13739" priority="1429" stopIfTrue="1" operator="equal">
      <formula>"Towel"</formula>
    </cfRule>
    <cfRule type="cellIs" dxfId="13738" priority="1430" stopIfTrue="1" operator="equal">
      <formula>"Napkin Hs"</formula>
    </cfRule>
  </conditionalFormatting>
  <conditionalFormatting sqref="B105:C105">
    <cfRule type="cellIs" dxfId="13737" priority="1383" stopIfTrue="1" operator="equal">
      <formula>"Towel"</formula>
    </cfRule>
    <cfRule type="cellIs" dxfId="13736" priority="1384" stopIfTrue="1" operator="equal">
      <formula>"Napkin Hs"</formula>
    </cfRule>
    <cfRule type="cellIs" dxfId="13735" priority="1389" stopIfTrue="1" operator="equal">
      <formula>"Towel"</formula>
    </cfRule>
    <cfRule type="cellIs" dxfId="13734" priority="1390" stopIfTrue="1" operator="equal">
      <formula>"Napkin Hs"</formula>
    </cfRule>
    <cfRule type="cellIs" dxfId="13733" priority="1395" stopIfTrue="1" operator="equal">
      <formula>"Towel"</formula>
    </cfRule>
    <cfRule type="cellIs" dxfId="13732" priority="1396" stopIfTrue="1" operator="equal">
      <formula>"Napkin Hs"</formula>
    </cfRule>
    <cfRule type="cellIs" dxfId="13731" priority="1401" stopIfTrue="1" operator="equal">
      <formula>"Towel"</formula>
    </cfRule>
    <cfRule type="cellIs" dxfId="13730" priority="1402" stopIfTrue="1" operator="equal">
      <formula>"Napkin Hs"</formula>
    </cfRule>
    <cfRule type="cellIs" dxfId="13729" priority="1407" stopIfTrue="1" operator="equal">
      <formula>"Towel"</formula>
    </cfRule>
    <cfRule type="cellIs" dxfId="13728" priority="1408" stopIfTrue="1" operator="equal">
      <formula>"Napkin Hs"</formula>
    </cfRule>
    <cfRule type="cellIs" dxfId="13727" priority="1413" stopIfTrue="1" operator="equal">
      <formula>"Towel"</formula>
    </cfRule>
    <cfRule type="cellIs" dxfId="13726" priority="1414" stopIfTrue="1" operator="equal">
      <formula>"Napkin Hs"</formula>
    </cfRule>
    <cfRule type="cellIs" dxfId="13725" priority="1419" stopIfTrue="1" operator="equal">
      <formula>"Towel"</formula>
    </cfRule>
    <cfRule type="cellIs" dxfId="13724" priority="1420" stopIfTrue="1" operator="equal">
      <formula>"Napkin Hs"</formula>
    </cfRule>
    <cfRule type="cellIs" dxfId="13723" priority="1425" stopIfTrue="1" operator="equal">
      <formula>"Towel"</formula>
    </cfRule>
    <cfRule type="cellIs" dxfId="13722" priority="1426" stopIfTrue="1" operator="equal">
      <formula>"Napkin Hs"</formula>
    </cfRule>
  </conditionalFormatting>
  <conditionalFormatting sqref="C105">
    <cfRule type="cellIs" dxfId="13721" priority="1379" stopIfTrue="1" operator="equal">
      <formula>"Towel"</formula>
    </cfRule>
    <cfRule type="cellIs" dxfId="13720" priority="1380" stopIfTrue="1" operator="equal">
      <formula>"Napkin Hs"</formula>
    </cfRule>
    <cfRule type="cellIs" dxfId="13719" priority="1381" stopIfTrue="1" operator="equal">
      <formula>"Towel"</formula>
    </cfRule>
    <cfRule type="cellIs" dxfId="13718" priority="1382" stopIfTrue="1" operator="equal">
      <formula>"Napkin Hs"</formula>
    </cfRule>
    <cfRule type="cellIs" dxfId="13717" priority="1385" stopIfTrue="1" operator="equal">
      <formula>"Towel"</formula>
    </cfRule>
    <cfRule type="cellIs" dxfId="13716" priority="1386" stopIfTrue="1" operator="equal">
      <formula>"Napkin Hs"</formula>
    </cfRule>
    <cfRule type="cellIs" dxfId="13715" priority="1387" stopIfTrue="1" operator="equal">
      <formula>"Towel"</formula>
    </cfRule>
    <cfRule type="cellIs" dxfId="13714" priority="1388" stopIfTrue="1" operator="equal">
      <formula>"Napkin Hs"</formula>
    </cfRule>
    <cfRule type="cellIs" dxfId="13713" priority="1391" stopIfTrue="1" operator="equal">
      <formula>"Towel"</formula>
    </cfRule>
    <cfRule type="cellIs" dxfId="13712" priority="1392" stopIfTrue="1" operator="equal">
      <formula>"Napkin Hs"</formula>
    </cfRule>
    <cfRule type="cellIs" dxfId="13711" priority="1393" stopIfTrue="1" operator="equal">
      <formula>"Towel"</formula>
    </cfRule>
    <cfRule type="cellIs" dxfId="13710" priority="1394" stopIfTrue="1" operator="equal">
      <formula>"Napkin Hs"</formula>
    </cfRule>
    <cfRule type="cellIs" dxfId="13709" priority="1397" stopIfTrue="1" operator="equal">
      <formula>"Towel"</formula>
    </cfRule>
    <cfRule type="cellIs" dxfId="13708" priority="1398" stopIfTrue="1" operator="equal">
      <formula>"Napkin Hs"</formula>
    </cfRule>
    <cfRule type="cellIs" dxfId="13707" priority="1399" stopIfTrue="1" operator="equal">
      <formula>"Towel"</formula>
    </cfRule>
    <cfRule type="cellIs" dxfId="13706" priority="1400" stopIfTrue="1" operator="equal">
      <formula>"Napkin Hs"</formula>
    </cfRule>
    <cfRule type="cellIs" dxfId="13705" priority="1403" stopIfTrue="1" operator="equal">
      <formula>"Towel"</formula>
    </cfRule>
    <cfRule type="cellIs" dxfId="13704" priority="1404" stopIfTrue="1" operator="equal">
      <formula>"Napkin Hs"</formula>
    </cfRule>
    <cfRule type="cellIs" dxfId="13703" priority="1405" stopIfTrue="1" operator="equal">
      <formula>"Towel"</formula>
    </cfRule>
    <cfRule type="cellIs" dxfId="13702" priority="1406" stopIfTrue="1" operator="equal">
      <formula>"Napkin Hs"</formula>
    </cfRule>
    <cfRule type="cellIs" dxfId="13701" priority="1409" stopIfTrue="1" operator="equal">
      <formula>"Towel"</formula>
    </cfRule>
    <cfRule type="cellIs" dxfId="13700" priority="1410" stopIfTrue="1" operator="equal">
      <formula>"Napkin Hs"</formula>
    </cfRule>
    <cfRule type="cellIs" dxfId="13699" priority="1411" stopIfTrue="1" operator="equal">
      <formula>"Towel"</formula>
    </cfRule>
    <cfRule type="cellIs" dxfId="13698" priority="1412" stopIfTrue="1" operator="equal">
      <formula>"Napkin Hs"</formula>
    </cfRule>
    <cfRule type="cellIs" dxfId="13697" priority="1415" stopIfTrue="1" operator="equal">
      <formula>"Towel"</formula>
    </cfRule>
    <cfRule type="cellIs" dxfId="13696" priority="1416" stopIfTrue="1" operator="equal">
      <formula>"Napkin Hs"</formula>
    </cfRule>
    <cfRule type="cellIs" dxfId="13695" priority="1417" stopIfTrue="1" operator="equal">
      <formula>"Towel"</formula>
    </cfRule>
    <cfRule type="cellIs" dxfId="13694" priority="1418" stopIfTrue="1" operator="equal">
      <formula>"Napkin Hs"</formula>
    </cfRule>
    <cfRule type="cellIs" dxfId="13693" priority="1421" stopIfTrue="1" operator="equal">
      <formula>"Towel"</formula>
    </cfRule>
    <cfRule type="cellIs" dxfId="13692" priority="1422" stopIfTrue="1" operator="equal">
      <formula>"Napkin Hs"</formula>
    </cfRule>
  </conditionalFormatting>
  <conditionalFormatting sqref="C105">
    <cfRule type="cellIs" dxfId="13691" priority="1423" stopIfTrue="1" operator="equal">
      <formula>"Towel"</formula>
    </cfRule>
    <cfRule type="cellIs" dxfId="13690" priority="1424" stopIfTrue="1" operator="equal">
      <formula>"Napkin Hs"</formula>
    </cfRule>
  </conditionalFormatting>
  <conditionalFormatting sqref="B105:C105">
    <cfRule type="cellIs" dxfId="13689" priority="1335" stopIfTrue="1" operator="equal">
      <formula>"Towel"</formula>
    </cfRule>
    <cfRule type="cellIs" dxfId="13688" priority="1336" stopIfTrue="1" operator="equal">
      <formula>"Napkin Hs"</formula>
    </cfRule>
    <cfRule type="cellIs" dxfId="13687" priority="1341" stopIfTrue="1" operator="equal">
      <formula>"Towel"</formula>
    </cfRule>
    <cfRule type="cellIs" dxfId="13686" priority="1342" stopIfTrue="1" operator="equal">
      <formula>"Napkin Hs"</formula>
    </cfRule>
    <cfRule type="cellIs" dxfId="13685" priority="1347" stopIfTrue="1" operator="equal">
      <formula>"Towel"</formula>
    </cfRule>
    <cfRule type="cellIs" dxfId="13684" priority="1348" stopIfTrue="1" operator="equal">
      <formula>"Napkin Hs"</formula>
    </cfRule>
    <cfRule type="cellIs" dxfId="13683" priority="1353" stopIfTrue="1" operator="equal">
      <formula>"Towel"</formula>
    </cfRule>
    <cfRule type="cellIs" dxfId="13682" priority="1354" stopIfTrue="1" operator="equal">
      <formula>"Napkin Hs"</formula>
    </cfRule>
    <cfRule type="cellIs" dxfId="13681" priority="1359" stopIfTrue="1" operator="equal">
      <formula>"Towel"</formula>
    </cfRule>
    <cfRule type="cellIs" dxfId="13680" priority="1360" stopIfTrue="1" operator="equal">
      <formula>"Napkin Hs"</formula>
    </cfRule>
    <cfRule type="cellIs" dxfId="13679" priority="1365" stopIfTrue="1" operator="equal">
      <formula>"Towel"</formula>
    </cfRule>
    <cfRule type="cellIs" dxfId="13678" priority="1366" stopIfTrue="1" operator="equal">
      <formula>"Napkin Hs"</formula>
    </cfRule>
    <cfRule type="cellIs" dxfId="13677" priority="1371" stopIfTrue="1" operator="equal">
      <formula>"Towel"</formula>
    </cfRule>
    <cfRule type="cellIs" dxfId="13676" priority="1372" stopIfTrue="1" operator="equal">
      <formula>"Napkin Hs"</formula>
    </cfRule>
    <cfRule type="cellIs" dxfId="13675" priority="1377" stopIfTrue="1" operator="equal">
      <formula>"Towel"</formula>
    </cfRule>
    <cfRule type="cellIs" dxfId="13674" priority="1378" stopIfTrue="1" operator="equal">
      <formula>"Napkin Hs"</formula>
    </cfRule>
  </conditionalFormatting>
  <conditionalFormatting sqref="C105">
    <cfRule type="cellIs" dxfId="13673" priority="1331" stopIfTrue="1" operator="equal">
      <formula>"Towel"</formula>
    </cfRule>
    <cfRule type="cellIs" dxfId="13672" priority="1332" stopIfTrue="1" operator="equal">
      <formula>"Napkin Hs"</formula>
    </cfRule>
    <cfRule type="cellIs" dxfId="13671" priority="1333" stopIfTrue="1" operator="equal">
      <formula>"Towel"</formula>
    </cfRule>
    <cfRule type="cellIs" dxfId="13670" priority="1334" stopIfTrue="1" operator="equal">
      <formula>"Napkin Hs"</formula>
    </cfRule>
    <cfRule type="cellIs" dxfId="13669" priority="1337" stopIfTrue="1" operator="equal">
      <formula>"Towel"</formula>
    </cfRule>
    <cfRule type="cellIs" dxfId="13668" priority="1338" stopIfTrue="1" operator="equal">
      <formula>"Napkin Hs"</formula>
    </cfRule>
    <cfRule type="cellIs" dxfId="13667" priority="1339" stopIfTrue="1" operator="equal">
      <formula>"Towel"</formula>
    </cfRule>
    <cfRule type="cellIs" dxfId="13666" priority="1340" stopIfTrue="1" operator="equal">
      <formula>"Napkin Hs"</formula>
    </cfRule>
    <cfRule type="cellIs" dxfId="13665" priority="1343" stopIfTrue="1" operator="equal">
      <formula>"Towel"</formula>
    </cfRule>
    <cfRule type="cellIs" dxfId="13664" priority="1344" stopIfTrue="1" operator="equal">
      <formula>"Napkin Hs"</formula>
    </cfRule>
    <cfRule type="cellIs" dxfId="13663" priority="1345" stopIfTrue="1" operator="equal">
      <formula>"Towel"</formula>
    </cfRule>
    <cfRule type="cellIs" dxfId="13662" priority="1346" stopIfTrue="1" operator="equal">
      <formula>"Napkin Hs"</formula>
    </cfRule>
    <cfRule type="cellIs" dxfId="13661" priority="1349" stopIfTrue="1" operator="equal">
      <formula>"Towel"</formula>
    </cfRule>
    <cfRule type="cellIs" dxfId="13660" priority="1350" stopIfTrue="1" operator="equal">
      <formula>"Napkin Hs"</formula>
    </cfRule>
    <cfRule type="cellIs" dxfId="13659" priority="1351" stopIfTrue="1" operator="equal">
      <formula>"Towel"</formula>
    </cfRule>
    <cfRule type="cellIs" dxfId="13658" priority="1352" stopIfTrue="1" operator="equal">
      <formula>"Napkin Hs"</formula>
    </cfRule>
    <cfRule type="cellIs" dxfId="13657" priority="1355" stopIfTrue="1" operator="equal">
      <formula>"Towel"</formula>
    </cfRule>
    <cfRule type="cellIs" dxfId="13656" priority="1356" stopIfTrue="1" operator="equal">
      <formula>"Napkin Hs"</formula>
    </cfRule>
    <cfRule type="cellIs" dxfId="13655" priority="1357" stopIfTrue="1" operator="equal">
      <formula>"Towel"</formula>
    </cfRule>
    <cfRule type="cellIs" dxfId="13654" priority="1358" stopIfTrue="1" operator="equal">
      <formula>"Napkin Hs"</formula>
    </cfRule>
    <cfRule type="cellIs" dxfId="13653" priority="1361" stopIfTrue="1" operator="equal">
      <formula>"Towel"</formula>
    </cfRule>
    <cfRule type="cellIs" dxfId="13652" priority="1362" stopIfTrue="1" operator="equal">
      <formula>"Napkin Hs"</formula>
    </cfRule>
    <cfRule type="cellIs" dxfId="13651" priority="1363" stopIfTrue="1" operator="equal">
      <formula>"Towel"</formula>
    </cfRule>
    <cfRule type="cellIs" dxfId="13650" priority="1364" stopIfTrue="1" operator="equal">
      <formula>"Napkin Hs"</formula>
    </cfRule>
    <cfRule type="cellIs" dxfId="13649" priority="1367" stopIfTrue="1" operator="equal">
      <formula>"Towel"</formula>
    </cfRule>
    <cfRule type="cellIs" dxfId="13648" priority="1368" stopIfTrue="1" operator="equal">
      <formula>"Napkin Hs"</formula>
    </cfRule>
    <cfRule type="cellIs" dxfId="13647" priority="1369" stopIfTrue="1" operator="equal">
      <formula>"Towel"</formula>
    </cfRule>
    <cfRule type="cellIs" dxfId="13646" priority="1370" stopIfTrue="1" operator="equal">
      <formula>"Napkin Hs"</formula>
    </cfRule>
    <cfRule type="cellIs" dxfId="13645" priority="1373" stopIfTrue="1" operator="equal">
      <formula>"Towel"</formula>
    </cfRule>
    <cfRule type="cellIs" dxfId="13644" priority="1374" stopIfTrue="1" operator="equal">
      <formula>"Napkin Hs"</formula>
    </cfRule>
  </conditionalFormatting>
  <conditionalFormatting sqref="C105">
    <cfRule type="cellIs" dxfId="13643" priority="1375" stopIfTrue="1" operator="equal">
      <formula>"Towel"</formula>
    </cfRule>
    <cfRule type="cellIs" dxfId="13642" priority="1376" stopIfTrue="1" operator="equal">
      <formula>"Napkin Hs"</formula>
    </cfRule>
  </conditionalFormatting>
  <conditionalFormatting sqref="B105:C105">
    <cfRule type="cellIs" dxfId="13641" priority="1329" stopIfTrue="1" operator="equal">
      <formula>"Towel"</formula>
    </cfRule>
    <cfRule type="cellIs" dxfId="13640" priority="1330" stopIfTrue="1" operator="equal">
      <formula>"Napkin Hs"</formula>
    </cfRule>
  </conditionalFormatting>
  <conditionalFormatting sqref="B105:C105">
    <cfRule type="cellIs" dxfId="13639" priority="1305" stopIfTrue="1" operator="equal">
      <formula>"Towel"</formula>
    </cfRule>
    <cfRule type="cellIs" dxfId="13638" priority="1306" stopIfTrue="1" operator="equal">
      <formula>"Napkin Hs"</formula>
    </cfRule>
    <cfRule type="cellIs" dxfId="13637" priority="1311" stopIfTrue="1" operator="equal">
      <formula>"Towel"</formula>
    </cfRule>
    <cfRule type="cellIs" dxfId="13636" priority="1312" stopIfTrue="1" operator="equal">
      <formula>"Napkin Hs"</formula>
    </cfRule>
    <cfRule type="cellIs" dxfId="13635" priority="1317" stopIfTrue="1" operator="equal">
      <formula>"Towel"</formula>
    </cfRule>
    <cfRule type="cellIs" dxfId="13634" priority="1318" stopIfTrue="1" operator="equal">
      <formula>"Napkin Hs"</formula>
    </cfRule>
    <cfRule type="cellIs" dxfId="13633" priority="1323" stopIfTrue="1" operator="equal">
      <formula>"Towel"</formula>
    </cfRule>
    <cfRule type="cellIs" dxfId="13632" priority="1324" stopIfTrue="1" operator="equal">
      <formula>"Napkin Hs"</formula>
    </cfRule>
  </conditionalFormatting>
  <conditionalFormatting sqref="C105">
    <cfRule type="cellIs" dxfId="13631" priority="1319" stopIfTrue="1" operator="equal">
      <formula>"Towel"</formula>
    </cfRule>
    <cfRule type="cellIs" dxfId="13630" priority="1320" stopIfTrue="1" operator="equal">
      <formula>"Napkin Hs"</formula>
    </cfRule>
    <cfRule type="cellIs" dxfId="13629" priority="1325" stopIfTrue="1" operator="equal">
      <formula>"Towel"</formula>
    </cfRule>
    <cfRule type="cellIs" dxfId="13628" priority="1326" stopIfTrue="1" operator="equal">
      <formula>"Napkin Hs"</formula>
    </cfRule>
  </conditionalFormatting>
  <conditionalFormatting sqref="C105">
    <cfRule type="cellIs" dxfId="13627" priority="1299" stopIfTrue="1" operator="equal">
      <formula>"Towel"</formula>
    </cfRule>
    <cfRule type="cellIs" dxfId="13626" priority="1300" stopIfTrue="1" operator="equal">
      <formula>"Napkin Hs"</formula>
    </cfRule>
    <cfRule type="cellIs" dxfId="13625" priority="1301" stopIfTrue="1" operator="equal">
      <formula>"Towel"</formula>
    </cfRule>
    <cfRule type="cellIs" dxfId="13624" priority="1302" stopIfTrue="1" operator="equal">
      <formula>"Napkin Hs"</formula>
    </cfRule>
    <cfRule type="cellIs" dxfId="13623" priority="1309" stopIfTrue="1" operator="equal">
      <formula>"Towel"</formula>
    </cfRule>
    <cfRule type="cellIs" dxfId="13622" priority="1310" stopIfTrue="1" operator="equal">
      <formula>"Napkin Hs"</formula>
    </cfRule>
    <cfRule type="cellIs" dxfId="13621" priority="1313" stopIfTrue="1" operator="equal">
      <formula>"Towel"</formula>
    </cfRule>
    <cfRule type="cellIs" dxfId="13620" priority="1314" stopIfTrue="1" operator="equal">
      <formula>"Napkin Hs"</formula>
    </cfRule>
    <cfRule type="cellIs" dxfId="13619" priority="1315" stopIfTrue="1" operator="equal">
      <formula>"Towel"</formula>
    </cfRule>
    <cfRule type="cellIs" dxfId="13618" priority="1316" stopIfTrue="1" operator="equal">
      <formula>"Napkin Hs"</formula>
    </cfRule>
  </conditionalFormatting>
  <conditionalFormatting sqref="C105">
    <cfRule type="cellIs" dxfId="13617" priority="1327" stopIfTrue="1" operator="equal">
      <formula>"Towel"</formula>
    </cfRule>
    <cfRule type="cellIs" dxfId="13616" priority="1328" stopIfTrue="1" operator="equal">
      <formula>"Napkin Hs"</formula>
    </cfRule>
  </conditionalFormatting>
  <conditionalFormatting sqref="C105">
    <cfRule type="cellIs" dxfId="13615" priority="1303" stopIfTrue="1" operator="equal">
      <formula>"Towel"</formula>
    </cfRule>
    <cfRule type="cellIs" dxfId="13614" priority="1304" stopIfTrue="1" operator="equal">
      <formula>"Napkin Hs"</formula>
    </cfRule>
    <cfRule type="cellIs" dxfId="13613" priority="1307" stopIfTrue="1" operator="equal">
      <formula>"Towel"</formula>
    </cfRule>
    <cfRule type="cellIs" dxfId="13612" priority="1308" stopIfTrue="1" operator="equal">
      <formula>"Napkin Hs"</formula>
    </cfRule>
    <cfRule type="cellIs" dxfId="13611" priority="1321" stopIfTrue="1" operator="equal">
      <formula>"Towel"</formula>
    </cfRule>
    <cfRule type="cellIs" dxfId="13610" priority="1322" stopIfTrue="1" operator="equal">
      <formula>"Napkin Hs"</formula>
    </cfRule>
  </conditionalFormatting>
  <conditionalFormatting sqref="B105:C105">
    <cfRule type="cellIs" dxfId="13609" priority="1255" stopIfTrue="1" operator="equal">
      <formula>"Towel"</formula>
    </cfRule>
    <cfRule type="cellIs" dxfId="13608" priority="1256" stopIfTrue="1" operator="equal">
      <formula>"Napkin Hs"</formula>
    </cfRule>
    <cfRule type="cellIs" dxfId="13607" priority="1261" stopIfTrue="1" operator="equal">
      <formula>"Towel"</formula>
    </cfRule>
    <cfRule type="cellIs" dxfId="13606" priority="1262" stopIfTrue="1" operator="equal">
      <formula>"Napkin Hs"</formula>
    </cfRule>
    <cfRule type="cellIs" dxfId="13605" priority="1267" stopIfTrue="1" operator="equal">
      <formula>"Towel"</formula>
    </cfRule>
    <cfRule type="cellIs" dxfId="13604" priority="1268" stopIfTrue="1" operator="equal">
      <formula>"Napkin Hs"</formula>
    </cfRule>
    <cfRule type="cellIs" dxfId="13603" priority="1273" stopIfTrue="1" operator="equal">
      <formula>"Towel"</formula>
    </cfRule>
    <cfRule type="cellIs" dxfId="13602" priority="1274" stopIfTrue="1" operator="equal">
      <formula>"Napkin Hs"</formula>
    </cfRule>
    <cfRule type="cellIs" dxfId="13601" priority="1279" stopIfTrue="1" operator="equal">
      <formula>"Towel"</formula>
    </cfRule>
    <cfRule type="cellIs" dxfId="13600" priority="1280" stopIfTrue="1" operator="equal">
      <formula>"Napkin Hs"</formula>
    </cfRule>
    <cfRule type="cellIs" dxfId="13599" priority="1285" stopIfTrue="1" operator="equal">
      <formula>"Towel"</formula>
    </cfRule>
    <cfRule type="cellIs" dxfId="13598" priority="1286" stopIfTrue="1" operator="equal">
      <formula>"Napkin Hs"</formula>
    </cfRule>
    <cfRule type="cellIs" dxfId="13597" priority="1291" stopIfTrue="1" operator="equal">
      <formula>"Towel"</formula>
    </cfRule>
    <cfRule type="cellIs" dxfId="13596" priority="1292" stopIfTrue="1" operator="equal">
      <formula>"Napkin Hs"</formula>
    </cfRule>
    <cfRule type="cellIs" dxfId="13595" priority="1297" stopIfTrue="1" operator="equal">
      <formula>"Towel"</formula>
    </cfRule>
    <cfRule type="cellIs" dxfId="13594" priority="1298" stopIfTrue="1" operator="equal">
      <formula>"Napkin Hs"</formula>
    </cfRule>
  </conditionalFormatting>
  <conditionalFormatting sqref="C105">
    <cfRule type="cellIs" dxfId="13593" priority="1251" stopIfTrue="1" operator="equal">
      <formula>"Towel"</formula>
    </cfRule>
    <cfRule type="cellIs" dxfId="13592" priority="1252" stopIfTrue="1" operator="equal">
      <formula>"Napkin Hs"</formula>
    </cfRule>
    <cfRule type="cellIs" dxfId="13591" priority="1253" stopIfTrue="1" operator="equal">
      <formula>"Towel"</formula>
    </cfRule>
    <cfRule type="cellIs" dxfId="13590" priority="1254" stopIfTrue="1" operator="equal">
      <formula>"Napkin Hs"</formula>
    </cfRule>
    <cfRule type="cellIs" dxfId="13589" priority="1257" stopIfTrue="1" operator="equal">
      <formula>"Towel"</formula>
    </cfRule>
    <cfRule type="cellIs" dxfId="13588" priority="1258" stopIfTrue="1" operator="equal">
      <formula>"Napkin Hs"</formula>
    </cfRule>
    <cfRule type="cellIs" dxfId="13587" priority="1259" stopIfTrue="1" operator="equal">
      <formula>"Towel"</formula>
    </cfRule>
    <cfRule type="cellIs" dxfId="13586" priority="1260" stopIfTrue="1" operator="equal">
      <formula>"Napkin Hs"</formula>
    </cfRule>
    <cfRule type="cellIs" dxfId="13585" priority="1263" stopIfTrue="1" operator="equal">
      <formula>"Towel"</formula>
    </cfRule>
    <cfRule type="cellIs" dxfId="13584" priority="1264" stopIfTrue="1" operator="equal">
      <formula>"Napkin Hs"</formula>
    </cfRule>
    <cfRule type="cellIs" dxfId="13583" priority="1265" stopIfTrue="1" operator="equal">
      <formula>"Towel"</formula>
    </cfRule>
    <cfRule type="cellIs" dxfId="13582" priority="1266" stopIfTrue="1" operator="equal">
      <formula>"Napkin Hs"</formula>
    </cfRule>
    <cfRule type="cellIs" dxfId="13581" priority="1269" stopIfTrue="1" operator="equal">
      <formula>"Towel"</formula>
    </cfRule>
    <cfRule type="cellIs" dxfId="13580" priority="1270" stopIfTrue="1" operator="equal">
      <formula>"Napkin Hs"</formula>
    </cfRule>
    <cfRule type="cellIs" dxfId="13579" priority="1271" stopIfTrue="1" operator="equal">
      <formula>"Towel"</formula>
    </cfRule>
    <cfRule type="cellIs" dxfId="13578" priority="1272" stopIfTrue="1" operator="equal">
      <formula>"Napkin Hs"</formula>
    </cfRule>
    <cfRule type="cellIs" dxfId="13577" priority="1275" stopIfTrue="1" operator="equal">
      <formula>"Towel"</formula>
    </cfRule>
    <cfRule type="cellIs" dxfId="13576" priority="1276" stopIfTrue="1" operator="equal">
      <formula>"Napkin Hs"</formula>
    </cfRule>
    <cfRule type="cellIs" dxfId="13575" priority="1277" stopIfTrue="1" operator="equal">
      <formula>"Towel"</formula>
    </cfRule>
    <cfRule type="cellIs" dxfId="13574" priority="1278" stopIfTrue="1" operator="equal">
      <formula>"Napkin Hs"</formula>
    </cfRule>
    <cfRule type="cellIs" dxfId="13573" priority="1281" stopIfTrue="1" operator="equal">
      <formula>"Towel"</formula>
    </cfRule>
    <cfRule type="cellIs" dxfId="13572" priority="1282" stopIfTrue="1" operator="equal">
      <formula>"Napkin Hs"</formula>
    </cfRule>
    <cfRule type="cellIs" dxfId="13571" priority="1283" stopIfTrue="1" operator="equal">
      <formula>"Towel"</formula>
    </cfRule>
    <cfRule type="cellIs" dxfId="13570" priority="1284" stopIfTrue="1" operator="equal">
      <formula>"Napkin Hs"</formula>
    </cfRule>
    <cfRule type="cellIs" dxfId="13569" priority="1287" stopIfTrue="1" operator="equal">
      <formula>"Towel"</formula>
    </cfRule>
    <cfRule type="cellIs" dxfId="13568" priority="1288" stopIfTrue="1" operator="equal">
      <formula>"Napkin Hs"</formula>
    </cfRule>
    <cfRule type="cellIs" dxfId="13567" priority="1289" stopIfTrue="1" operator="equal">
      <formula>"Towel"</formula>
    </cfRule>
    <cfRule type="cellIs" dxfId="13566" priority="1290" stopIfTrue="1" operator="equal">
      <formula>"Napkin Hs"</formula>
    </cfRule>
    <cfRule type="cellIs" dxfId="13565" priority="1293" stopIfTrue="1" operator="equal">
      <formula>"Towel"</formula>
    </cfRule>
    <cfRule type="cellIs" dxfId="13564" priority="1294" stopIfTrue="1" operator="equal">
      <formula>"Napkin Hs"</formula>
    </cfRule>
  </conditionalFormatting>
  <conditionalFormatting sqref="C105">
    <cfRule type="cellIs" dxfId="13563" priority="1295" stopIfTrue="1" operator="equal">
      <formula>"Towel"</formula>
    </cfRule>
    <cfRule type="cellIs" dxfId="13562" priority="1296" stopIfTrue="1" operator="equal">
      <formula>"Napkin Hs"</formula>
    </cfRule>
  </conditionalFormatting>
  <conditionalFormatting sqref="B105">
    <cfRule type="cellIs" dxfId="13561" priority="1245" stopIfTrue="1" operator="equal">
      <formula>"Towel"</formula>
    </cfRule>
    <cfRule type="cellIs" dxfId="13560" priority="1246" stopIfTrue="1" operator="equal">
      <formula>"Napkin Hs"</formula>
    </cfRule>
    <cfRule type="cellIs" dxfId="13559" priority="1247" stopIfTrue="1" operator="equal">
      <formula>"Towel"</formula>
    </cfRule>
    <cfRule type="cellIs" dxfId="13558" priority="1248" stopIfTrue="1" operator="equal">
      <formula>"Napkin Hs"</formula>
    </cfRule>
    <cfRule type="cellIs" dxfId="13557" priority="1249" stopIfTrue="1" operator="equal">
      <formula>"Towel"</formula>
    </cfRule>
    <cfRule type="cellIs" dxfId="13556" priority="1250" stopIfTrue="1" operator="equal">
      <formula>"Napkin Hs"</formula>
    </cfRule>
  </conditionalFormatting>
  <conditionalFormatting sqref="B105:C105">
    <cfRule type="cellIs" dxfId="13555" priority="1207" stopIfTrue="1" operator="equal">
      <formula>"Towel"</formula>
    </cfRule>
    <cfRule type="cellIs" dxfId="13554" priority="1208" stopIfTrue="1" operator="equal">
      <formula>"Napkin Hs"</formula>
    </cfRule>
    <cfRule type="cellIs" dxfId="13553" priority="1213" stopIfTrue="1" operator="equal">
      <formula>"Towel"</formula>
    </cfRule>
    <cfRule type="cellIs" dxfId="13552" priority="1214" stopIfTrue="1" operator="equal">
      <formula>"Napkin Hs"</formula>
    </cfRule>
    <cfRule type="cellIs" dxfId="13551" priority="1219" stopIfTrue="1" operator="equal">
      <formula>"Towel"</formula>
    </cfRule>
    <cfRule type="cellIs" dxfId="13550" priority="1220" stopIfTrue="1" operator="equal">
      <formula>"Napkin Hs"</formula>
    </cfRule>
    <cfRule type="cellIs" dxfId="13549" priority="1225" stopIfTrue="1" operator="equal">
      <formula>"Towel"</formula>
    </cfRule>
    <cfRule type="cellIs" dxfId="13548" priority="1226" stopIfTrue="1" operator="equal">
      <formula>"Napkin Hs"</formula>
    </cfRule>
    <cfRule type="cellIs" dxfId="13547" priority="1231" stopIfTrue="1" operator="equal">
      <formula>"Towel"</formula>
    </cfRule>
    <cfRule type="cellIs" dxfId="13546" priority="1232" stopIfTrue="1" operator="equal">
      <formula>"Napkin Hs"</formula>
    </cfRule>
    <cfRule type="cellIs" dxfId="13545" priority="1237" stopIfTrue="1" operator="equal">
      <formula>"Towel"</formula>
    </cfRule>
    <cfRule type="cellIs" dxfId="13544" priority="1238" stopIfTrue="1" operator="equal">
      <formula>"Napkin Hs"</formula>
    </cfRule>
    <cfRule type="cellIs" dxfId="13543" priority="1243" stopIfTrue="1" operator="equal">
      <formula>"Towel"</formula>
    </cfRule>
    <cfRule type="cellIs" dxfId="13542" priority="1244" stopIfTrue="1" operator="equal">
      <formula>"Napkin Hs"</formula>
    </cfRule>
  </conditionalFormatting>
  <conditionalFormatting sqref="C105">
    <cfRule type="cellIs" dxfId="13541" priority="1203" stopIfTrue="1" operator="equal">
      <formula>"Towel"</formula>
    </cfRule>
    <cfRule type="cellIs" dxfId="13540" priority="1204" stopIfTrue="1" operator="equal">
      <formula>"Napkin Hs"</formula>
    </cfRule>
    <cfRule type="cellIs" dxfId="13539" priority="1205" stopIfTrue="1" operator="equal">
      <formula>"Towel"</formula>
    </cfRule>
    <cfRule type="cellIs" dxfId="13538" priority="1206" stopIfTrue="1" operator="equal">
      <formula>"Napkin Hs"</formula>
    </cfRule>
    <cfRule type="cellIs" dxfId="13537" priority="1209" stopIfTrue="1" operator="equal">
      <formula>"Towel"</formula>
    </cfRule>
    <cfRule type="cellIs" dxfId="13536" priority="1210" stopIfTrue="1" operator="equal">
      <formula>"Napkin Hs"</formula>
    </cfRule>
    <cfRule type="cellIs" dxfId="13535" priority="1211" stopIfTrue="1" operator="equal">
      <formula>"Towel"</formula>
    </cfRule>
    <cfRule type="cellIs" dxfId="13534" priority="1212" stopIfTrue="1" operator="equal">
      <formula>"Napkin Hs"</formula>
    </cfRule>
    <cfRule type="cellIs" dxfId="13533" priority="1215" stopIfTrue="1" operator="equal">
      <formula>"Towel"</formula>
    </cfRule>
    <cfRule type="cellIs" dxfId="13532" priority="1216" stopIfTrue="1" operator="equal">
      <formula>"Napkin Hs"</formula>
    </cfRule>
    <cfRule type="cellIs" dxfId="13531" priority="1217" stopIfTrue="1" operator="equal">
      <formula>"Towel"</formula>
    </cfRule>
    <cfRule type="cellIs" dxfId="13530" priority="1218" stopIfTrue="1" operator="equal">
      <formula>"Napkin Hs"</formula>
    </cfRule>
    <cfRule type="cellIs" dxfId="13529" priority="1221" stopIfTrue="1" operator="equal">
      <formula>"Towel"</formula>
    </cfRule>
    <cfRule type="cellIs" dxfId="13528" priority="1222" stopIfTrue="1" operator="equal">
      <formula>"Napkin Hs"</formula>
    </cfRule>
    <cfRule type="cellIs" dxfId="13527" priority="1223" stopIfTrue="1" operator="equal">
      <formula>"Towel"</formula>
    </cfRule>
    <cfRule type="cellIs" dxfId="13526" priority="1224" stopIfTrue="1" operator="equal">
      <formula>"Napkin Hs"</formula>
    </cfRule>
    <cfRule type="cellIs" dxfId="13525" priority="1227" stopIfTrue="1" operator="equal">
      <formula>"Towel"</formula>
    </cfRule>
    <cfRule type="cellIs" dxfId="13524" priority="1228" stopIfTrue="1" operator="equal">
      <formula>"Napkin Hs"</formula>
    </cfRule>
    <cfRule type="cellIs" dxfId="13523" priority="1229" stopIfTrue="1" operator="equal">
      <formula>"Towel"</formula>
    </cfRule>
    <cfRule type="cellIs" dxfId="13522" priority="1230" stopIfTrue="1" operator="equal">
      <formula>"Napkin Hs"</formula>
    </cfRule>
    <cfRule type="cellIs" dxfId="13521" priority="1233" stopIfTrue="1" operator="equal">
      <formula>"Towel"</formula>
    </cfRule>
    <cfRule type="cellIs" dxfId="13520" priority="1234" stopIfTrue="1" operator="equal">
      <formula>"Napkin Hs"</formula>
    </cfRule>
    <cfRule type="cellIs" dxfId="13519" priority="1235" stopIfTrue="1" operator="equal">
      <formula>"Towel"</formula>
    </cfRule>
    <cfRule type="cellIs" dxfId="13518" priority="1236" stopIfTrue="1" operator="equal">
      <formula>"Napkin Hs"</formula>
    </cfRule>
    <cfRule type="cellIs" dxfId="13517" priority="1239" stopIfTrue="1" operator="equal">
      <formula>"Towel"</formula>
    </cfRule>
    <cfRule type="cellIs" dxfId="13516" priority="1240" stopIfTrue="1" operator="equal">
      <formula>"Napkin Hs"</formula>
    </cfRule>
  </conditionalFormatting>
  <conditionalFormatting sqref="C105">
    <cfRule type="cellIs" dxfId="13515" priority="1241" stopIfTrue="1" operator="equal">
      <formula>"Towel"</formula>
    </cfRule>
    <cfRule type="cellIs" dxfId="13514" priority="1242" stopIfTrue="1" operator="equal">
      <formula>"Napkin Hs"</formula>
    </cfRule>
  </conditionalFormatting>
  <conditionalFormatting sqref="B105:C105">
    <cfRule type="cellIs" dxfId="13513" priority="1201" stopIfTrue="1" operator="equal">
      <formula>"Towel"</formula>
    </cfRule>
    <cfRule type="cellIs" dxfId="13512" priority="1202" stopIfTrue="1" operator="equal">
      <formula>"Napkin Hs"</formula>
    </cfRule>
  </conditionalFormatting>
  <conditionalFormatting sqref="B105:C105">
    <cfRule type="cellIs" dxfId="13511" priority="1165" stopIfTrue="1" operator="equal">
      <formula>"Towel"</formula>
    </cfRule>
    <cfRule type="cellIs" dxfId="13510" priority="1166" stopIfTrue="1" operator="equal">
      <formula>"Napkin Hs"</formula>
    </cfRule>
    <cfRule type="cellIs" dxfId="13509" priority="1171" stopIfTrue="1" operator="equal">
      <formula>"Towel"</formula>
    </cfRule>
    <cfRule type="cellIs" dxfId="13508" priority="1172" stopIfTrue="1" operator="equal">
      <formula>"Napkin Hs"</formula>
    </cfRule>
    <cfRule type="cellIs" dxfId="13507" priority="1177" stopIfTrue="1" operator="equal">
      <formula>"Towel"</formula>
    </cfRule>
    <cfRule type="cellIs" dxfId="13506" priority="1178" stopIfTrue="1" operator="equal">
      <formula>"Napkin Hs"</formula>
    </cfRule>
    <cfRule type="cellIs" dxfId="13505" priority="1183" stopIfTrue="1" operator="equal">
      <formula>"Towel"</formula>
    </cfRule>
    <cfRule type="cellIs" dxfId="13504" priority="1184" stopIfTrue="1" operator="equal">
      <formula>"Napkin Hs"</formula>
    </cfRule>
    <cfRule type="cellIs" dxfId="13503" priority="1189" stopIfTrue="1" operator="equal">
      <formula>"Towel"</formula>
    </cfRule>
    <cfRule type="cellIs" dxfId="13502" priority="1190" stopIfTrue="1" operator="equal">
      <formula>"Napkin Hs"</formula>
    </cfRule>
    <cfRule type="cellIs" dxfId="13501" priority="1195" stopIfTrue="1" operator="equal">
      <formula>"Towel"</formula>
    </cfRule>
    <cfRule type="cellIs" dxfId="13500" priority="1196" stopIfTrue="1" operator="equal">
      <formula>"Napkin Hs"</formula>
    </cfRule>
  </conditionalFormatting>
  <conditionalFormatting sqref="C105">
    <cfRule type="cellIs" dxfId="13499" priority="1200" stopIfTrue="1" operator="equal">
      <formula>"Napkin Hs"</formula>
    </cfRule>
  </conditionalFormatting>
  <conditionalFormatting sqref="C105">
    <cfRule type="cellIs" dxfId="13498" priority="1199" stopIfTrue="1" operator="equal">
      <formula>"Towel"</formula>
    </cfRule>
  </conditionalFormatting>
  <conditionalFormatting sqref="C105">
    <cfRule type="cellIs" dxfId="13497" priority="1193" stopIfTrue="1" operator="equal">
      <formula>"Towel"</formula>
    </cfRule>
    <cfRule type="cellIs" dxfId="13496" priority="1194" stopIfTrue="1" operator="equal">
      <formula>"Napkin Hs"</formula>
    </cfRule>
  </conditionalFormatting>
  <conditionalFormatting sqref="C105">
    <cfRule type="cellIs" dxfId="13495" priority="1191" stopIfTrue="1" operator="equal">
      <formula>"Towel"</formula>
    </cfRule>
    <cfRule type="cellIs" dxfId="13494" priority="1192" stopIfTrue="1" operator="equal">
      <formula>"Napkin Hs"</formula>
    </cfRule>
    <cfRule type="cellIs" dxfId="13493" priority="1197" stopIfTrue="1" operator="equal">
      <formula>"Towel"</formula>
    </cfRule>
    <cfRule type="cellIs" dxfId="13492" priority="1198" stopIfTrue="1" operator="equal">
      <formula>"Napkin Hs"</formula>
    </cfRule>
  </conditionalFormatting>
  <conditionalFormatting sqref="C105">
    <cfRule type="cellIs" dxfId="13491" priority="1163" stopIfTrue="1" operator="equal">
      <formula>"Towel"</formula>
    </cfRule>
    <cfRule type="cellIs" dxfId="13490" priority="1164" stopIfTrue="1" operator="equal">
      <formula>"Napkin Hs"</formula>
    </cfRule>
    <cfRule type="cellIs" dxfId="13489" priority="1167" stopIfTrue="1" operator="equal">
      <formula>"Towel"</formula>
    </cfRule>
    <cfRule type="cellIs" dxfId="13488" priority="1168" stopIfTrue="1" operator="equal">
      <formula>"Napkin Hs"</formula>
    </cfRule>
    <cfRule type="cellIs" dxfId="13487" priority="1169" stopIfTrue="1" operator="equal">
      <formula>"Towel"</formula>
    </cfRule>
    <cfRule type="cellIs" dxfId="13486" priority="1170" stopIfTrue="1" operator="equal">
      <formula>"Napkin Hs"</formula>
    </cfRule>
    <cfRule type="cellIs" dxfId="13485" priority="1173" stopIfTrue="1" operator="equal">
      <formula>"Towel"</formula>
    </cfRule>
    <cfRule type="cellIs" dxfId="13484" priority="1174" stopIfTrue="1" operator="equal">
      <formula>"Napkin Hs"</formula>
    </cfRule>
    <cfRule type="cellIs" dxfId="13483" priority="1175" stopIfTrue="1" operator="equal">
      <formula>"Towel"</formula>
    </cfRule>
    <cfRule type="cellIs" dxfId="13482" priority="1176" stopIfTrue="1" operator="equal">
      <formula>"Napkin Hs"</formula>
    </cfRule>
    <cfRule type="cellIs" dxfId="13481" priority="1179" stopIfTrue="1" operator="equal">
      <formula>"Towel"</formula>
    </cfRule>
    <cfRule type="cellIs" dxfId="13480" priority="1180" stopIfTrue="1" operator="equal">
      <formula>"Napkin Hs"</formula>
    </cfRule>
    <cfRule type="cellIs" dxfId="13479" priority="1181" stopIfTrue="1" operator="equal">
      <formula>"Towel"</formula>
    </cfRule>
    <cfRule type="cellIs" dxfId="13478" priority="1182" stopIfTrue="1" operator="equal">
      <formula>"Napkin Hs"</formula>
    </cfRule>
    <cfRule type="cellIs" dxfId="13477" priority="1185" stopIfTrue="1" operator="equal">
      <formula>"Towel"</formula>
    </cfRule>
    <cfRule type="cellIs" dxfId="13476" priority="1186" stopIfTrue="1" operator="equal">
      <formula>"Napkin Hs"</formula>
    </cfRule>
    <cfRule type="cellIs" dxfId="13475" priority="1187" stopIfTrue="1" operator="equal">
      <formula>"Towel"</formula>
    </cfRule>
    <cfRule type="cellIs" dxfId="13474" priority="1188" stopIfTrue="1" operator="equal">
      <formula>"Napkin Hs"</formula>
    </cfRule>
  </conditionalFormatting>
  <conditionalFormatting sqref="C105">
    <cfRule type="cellIs" dxfId="13473" priority="1161" stopIfTrue="1" operator="equal">
      <formula>"Towel"</formula>
    </cfRule>
    <cfRule type="cellIs" dxfId="13472" priority="1162" stopIfTrue="1" operator="equal">
      <formula>"Napkin Hs"</formula>
    </cfRule>
  </conditionalFormatting>
  <conditionalFormatting sqref="C105">
    <cfRule type="cellIs" dxfId="13471" priority="1141" stopIfTrue="1" operator="equal">
      <formula>"Towel"</formula>
    </cfRule>
    <cfRule type="cellIs" dxfId="13470" priority="1142" stopIfTrue="1" operator="equal">
      <formula>"Napkin Hs"</formula>
    </cfRule>
    <cfRule type="cellIs" dxfId="13469" priority="1147" stopIfTrue="1" operator="equal">
      <formula>"Towel"</formula>
    </cfRule>
    <cfRule type="cellIs" dxfId="13468" priority="1148" stopIfTrue="1" operator="equal">
      <formula>"Napkin Hs"</formula>
    </cfRule>
    <cfRule type="cellIs" dxfId="13467" priority="1153" stopIfTrue="1" operator="equal">
      <formula>"Towel"</formula>
    </cfRule>
    <cfRule type="cellIs" dxfId="13466" priority="1154" stopIfTrue="1" operator="equal">
      <formula>"Napkin Hs"</formula>
    </cfRule>
    <cfRule type="cellIs" dxfId="13465" priority="1159" stopIfTrue="1" operator="equal">
      <formula>"Towel"</formula>
    </cfRule>
    <cfRule type="cellIs" dxfId="13464" priority="1160" stopIfTrue="1" operator="equal">
      <formula>"Napkin Hs"</formula>
    </cfRule>
  </conditionalFormatting>
  <conditionalFormatting sqref="C105">
    <cfRule type="cellIs" dxfId="13463" priority="1151" stopIfTrue="1" operator="equal">
      <formula>"Towel"</formula>
    </cfRule>
    <cfRule type="cellIs" dxfId="13462" priority="1152" stopIfTrue="1" operator="equal">
      <formula>"Napkin Hs"</formula>
    </cfRule>
    <cfRule type="cellIs" dxfId="13461" priority="1157" stopIfTrue="1" operator="equal">
      <formula>"Towel"</formula>
    </cfRule>
    <cfRule type="cellIs" dxfId="13460" priority="1158" stopIfTrue="1" operator="equal">
      <formula>"Napkin Hs"</formula>
    </cfRule>
  </conditionalFormatting>
  <conditionalFormatting sqref="C105">
    <cfRule type="cellIs" dxfId="13459" priority="1137" stopIfTrue="1" operator="equal">
      <formula>"Towel"</formula>
    </cfRule>
    <cfRule type="cellIs" dxfId="13458" priority="1138" stopIfTrue="1" operator="equal">
      <formula>"Napkin Hs"</formula>
    </cfRule>
    <cfRule type="cellIs" dxfId="13457" priority="1145" stopIfTrue="1" operator="equal">
      <formula>"Towel"</formula>
    </cfRule>
    <cfRule type="cellIs" dxfId="13456" priority="1146" stopIfTrue="1" operator="equal">
      <formula>"Napkin Hs"</formula>
    </cfRule>
    <cfRule type="cellIs" dxfId="13455" priority="1149" stopIfTrue="1" operator="equal">
      <formula>"Towel"</formula>
    </cfRule>
    <cfRule type="cellIs" dxfId="13454" priority="1150" stopIfTrue="1" operator="equal">
      <formula>"Napkin Hs"</formula>
    </cfRule>
  </conditionalFormatting>
  <conditionalFormatting sqref="C105">
    <cfRule type="cellIs" dxfId="13453" priority="1139" stopIfTrue="1" operator="equal">
      <formula>"Towel"</formula>
    </cfRule>
    <cfRule type="cellIs" dxfId="13452" priority="1140" stopIfTrue="1" operator="equal">
      <formula>"Napkin Hs"</formula>
    </cfRule>
    <cfRule type="cellIs" dxfId="13451" priority="1143" stopIfTrue="1" operator="equal">
      <formula>"Towel"</formula>
    </cfRule>
    <cfRule type="cellIs" dxfId="13450" priority="1144" stopIfTrue="1" operator="equal">
      <formula>"Napkin Hs"</formula>
    </cfRule>
    <cfRule type="cellIs" dxfId="13449" priority="1155" stopIfTrue="1" operator="equal">
      <formula>"Towel"</formula>
    </cfRule>
    <cfRule type="cellIs" dxfId="13448" priority="1156" stopIfTrue="1" operator="equal">
      <formula>"Napkin Hs"</formula>
    </cfRule>
  </conditionalFormatting>
  <conditionalFormatting sqref="C105">
    <cfRule type="cellIs" dxfId="13447" priority="1135" stopIfTrue="1" operator="equal">
      <formula>"Towel"</formula>
    </cfRule>
    <cfRule type="cellIs" dxfId="13446" priority="1136" stopIfTrue="1" operator="equal">
      <formula>"Napkin Hs"</formula>
    </cfRule>
  </conditionalFormatting>
  <conditionalFormatting sqref="C105">
    <cfRule type="cellIs" dxfId="13445" priority="1131" stopIfTrue="1" operator="equal">
      <formula>"Towel"</formula>
    </cfRule>
    <cfRule type="cellIs" dxfId="13444" priority="1132" stopIfTrue="1" operator="equal">
      <formula>"Napkin Hs"</formula>
    </cfRule>
  </conditionalFormatting>
  <conditionalFormatting sqref="C105">
    <cfRule type="cellIs" dxfId="13443" priority="1133" stopIfTrue="1" operator="equal">
      <formula>"Towel"</formula>
    </cfRule>
    <cfRule type="cellIs" dxfId="13442" priority="1134" stopIfTrue="1" operator="equal">
      <formula>"Napkin Hs"</formula>
    </cfRule>
  </conditionalFormatting>
  <conditionalFormatting sqref="C105">
    <cfRule type="cellIs" dxfId="13441" priority="1129" stopIfTrue="1" operator="equal">
      <formula>"Towel"</formula>
    </cfRule>
    <cfRule type="cellIs" dxfId="13440" priority="1130" stopIfTrue="1" operator="equal">
      <formula>"Napkin Hs"</formula>
    </cfRule>
  </conditionalFormatting>
  <conditionalFormatting sqref="C105">
    <cfRule type="cellIs" dxfId="13439" priority="1125" stopIfTrue="1" operator="equal">
      <formula>"Towel"</formula>
    </cfRule>
    <cfRule type="cellIs" dxfId="13438" priority="1126" stopIfTrue="1" operator="equal">
      <formula>"Napkin Hs"</formula>
    </cfRule>
  </conditionalFormatting>
  <conditionalFormatting sqref="C105">
    <cfRule type="cellIs" dxfId="13437" priority="1127" stopIfTrue="1" operator="equal">
      <formula>"Towel"</formula>
    </cfRule>
    <cfRule type="cellIs" dxfId="13436" priority="1128" stopIfTrue="1" operator="equal">
      <formula>"Napkin Hs"</formula>
    </cfRule>
  </conditionalFormatting>
  <conditionalFormatting sqref="C105">
    <cfRule type="cellIs" dxfId="13435" priority="1123" stopIfTrue="1" operator="equal">
      <formula>"Towel"</formula>
    </cfRule>
    <cfRule type="cellIs" dxfId="13434" priority="1124" stopIfTrue="1" operator="equal">
      <formula>"Napkin Hs"</formula>
    </cfRule>
  </conditionalFormatting>
  <conditionalFormatting sqref="C105">
    <cfRule type="cellIs" dxfId="13433" priority="1119" stopIfTrue="1" operator="equal">
      <formula>"Towel"</formula>
    </cfRule>
    <cfRule type="cellIs" dxfId="13432" priority="1120" stopIfTrue="1" operator="equal">
      <formula>"Napkin Hs"</formula>
    </cfRule>
  </conditionalFormatting>
  <conditionalFormatting sqref="C105">
    <cfRule type="cellIs" dxfId="13431" priority="1121" stopIfTrue="1" operator="equal">
      <formula>"Towel"</formula>
    </cfRule>
    <cfRule type="cellIs" dxfId="13430" priority="1122" stopIfTrue="1" operator="equal">
      <formula>"Napkin Hs"</formula>
    </cfRule>
  </conditionalFormatting>
  <conditionalFormatting sqref="C105">
    <cfRule type="cellIs" dxfId="13429" priority="1117" stopIfTrue="1" operator="equal">
      <formula>"Towel"</formula>
    </cfRule>
    <cfRule type="cellIs" dxfId="13428" priority="1118" stopIfTrue="1" operator="equal">
      <formula>"Napkin Hs"</formula>
    </cfRule>
  </conditionalFormatting>
  <conditionalFormatting sqref="C105">
    <cfRule type="cellIs" dxfId="13427" priority="1115" stopIfTrue="1" operator="equal">
      <formula>"Towel"</formula>
    </cfRule>
    <cfRule type="cellIs" dxfId="13426" priority="1116" stopIfTrue="1" operator="equal">
      <formula>"Napkin Hs"</formula>
    </cfRule>
  </conditionalFormatting>
  <conditionalFormatting sqref="C105">
    <cfRule type="cellIs" dxfId="13425" priority="1113" stopIfTrue="1" operator="equal">
      <formula>"Towel"</formula>
    </cfRule>
    <cfRule type="cellIs" dxfId="13424" priority="1114" stopIfTrue="1" operator="equal">
      <formula>"Napkin Hs"</formula>
    </cfRule>
  </conditionalFormatting>
  <conditionalFormatting sqref="C105">
    <cfRule type="cellIs" dxfId="13423" priority="1111" stopIfTrue="1" operator="equal">
      <formula>"Towel"</formula>
    </cfRule>
    <cfRule type="cellIs" dxfId="13422" priority="1112" stopIfTrue="1" operator="equal">
      <formula>"Napkin Hs"</formula>
    </cfRule>
  </conditionalFormatting>
  <conditionalFormatting sqref="C105">
    <cfRule type="cellIs" dxfId="13421" priority="1110" stopIfTrue="1" operator="equal">
      <formula>"Napkin Hs"</formula>
    </cfRule>
  </conditionalFormatting>
  <conditionalFormatting sqref="C105">
    <cfRule type="cellIs" dxfId="13420" priority="1107" stopIfTrue="1" operator="equal">
      <formula>"Towel"</formula>
    </cfRule>
    <cfRule type="cellIs" dxfId="13419" priority="1108" stopIfTrue="1" operator="equal">
      <formula>"Napkin Hs"</formula>
    </cfRule>
  </conditionalFormatting>
  <conditionalFormatting sqref="C105">
    <cfRule type="cellIs" dxfId="13418" priority="1109" stopIfTrue="1" operator="equal">
      <formula>"Towel"</formula>
    </cfRule>
  </conditionalFormatting>
  <conditionalFormatting sqref="B105">
    <cfRule type="cellIs" dxfId="13417" priority="1105" stopIfTrue="1" operator="equal">
      <formula>"Towel"</formula>
    </cfRule>
    <cfRule type="cellIs" dxfId="13416" priority="1106" stopIfTrue="1" operator="equal">
      <formula>"Napkin Hs"</formula>
    </cfRule>
  </conditionalFormatting>
  <conditionalFormatting sqref="B105">
    <cfRule type="cellIs" dxfId="13415" priority="1103" stopIfTrue="1" operator="equal">
      <formula>"Towel"</formula>
    </cfRule>
    <cfRule type="cellIs" dxfId="13414" priority="1104" stopIfTrue="1" operator="equal">
      <formula>"Napkin Hs"</formula>
    </cfRule>
  </conditionalFormatting>
  <conditionalFormatting sqref="B105">
    <cfRule type="cellIs" dxfId="13413" priority="1101" stopIfTrue="1" operator="equal">
      <formula>"Towel"</formula>
    </cfRule>
    <cfRule type="cellIs" dxfId="13412" priority="1102" stopIfTrue="1" operator="equal">
      <formula>"Napkin Hs"</formula>
    </cfRule>
  </conditionalFormatting>
  <conditionalFormatting sqref="B105">
    <cfRule type="cellIs" dxfId="13411" priority="1099" stopIfTrue="1" operator="equal">
      <formula>"Towel"</formula>
    </cfRule>
    <cfRule type="cellIs" dxfId="13410" priority="1100" stopIfTrue="1" operator="equal">
      <formula>"Napkin Hs"</formula>
    </cfRule>
  </conditionalFormatting>
  <conditionalFormatting sqref="B105">
    <cfRule type="cellIs" dxfId="13409" priority="1097" stopIfTrue="1" operator="equal">
      <formula>"Towel"</formula>
    </cfRule>
    <cfRule type="cellIs" dxfId="13408" priority="1098" stopIfTrue="1" operator="equal">
      <formula>"Napkin Hs"</formula>
    </cfRule>
  </conditionalFormatting>
  <conditionalFormatting sqref="B105">
    <cfRule type="cellIs" dxfId="13407" priority="1095" stopIfTrue="1" operator="equal">
      <formula>"Towel"</formula>
    </cfRule>
    <cfRule type="cellIs" dxfId="13406" priority="1096" stopIfTrue="1" operator="equal">
      <formula>"Napkin Hs"</formula>
    </cfRule>
  </conditionalFormatting>
  <conditionalFormatting sqref="B105">
    <cfRule type="cellIs" dxfId="13405" priority="1091" stopIfTrue="1" operator="equal">
      <formula>"Towel"</formula>
    </cfRule>
    <cfRule type="cellIs" dxfId="13404" priority="1092" stopIfTrue="1" operator="equal">
      <formula>"Napkin Hs"</formula>
    </cfRule>
    <cfRule type="cellIs" dxfId="13403" priority="1093" stopIfTrue="1" operator="equal">
      <formula>"Towel"</formula>
    </cfRule>
    <cfRule type="cellIs" dxfId="13402" priority="1094" stopIfTrue="1" operator="equal">
      <formula>"Napkin Hs"</formula>
    </cfRule>
  </conditionalFormatting>
  <conditionalFormatting sqref="B105">
    <cfRule type="cellIs" dxfId="13401" priority="1089" stopIfTrue="1" operator="equal">
      <formula>"Towel"</formula>
    </cfRule>
    <cfRule type="cellIs" dxfId="13400" priority="1090" stopIfTrue="1" operator="equal">
      <formula>"Napkin Hs"</formula>
    </cfRule>
  </conditionalFormatting>
  <conditionalFormatting sqref="B105">
    <cfRule type="cellIs" dxfId="13399" priority="1087" stopIfTrue="1" operator="equal">
      <formula>"Towel"</formula>
    </cfRule>
    <cfRule type="cellIs" dxfId="13398" priority="1088" stopIfTrue="1" operator="equal">
      <formula>"Napkin Hs"</formula>
    </cfRule>
  </conditionalFormatting>
  <conditionalFormatting sqref="B105">
    <cfRule type="cellIs" dxfId="13397" priority="1085" stopIfTrue="1" operator="equal">
      <formula>"Towel"</formula>
    </cfRule>
    <cfRule type="cellIs" dxfId="13396" priority="1086" stopIfTrue="1" operator="equal">
      <formula>"Napkin Hs"</formula>
    </cfRule>
  </conditionalFormatting>
  <conditionalFormatting sqref="B105">
    <cfRule type="cellIs" dxfId="13395" priority="1083" stopIfTrue="1" operator="equal">
      <formula>"Towel"</formula>
    </cfRule>
    <cfRule type="cellIs" dxfId="13394" priority="1084" stopIfTrue="1" operator="equal">
      <formula>"Napkin Hs"</formula>
    </cfRule>
  </conditionalFormatting>
  <conditionalFormatting sqref="B105">
    <cfRule type="cellIs" dxfId="13393" priority="1081" stopIfTrue="1" operator="equal">
      <formula>"Towel"</formula>
    </cfRule>
    <cfRule type="cellIs" dxfId="13392" priority="1082" stopIfTrue="1" operator="equal">
      <formula>"Napkin Hs"</formula>
    </cfRule>
  </conditionalFormatting>
  <conditionalFormatting sqref="B105:C105">
    <cfRule type="cellIs" dxfId="13391" priority="1067" stopIfTrue="1" operator="equal">
      <formula>"Towel"</formula>
    </cfRule>
    <cfRule type="cellIs" dxfId="13390" priority="1068" stopIfTrue="1" operator="equal">
      <formula>"Napkin Hs"</formula>
    </cfRule>
    <cfRule type="cellIs" dxfId="13389" priority="1073" stopIfTrue="1" operator="equal">
      <formula>"Towel"</formula>
    </cfRule>
    <cfRule type="cellIs" dxfId="13388" priority="1074" stopIfTrue="1" operator="equal">
      <formula>"Napkin Hs"</formula>
    </cfRule>
    <cfRule type="cellIs" dxfId="13387" priority="1079" stopIfTrue="1" operator="equal">
      <formula>"Towel"</formula>
    </cfRule>
    <cfRule type="cellIs" dxfId="13386" priority="1080" stopIfTrue="1" operator="equal">
      <formula>"Napkin Hs"</formula>
    </cfRule>
  </conditionalFormatting>
  <conditionalFormatting sqref="C105">
    <cfRule type="cellIs" dxfId="13385" priority="1061" stopIfTrue="1" operator="equal">
      <formula>"Towel"</formula>
    </cfRule>
    <cfRule type="cellIs" dxfId="13384" priority="1062" stopIfTrue="1" operator="equal">
      <formula>"Napkin Hs"</formula>
    </cfRule>
    <cfRule type="cellIs" dxfId="13383" priority="1063" stopIfTrue="1" operator="equal">
      <formula>"Towel"</formula>
    </cfRule>
    <cfRule type="cellIs" dxfId="13382" priority="1064" stopIfTrue="1" operator="equal">
      <formula>"Napkin Hs"</formula>
    </cfRule>
    <cfRule type="cellIs" dxfId="13381" priority="1071" stopIfTrue="1" operator="equal">
      <formula>"Towel"</formula>
    </cfRule>
    <cfRule type="cellIs" dxfId="13380" priority="1072" stopIfTrue="1" operator="equal">
      <formula>"Napkin Hs"</formula>
    </cfRule>
    <cfRule type="cellIs" dxfId="13379" priority="1075" stopIfTrue="1" operator="equal">
      <formula>"Towel"</formula>
    </cfRule>
    <cfRule type="cellIs" dxfId="13378" priority="1076" stopIfTrue="1" operator="equal">
      <formula>"Napkin Hs"</formula>
    </cfRule>
  </conditionalFormatting>
  <conditionalFormatting sqref="C105">
    <cfRule type="cellIs" dxfId="13377" priority="1065" stopIfTrue="1" operator="equal">
      <formula>"Towel"</formula>
    </cfRule>
    <cfRule type="cellIs" dxfId="13376" priority="1066" stopIfTrue="1" operator="equal">
      <formula>"Napkin Hs"</formula>
    </cfRule>
    <cfRule type="cellIs" dxfId="13375" priority="1069" stopIfTrue="1" operator="equal">
      <formula>"Towel"</formula>
    </cfRule>
    <cfRule type="cellIs" dxfId="13374" priority="1070" stopIfTrue="1" operator="equal">
      <formula>"Napkin Hs"</formula>
    </cfRule>
    <cfRule type="cellIs" dxfId="13373" priority="1077" stopIfTrue="1" operator="equal">
      <formula>"Towel"</formula>
    </cfRule>
    <cfRule type="cellIs" dxfId="13372" priority="1078" stopIfTrue="1" operator="equal">
      <formula>"Napkin Hs"</formula>
    </cfRule>
  </conditionalFormatting>
  <conditionalFormatting sqref="B105:C105">
    <cfRule type="cellIs" dxfId="13371" priority="1059" stopIfTrue="1" operator="equal">
      <formula>"Towel"</formula>
    </cfRule>
    <cfRule type="cellIs" dxfId="13370" priority="1060" stopIfTrue="1" operator="equal">
      <formula>"Napkin Hs"</formula>
    </cfRule>
  </conditionalFormatting>
  <conditionalFormatting sqref="B105:C105">
    <cfRule type="cellIs" dxfId="13369" priority="1051" stopIfTrue="1" operator="equal">
      <formula>"Towel"</formula>
    </cfRule>
    <cfRule type="cellIs" dxfId="13368" priority="1052" stopIfTrue="1" operator="equal">
      <formula>"Napkin Hs"</formula>
    </cfRule>
    <cfRule type="cellIs" dxfId="13367" priority="1057" stopIfTrue="1" operator="equal">
      <formula>"Towel"</formula>
    </cfRule>
    <cfRule type="cellIs" dxfId="13366" priority="1058" stopIfTrue="1" operator="equal">
      <formula>"Napkin Hs"</formula>
    </cfRule>
  </conditionalFormatting>
  <conditionalFormatting sqref="C105">
    <cfRule type="cellIs" dxfId="13365" priority="1047" stopIfTrue="1" operator="equal">
      <formula>"Towel"</formula>
    </cfRule>
    <cfRule type="cellIs" dxfId="13364" priority="1048" stopIfTrue="1" operator="equal">
      <formula>"Napkin Hs"</formula>
    </cfRule>
  </conditionalFormatting>
  <conditionalFormatting sqref="C105">
    <cfRule type="cellIs" dxfId="13363" priority="1045" stopIfTrue="1" operator="equal">
      <formula>"Towel"</formula>
    </cfRule>
    <cfRule type="cellIs" dxfId="13362" priority="1046" stopIfTrue="1" operator="equal">
      <formula>"Napkin Hs"</formula>
    </cfRule>
    <cfRule type="cellIs" dxfId="13361" priority="1055" stopIfTrue="1" operator="equal">
      <formula>"Towel"</formula>
    </cfRule>
    <cfRule type="cellIs" dxfId="13360" priority="1056" stopIfTrue="1" operator="equal">
      <formula>"Napkin Hs"</formula>
    </cfRule>
  </conditionalFormatting>
  <conditionalFormatting sqref="C105">
    <cfRule type="cellIs" dxfId="13359" priority="1049" stopIfTrue="1" operator="equal">
      <formula>"Towel"</formula>
    </cfRule>
    <cfRule type="cellIs" dxfId="13358" priority="1050" stopIfTrue="1" operator="equal">
      <formula>"Napkin Hs"</formula>
    </cfRule>
    <cfRule type="cellIs" dxfId="13357" priority="1053" stopIfTrue="1" operator="equal">
      <formula>"Towel"</formula>
    </cfRule>
    <cfRule type="cellIs" dxfId="13356" priority="1054" stopIfTrue="1" operator="equal">
      <formula>"Napkin Hs"</formula>
    </cfRule>
  </conditionalFormatting>
  <conditionalFormatting sqref="C105">
    <cfRule type="cellIs" dxfId="13355" priority="1044" stopIfTrue="1" operator="equal">
      <formula>"Napkin Hs"</formula>
    </cfRule>
  </conditionalFormatting>
  <conditionalFormatting sqref="C105">
    <cfRule type="cellIs" dxfId="13354" priority="1043" stopIfTrue="1" operator="equal">
      <formula>"Towel"</formula>
    </cfRule>
  </conditionalFormatting>
  <conditionalFormatting sqref="C105">
    <cfRule type="cellIs" dxfId="13353" priority="1039" stopIfTrue="1" operator="equal">
      <formula>"Towel"</formula>
    </cfRule>
    <cfRule type="cellIs" dxfId="13352" priority="1040" stopIfTrue="1" operator="equal">
      <formula>"Napkin Hs"</formula>
    </cfRule>
    <cfRule type="cellIs" dxfId="13351" priority="1041" stopIfTrue="1" operator="equal">
      <formula>"Towel"</formula>
    </cfRule>
    <cfRule type="cellIs" dxfId="13350" priority="1042" stopIfTrue="1" operator="equal">
      <formula>"Napkin Hs"</formula>
    </cfRule>
  </conditionalFormatting>
  <conditionalFormatting sqref="B105:C105">
    <cfRule type="cellIs" dxfId="13349" priority="1037" stopIfTrue="1" operator="equal">
      <formula>"Towel"</formula>
    </cfRule>
    <cfRule type="cellIs" dxfId="13348" priority="1038" stopIfTrue="1" operator="equal">
      <formula>"Napkin Hs"</formula>
    </cfRule>
  </conditionalFormatting>
  <conditionalFormatting sqref="C105">
    <cfRule type="cellIs" dxfId="13347" priority="1033" stopIfTrue="1" operator="equal">
      <formula>"Towel"</formula>
    </cfRule>
    <cfRule type="cellIs" dxfId="13346" priority="1034" stopIfTrue="1" operator="equal">
      <formula>"Napkin Hs"</formula>
    </cfRule>
  </conditionalFormatting>
  <conditionalFormatting sqref="C105">
    <cfRule type="cellIs" dxfId="13345" priority="1035" stopIfTrue="1" operator="equal">
      <formula>"Towel"</formula>
    </cfRule>
    <cfRule type="cellIs" dxfId="13344" priority="1036" stopIfTrue="1" operator="equal">
      <formula>"Napkin Hs"</formula>
    </cfRule>
  </conditionalFormatting>
  <conditionalFormatting sqref="B105:C105">
    <cfRule type="cellIs" dxfId="13343" priority="1031" stopIfTrue="1" operator="equal">
      <formula>"Towel"</formula>
    </cfRule>
    <cfRule type="cellIs" dxfId="13342" priority="1032" stopIfTrue="1" operator="equal">
      <formula>"Napkin Hs"</formula>
    </cfRule>
  </conditionalFormatting>
  <conditionalFormatting sqref="C105">
    <cfRule type="cellIs" dxfId="13341" priority="1027" stopIfTrue="1" operator="equal">
      <formula>"Towel"</formula>
    </cfRule>
    <cfRule type="cellIs" dxfId="13340" priority="1028" stopIfTrue="1" operator="equal">
      <formula>"Napkin Hs"</formula>
    </cfRule>
  </conditionalFormatting>
  <conditionalFormatting sqref="C105">
    <cfRule type="cellIs" dxfId="13339" priority="1029" stopIfTrue="1" operator="equal">
      <formula>"Towel"</formula>
    </cfRule>
    <cfRule type="cellIs" dxfId="13338" priority="1030" stopIfTrue="1" operator="equal">
      <formula>"Napkin Hs"</formula>
    </cfRule>
  </conditionalFormatting>
  <conditionalFormatting sqref="B105:C105">
    <cfRule type="cellIs" dxfId="13337" priority="1025" stopIfTrue="1" operator="equal">
      <formula>"Towel"</formula>
    </cfRule>
    <cfRule type="cellIs" dxfId="13336" priority="1026" stopIfTrue="1" operator="equal">
      <formula>"Napkin Hs"</formula>
    </cfRule>
  </conditionalFormatting>
  <conditionalFormatting sqref="C105">
    <cfRule type="cellIs" dxfId="13335" priority="1021" stopIfTrue="1" operator="equal">
      <formula>"Towel"</formula>
    </cfRule>
    <cfRule type="cellIs" dxfId="13334" priority="1022" stopIfTrue="1" operator="equal">
      <formula>"Napkin Hs"</formula>
    </cfRule>
  </conditionalFormatting>
  <conditionalFormatting sqref="C105">
    <cfRule type="cellIs" dxfId="13333" priority="1023" stopIfTrue="1" operator="equal">
      <formula>"Towel"</formula>
    </cfRule>
    <cfRule type="cellIs" dxfId="13332" priority="1024" stopIfTrue="1" operator="equal">
      <formula>"Napkin Hs"</formula>
    </cfRule>
  </conditionalFormatting>
  <conditionalFormatting sqref="B105:C105">
    <cfRule type="cellIs" dxfId="13331" priority="1019" stopIfTrue="1" operator="equal">
      <formula>"Towel"</formula>
    </cfRule>
    <cfRule type="cellIs" dxfId="13330" priority="1020" stopIfTrue="1" operator="equal">
      <formula>"Napkin Hs"</formula>
    </cfRule>
  </conditionalFormatting>
  <conditionalFormatting sqref="C105">
    <cfRule type="cellIs" dxfId="13329" priority="1017" stopIfTrue="1" operator="equal">
      <formula>"Towel"</formula>
    </cfRule>
    <cfRule type="cellIs" dxfId="13328" priority="1018" stopIfTrue="1" operator="equal">
      <formula>"Napkin Hs"</formula>
    </cfRule>
  </conditionalFormatting>
  <conditionalFormatting sqref="C105">
    <cfRule type="cellIs" dxfId="13327" priority="1015" stopIfTrue="1" operator="equal">
      <formula>"Towel"</formula>
    </cfRule>
    <cfRule type="cellIs" dxfId="13326" priority="1016" stopIfTrue="1" operator="equal">
      <formula>"Napkin Hs"</formula>
    </cfRule>
  </conditionalFormatting>
  <conditionalFormatting sqref="B105:C105">
    <cfRule type="cellIs" dxfId="13325" priority="1013" stopIfTrue="1" operator="equal">
      <formula>"Towel"</formula>
    </cfRule>
    <cfRule type="cellIs" dxfId="13324" priority="1014" stopIfTrue="1" operator="equal">
      <formula>"Napkin Hs"</formula>
    </cfRule>
  </conditionalFormatting>
  <conditionalFormatting sqref="C105">
    <cfRule type="cellIs" dxfId="13323" priority="1012" stopIfTrue="1" operator="equal">
      <formula>"Napkin Hs"</formula>
    </cfRule>
  </conditionalFormatting>
  <conditionalFormatting sqref="C105">
    <cfRule type="cellIs" dxfId="13322" priority="1009" stopIfTrue="1" operator="equal">
      <formula>"Towel"</formula>
    </cfRule>
    <cfRule type="cellIs" dxfId="13321" priority="1010" stopIfTrue="1" operator="equal">
      <formula>"Napkin Hs"</formula>
    </cfRule>
  </conditionalFormatting>
  <conditionalFormatting sqref="C105">
    <cfRule type="cellIs" dxfId="13320" priority="1011" stopIfTrue="1" operator="equal">
      <formula>"Towel"</formula>
    </cfRule>
  </conditionalFormatting>
  <conditionalFormatting sqref="B103:C103">
    <cfRule type="cellIs" dxfId="13319" priority="981" stopIfTrue="1" operator="equal">
      <formula>"Towel"</formula>
    </cfRule>
    <cfRule type="cellIs" dxfId="13318" priority="982" stopIfTrue="1" operator="equal">
      <formula>"Napkin Hs"</formula>
    </cfRule>
    <cfRule type="cellIs" dxfId="13317" priority="987" stopIfTrue="1" operator="equal">
      <formula>"Towel"</formula>
    </cfRule>
    <cfRule type="cellIs" dxfId="13316" priority="988" stopIfTrue="1" operator="equal">
      <formula>"Napkin Hs"</formula>
    </cfRule>
    <cfRule type="cellIs" dxfId="13315" priority="993" stopIfTrue="1" operator="equal">
      <formula>"Towel"</formula>
    </cfRule>
    <cfRule type="cellIs" dxfId="13314" priority="994" stopIfTrue="1" operator="equal">
      <formula>"Napkin Hs"</formula>
    </cfRule>
    <cfRule type="cellIs" dxfId="13313" priority="999" stopIfTrue="1" operator="equal">
      <formula>"Towel"</formula>
    </cfRule>
    <cfRule type="cellIs" dxfId="13312" priority="1000" stopIfTrue="1" operator="equal">
      <formula>"Napkin Hs"</formula>
    </cfRule>
    <cfRule type="cellIs" dxfId="13311" priority="1005" stopIfTrue="1" operator="equal">
      <formula>"Towel"</formula>
    </cfRule>
    <cfRule type="cellIs" dxfId="13310" priority="1006" stopIfTrue="1" operator="equal">
      <formula>"Napkin Hs"</formula>
    </cfRule>
  </conditionalFormatting>
  <conditionalFormatting sqref="C103">
    <cfRule type="cellIs" dxfId="13309" priority="977" stopIfTrue="1" operator="equal">
      <formula>"Towel"</formula>
    </cfRule>
    <cfRule type="cellIs" dxfId="13308" priority="978" stopIfTrue="1" operator="equal">
      <formula>"Napkin Hs"</formula>
    </cfRule>
  </conditionalFormatting>
  <conditionalFormatting sqref="C103">
    <cfRule type="cellIs" dxfId="13307" priority="979" stopIfTrue="1" operator="equal">
      <formula>"Towel"</formula>
    </cfRule>
    <cfRule type="cellIs" dxfId="13306" priority="980" stopIfTrue="1" operator="equal">
      <formula>"Napkin Hs"</formula>
    </cfRule>
    <cfRule type="cellIs" dxfId="13305" priority="983" stopIfTrue="1" operator="equal">
      <formula>"Towel"</formula>
    </cfRule>
    <cfRule type="cellIs" dxfId="13304" priority="984" stopIfTrue="1" operator="equal">
      <formula>"Napkin Hs"</formula>
    </cfRule>
    <cfRule type="cellIs" dxfId="13303" priority="985" stopIfTrue="1" operator="equal">
      <formula>"Towel"</formula>
    </cfRule>
    <cfRule type="cellIs" dxfId="13302" priority="986" stopIfTrue="1" operator="equal">
      <formula>"Napkin Hs"</formula>
    </cfRule>
    <cfRule type="cellIs" dxfId="13301" priority="989" stopIfTrue="1" operator="equal">
      <formula>"Towel"</formula>
    </cfRule>
    <cfRule type="cellIs" dxfId="13300" priority="990" stopIfTrue="1" operator="equal">
      <formula>"Napkin Hs"</formula>
    </cfRule>
    <cfRule type="cellIs" dxfId="13299" priority="991" stopIfTrue="1" operator="equal">
      <formula>"Towel"</formula>
    </cfRule>
    <cfRule type="cellIs" dxfId="13298" priority="992" stopIfTrue="1" operator="equal">
      <formula>"Napkin Hs"</formula>
    </cfRule>
    <cfRule type="cellIs" dxfId="13297" priority="995" stopIfTrue="1" operator="equal">
      <formula>"Towel"</formula>
    </cfRule>
    <cfRule type="cellIs" dxfId="13296" priority="996" stopIfTrue="1" operator="equal">
      <formula>"Napkin Hs"</formula>
    </cfRule>
    <cfRule type="cellIs" dxfId="13295" priority="997" stopIfTrue="1" operator="equal">
      <formula>"Towel"</formula>
    </cfRule>
    <cfRule type="cellIs" dxfId="13294" priority="998" stopIfTrue="1" operator="equal">
      <formula>"Napkin Hs"</formula>
    </cfRule>
    <cfRule type="cellIs" dxfId="13293" priority="1001" stopIfTrue="1" operator="equal">
      <formula>"Towel"</formula>
    </cfRule>
    <cfRule type="cellIs" dxfId="13292" priority="1002" stopIfTrue="1" operator="equal">
      <formula>"Napkin Hs"</formula>
    </cfRule>
    <cfRule type="cellIs" dxfId="13291" priority="1003" stopIfTrue="1" operator="equal">
      <formula>"Towel"</formula>
    </cfRule>
    <cfRule type="cellIs" dxfId="13290" priority="1004" stopIfTrue="1" operator="equal">
      <formula>"Napkin Hs"</formula>
    </cfRule>
    <cfRule type="cellIs" dxfId="13289" priority="1007" stopIfTrue="1" operator="equal">
      <formula>"Towel"</formula>
    </cfRule>
    <cfRule type="cellIs" dxfId="13288" priority="1008" stopIfTrue="1" operator="equal">
      <formula>"Napkin Hs"</formula>
    </cfRule>
  </conditionalFormatting>
  <conditionalFormatting sqref="B104:C104">
    <cfRule type="cellIs" dxfId="13287" priority="947" stopIfTrue="1" operator="equal">
      <formula>"Towel"</formula>
    </cfRule>
    <cfRule type="cellIs" dxfId="13286" priority="948" stopIfTrue="1" operator="equal">
      <formula>"Napkin Hs"</formula>
    </cfRule>
    <cfRule type="cellIs" dxfId="13285" priority="953" stopIfTrue="1" operator="equal">
      <formula>"Towel"</formula>
    </cfRule>
    <cfRule type="cellIs" dxfId="13284" priority="954" stopIfTrue="1" operator="equal">
      <formula>"Napkin Hs"</formula>
    </cfRule>
    <cfRule type="cellIs" dxfId="13283" priority="959" stopIfTrue="1" operator="equal">
      <formula>"Towel"</formula>
    </cfRule>
    <cfRule type="cellIs" dxfId="13282" priority="960" stopIfTrue="1" operator="equal">
      <formula>"Napkin Hs"</formula>
    </cfRule>
    <cfRule type="cellIs" dxfId="13281" priority="965" stopIfTrue="1" operator="equal">
      <formula>"Towel"</formula>
    </cfRule>
    <cfRule type="cellIs" dxfId="13280" priority="966" stopIfTrue="1" operator="equal">
      <formula>"Napkin Hs"</formula>
    </cfRule>
    <cfRule type="cellIs" dxfId="13279" priority="971" stopIfTrue="1" operator="equal">
      <formula>"Towel"</formula>
    </cfRule>
    <cfRule type="cellIs" dxfId="13278" priority="972" stopIfTrue="1" operator="equal">
      <formula>"Napkin Hs"</formula>
    </cfRule>
    <cfRule type="cellIs" dxfId="13277" priority="975" stopIfTrue="1" operator="equal">
      <formula>"Towel"</formula>
    </cfRule>
    <cfRule type="cellIs" dxfId="13276" priority="976" stopIfTrue="1" operator="equal">
      <formula>"Napkin Hs"</formula>
    </cfRule>
  </conditionalFormatting>
  <conditionalFormatting sqref="C104">
    <cfRule type="cellIs" dxfId="13275" priority="943" stopIfTrue="1" operator="equal">
      <formula>"Towel"</formula>
    </cfRule>
    <cfRule type="cellIs" dxfId="13274" priority="944" stopIfTrue="1" operator="equal">
      <formula>"Napkin Hs"</formula>
    </cfRule>
  </conditionalFormatting>
  <conditionalFormatting sqref="C104">
    <cfRule type="cellIs" dxfId="13273" priority="945" stopIfTrue="1" operator="equal">
      <formula>"Towel"</formula>
    </cfRule>
    <cfRule type="cellIs" dxfId="13272" priority="946" stopIfTrue="1" operator="equal">
      <formula>"Napkin Hs"</formula>
    </cfRule>
    <cfRule type="cellIs" dxfId="13271" priority="949" stopIfTrue="1" operator="equal">
      <formula>"Towel"</formula>
    </cfRule>
    <cfRule type="cellIs" dxfId="13270" priority="950" stopIfTrue="1" operator="equal">
      <formula>"Napkin Hs"</formula>
    </cfRule>
    <cfRule type="cellIs" dxfId="13269" priority="951" stopIfTrue="1" operator="equal">
      <formula>"Towel"</formula>
    </cfRule>
    <cfRule type="cellIs" dxfId="13268" priority="952" stopIfTrue="1" operator="equal">
      <formula>"Napkin Hs"</formula>
    </cfRule>
    <cfRule type="cellIs" dxfId="13267" priority="955" stopIfTrue="1" operator="equal">
      <formula>"Towel"</formula>
    </cfRule>
    <cfRule type="cellIs" dxfId="13266" priority="956" stopIfTrue="1" operator="equal">
      <formula>"Napkin Hs"</formula>
    </cfRule>
    <cfRule type="cellIs" dxfId="13265" priority="957" stopIfTrue="1" operator="equal">
      <formula>"Towel"</formula>
    </cfRule>
    <cfRule type="cellIs" dxfId="13264" priority="958" stopIfTrue="1" operator="equal">
      <formula>"Napkin Hs"</formula>
    </cfRule>
    <cfRule type="cellIs" dxfId="13263" priority="961" stopIfTrue="1" operator="equal">
      <formula>"Towel"</formula>
    </cfRule>
    <cfRule type="cellIs" dxfId="13262" priority="962" stopIfTrue="1" operator="equal">
      <formula>"Napkin Hs"</formula>
    </cfRule>
    <cfRule type="cellIs" dxfId="13261" priority="963" stopIfTrue="1" operator="equal">
      <formula>"Towel"</formula>
    </cfRule>
    <cfRule type="cellIs" dxfId="13260" priority="964" stopIfTrue="1" operator="equal">
      <formula>"Napkin Hs"</formula>
    </cfRule>
    <cfRule type="cellIs" dxfId="13259" priority="967" stopIfTrue="1" operator="equal">
      <formula>"Towel"</formula>
    </cfRule>
    <cfRule type="cellIs" dxfId="13258" priority="968" stopIfTrue="1" operator="equal">
      <formula>"Napkin Hs"</formula>
    </cfRule>
    <cfRule type="cellIs" dxfId="13257" priority="969" stopIfTrue="1" operator="equal">
      <formula>"Towel"</formula>
    </cfRule>
    <cfRule type="cellIs" dxfId="13256" priority="970" stopIfTrue="1" operator="equal">
      <formula>"Napkin Hs"</formula>
    </cfRule>
    <cfRule type="cellIs" dxfId="13255" priority="973" stopIfTrue="1" operator="equal">
      <formula>"Towel"</formula>
    </cfRule>
    <cfRule type="cellIs" dxfId="13254" priority="974" stopIfTrue="1" operator="equal">
      <formula>"Napkin Hs"</formula>
    </cfRule>
  </conditionalFormatting>
  <conditionalFormatting sqref="B112:C112">
    <cfRule type="cellIs" dxfId="13253" priority="941" stopIfTrue="1" operator="equal">
      <formula>"Towel"</formula>
    </cfRule>
    <cfRule type="cellIs" dxfId="13252" priority="942" stopIfTrue="1" operator="equal">
      <formula>"Napkin Hs"</formula>
    </cfRule>
  </conditionalFormatting>
  <conditionalFormatting sqref="C112">
    <cfRule type="cellIs" dxfId="13251" priority="937" stopIfTrue="1" operator="equal">
      <formula>"Towel"</formula>
    </cfRule>
    <cfRule type="cellIs" dxfId="13250" priority="938" stopIfTrue="1" operator="equal">
      <formula>"Napkin Hs"</formula>
    </cfRule>
  </conditionalFormatting>
  <conditionalFormatting sqref="C112">
    <cfRule type="cellIs" dxfId="13249" priority="939" stopIfTrue="1" operator="equal">
      <formula>"Towel"</formula>
    </cfRule>
    <cfRule type="cellIs" dxfId="13248" priority="940" stopIfTrue="1" operator="equal">
      <formula>"Napkin Hs"</formula>
    </cfRule>
  </conditionalFormatting>
  <conditionalFormatting sqref="B118:C118">
    <cfRule type="cellIs" dxfId="13247" priority="817" stopIfTrue="1" operator="equal">
      <formula>"Towel"</formula>
    </cfRule>
    <cfRule type="cellIs" dxfId="13246" priority="818" stopIfTrue="1" operator="equal">
      <formula>"Napkin Hs"</formula>
    </cfRule>
  </conditionalFormatting>
  <conditionalFormatting sqref="C118">
    <cfRule type="cellIs" dxfId="13245" priority="813" stopIfTrue="1" operator="equal">
      <formula>"Towel"</formula>
    </cfRule>
    <cfRule type="cellIs" dxfId="13244" priority="814" stopIfTrue="1" operator="equal">
      <formula>"Napkin Hs"</formula>
    </cfRule>
  </conditionalFormatting>
  <conditionalFormatting sqref="C118">
    <cfRule type="cellIs" dxfId="13243" priority="815" stopIfTrue="1" operator="equal">
      <formula>"Towel"</formula>
    </cfRule>
    <cfRule type="cellIs" dxfId="13242" priority="816" stopIfTrue="1" operator="equal">
      <formula>"Napkin Hs"</formula>
    </cfRule>
  </conditionalFormatting>
  <conditionalFormatting sqref="B114:C114">
    <cfRule type="cellIs" dxfId="13241" priority="811" stopIfTrue="1" operator="equal">
      <formula>"Towel"</formula>
    </cfRule>
    <cfRule type="cellIs" dxfId="13240" priority="812" stopIfTrue="1" operator="equal">
      <formula>"Napkin Hs"</formula>
    </cfRule>
  </conditionalFormatting>
  <conditionalFormatting sqref="C114">
    <cfRule type="cellIs" dxfId="13239" priority="807" stopIfTrue="1" operator="equal">
      <formula>"Towel"</formula>
    </cfRule>
    <cfRule type="cellIs" dxfId="13238" priority="808" stopIfTrue="1" operator="equal">
      <formula>"Napkin Hs"</formula>
    </cfRule>
  </conditionalFormatting>
  <conditionalFormatting sqref="C114">
    <cfRule type="cellIs" dxfId="13237" priority="809" stopIfTrue="1" operator="equal">
      <formula>"Towel"</formula>
    </cfRule>
    <cfRule type="cellIs" dxfId="13236" priority="810" stopIfTrue="1" operator="equal">
      <formula>"Napkin Hs"</formula>
    </cfRule>
  </conditionalFormatting>
  <conditionalFormatting sqref="B116:C116 C117">
    <cfRule type="cellIs" dxfId="13235" priority="799" stopIfTrue="1" operator="equal">
      <formula>"Towel"</formula>
    </cfRule>
    <cfRule type="cellIs" dxfId="13234" priority="800" stopIfTrue="1" operator="equal">
      <formula>"Napkin Hs"</formula>
    </cfRule>
  </conditionalFormatting>
  <conditionalFormatting sqref="C116:C117">
    <cfRule type="cellIs" dxfId="13233" priority="795" stopIfTrue="1" operator="equal">
      <formula>"Towel"</formula>
    </cfRule>
    <cfRule type="cellIs" dxfId="13232" priority="796" stopIfTrue="1" operator="equal">
      <formula>"Napkin Hs"</formula>
    </cfRule>
  </conditionalFormatting>
  <conditionalFormatting sqref="C116:C117">
    <cfRule type="cellIs" dxfId="13231" priority="797" stopIfTrue="1" operator="equal">
      <formula>"Towel"</formula>
    </cfRule>
    <cfRule type="cellIs" dxfId="13230" priority="798" stopIfTrue="1" operator="equal">
      <formula>"Napkin Hs"</formula>
    </cfRule>
  </conditionalFormatting>
  <conditionalFormatting sqref="B115:C115">
    <cfRule type="cellIs" dxfId="13229" priority="793" stopIfTrue="1" operator="equal">
      <formula>"Towel"</formula>
    </cfRule>
    <cfRule type="cellIs" dxfId="13228" priority="794" stopIfTrue="1" operator="equal">
      <formula>"Napkin Hs"</formula>
    </cfRule>
  </conditionalFormatting>
  <conditionalFormatting sqref="C115">
    <cfRule type="cellIs" dxfId="13227" priority="789" stopIfTrue="1" operator="equal">
      <formula>"Towel"</formula>
    </cfRule>
    <cfRule type="cellIs" dxfId="13226" priority="790" stopIfTrue="1" operator="equal">
      <formula>"Napkin Hs"</formula>
    </cfRule>
  </conditionalFormatting>
  <conditionalFormatting sqref="C115">
    <cfRule type="cellIs" dxfId="13225" priority="791" stopIfTrue="1" operator="equal">
      <formula>"Towel"</formula>
    </cfRule>
    <cfRule type="cellIs" dxfId="13224" priority="792" stopIfTrue="1" operator="equal">
      <formula>"Napkin Hs"</formula>
    </cfRule>
  </conditionalFormatting>
  <conditionalFormatting sqref="B121:C121">
    <cfRule type="cellIs" dxfId="13223" priority="781" stopIfTrue="1" operator="equal">
      <formula>"Towel"</formula>
    </cfRule>
    <cfRule type="cellIs" dxfId="13222" priority="782" stopIfTrue="1" operator="equal">
      <formula>"Napkin Hs"</formula>
    </cfRule>
  </conditionalFormatting>
  <conditionalFormatting sqref="C121">
    <cfRule type="cellIs" dxfId="13221" priority="777" stopIfTrue="1" operator="equal">
      <formula>"Towel"</formula>
    </cfRule>
    <cfRule type="cellIs" dxfId="13220" priority="778" stopIfTrue="1" operator="equal">
      <formula>"Napkin Hs"</formula>
    </cfRule>
  </conditionalFormatting>
  <conditionalFormatting sqref="C121">
    <cfRule type="cellIs" dxfId="13219" priority="779" stopIfTrue="1" operator="equal">
      <formula>"Towel"</formula>
    </cfRule>
    <cfRule type="cellIs" dxfId="13218" priority="780" stopIfTrue="1" operator="equal">
      <formula>"Napkin Hs"</formula>
    </cfRule>
  </conditionalFormatting>
  <conditionalFormatting sqref="B119:C119">
    <cfRule type="cellIs" dxfId="13217" priority="769" stopIfTrue="1" operator="equal">
      <formula>"Towel"</formula>
    </cfRule>
    <cfRule type="cellIs" dxfId="13216" priority="770" stopIfTrue="1" operator="equal">
      <formula>"Napkin Hs"</formula>
    </cfRule>
  </conditionalFormatting>
  <conditionalFormatting sqref="C119">
    <cfRule type="cellIs" dxfId="13215" priority="765" stopIfTrue="1" operator="equal">
      <formula>"Towel"</formula>
    </cfRule>
    <cfRule type="cellIs" dxfId="13214" priority="766" stopIfTrue="1" operator="equal">
      <formula>"Napkin Hs"</formula>
    </cfRule>
  </conditionalFormatting>
  <conditionalFormatting sqref="C119">
    <cfRule type="cellIs" dxfId="13213" priority="767" stopIfTrue="1" operator="equal">
      <formula>"Towel"</formula>
    </cfRule>
    <cfRule type="cellIs" dxfId="13212" priority="768" stopIfTrue="1" operator="equal">
      <formula>"Napkin Hs"</formula>
    </cfRule>
  </conditionalFormatting>
  <conditionalFormatting sqref="B120:C120">
    <cfRule type="cellIs" dxfId="13211" priority="763" stopIfTrue="1" operator="equal">
      <formula>"Towel"</formula>
    </cfRule>
    <cfRule type="cellIs" dxfId="13210" priority="764" stopIfTrue="1" operator="equal">
      <formula>"Napkin Hs"</formula>
    </cfRule>
  </conditionalFormatting>
  <conditionalFormatting sqref="C120">
    <cfRule type="cellIs" dxfId="13209" priority="759" stopIfTrue="1" operator="equal">
      <formula>"Towel"</formula>
    </cfRule>
    <cfRule type="cellIs" dxfId="13208" priority="760" stopIfTrue="1" operator="equal">
      <formula>"Napkin Hs"</formula>
    </cfRule>
  </conditionalFormatting>
  <conditionalFormatting sqref="C120">
    <cfRule type="cellIs" dxfId="13207" priority="761" stopIfTrue="1" operator="equal">
      <formula>"Towel"</formula>
    </cfRule>
    <cfRule type="cellIs" dxfId="13206" priority="762" stopIfTrue="1" operator="equal">
      <formula>"Napkin Hs"</formula>
    </cfRule>
  </conditionalFormatting>
  <conditionalFormatting sqref="B117">
    <cfRule type="cellIs" dxfId="13205" priority="757" stopIfTrue="1" operator="equal">
      <formula>"Towel"</formula>
    </cfRule>
    <cfRule type="cellIs" dxfId="13204" priority="758" stopIfTrue="1" operator="equal">
      <formula>"Napkin Hs"</formula>
    </cfRule>
  </conditionalFormatting>
  <conditionalFormatting sqref="B127:C127">
    <cfRule type="cellIs" dxfId="13203" priority="643" stopIfTrue="1" operator="equal">
      <formula>"Towel"</formula>
    </cfRule>
    <cfRule type="cellIs" dxfId="13202" priority="644" stopIfTrue="1" operator="equal">
      <formula>"Napkin Hs"</formula>
    </cfRule>
    <cfRule type="cellIs" dxfId="13201" priority="649" stopIfTrue="1" operator="equal">
      <formula>"Towel"</formula>
    </cfRule>
    <cfRule type="cellIs" dxfId="13200" priority="650" stopIfTrue="1" operator="equal">
      <formula>"Napkin Hs"</formula>
    </cfRule>
    <cfRule type="cellIs" dxfId="13199" priority="655" stopIfTrue="1" operator="equal">
      <formula>"Towel"</formula>
    </cfRule>
    <cfRule type="cellIs" dxfId="13198" priority="656" stopIfTrue="1" operator="equal">
      <formula>"Napkin Hs"</formula>
    </cfRule>
    <cfRule type="cellIs" dxfId="13197" priority="661" stopIfTrue="1" operator="equal">
      <formula>"Towel"</formula>
    </cfRule>
    <cfRule type="cellIs" dxfId="13196" priority="662" stopIfTrue="1" operator="equal">
      <formula>"Napkin Hs"</formula>
    </cfRule>
    <cfRule type="cellIs" dxfId="13195" priority="667" stopIfTrue="1" operator="equal">
      <formula>"Towel"</formula>
    </cfRule>
    <cfRule type="cellIs" dxfId="13194" priority="668" stopIfTrue="1" operator="equal">
      <formula>"Napkin Hs"</formula>
    </cfRule>
    <cfRule type="cellIs" dxfId="13193" priority="673" stopIfTrue="1" operator="equal">
      <formula>"Towel"</formula>
    </cfRule>
    <cfRule type="cellIs" dxfId="13192" priority="674" stopIfTrue="1" operator="equal">
      <formula>"Napkin Hs"</formula>
    </cfRule>
    <cfRule type="cellIs" dxfId="13191" priority="679" stopIfTrue="1" operator="equal">
      <formula>"Towel"</formula>
    </cfRule>
    <cfRule type="cellIs" dxfId="13190" priority="680" stopIfTrue="1" operator="equal">
      <formula>"Napkin Hs"</formula>
    </cfRule>
    <cfRule type="cellIs" dxfId="13189" priority="685" stopIfTrue="1" operator="equal">
      <formula>"Towel"</formula>
    </cfRule>
    <cfRule type="cellIs" dxfId="13188" priority="686" stopIfTrue="1" operator="equal">
      <formula>"Napkin Hs"</formula>
    </cfRule>
    <cfRule type="cellIs" dxfId="13187" priority="691" stopIfTrue="1" operator="equal">
      <formula>"Towel"</formula>
    </cfRule>
    <cfRule type="cellIs" dxfId="13186" priority="692" stopIfTrue="1" operator="equal">
      <formula>"Napkin Hs"</formula>
    </cfRule>
    <cfRule type="cellIs" dxfId="13185" priority="697" stopIfTrue="1" operator="equal">
      <formula>"Towel"</formula>
    </cfRule>
    <cfRule type="cellIs" dxfId="13184" priority="698" stopIfTrue="1" operator="equal">
      <formula>"Napkin Hs"</formula>
    </cfRule>
  </conditionalFormatting>
  <conditionalFormatting sqref="B128:C128">
    <cfRule type="cellIs" dxfId="13183" priority="701" stopIfTrue="1" operator="equal">
      <formula>"Towel"</formula>
    </cfRule>
    <cfRule type="cellIs" dxfId="13182" priority="702" stopIfTrue="1" operator="equal">
      <formula>"Napkin Hs"</formula>
    </cfRule>
    <cfRule type="cellIs" dxfId="13181" priority="707" stopIfTrue="1" operator="equal">
      <formula>"Towel"</formula>
    </cfRule>
    <cfRule type="cellIs" dxfId="13180" priority="708" stopIfTrue="1" operator="equal">
      <formula>"Napkin Hs"</formula>
    </cfRule>
    <cfRule type="cellIs" dxfId="13179" priority="713" stopIfTrue="1" operator="equal">
      <formula>"Towel"</formula>
    </cfRule>
    <cfRule type="cellIs" dxfId="13178" priority="714" stopIfTrue="1" operator="equal">
      <formula>"Napkin Hs"</formula>
    </cfRule>
    <cfRule type="cellIs" dxfId="13177" priority="719" stopIfTrue="1" operator="equal">
      <formula>"Towel"</formula>
    </cfRule>
    <cfRule type="cellIs" dxfId="13176" priority="720" stopIfTrue="1" operator="equal">
      <formula>"Napkin Hs"</formula>
    </cfRule>
    <cfRule type="cellIs" dxfId="13175" priority="725" stopIfTrue="1" operator="equal">
      <formula>"Towel"</formula>
    </cfRule>
    <cfRule type="cellIs" dxfId="13174" priority="726" stopIfTrue="1" operator="equal">
      <formula>"Napkin Hs"</formula>
    </cfRule>
    <cfRule type="cellIs" dxfId="13173" priority="731" stopIfTrue="1" operator="equal">
      <formula>"Towel"</formula>
    </cfRule>
    <cfRule type="cellIs" dxfId="13172" priority="732" stopIfTrue="1" operator="equal">
      <formula>"Napkin Hs"</formula>
    </cfRule>
    <cfRule type="cellIs" dxfId="13171" priority="737" stopIfTrue="1" operator="equal">
      <formula>"Towel"</formula>
    </cfRule>
    <cfRule type="cellIs" dxfId="13170" priority="738" stopIfTrue="1" operator="equal">
      <formula>"Napkin Hs"</formula>
    </cfRule>
    <cfRule type="cellIs" dxfId="13169" priority="743" stopIfTrue="1" operator="equal">
      <formula>"Towel"</formula>
    </cfRule>
    <cfRule type="cellIs" dxfId="13168" priority="744" stopIfTrue="1" operator="equal">
      <formula>"Napkin Hs"</formula>
    </cfRule>
    <cfRule type="cellIs" dxfId="13167" priority="749" stopIfTrue="1" operator="equal">
      <formula>"Towel"</formula>
    </cfRule>
    <cfRule type="cellIs" dxfId="13166" priority="750" stopIfTrue="1" operator="equal">
      <formula>"Napkin Hs"</formula>
    </cfRule>
    <cfRule type="cellIs" dxfId="13165" priority="755" stopIfTrue="1" operator="equal">
      <formula>"Towel"</formula>
    </cfRule>
    <cfRule type="cellIs" dxfId="13164" priority="756" stopIfTrue="1" operator="equal">
      <formula>"Napkin Hs"</formula>
    </cfRule>
  </conditionalFormatting>
  <conditionalFormatting sqref="C127:C128">
    <cfRule type="cellIs" dxfId="13163" priority="695" stopIfTrue="1" operator="equal">
      <formula>"Towel"</formula>
    </cfRule>
    <cfRule type="cellIs" dxfId="13162" priority="696" stopIfTrue="1" operator="equal">
      <formula>"Napkin Hs"</formula>
    </cfRule>
  </conditionalFormatting>
  <conditionalFormatting sqref="C127">
    <cfRule type="cellIs" dxfId="13161" priority="639" stopIfTrue="1" operator="equal">
      <formula>"Towel"</formula>
    </cfRule>
    <cfRule type="cellIs" dxfId="13160" priority="640" stopIfTrue="1" operator="equal">
      <formula>"Napkin Hs"</formula>
    </cfRule>
    <cfRule type="cellIs" dxfId="13159" priority="641" stopIfTrue="1" operator="equal">
      <formula>"Towel"</formula>
    </cfRule>
    <cfRule type="cellIs" dxfId="13158" priority="642" stopIfTrue="1" operator="equal">
      <formula>"Napkin Hs"</formula>
    </cfRule>
    <cfRule type="cellIs" dxfId="13157" priority="645" stopIfTrue="1" operator="equal">
      <formula>"Towel"</formula>
    </cfRule>
    <cfRule type="cellIs" dxfId="13156" priority="646" stopIfTrue="1" operator="equal">
      <formula>"Napkin Hs"</formula>
    </cfRule>
    <cfRule type="cellIs" dxfId="13155" priority="647" stopIfTrue="1" operator="equal">
      <formula>"Towel"</formula>
    </cfRule>
    <cfRule type="cellIs" dxfId="13154" priority="648" stopIfTrue="1" operator="equal">
      <formula>"Napkin Hs"</formula>
    </cfRule>
    <cfRule type="cellIs" dxfId="13153" priority="651" stopIfTrue="1" operator="equal">
      <formula>"Towel"</formula>
    </cfRule>
    <cfRule type="cellIs" dxfId="13152" priority="652" stopIfTrue="1" operator="equal">
      <formula>"Napkin Hs"</formula>
    </cfRule>
    <cfRule type="cellIs" dxfId="13151" priority="653" stopIfTrue="1" operator="equal">
      <formula>"Towel"</formula>
    </cfRule>
    <cfRule type="cellIs" dxfId="13150" priority="654" stopIfTrue="1" operator="equal">
      <formula>"Napkin Hs"</formula>
    </cfRule>
    <cfRule type="cellIs" dxfId="13149" priority="657" stopIfTrue="1" operator="equal">
      <formula>"Towel"</formula>
    </cfRule>
    <cfRule type="cellIs" dxfId="13148" priority="658" stopIfTrue="1" operator="equal">
      <formula>"Napkin Hs"</formula>
    </cfRule>
    <cfRule type="cellIs" dxfId="13147" priority="659" stopIfTrue="1" operator="equal">
      <formula>"Towel"</formula>
    </cfRule>
    <cfRule type="cellIs" dxfId="13146" priority="660" stopIfTrue="1" operator="equal">
      <formula>"Napkin Hs"</formula>
    </cfRule>
    <cfRule type="cellIs" dxfId="13145" priority="663" stopIfTrue="1" operator="equal">
      <formula>"Towel"</formula>
    </cfRule>
    <cfRule type="cellIs" dxfId="13144" priority="664" stopIfTrue="1" operator="equal">
      <formula>"Napkin Hs"</formula>
    </cfRule>
    <cfRule type="cellIs" dxfId="13143" priority="665" stopIfTrue="1" operator="equal">
      <formula>"Towel"</formula>
    </cfRule>
    <cfRule type="cellIs" dxfId="13142" priority="666" stopIfTrue="1" operator="equal">
      <formula>"Napkin Hs"</formula>
    </cfRule>
    <cfRule type="cellIs" dxfId="13141" priority="669" stopIfTrue="1" operator="equal">
      <formula>"Towel"</formula>
    </cfRule>
    <cfRule type="cellIs" dxfId="13140" priority="670" stopIfTrue="1" operator="equal">
      <formula>"Napkin Hs"</formula>
    </cfRule>
    <cfRule type="cellIs" dxfId="13139" priority="671" stopIfTrue="1" operator="equal">
      <formula>"Towel"</formula>
    </cfRule>
    <cfRule type="cellIs" dxfId="13138" priority="672" stopIfTrue="1" operator="equal">
      <formula>"Napkin Hs"</formula>
    </cfRule>
    <cfRule type="cellIs" dxfId="13137" priority="675" stopIfTrue="1" operator="equal">
      <formula>"Towel"</formula>
    </cfRule>
    <cfRule type="cellIs" dxfId="13136" priority="676" stopIfTrue="1" operator="equal">
      <formula>"Napkin Hs"</formula>
    </cfRule>
    <cfRule type="cellIs" dxfId="13135" priority="677" stopIfTrue="1" operator="equal">
      <formula>"Towel"</formula>
    </cfRule>
    <cfRule type="cellIs" dxfId="13134" priority="678" stopIfTrue="1" operator="equal">
      <formula>"Napkin Hs"</formula>
    </cfRule>
    <cfRule type="cellIs" dxfId="13133" priority="681" stopIfTrue="1" operator="equal">
      <formula>"Towel"</formula>
    </cfRule>
    <cfRule type="cellIs" dxfId="13132" priority="682" stopIfTrue="1" operator="equal">
      <formula>"Napkin Hs"</formula>
    </cfRule>
    <cfRule type="cellIs" dxfId="13131" priority="683" stopIfTrue="1" operator="equal">
      <formula>"Towel"</formula>
    </cfRule>
    <cfRule type="cellIs" dxfId="13130" priority="684" stopIfTrue="1" operator="equal">
      <formula>"Napkin Hs"</formula>
    </cfRule>
    <cfRule type="cellIs" dxfId="13129" priority="687" stopIfTrue="1" operator="equal">
      <formula>"Towel"</formula>
    </cfRule>
    <cfRule type="cellIs" dxfId="13128" priority="688" stopIfTrue="1" operator="equal">
      <formula>"Napkin Hs"</formula>
    </cfRule>
    <cfRule type="cellIs" dxfId="13127" priority="689" stopIfTrue="1" operator="equal">
      <formula>"Towel"</formula>
    </cfRule>
    <cfRule type="cellIs" dxfId="13126" priority="690" stopIfTrue="1" operator="equal">
      <formula>"Napkin Hs"</formula>
    </cfRule>
    <cfRule type="cellIs" dxfId="13125" priority="693" stopIfTrue="1" operator="equal">
      <formula>"Towel"</formula>
    </cfRule>
    <cfRule type="cellIs" dxfId="13124" priority="694" stopIfTrue="1" operator="equal">
      <formula>"Napkin Hs"</formula>
    </cfRule>
  </conditionalFormatting>
  <conditionalFormatting sqref="C128">
    <cfRule type="cellIs" dxfId="13123" priority="699" stopIfTrue="1" operator="equal">
      <formula>"Towel"</formula>
    </cfRule>
    <cfRule type="cellIs" dxfId="13122" priority="700" stopIfTrue="1" operator="equal">
      <formula>"Napkin Hs"</formula>
    </cfRule>
    <cfRule type="cellIs" dxfId="13121" priority="703" stopIfTrue="1" operator="equal">
      <formula>"Towel"</formula>
    </cfRule>
    <cfRule type="cellIs" dxfId="13120" priority="704" stopIfTrue="1" operator="equal">
      <formula>"Napkin Hs"</formula>
    </cfRule>
    <cfRule type="cellIs" dxfId="13119" priority="705" stopIfTrue="1" operator="equal">
      <formula>"Towel"</formula>
    </cfRule>
    <cfRule type="cellIs" dxfId="13118" priority="706" stopIfTrue="1" operator="equal">
      <formula>"Napkin Hs"</formula>
    </cfRule>
    <cfRule type="cellIs" dxfId="13117" priority="709" stopIfTrue="1" operator="equal">
      <formula>"Towel"</formula>
    </cfRule>
    <cfRule type="cellIs" dxfId="13116" priority="710" stopIfTrue="1" operator="equal">
      <formula>"Napkin Hs"</formula>
    </cfRule>
    <cfRule type="cellIs" dxfId="13115" priority="711" stopIfTrue="1" operator="equal">
      <formula>"Towel"</formula>
    </cfRule>
    <cfRule type="cellIs" dxfId="13114" priority="712" stopIfTrue="1" operator="equal">
      <formula>"Napkin Hs"</formula>
    </cfRule>
    <cfRule type="cellIs" dxfId="13113" priority="715" stopIfTrue="1" operator="equal">
      <formula>"Towel"</formula>
    </cfRule>
    <cfRule type="cellIs" dxfId="13112" priority="716" stopIfTrue="1" operator="equal">
      <formula>"Napkin Hs"</formula>
    </cfRule>
    <cfRule type="cellIs" dxfId="13111" priority="717" stopIfTrue="1" operator="equal">
      <formula>"Towel"</formula>
    </cfRule>
    <cfRule type="cellIs" dxfId="13110" priority="718" stopIfTrue="1" operator="equal">
      <formula>"Napkin Hs"</formula>
    </cfRule>
    <cfRule type="cellIs" dxfId="13109" priority="721" stopIfTrue="1" operator="equal">
      <formula>"Towel"</formula>
    </cfRule>
    <cfRule type="cellIs" dxfId="13108" priority="722" stopIfTrue="1" operator="equal">
      <formula>"Napkin Hs"</formula>
    </cfRule>
    <cfRule type="cellIs" dxfId="13107" priority="723" stopIfTrue="1" operator="equal">
      <formula>"Towel"</formula>
    </cfRule>
    <cfRule type="cellIs" dxfId="13106" priority="724" stopIfTrue="1" operator="equal">
      <formula>"Napkin Hs"</formula>
    </cfRule>
    <cfRule type="cellIs" dxfId="13105" priority="727" stopIfTrue="1" operator="equal">
      <formula>"Towel"</formula>
    </cfRule>
    <cfRule type="cellIs" dxfId="13104" priority="728" stopIfTrue="1" operator="equal">
      <formula>"Napkin Hs"</formula>
    </cfRule>
    <cfRule type="cellIs" dxfId="13103" priority="729" stopIfTrue="1" operator="equal">
      <formula>"Towel"</formula>
    </cfRule>
    <cfRule type="cellIs" dxfId="13102" priority="730" stopIfTrue="1" operator="equal">
      <formula>"Napkin Hs"</formula>
    </cfRule>
    <cfRule type="cellIs" dxfId="13101" priority="733" stopIfTrue="1" operator="equal">
      <formula>"Towel"</formula>
    </cfRule>
    <cfRule type="cellIs" dxfId="13100" priority="734" stopIfTrue="1" operator="equal">
      <formula>"Napkin Hs"</formula>
    </cfRule>
    <cfRule type="cellIs" dxfId="13099" priority="735" stopIfTrue="1" operator="equal">
      <formula>"Towel"</formula>
    </cfRule>
    <cfRule type="cellIs" dxfId="13098" priority="736" stopIfTrue="1" operator="equal">
      <formula>"Napkin Hs"</formula>
    </cfRule>
    <cfRule type="cellIs" dxfId="13097" priority="739" stopIfTrue="1" operator="equal">
      <formula>"Towel"</formula>
    </cfRule>
    <cfRule type="cellIs" dxfId="13096" priority="740" stopIfTrue="1" operator="equal">
      <formula>"Napkin Hs"</formula>
    </cfRule>
    <cfRule type="cellIs" dxfId="13095" priority="741" stopIfTrue="1" operator="equal">
      <formula>"Towel"</formula>
    </cfRule>
    <cfRule type="cellIs" dxfId="13094" priority="742" stopIfTrue="1" operator="equal">
      <formula>"Napkin Hs"</formula>
    </cfRule>
    <cfRule type="cellIs" dxfId="13093" priority="745" stopIfTrue="1" operator="equal">
      <formula>"Towel"</formula>
    </cfRule>
    <cfRule type="cellIs" dxfId="13092" priority="746" stopIfTrue="1" operator="equal">
      <formula>"Napkin Hs"</formula>
    </cfRule>
    <cfRule type="cellIs" dxfId="13091" priority="747" stopIfTrue="1" operator="equal">
      <formula>"Towel"</formula>
    </cfRule>
    <cfRule type="cellIs" dxfId="13090" priority="748" stopIfTrue="1" operator="equal">
      <formula>"Napkin Hs"</formula>
    </cfRule>
    <cfRule type="cellIs" dxfId="13089" priority="751" stopIfTrue="1" operator="equal">
      <formula>"Towel"</formula>
    </cfRule>
    <cfRule type="cellIs" dxfId="13088" priority="752" stopIfTrue="1" operator="equal">
      <formula>"Napkin Hs"</formula>
    </cfRule>
    <cfRule type="cellIs" dxfId="13087" priority="753" stopIfTrue="1" operator="equal">
      <formula>"Towel"</formula>
    </cfRule>
    <cfRule type="cellIs" dxfId="13086" priority="754" stopIfTrue="1" operator="equal">
      <formula>"Napkin Hs"</formula>
    </cfRule>
  </conditionalFormatting>
  <conditionalFormatting sqref="B125:C125">
    <cfRule type="cellIs" dxfId="13085" priority="625" stopIfTrue="1" operator="equal">
      <formula>"Towel"</formula>
    </cfRule>
    <cfRule type="cellIs" dxfId="13084" priority="626" stopIfTrue="1" operator="equal">
      <formula>"Napkin Hs"</formula>
    </cfRule>
  </conditionalFormatting>
  <conditionalFormatting sqref="C125">
    <cfRule type="cellIs" dxfId="13083" priority="621" stopIfTrue="1" operator="equal">
      <formula>"Towel"</formula>
    </cfRule>
    <cfRule type="cellIs" dxfId="13082" priority="622" stopIfTrue="1" operator="equal">
      <formula>"Napkin Hs"</formula>
    </cfRule>
  </conditionalFormatting>
  <conditionalFormatting sqref="C125">
    <cfRule type="cellIs" dxfId="13081" priority="623" stopIfTrue="1" operator="equal">
      <formula>"Towel"</formula>
    </cfRule>
    <cfRule type="cellIs" dxfId="13080" priority="624" stopIfTrue="1" operator="equal">
      <formula>"Napkin Hs"</formula>
    </cfRule>
  </conditionalFormatting>
  <conditionalFormatting sqref="B124:C124">
    <cfRule type="cellIs" dxfId="13079" priority="619" stopIfTrue="1" operator="equal">
      <formula>"Towel"</formula>
    </cfRule>
    <cfRule type="cellIs" dxfId="13078" priority="620" stopIfTrue="1" operator="equal">
      <formula>"Napkin Hs"</formula>
    </cfRule>
  </conditionalFormatting>
  <conditionalFormatting sqref="C124">
    <cfRule type="cellIs" dxfId="13077" priority="615" stopIfTrue="1" operator="equal">
      <formula>"Towel"</formula>
    </cfRule>
    <cfRule type="cellIs" dxfId="13076" priority="616" stopIfTrue="1" operator="equal">
      <formula>"Napkin Hs"</formula>
    </cfRule>
  </conditionalFormatting>
  <conditionalFormatting sqref="C124">
    <cfRule type="cellIs" dxfId="13075" priority="617" stopIfTrue="1" operator="equal">
      <formula>"Towel"</formula>
    </cfRule>
    <cfRule type="cellIs" dxfId="13074" priority="618" stopIfTrue="1" operator="equal">
      <formula>"Napkin Hs"</formula>
    </cfRule>
  </conditionalFormatting>
  <conditionalFormatting sqref="B126:C126">
    <cfRule type="cellIs" dxfId="13073" priority="613" stopIfTrue="1" operator="equal">
      <formula>"Towel"</formula>
    </cfRule>
    <cfRule type="cellIs" dxfId="13072" priority="614" stopIfTrue="1" operator="equal">
      <formula>"Napkin Hs"</formula>
    </cfRule>
  </conditionalFormatting>
  <conditionalFormatting sqref="C126">
    <cfRule type="cellIs" dxfId="13071" priority="609" stopIfTrue="1" operator="equal">
      <formula>"Towel"</formula>
    </cfRule>
    <cfRule type="cellIs" dxfId="13070" priority="610" stopIfTrue="1" operator="equal">
      <formula>"Napkin Hs"</formula>
    </cfRule>
  </conditionalFormatting>
  <conditionalFormatting sqref="C126">
    <cfRule type="cellIs" dxfId="13069" priority="611" stopIfTrue="1" operator="equal">
      <formula>"Towel"</formula>
    </cfRule>
    <cfRule type="cellIs" dxfId="13068" priority="612" stopIfTrue="1" operator="equal">
      <formula>"Napkin Hs"</formula>
    </cfRule>
  </conditionalFormatting>
  <conditionalFormatting sqref="B134:C134">
    <cfRule type="cellIs" dxfId="13067" priority="549" stopIfTrue="1" operator="equal">
      <formula>"Towel"</formula>
    </cfRule>
    <cfRule type="cellIs" dxfId="13066" priority="550" stopIfTrue="1" operator="equal">
      <formula>"Napkin Hs"</formula>
    </cfRule>
    <cfRule type="cellIs" dxfId="13065" priority="555" stopIfTrue="1" operator="equal">
      <formula>"Towel"</formula>
    </cfRule>
    <cfRule type="cellIs" dxfId="13064" priority="556" stopIfTrue="1" operator="equal">
      <formula>"Napkin Hs"</formula>
    </cfRule>
    <cfRule type="cellIs" dxfId="13063" priority="561" stopIfTrue="1" operator="equal">
      <formula>"Towel"</formula>
    </cfRule>
    <cfRule type="cellIs" dxfId="13062" priority="562" stopIfTrue="1" operator="equal">
      <formula>"Napkin Hs"</formula>
    </cfRule>
    <cfRule type="cellIs" dxfId="13061" priority="567" stopIfTrue="1" operator="equal">
      <formula>"Towel"</formula>
    </cfRule>
    <cfRule type="cellIs" dxfId="13060" priority="568" stopIfTrue="1" operator="equal">
      <formula>"Napkin Hs"</formula>
    </cfRule>
    <cfRule type="cellIs" dxfId="13059" priority="573" stopIfTrue="1" operator="equal">
      <formula>"Towel"</formula>
    </cfRule>
    <cfRule type="cellIs" dxfId="13058" priority="574" stopIfTrue="1" operator="equal">
      <formula>"Napkin Hs"</formula>
    </cfRule>
    <cfRule type="cellIs" dxfId="13057" priority="579" stopIfTrue="1" operator="equal">
      <formula>"Towel"</formula>
    </cfRule>
    <cfRule type="cellIs" dxfId="13056" priority="580" stopIfTrue="1" operator="equal">
      <formula>"Napkin Hs"</formula>
    </cfRule>
    <cfRule type="cellIs" dxfId="13055" priority="585" stopIfTrue="1" operator="equal">
      <formula>"Towel"</formula>
    </cfRule>
    <cfRule type="cellIs" dxfId="13054" priority="586" stopIfTrue="1" operator="equal">
      <formula>"Napkin Hs"</formula>
    </cfRule>
    <cfRule type="cellIs" dxfId="13053" priority="591" stopIfTrue="1" operator="equal">
      <formula>"Towel"</formula>
    </cfRule>
    <cfRule type="cellIs" dxfId="13052" priority="592" stopIfTrue="1" operator="equal">
      <formula>"Napkin Hs"</formula>
    </cfRule>
    <cfRule type="cellIs" dxfId="13051" priority="597" stopIfTrue="1" operator="equal">
      <formula>"Towel"</formula>
    </cfRule>
    <cfRule type="cellIs" dxfId="13050" priority="598" stopIfTrue="1" operator="equal">
      <formula>"Napkin Hs"</formula>
    </cfRule>
    <cfRule type="cellIs" dxfId="13049" priority="603" stopIfTrue="1" operator="equal">
      <formula>"Towel"</formula>
    </cfRule>
    <cfRule type="cellIs" dxfId="13048" priority="604" stopIfTrue="1" operator="equal">
      <formula>"Napkin Hs"</formula>
    </cfRule>
  </conditionalFormatting>
  <conditionalFormatting sqref="C134">
    <cfRule type="cellIs" dxfId="13047" priority="545" stopIfTrue="1" operator="equal">
      <formula>"Towel"</formula>
    </cfRule>
    <cfRule type="cellIs" dxfId="13046" priority="546" stopIfTrue="1" operator="equal">
      <formula>"Napkin Hs"</formula>
    </cfRule>
  </conditionalFormatting>
  <conditionalFormatting sqref="C134">
    <cfRule type="cellIs" dxfId="13045" priority="547" stopIfTrue="1" operator="equal">
      <formula>"Towel"</formula>
    </cfRule>
    <cfRule type="cellIs" dxfId="13044" priority="548" stopIfTrue="1" operator="equal">
      <formula>"Napkin Hs"</formula>
    </cfRule>
    <cfRule type="cellIs" dxfId="13043" priority="551" stopIfTrue="1" operator="equal">
      <formula>"Towel"</formula>
    </cfRule>
    <cfRule type="cellIs" dxfId="13042" priority="552" stopIfTrue="1" operator="equal">
      <formula>"Napkin Hs"</formula>
    </cfRule>
    <cfRule type="cellIs" dxfId="13041" priority="553" stopIfTrue="1" operator="equal">
      <formula>"Towel"</formula>
    </cfRule>
    <cfRule type="cellIs" dxfId="13040" priority="554" stopIfTrue="1" operator="equal">
      <formula>"Napkin Hs"</formula>
    </cfRule>
    <cfRule type="cellIs" dxfId="13039" priority="557" stopIfTrue="1" operator="equal">
      <formula>"Towel"</formula>
    </cfRule>
    <cfRule type="cellIs" dxfId="13038" priority="558" stopIfTrue="1" operator="equal">
      <formula>"Napkin Hs"</formula>
    </cfRule>
    <cfRule type="cellIs" dxfId="13037" priority="559" stopIfTrue="1" operator="equal">
      <formula>"Towel"</formula>
    </cfRule>
    <cfRule type="cellIs" dxfId="13036" priority="560" stopIfTrue="1" operator="equal">
      <formula>"Napkin Hs"</formula>
    </cfRule>
    <cfRule type="cellIs" dxfId="13035" priority="563" stopIfTrue="1" operator="equal">
      <formula>"Towel"</formula>
    </cfRule>
    <cfRule type="cellIs" dxfId="13034" priority="564" stopIfTrue="1" operator="equal">
      <formula>"Napkin Hs"</formula>
    </cfRule>
    <cfRule type="cellIs" dxfId="13033" priority="565" stopIfTrue="1" operator="equal">
      <formula>"Towel"</formula>
    </cfRule>
    <cfRule type="cellIs" dxfId="13032" priority="566" stopIfTrue="1" operator="equal">
      <formula>"Napkin Hs"</formula>
    </cfRule>
    <cfRule type="cellIs" dxfId="13031" priority="569" stopIfTrue="1" operator="equal">
      <formula>"Towel"</formula>
    </cfRule>
    <cfRule type="cellIs" dxfId="13030" priority="570" stopIfTrue="1" operator="equal">
      <formula>"Napkin Hs"</formula>
    </cfRule>
    <cfRule type="cellIs" dxfId="13029" priority="571" stopIfTrue="1" operator="equal">
      <formula>"Towel"</formula>
    </cfRule>
    <cfRule type="cellIs" dxfId="13028" priority="572" stopIfTrue="1" operator="equal">
      <formula>"Napkin Hs"</formula>
    </cfRule>
    <cfRule type="cellIs" dxfId="13027" priority="575" stopIfTrue="1" operator="equal">
      <formula>"Towel"</formula>
    </cfRule>
    <cfRule type="cellIs" dxfId="13026" priority="576" stopIfTrue="1" operator="equal">
      <formula>"Napkin Hs"</formula>
    </cfRule>
    <cfRule type="cellIs" dxfId="13025" priority="577" stopIfTrue="1" operator="equal">
      <formula>"Towel"</formula>
    </cfRule>
    <cfRule type="cellIs" dxfId="13024" priority="578" stopIfTrue="1" operator="equal">
      <formula>"Napkin Hs"</formula>
    </cfRule>
    <cfRule type="cellIs" dxfId="13023" priority="581" stopIfTrue="1" operator="equal">
      <formula>"Towel"</formula>
    </cfRule>
    <cfRule type="cellIs" dxfId="13022" priority="582" stopIfTrue="1" operator="equal">
      <formula>"Napkin Hs"</formula>
    </cfRule>
    <cfRule type="cellIs" dxfId="13021" priority="583" stopIfTrue="1" operator="equal">
      <formula>"Towel"</formula>
    </cfRule>
    <cfRule type="cellIs" dxfId="13020" priority="584" stopIfTrue="1" operator="equal">
      <formula>"Napkin Hs"</formula>
    </cfRule>
    <cfRule type="cellIs" dxfId="13019" priority="587" stopIfTrue="1" operator="equal">
      <formula>"Towel"</formula>
    </cfRule>
    <cfRule type="cellIs" dxfId="13018" priority="588" stopIfTrue="1" operator="equal">
      <formula>"Napkin Hs"</formula>
    </cfRule>
    <cfRule type="cellIs" dxfId="13017" priority="589" stopIfTrue="1" operator="equal">
      <formula>"Towel"</formula>
    </cfRule>
    <cfRule type="cellIs" dxfId="13016" priority="590" stopIfTrue="1" operator="equal">
      <formula>"Napkin Hs"</formula>
    </cfRule>
    <cfRule type="cellIs" dxfId="13015" priority="593" stopIfTrue="1" operator="equal">
      <formula>"Towel"</formula>
    </cfRule>
    <cfRule type="cellIs" dxfId="13014" priority="594" stopIfTrue="1" operator="equal">
      <formula>"Napkin Hs"</formula>
    </cfRule>
    <cfRule type="cellIs" dxfId="13013" priority="595" stopIfTrue="1" operator="equal">
      <formula>"Towel"</formula>
    </cfRule>
    <cfRule type="cellIs" dxfId="13012" priority="596" stopIfTrue="1" operator="equal">
      <formula>"Napkin Hs"</formula>
    </cfRule>
    <cfRule type="cellIs" dxfId="13011" priority="599" stopIfTrue="1" operator="equal">
      <formula>"Towel"</formula>
    </cfRule>
    <cfRule type="cellIs" dxfId="13010" priority="600" stopIfTrue="1" operator="equal">
      <formula>"Napkin Hs"</formula>
    </cfRule>
  </conditionalFormatting>
  <conditionalFormatting sqref="C134">
    <cfRule type="cellIs" dxfId="13009" priority="601" stopIfTrue="1" operator="equal">
      <formula>"Towel"</formula>
    </cfRule>
    <cfRule type="cellIs" dxfId="13008" priority="602" stopIfTrue="1" operator="equal">
      <formula>"Napkin Hs"</formula>
    </cfRule>
  </conditionalFormatting>
  <conditionalFormatting sqref="B132:C132">
    <cfRule type="cellIs" dxfId="13007" priority="431" stopIfTrue="1" operator="equal">
      <formula>"Towel"</formula>
    </cfRule>
    <cfRule type="cellIs" dxfId="13006" priority="432" stopIfTrue="1" operator="equal">
      <formula>"Napkin Hs"</formula>
    </cfRule>
    <cfRule type="cellIs" dxfId="13005" priority="437" stopIfTrue="1" operator="equal">
      <formula>"Towel"</formula>
    </cfRule>
    <cfRule type="cellIs" dxfId="13004" priority="438" stopIfTrue="1" operator="equal">
      <formula>"Napkin Hs"</formula>
    </cfRule>
    <cfRule type="cellIs" dxfId="13003" priority="443" stopIfTrue="1" operator="equal">
      <formula>"Towel"</formula>
    </cfRule>
    <cfRule type="cellIs" dxfId="13002" priority="444" stopIfTrue="1" operator="equal">
      <formula>"Napkin Hs"</formula>
    </cfRule>
    <cfRule type="cellIs" dxfId="13001" priority="449" stopIfTrue="1" operator="equal">
      <formula>"Towel"</formula>
    </cfRule>
    <cfRule type="cellIs" dxfId="13000" priority="450" stopIfTrue="1" operator="equal">
      <formula>"Napkin Hs"</formula>
    </cfRule>
    <cfRule type="cellIs" dxfId="12999" priority="455" stopIfTrue="1" operator="equal">
      <formula>"Towel"</formula>
    </cfRule>
    <cfRule type="cellIs" dxfId="12998" priority="456" stopIfTrue="1" operator="equal">
      <formula>"Napkin Hs"</formula>
    </cfRule>
    <cfRule type="cellIs" dxfId="12997" priority="461" stopIfTrue="1" operator="equal">
      <formula>"Towel"</formula>
    </cfRule>
    <cfRule type="cellIs" dxfId="12996" priority="462" stopIfTrue="1" operator="equal">
      <formula>"Napkin Hs"</formula>
    </cfRule>
    <cfRule type="cellIs" dxfId="12995" priority="467" stopIfTrue="1" operator="equal">
      <formula>"Towel"</formula>
    </cfRule>
    <cfRule type="cellIs" dxfId="12994" priority="468" stopIfTrue="1" operator="equal">
      <formula>"Napkin Hs"</formula>
    </cfRule>
    <cfRule type="cellIs" dxfId="12993" priority="473" stopIfTrue="1" operator="equal">
      <formula>"Towel"</formula>
    </cfRule>
    <cfRule type="cellIs" dxfId="12992" priority="474" stopIfTrue="1" operator="equal">
      <formula>"Napkin Hs"</formula>
    </cfRule>
    <cfRule type="cellIs" dxfId="12991" priority="479" stopIfTrue="1" operator="equal">
      <formula>"Towel"</formula>
    </cfRule>
    <cfRule type="cellIs" dxfId="12990" priority="480" stopIfTrue="1" operator="equal">
      <formula>"Napkin Hs"</formula>
    </cfRule>
    <cfRule type="cellIs" dxfId="12989" priority="485" stopIfTrue="1" operator="equal">
      <formula>"Towel"</formula>
    </cfRule>
    <cfRule type="cellIs" dxfId="12988" priority="486" stopIfTrue="1" operator="equal">
      <formula>"Napkin Hs"</formula>
    </cfRule>
  </conditionalFormatting>
  <conditionalFormatting sqref="B133:C133">
    <cfRule type="cellIs" dxfId="12987" priority="489" stopIfTrue="1" operator="equal">
      <formula>"Towel"</formula>
    </cfRule>
    <cfRule type="cellIs" dxfId="12986" priority="490" stopIfTrue="1" operator="equal">
      <formula>"Napkin Hs"</formula>
    </cfRule>
    <cfRule type="cellIs" dxfId="12985" priority="495" stopIfTrue="1" operator="equal">
      <formula>"Towel"</formula>
    </cfRule>
    <cfRule type="cellIs" dxfId="12984" priority="496" stopIfTrue="1" operator="equal">
      <formula>"Napkin Hs"</formula>
    </cfRule>
    <cfRule type="cellIs" dxfId="12983" priority="501" stopIfTrue="1" operator="equal">
      <formula>"Towel"</formula>
    </cfRule>
    <cfRule type="cellIs" dxfId="12982" priority="502" stopIfTrue="1" operator="equal">
      <formula>"Napkin Hs"</formula>
    </cfRule>
    <cfRule type="cellIs" dxfId="12981" priority="507" stopIfTrue="1" operator="equal">
      <formula>"Towel"</formula>
    </cfRule>
    <cfRule type="cellIs" dxfId="12980" priority="508" stopIfTrue="1" operator="equal">
      <formula>"Napkin Hs"</formula>
    </cfRule>
    <cfRule type="cellIs" dxfId="12979" priority="513" stopIfTrue="1" operator="equal">
      <formula>"Towel"</formula>
    </cfRule>
    <cfRule type="cellIs" dxfId="12978" priority="514" stopIfTrue="1" operator="equal">
      <formula>"Napkin Hs"</formula>
    </cfRule>
    <cfRule type="cellIs" dxfId="12977" priority="519" stopIfTrue="1" operator="equal">
      <formula>"Towel"</formula>
    </cfRule>
    <cfRule type="cellIs" dxfId="12976" priority="520" stopIfTrue="1" operator="equal">
      <formula>"Napkin Hs"</formula>
    </cfRule>
    <cfRule type="cellIs" dxfId="12975" priority="525" stopIfTrue="1" operator="equal">
      <formula>"Towel"</formula>
    </cfRule>
    <cfRule type="cellIs" dxfId="12974" priority="526" stopIfTrue="1" operator="equal">
      <formula>"Napkin Hs"</formula>
    </cfRule>
    <cfRule type="cellIs" dxfId="12973" priority="531" stopIfTrue="1" operator="equal">
      <formula>"Towel"</formula>
    </cfRule>
    <cfRule type="cellIs" dxfId="12972" priority="532" stopIfTrue="1" operator="equal">
      <formula>"Napkin Hs"</formula>
    </cfRule>
    <cfRule type="cellIs" dxfId="12971" priority="537" stopIfTrue="1" operator="equal">
      <formula>"Towel"</formula>
    </cfRule>
    <cfRule type="cellIs" dxfId="12970" priority="538" stopIfTrue="1" operator="equal">
      <formula>"Napkin Hs"</formula>
    </cfRule>
    <cfRule type="cellIs" dxfId="12969" priority="543" stopIfTrue="1" operator="equal">
      <formula>"Towel"</formula>
    </cfRule>
    <cfRule type="cellIs" dxfId="12968" priority="544" stopIfTrue="1" operator="equal">
      <formula>"Napkin Hs"</formula>
    </cfRule>
  </conditionalFormatting>
  <conditionalFormatting sqref="C132:C133">
    <cfRule type="cellIs" dxfId="12967" priority="483" stopIfTrue="1" operator="equal">
      <formula>"Towel"</formula>
    </cfRule>
    <cfRule type="cellIs" dxfId="12966" priority="484" stopIfTrue="1" operator="equal">
      <formula>"Napkin Hs"</formula>
    </cfRule>
  </conditionalFormatting>
  <conditionalFormatting sqref="C132">
    <cfRule type="cellIs" dxfId="12965" priority="427" stopIfTrue="1" operator="equal">
      <formula>"Towel"</formula>
    </cfRule>
    <cfRule type="cellIs" dxfId="12964" priority="428" stopIfTrue="1" operator="equal">
      <formula>"Napkin Hs"</formula>
    </cfRule>
    <cfRule type="cellIs" dxfId="12963" priority="429" stopIfTrue="1" operator="equal">
      <formula>"Towel"</formula>
    </cfRule>
    <cfRule type="cellIs" dxfId="12962" priority="430" stopIfTrue="1" operator="equal">
      <formula>"Napkin Hs"</formula>
    </cfRule>
    <cfRule type="cellIs" dxfId="12961" priority="433" stopIfTrue="1" operator="equal">
      <formula>"Towel"</formula>
    </cfRule>
    <cfRule type="cellIs" dxfId="12960" priority="434" stopIfTrue="1" operator="equal">
      <formula>"Napkin Hs"</formula>
    </cfRule>
    <cfRule type="cellIs" dxfId="12959" priority="435" stopIfTrue="1" operator="equal">
      <formula>"Towel"</formula>
    </cfRule>
    <cfRule type="cellIs" dxfId="12958" priority="436" stopIfTrue="1" operator="equal">
      <formula>"Napkin Hs"</formula>
    </cfRule>
    <cfRule type="cellIs" dxfId="12957" priority="439" stopIfTrue="1" operator="equal">
      <formula>"Towel"</formula>
    </cfRule>
    <cfRule type="cellIs" dxfId="12956" priority="440" stopIfTrue="1" operator="equal">
      <formula>"Napkin Hs"</formula>
    </cfRule>
    <cfRule type="cellIs" dxfId="12955" priority="441" stopIfTrue="1" operator="equal">
      <formula>"Towel"</formula>
    </cfRule>
    <cfRule type="cellIs" dxfId="12954" priority="442" stopIfTrue="1" operator="equal">
      <formula>"Napkin Hs"</formula>
    </cfRule>
    <cfRule type="cellIs" dxfId="12953" priority="445" stopIfTrue="1" operator="equal">
      <formula>"Towel"</formula>
    </cfRule>
    <cfRule type="cellIs" dxfId="12952" priority="446" stopIfTrue="1" operator="equal">
      <formula>"Napkin Hs"</formula>
    </cfRule>
    <cfRule type="cellIs" dxfId="12951" priority="447" stopIfTrue="1" operator="equal">
      <formula>"Towel"</formula>
    </cfRule>
    <cfRule type="cellIs" dxfId="12950" priority="448" stopIfTrue="1" operator="equal">
      <formula>"Napkin Hs"</formula>
    </cfRule>
    <cfRule type="cellIs" dxfId="12949" priority="451" stopIfTrue="1" operator="equal">
      <formula>"Towel"</formula>
    </cfRule>
    <cfRule type="cellIs" dxfId="12948" priority="452" stopIfTrue="1" operator="equal">
      <formula>"Napkin Hs"</formula>
    </cfRule>
    <cfRule type="cellIs" dxfId="12947" priority="453" stopIfTrue="1" operator="equal">
      <formula>"Towel"</formula>
    </cfRule>
    <cfRule type="cellIs" dxfId="12946" priority="454" stopIfTrue="1" operator="equal">
      <formula>"Napkin Hs"</formula>
    </cfRule>
    <cfRule type="cellIs" dxfId="12945" priority="457" stopIfTrue="1" operator="equal">
      <formula>"Towel"</formula>
    </cfRule>
    <cfRule type="cellIs" dxfId="12944" priority="458" stopIfTrue="1" operator="equal">
      <formula>"Napkin Hs"</formula>
    </cfRule>
    <cfRule type="cellIs" dxfId="12943" priority="459" stopIfTrue="1" operator="equal">
      <formula>"Towel"</formula>
    </cfRule>
    <cfRule type="cellIs" dxfId="12942" priority="460" stopIfTrue="1" operator="equal">
      <formula>"Napkin Hs"</formula>
    </cfRule>
    <cfRule type="cellIs" dxfId="12941" priority="463" stopIfTrue="1" operator="equal">
      <formula>"Towel"</formula>
    </cfRule>
    <cfRule type="cellIs" dxfId="12940" priority="464" stopIfTrue="1" operator="equal">
      <formula>"Napkin Hs"</formula>
    </cfRule>
    <cfRule type="cellIs" dxfId="12939" priority="465" stopIfTrue="1" operator="equal">
      <formula>"Towel"</formula>
    </cfRule>
    <cfRule type="cellIs" dxfId="12938" priority="466" stopIfTrue="1" operator="equal">
      <formula>"Napkin Hs"</formula>
    </cfRule>
    <cfRule type="cellIs" dxfId="12937" priority="469" stopIfTrue="1" operator="equal">
      <formula>"Towel"</formula>
    </cfRule>
    <cfRule type="cellIs" dxfId="12936" priority="470" stopIfTrue="1" operator="equal">
      <formula>"Napkin Hs"</formula>
    </cfRule>
    <cfRule type="cellIs" dxfId="12935" priority="471" stopIfTrue="1" operator="equal">
      <formula>"Towel"</formula>
    </cfRule>
    <cfRule type="cellIs" dxfId="12934" priority="472" stopIfTrue="1" operator="equal">
      <formula>"Napkin Hs"</formula>
    </cfRule>
    <cfRule type="cellIs" dxfId="12933" priority="475" stopIfTrue="1" operator="equal">
      <formula>"Towel"</formula>
    </cfRule>
    <cfRule type="cellIs" dxfId="12932" priority="476" stopIfTrue="1" operator="equal">
      <formula>"Napkin Hs"</formula>
    </cfRule>
    <cfRule type="cellIs" dxfId="12931" priority="477" stopIfTrue="1" operator="equal">
      <formula>"Towel"</formula>
    </cfRule>
    <cfRule type="cellIs" dxfId="12930" priority="478" stopIfTrue="1" operator="equal">
      <formula>"Napkin Hs"</formula>
    </cfRule>
    <cfRule type="cellIs" dxfId="12929" priority="481" stopIfTrue="1" operator="equal">
      <formula>"Towel"</formula>
    </cfRule>
    <cfRule type="cellIs" dxfId="12928" priority="482" stopIfTrue="1" operator="equal">
      <formula>"Napkin Hs"</formula>
    </cfRule>
  </conditionalFormatting>
  <conditionalFormatting sqref="C133">
    <cfRule type="cellIs" dxfId="12927" priority="487" stopIfTrue="1" operator="equal">
      <formula>"Towel"</formula>
    </cfRule>
    <cfRule type="cellIs" dxfId="12926" priority="488" stopIfTrue="1" operator="equal">
      <formula>"Napkin Hs"</formula>
    </cfRule>
    <cfRule type="cellIs" dxfId="12925" priority="491" stopIfTrue="1" operator="equal">
      <formula>"Towel"</formula>
    </cfRule>
    <cfRule type="cellIs" dxfId="12924" priority="492" stopIfTrue="1" operator="equal">
      <formula>"Napkin Hs"</formula>
    </cfRule>
    <cfRule type="cellIs" dxfId="12923" priority="493" stopIfTrue="1" operator="equal">
      <formula>"Towel"</formula>
    </cfRule>
    <cfRule type="cellIs" dxfId="12922" priority="494" stopIfTrue="1" operator="equal">
      <formula>"Napkin Hs"</formula>
    </cfRule>
    <cfRule type="cellIs" dxfId="12921" priority="497" stopIfTrue="1" operator="equal">
      <formula>"Towel"</formula>
    </cfRule>
    <cfRule type="cellIs" dxfId="12920" priority="498" stopIfTrue="1" operator="equal">
      <formula>"Napkin Hs"</formula>
    </cfRule>
    <cfRule type="cellIs" dxfId="12919" priority="499" stopIfTrue="1" operator="equal">
      <formula>"Towel"</formula>
    </cfRule>
    <cfRule type="cellIs" dxfId="12918" priority="500" stopIfTrue="1" operator="equal">
      <formula>"Napkin Hs"</formula>
    </cfRule>
    <cfRule type="cellIs" dxfId="12917" priority="503" stopIfTrue="1" operator="equal">
      <formula>"Towel"</formula>
    </cfRule>
    <cfRule type="cellIs" dxfId="12916" priority="504" stopIfTrue="1" operator="equal">
      <formula>"Napkin Hs"</formula>
    </cfRule>
    <cfRule type="cellIs" dxfId="12915" priority="505" stopIfTrue="1" operator="equal">
      <formula>"Towel"</formula>
    </cfRule>
    <cfRule type="cellIs" dxfId="12914" priority="506" stopIfTrue="1" operator="equal">
      <formula>"Napkin Hs"</formula>
    </cfRule>
    <cfRule type="cellIs" dxfId="12913" priority="509" stopIfTrue="1" operator="equal">
      <formula>"Towel"</formula>
    </cfRule>
    <cfRule type="cellIs" dxfId="12912" priority="510" stopIfTrue="1" operator="equal">
      <formula>"Napkin Hs"</formula>
    </cfRule>
    <cfRule type="cellIs" dxfId="12911" priority="511" stopIfTrue="1" operator="equal">
      <formula>"Towel"</formula>
    </cfRule>
    <cfRule type="cellIs" dxfId="12910" priority="512" stopIfTrue="1" operator="equal">
      <formula>"Napkin Hs"</formula>
    </cfRule>
    <cfRule type="cellIs" dxfId="12909" priority="515" stopIfTrue="1" operator="equal">
      <formula>"Towel"</formula>
    </cfRule>
    <cfRule type="cellIs" dxfId="12908" priority="516" stopIfTrue="1" operator="equal">
      <formula>"Napkin Hs"</formula>
    </cfRule>
    <cfRule type="cellIs" dxfId="12907" priority="517" stopIfTrue="1" operator="equal">
      <formula>"Towel"</formula>
    </cfRule>
    <cfRule type="cellIs" dxfId="12906" priority="518" stopIfTrue="1" operator="equal">
      <formula>"Napkin Hs"</formula>
    </cfRule>
    <cfRule type="cellIs" dxfId="12905" priority="521" stopIfTrue="1" operator="equal">
      <formula>"Towel"</formula>
    </cfRule>
    <cfRule type="cellIs" dxfId="12904" priority="522" stopIfTrue="1" operator="equal">
      <formula>"Napkin Hs"</formula>
    </cfRule>
    <cfRule type="cellIs" dxfId="12903" priority="523" stopIfTrue="1" operator="equal">
      <formula>"Towel"</formula>
    </cfRule>
    <cfRule type="cellIs" dxfId="12902" priority="524" stopIfTrue="1" operator="equal">
      <formula>"Napkin Hs"</formula>
    </cfRule>
    <cfRule type="cellIs" dxfId="12901" priority="527" stopIfTrue="1" operator="equal">
      <formula>"Towel"</formula>
    </cfRule>
    <cfRule type="cellIs" dxfId="12900" priority="528" stopIfTrue="1" operator="equal">
      <formula>"Napkin Hs"</formula>
    </cfRule>
    <cfRule type="cellIs" dxfId="12899" priority="529" stopIfTrue="1" operator="equal">
      <formula>"Towel"</formula>
    </cfRule>
    <cfRule type="cellIs" dxfId="12898" priority="530" stopIfTrue="1" operator="equal">
      <formula>"Napkin Hs"</formula>
    </cfRule>
    <cfRule type="cellIs" dxfId="12897" priority="533" stopIfTrue="1" operator="equal">
      <formula>"Towel"</formula>
    </cfRule>
    <cfRule type="cellIs" dxfId="12896" priority="534" stopIfTrue="1" operator="equal">
      <formula>"Napkin Hs"</formula>
    </cfRule>
    <cfRule type="cellIs" dxfId="12895" priority="535" stopIfTrue="1" operator="equal">
      <formula>"Towel"</formula>
    </cfRule>
    <cfRule type="cellIs" dxfId="12894" priority="536" stopIfTrue="1" operator="equal">
      <formula>"Napkin Hs"</formula>
    </cfRule>
    <cfRule type="cellIs" dxfId="12893" priority="539" stopIfTrue="1" operator="equal">
      <formula>"Towel"</formula>
    </cfRule>
    <cfRule type="cellIs" dxfId="12892" priority="540" stopIfTrue="1" operator="equal">
      <formula>"Napkin Hs"</formula>
    </cfRule>
    <cfRule type="cellIs" dxfId="12891" priority="541" stopIfTrue="1" operator="equal">
      <formula>"Towel"</formula>
    </cfRule>
    <cfRule type="cellIs" dxfId="12890" priority="542" stopIfTrue="1" operator="equal">
      <formula>"Napkin Hs"</formula>
    </cfRule>
  </conditionalFormatting>
  <conditionalFormatting sqref="B130:C130">
    <cfRule type="cellIs" dxfId="12889" priority="425" stopIfTrue="1" operator="equal">
      <formula>"Towel"</formula>
    </cfRule>
    <cfRule type="cellIs" dxfId="12888" priority="426" stopIfTrue="1" operator="equal">
      <formula>"Napkin Hs"</formula>
    </cfRule>
  </conditionalFormatting>
  <conditionalFormatting sqref="C130">
    <cfRule type="cellIs" dxfId="12887" priority="421" stopIfTrue="1" operator="equal">
      <formula>"Towel"</formula>
    </cfRule>
    <cfRule type="cellIs" dxfId="12886" priority="422" stopIfTrue="1" operator="equal">
      <formula>"Napkin Hs"</formula>
    </cfRule>
  </conditionalFormatting>
  <conditionalFormatting sqref="C130">
    <cfRule type="cellIs" dxfId="12885" priority="423" stopIfTrue="1" operator="equal">
      <formula>"Towel"</formula>
    </cfRule>
    <cfRule type="cellIs" dxfId="12884" priority="424" stopIfTrue="1" operator="equal">
      <formula>"Napkin Hs"</formula>
    </cfRule>
  </conditionalFormatting>
  <conditionalFormatting sqref="B131:C131">
    <cfRule type="cellIs" dxfId="12883" priority="413" stopIfTrue="1" operator="equal">
      <formula>"Towel"</formula>
    </cfRule>
    <cfRule type="cellIs" dxfId="12882" priority="414" stopIfTrue="1" operator="equal">
      <formula>"Napkin Hs"</formula>
    </cfRule>
  </conditionalFormatting>
  <conditionalFormatting sqref="C131">
    <cfRule type="cellIs" dxfId="12881" priority="409" stopIfTrue="1" operator="equal">
      <formula>"Towel"</formula>
    </cfRule>
    <cfRule type="cellIs" dxfId="12880" priority="410" stopIfTrue="1" operator="equal">
      <formula>"Napkin Hs"</formula>
    </cfRule>
  </conditionalFormatting>
  <conditionalFormatting sqref="C131">
    <cfRule type="cellIs" dxfId="12879" priority="411" stopIfTrue="1" operator="equal">
      <formula>"Towel"</formula>
    </cfRule>
    <cfRule type="cellIs" dxfId="12878" priority="412" stopIfTrue="1" operator="equal">
      <formula>"Napkin Hs"</formula>
    </cfRule>
  </conditionalFormatting>
  <conditionalFormatting sqref="B129:C129">
    <cfRule type="cellIs" dxfId="12877" priority="407" stopIfTrue="1" operator="equal">
      <formula>"Towel"</formula>
    </cfRule>
    <cfRule type="cellIs" dxfId="12876" priority="408" stopIfTrue="1" operator="equal">
      <formula>"Napkin Hs"</formula>
    </cfRule>
  </conditionalFormatting>
  <conditionalFormatting sqref="C129">
    <cfRule type="cellIs" dxfId="12875" priority="406" stopIfTrue="1" operator="equal">
      <formula>"Napkin Hs"</formula>
    </cfRule>
  </conditionalFormatting>
  <conditionalFormatting sqref="C129">
    <cfRule type="cellIs" dxfId="12874" priority="405" stopIfTrue="1" operator="equal">
      <formula>"Towel"</formula>
    </cfRule>
  </conditionalFormatting>
  <conditionalFormatting sqref="C129">
    <cfRule type="cellIs" dxfId="12873" priority="403" stopIfTrue="1" operator="equal">
      <formula>"Towel"</formula>
    </cfRule>
    <cfRule type="cellIs" dxfId="12872" priority="404" stopIfTrue="1" operator="equal">
      <formula>"Napkin Hs"</formula>
    </cfRule>
  </conditionalFormatting>
  <conditionalFormatting sqref="B129:C129">
    <cfRule type="cellIs" dxfId="12871" priority="401" stopIfTrue="1" operator="equal">
      <formula>"Towel"</formula>
    </cfRule>
    <cfRule type="cellIs" dxfId="12870" priority="402" stopIfTrue="1" operator="equal">
      <formula>"Napkin Hs"</formula>
    </cfRule>
  </conditionalFormatting>
  <conditionalFormatting sqref="C129">
    <cfRule type="cellIs" dxfId="12869" priority="397" stopIfTrue="1" operator="equal">
      <formula>"Towel"</formula>
    </cfRule>
    <cfRule type="cellIs" dxfId="12868" priority="398" stopIfTrue="1" operator="equal">
      <formula>"Napkin Hs"</formula>
    </cfRule>
  </conditionalFormatting>
  <conditionalFormatting sqref="C129">
    <cfRule type="cellIs" dxfId="12867" priority="399" stopIfTrue="1" operator="equal">
      <formula>"Towel"</formula>
    </cfRule>
    <cfRule type="cellIs" dxfId="12866" priority="400" stopIfTrue="1" operator="equal">
      <formula>"Napkin Hs"</formula>
    </cfRule>
  </conditionalFormatting>
  <conditionalFormatting sqref="B136:C138">
    <cfRule type="cellIs" dxfId="12865" priority="395" stopIfTrue="1" operator="equal">
      <formula>"Towel"</formula>
    </cfRule>
    <cfRule type="cellIs" dxfId="12864" priority="396" stopIfTrue="1" operator="equal">
      <formula>"Napkin Hs"</formula>
    </cfRule>
  </conditionalFormatting>
  <conditionalFormatting sqref="C136:C138">
    <cfRule type="cellIs" dxfId="12863" priority="394" stopIfTrue="1" operator="equal">
      <formula>"Napkin Hs"</formula>
    </cfRule>
  </conditionalFormatting>
  <conditionalFormatting sqref="C136:C138">
    <cfRule type="cellIs" dxfId="12862" priority="393" stopIfTrue="1" operator="equal">
      <formula>"Towel"</formula>
    </cfRule>
  </conditionalFormatting>
  <conditionalFormatting sqref="C136:C138">
    <cfRule type="cellIs" dxfId="12861" priority="391" stopIfTrue="1" operator="equal">
      <formula>"Towel"</formula>
    </cfRule>
    <cfRule type="cellIs" dxfId="12860" priority="392" stopIfTrue="1" operator="equal">
      <formula>"Napkin Hs"</formula>
    </cfRule>
  </conditionalFormatting>
  <conditionalFormatting sqref="B138:C138">
    <cfRule type="cellIs" dxfId="12859" priority="335" stopIfTrue="1" operator="equal">
      <formula>"Towel"</formula>
    </cfRule>
    <cfRule type="cellIs" dxfId="12858" priority="336" stopIfTrue="1" operator="equal">
      <formula>"Napkin Hs"</formula>
    </cfRule>
    <cfRule type="cellIs" dxfId="12857" priority="341" stopIfTrue="1" operator="equal">
      <formula>"Towel"</formula>
    </cfRule>
    <cfRule type="cellIs" dxfId="12856" priority="342" stopIfTrue="1" operator="equal">
      <formula>"Napkin Hs"</formula>
    </cfRule>
    <cfRule type="cellIs" dxfId="12855" priority="347" stopIfTrue="1" operator="equal">
      <formula>"Towel"</formula>
    </cfRule>
    <cfRule type="cellIs" dxfId="12854" priority="348" stopIfTrue="1" operator="equal">
      <formula>"Napkin Hs"</formula>
    </cfRule>
    <cfRule type="cellIs" dxfId="12853" priority="353" stopIfTrue="1" operator="equal">
      <formula>"Towel"</formula>
    </cfRule>
    <cfRule type="cellIs" dxfId="12852" priority="354" stopIfTrue="1" operator="equal">
      <formula>"Napkin Hs"</formula>
    </cfRule>
    <cfRule type="cellIs" dxfId="12851" priority="359" stopIfTrue="1" operator="equal">
      <formula>"Towel"</formula>
    </cfRule>
    <cfRule type="cellIs" dxfId="12850" priority="360" stopIfTrue="1" operator="equal">
      <formula>"Napkin Hs"</formula>
    </cfRule>
    <cfRule type="cellIs" dxfId="12849" priority="365" stopIfTrue="1" operator="equal">
      <formula>"Towel"</formula>
    </cfRule>
    <cfRule type="cellIs" dxfId="12848" priority="366" stopIfTrue="1" operator="equal">
      <formula>"Napkin Hs"</formula>
    </cfRule>
    <cfRule type="cellIs" dxfId="12847" priority="371" stopIfTrue="1" operator="equal">
      <formula>"Towel"</formula>
    </cfRule>
    <cfRule type="cellIs" dxfId="12846" priority="372" stopIfTrue="1" operator="equal">
      <formula>"Napkin Hs"</formula>
    </cfRule>
    <cfRule type="cellIs" dxfId="12845" priority="377" stopIfTrue="1" operator="equal">
      <formula>"Towel"</formula>
    </cfRule>
    <cfRule type="cellIs" dxfId="12844" priority="378" stopIfTrue="1" operator="equal">
      <formula>"Napkin Hs"</formula>
    </cfRule>
    <cfRule type="cellIs" dxfId="12843" priority="383" stopIfTrue="1" operator="equal">
      <formula>"Towel"</formula>
    </cfRule>
    <cfRule type="cellIs" dxfId="12842" priority="384" stopIfTrue="1" operator="equal">
      <formula>"Napkin Hs"</formula>
    </cfRule>
    <cfRule type="cellIs" dxfId="12841" priority="389" stopIfTrue="1" operator="equal">
      <formula>"Towel"</formula>
    </cfRule>
    <cfRule type="cellIs" dxfId="12840" priority="390" stopIfTrue="1" operator="equal">
      <formula>"Napkin Hs"</formula>
    </cfRule>
  </conditionalFormatting>
  <conditionalFormatting sqref="C138">
    <cfRule type="cellIs" dxfId="12839" priority="387" stopIfTrue="1" operator="equal">
      <formula>"Towel"</formula>
    </cfRule>
    <cfRule type="cellIs" dxfId="12838" priority="388" stopIfTrue="1" operator="equal">
      <formula>"Napkin Hs"</formula>
    </cfRule>
  </conditionalFormatting>
  <conditionalFormatting sqref="C138">
    <cfRule type="cellIs" dxfId="12837" priority="331" stopIfTrue="1" operator="equal">
      <formula>"Towel"</formula>
    </cfRule>
    <cfRule type="cellIs" dxfId="12836" priority="332" stopIfTrue="1" operator="equal">
      <formula>"Napkin Hs"</formula>
    </cfRule>
    <cfRule type="cellIs" dxfId="12835" priority="333" stopIfTrue="1" operator="equal">
      <formula>"Towel"</formula>
    </cfRule>
    <cfRule type="cellIs" dxfId="12834" priority="334" stopIfTrue="1" operator="equal">
      <formula>"Napkin Hs"</formula>
    </cfRule>
    <cfRule type="cellIs" dxfId="12833" priority="337" stopIfTrue="1" operator="equal">
      <formula>"Towel"</formula>
    </cfRule>
    <cfRule type="cellIs" dxfId="12832" priority="338" stopIfTrue="1" operator="equal">
      <formula>"Napkin Hs"</formula>
    </cfRule>
    <cfRule type="cellIs" dxfId="12831" priority="339" stopIfTrue="1" operator="equal">
      <formula>"Towel"</formula>
    </cfRule>
    <cfRule type="cellIs" dxfId="12830" priority="340" stopIfTrue="1" operator="equal">
      <formula>"Napkin Hs"</formula>
    </cfRule>
    <cfRule type="cellIs" dxfId="12829" priority="343" stopIfTrue="1" operator="equal">
      <formula>"Towel"</formula>
    </cfRule>
    <cfRule type="cellIs" dxfId="12828" priority="344" stopIfTrue="1" operator="equal">
      <formula>"Napkin Hs"</formula>
    </cfRule>
    <cfRule type="cellIs" dxfId="12827" priority="345" stopIfTrue="1" operator="equal">
      <formula>"Towel"</formula>
    </cfRule>
    <cfRule type="cellIs" dxfId="12826" priority="346" stopIfTrue="1" operator="equal">
      <formula>"Napkin Hs"</formula>
    </cfRule>
    <cfRule type="cellIs" dxfId="12825" priority="349" stopIfTrue="1" operator="equal">
      <formula>"Towel"</formula>
    </cfRule>
    <cfRule type="cellIs" dxfId="12824" priority="350" stopIfTrue="1" operator="equal">
      <formula>"Napkin Hs"</formula>
    </cfRule>
    <cfRule type="cellIs" dxfId="12823" priority="351" stopIfTrue="1" operator="equal">
      <formula>"Towel"</formula>
    </cfRule>
    <cfRule type="cellIs" dxfId="12822" priority="352" stopIfTrue="1" operator="equal">
      <formula>"Napkin Hs"</formula>
    </cfRule>
    <cfRule type="cellIs" dxfId="12821" priority="355" stopIfTrue="1" operator="equal">
      <formula>"Towel"</formula>
    </cfRule>
    <cfRule type="cellIs" dxfId="12820" priority="356" stopIfTrue="1" operator="equal">
      <formula>"Napkin Hs"</formula>
    </cfRule>
    <cfRule type="cellIs" dxfId="12819" priority="357" stopIfTrue="1" operator="equal">
      <formula>"Towel"</formula>
    </cfRule>
    <cfRule type="cellIs" dxfId="12818" priority="358" stopIfTrue="1" operator="equal">
      <formula>"Napkin Hs"</formula>
    </cfRule>
    <cfRule type="cellIs" dxfId="12817" priority="361" stopIfTrue="1" operator="equal">
      <formula>"Towel"</formula>
    </cfRule>
    <cfRule type="cellIs" dxfId="12816" priority="362" stopIfTrue="1" operator="equal">
      <formula>"Napkin Hs"</formula>
    </cfRule>
    <cfRule type="cellIs" dxfId="12815" priority="363" stopIfTrue="1" operator="equal">
      <formula>"Towel"</formula>
    </cfRule>
    <cfRule type="cellIs" dxfId="12814" priority="364" stopIfTrue="1" operator="equal">
      <formula>"Napkin Hs"</formula>
    </cfRule>
    <cfRule type="cellIs" dxfId="12813" priority="367" stopIfTrue="1" operator="equal">
      <formula>"Towel"</formula>
    </cfRule>
    <cfRule type="cellIs" dxfId="12812" priority="368" stopIfTrue="1" operator="equal">
      <formula>"Napkin Hs"</formula>
    </cfRule>
    <cfRule type="cellIs" dxfId="12811" priority="369" stopIfTrue="1" operator="equal">
      <formula>"Towel"</formula>
    </cfRule>
    <cfRule type="cellIs" dxfId="12810" priority="370" stopIfTrue="1" operator="equal">
      <formula>"Napkin Hs"</formula>
    </cfRule>
    <cfRule type="cellIs" dxfId="12809" priority="373" stopIfTrue="1" operator="equal">
      <formula>"Towel"</formula>
    </cfRule>
    <cfRule type="cellIs" dxfId="12808" priority="374" stopIfTrue="1" operator="equal">
      <formula>"Napkin Hs"</formula>
    </cfRule>
    <cfRule type="cellIs" dxfId="12807" priority="375" stopIfTrue="1" operator="equal">
      <formula>"Towel"</formula>
    </cfRule>
    <cfRule type="cellIs" dxfId="12806" priority="376" stopIfTrue="1" operator="equal">
      <formula>"Napkin Hs"</formula>
    </cfRule>
    <cfRule type="cellIs" dxfId="12805" priority="379" stopIfTrue="1" operator="equal">
      <formula>"Towel"</formula>
    </cfRule>
    <cfRule type="cellIs" dxfId="12804" priority="380" stopIfTrue="1" operator="equal">
      <formula>"Napkin Hs"</formula>
    </cfRule>
    <cfRule type="cellIs" dxfId="12803" priority="381" stopIfTrue="1" operator="equal">
      <formula>"Towel"</formula>
    </cfRule>
    <cfRule type="cellIs" dxfId="12802" priority="382" stopIfTrue="1" operator="equal">
      <formula>"Napkin Hs"</formula>
    </cfRule>
    <cfRule type="cellIs" dxfId="12801" priority="385" stopIfTrue="1" operator="equal">
      <formula>"Towel"</formula>
    </cfRule>
    <cfRule type="cellIs" dxfId="12800" priority="386" stopIfTrue="1" operator="equal">
      <formula>"Napkin Hs"</formula>
    </cfRule>
  </conditionalFormatting>
  <conditionalFormatting sqref="B136:C136">
    <cfRule type="cellIs" dxfId="12799" priority="329" stopIfTrue="1" operator="equal">
      <formula>"Towel"</formula>
    </cfRule>
    <cfRule type="cellIs" dxfId="12798" priority="330" stopIfTrue="1" operator="equal">
      <formula>"Napkin Hs"</formula>
    </cfRule>
  </conditionalFormatting>
  <conditionalFormatting sqref="C136">
    <cfRule type="cellIs" dxfId="12797" priority="325" stopIfTrue="1" operator="equal">
      <formula>"Towel"</formula>
    </cfRule>
    <cfRule type="cellIs" dxfId="12796" priority="326" stopIfTrue="1" operator="equal">
      <formula>"Napkin Hs"</formula>
    </cfRule>
  </conditionalFormatting>
  <conditionalFormatting sqref="C136">
    <cfRule type="cellIs" dxfId="12795" priority="327" stopIfTrue="1" operator="equal">
      <formula>"Towel"</formula>
    </cfRule>
    <cfRule type="cellIs" dxfId="12794" priority="328" stopIfTrue="1" operator="equal">
      <formula>"Napkin Hs"</formula>
    </cfRule>
  </conditionalFormatting>
  <conditionalFormatting sqref="B137:C137">
    <cfRule type="cellIs" dxfId="12793" priority="323" stopIfTrue="1" operator="equal">
      <formula>"Towel"</formula>
    </cfRule>
    <cfRule type="cellIs" dxfId="12792" priority="324" stopIfTrue="1" operator="equal">
      <formula>"Napkin Hs"</formula>
    </cfRule>
  </conditionalFormatting>
  <conditionalFormatting sqref="C137">
    <cfRule type="cellIs" dxfId="12791" priority="319" stopIfTrue="1" operator="equal">
      <formula>"Towel"</formula>
    </cfRule>
    <cfRule type="cellIs" dxfId="12790" priority="320" stopIfTrue="1" operator="equal">
      <formula>"Napkin Hs"</formula>
    </cfRule>
  </conditionalFormatting>
  <conditionalFormatting sqref="C137">
    <cfRule type="cellIs" dxfId="12789" priority="321" stopIfTrue="1" operator="equal">
      <formula>"Towel"</formula>
    </cfRule>
    <cfRule type="cellIs" dxfId="12788" priority="322" stopIfTrue="1" operator="equal">
      <formula>"Napkin Hs"</formula>
    </cfRule>
  </conditionalFormatting>
  <conditionalFormatting sqref="B139:C139">
    <cfRule type="cellIs" dxfId="12787" priority="305" stopIfTrue="1" operator="equal">
      <formula>"Towel"</formula>
    </cfRule>
    <cfRule type="cellIs" dxfId="12786" priority="306" stopIfTrue="1" operator="equal">
      <formula>"Napkin Hs"</formula>
    </cfRule>
  </conditionalFormatting>
  <conditionalFormatting sqref="C139">
    <cfRule type="cellIs" dxfId="12785" priority="301" stopIfTrue="1" operator="equal">
      <formula>"Towel"</formula>
    </cfRule>
    <cfRule type="cellIs" dxfId="12784" priority="302" stopIfTrue="1" operator="equal">
      <formula>"Napkin Hs"</formula>
    </cfRule>
  </conditionalFormatting>
  <conditionalFormatting sqref="C139">
    <cfRule type="cellIs" dxfId="12783" priority="303" stopIfTrue="1" operator="equal">
      <formula>"Towel"</formula>
    </cfRule>
    <cfRule type="cellIs" dxfId="12782" priority="304" stopIfTrue="1" operator="equal">
      <formula>"Napkin Hs"</formula>
    </cfRule>
  </conditionalFormatting>
  <conditionalFormatting sqref="B139:C139">
    <cfRule type="cellIs" dxfId="12781" priority="245" stopIfTrue="1" operator="equal">
      <formula>"Towel"</formula>
    </cfRule>
    <cfRule type="cellIs" dxfId="12780" priority="246" stopIfTrue="1" operator="equal">
      <formula>"Napkin Hs"</formula>
    </cfRule>
    <cfRule type="cellIs" dxfId="12779" priority="251" stopIfTrue="1" operator="equal">
      <formula>"Towel"</formula>
    </cfRule>
    <cfRule type="cellIs" dxfId="12778" priority="252" stopIfTrue="1" operator="equal">
      <formula>"Napkin Hs"</formula>
    </cfRule>
    <cfRule type="cellIs" dxfId="12777" priority="257" stopIfTrue="1" operator="equal">
      <formula>"Towel"</formula>
    </cfRule>
    <cfRule type="cellIs" dxfId="12776" priority="258" stopIfTrue="1" operator="equal">
      <formula>"Napkin Hs"</formula>
    </cfRule>
    <cfRule type="cellIs" dxfId="12775" priority="263" stopIfTrue="1" operator="equal">
      <formula>"Towel"</formula>
    </cfRule>
    <cfRule type="cellIs" dxfId="12774" priority="264" stopIfTrue="1" operator="equal">
      <formula>"Napkin Hs"</formula>
    </cfRule>
    <cfRule type="cellIs" dxfId="12773" priority="269" stopIfTrue="1" operator="equal">
      <formula>"Towel"</formula>
    </cfRule>
    <cfRule type="cellIs" dxfId="12772" priority="270" stopIfTrue="1" operator="equal">
      <formula>"Napkin Hs"</formula>
    </cfRule>
    <cfRule type="cellIs" dxfId="12771" priority="275" stopIfTrue="1" operator="equal">
      <formula>"Towel"</formula>
    </cfRule>
    <cfRule type="cellIs" dxfId="12770" priority="276" stopIfTrue="1" operator="equal">
      <formula>"Napkin Hs"</formula>
    </cfRule>
    <cfRule type="cellIs" dxfId="12769" priority="281" stopIfTrue="1" operator="equal">
      <formula>"Towel"</formula>
    </cfRule>
    <cfRule type="cellIs" dxfId="12768" priority="282" stopIfTrue="1" operator="equal">
      <formula>"Napkin Hs"</formula>
    </cfRule>
    <cfRule type="cellIs" dxfId="12767" priority="287" stopIfTrue="1" operator="equal">
      <formula>"Towel"</formula>
    </cfRule>
    <cfRule type="cellIs" dxfId="12766" priority="288" stopIfTrue="1" operator="equal">
      <formula>"Napkin Hs"</formula>
    </cfRule>
    <cfRule type="cellIs" dxfId="12765" priority="293" stopIfTrue="1" operator="equal">
      <formula>"Towel"</formula>
    </cfRule>
    <cfRule type="cellIs" dxfId="12764" priority="294" stopIfTrue="1" operator="equal">
      <formula>"Napkin Hs"</formula>
    </cfRule>
    <cfRule type="cellIs" dxfId="12763" priority="299" stopIfTrue="1" operator="equal">
      <formula>"Towel"</formula>
    </cfRule>
    <cfRule type="cellIs" dxfId="12762" priority="300" stopIfTrue="1" operator="equal">
      <formula>"Napkin Hs"</formula>
    </cfRule>
  </conditionalFormatting>
  <conditionalFormatting sqref="C139">
    <cfRule type="cellIs" dxfId="12761" priority="241" stopIfTrue="1" operator="equal">
      <formula>"Towel"</formula>
    </cfRule>
    <cfRule type="cellIs" dxfId="12760" priority="242" stopIfTrue="1" operator="equal">
      <formula>"Napkin Hs"</formula>
    </cfRule>
  </conditionalFormatting>
  <conditionalFormatting sqref="C139">
    <cfRule type="cellIs" dxfId="12759" priority="243" stopIfTrue="1" operator="equal">
      <formula>"Towel"</formula>
    </cfRule>
    <cfRule type="cellIs" dxfId="12758" priority="244" stopIfTrue="1" operator="equal">
      <formula>"Napkin Hs"</formula>
    </cfRule>
    <cfRule type="cellIs" dxfId="12757" priority="247" stopIfTrue="1" operator="equal">
      <formula>"Towel"</formula>
    </cfRule>
    <cfRule type="cellIs" dxfId="12756" priority="248" stopIfTrue="1" operator="equal">
      <formula>"Napkin Hs"</formula>
    </cfRule>
    <cfRule type="cellIs" dxfId="12755" priority="249" stopIfTrue="1" operator="equal">
      <formula>"Towel"</formula>
    </cfRule>
    <cfRule type="cellIs" dxfId="12754" priority="250" stopIfTrue="1" operator="equal">
      <formula>"Napkin Hs"</formula>
    </cfRule>
    <cfRule type="cellIs" dxfId="12753" priority="253" stopIfTrue="1" operator="equal">
      <formula>"Towel"</formula>
    </cfRule>
    <cfRule type="cellIs" dxfId="12752" priority="254" stopIfTrue="1" operator="equal">
      <formula>"Napkin Hs"</formula>
    </cfRule>
    <cfRule type="cellIs" dxfId="12751" priority="255" stopIfTrue="1" operator="equal">
      <formula>"Towel"</formula>
    </cfRule>
    <cfRule type="cellIs" dxfId="12750" priority="256" stopIfTrue="1" operator="equal">
      <formula>"Napkin Hs"</formula>
    </cfRule>
    <cfRule type="cellIs" dxfId="12749" priority="259" stopIfTrue="1" operator="equal">
      <formula>"Towel"</formula>
    </cfRule>
    <cfRule type="cellIs" dxfId="12748" priority="260" stopIfTrue="1" operator="equal">
      <formula>"Napkin Hs"</formula>
    </cfRule>
    <cfRule type="cellIs" dxfId="12747" priority="261" stopIfTrue="1" operator="equal">
      <formula>"Towel"</formula>
    </cfRule>
    <cfRule type="cellIs" dxfId="12746" priority="262" stopIfTrue="1" operator="equal">
      <formula>"Napkin Hs"</formula>
    </cfRule>
    <cfRule type="cellIs" dxfId="12745" priority="265" stopIfTrue="1" operator="equal">
      <formula>"Towel"</formula>
    </cfRule>
    <cfRule type="cellIs" dxfId="12744" priority="266" stopIfTrue="1" operator="equal">
      <formula>"Napkin Hs"</formula>
    </cfRule>
    <cfRule type="cellIs" dxfId="12743" priority="267" stopIfTrue="1" operator="equal">
      <formula>"Towel"</formula>
    </cfRule>
    <cfRule type="cellIs" dxfId="12742" priority="268" stopIfTrue="1" operator="equal">
      <formula>"Napkin Hs"</formula>
    </cfRule>
    <cfRule type="cellIs" dxfId="12741" priority="271" stopIfTrue="1" operator="equal">
      <formula>"Towel"</formula>
    </cfRule>
    <cfRule type="cellIs" dxfId="12740" priority="272" stopIfTrue="1" operator="equal">
      <formula>"Napkin Hs"</formula>
    </cfRule>
    <cfRule type="cellIs" dxfId="12739" priority="273" stopIfTrue="1" operator="equal">
      <formula>"Towel"</formula>
    </cfRule>
    <cfRule type="cellIs" dxfId="12738" priority="274" stopIfTrue="1" operator="equal">
      <formula>"Napkin Hs"</formula>
    </cfRule>
    <cfRule type="cellIs" dxfId="12737" priority="277" stopIfTrue="1" operator="equal">
      <formula>"Towel"</formula>
    </cfRule>
    <cfRule type="cellIs" dxfId="12736" priority="278" stopIfTrue="1" operator="equal">
      <formula>"Napkin Hs"</formula>
    </cfRule>
    <cfRule type="cellIs" dxfId="12735" priority="279" stopIfTrue="1" operator="equal">
      <formula>"Towel"</formula>
    </cfRule>
    <cfRule type="cellIs" dxfId="12734" priority="280" stopIfTrue="1" operator="equal">
      <formula>"Napkin Hs"</formula>
    </cfRule>
    <cfRule type="cellIs" dxfId="12733" priority="283" stopIfTrue="1" operator="equal">
      <formula>"Towel"</formula>
    </cfRule>
    <cfRule type="cellIs" dxfId="12732" priority="284" stopIfTrue="1" operator="equal">
      <formula>"Napkin Hs"</formula>
    </cfRule>
    <cfRule type="cellIs" dxfId="12731" priority="285" stopIfTrue="1" operator="equal">
      <formula>"Towel"</formula>
    </cfRule>
    <cfRule type="cellIs" dxfId="12730" priority="286" stopIfTrue="1" operator="equal">
      <formula>"Napkin Hs"</formula>
    </cfRule>
    <cfRule type="cellIs" dxfId="12729" priority="289" stopIfTrue="1" operator="equal">
      <formula>"Towel"</formula>
    </cfRule>
    <cfRule type="cellIs" dxfId="12728" priority="290" stopIfTrue="1" operator="equal">
      <formula>"Napkin Hs"</formula>
    </cfRule>
    <cfRule type="cellIs" dxfId="12727" priority="291" stopIfTrue="1" operator="equal">
      <formula>"Towel"</formula>
    </cfRule>
    <cfRule type="cellIs" dxfId="12726" priority="292" stopIfTrue="1" operator="equal">
      <formula>"Napkin Hs"</formula>
    </cfRule>
    <cfRule type="cellIs" dxfId="12725" priority="295" stopIfTrue="1" operator="equal">
      <formula>"Towel"</formula>
    </cfRule>
    <cfRule type="cellIs" dxfId="12724" priority="296" stopIfTrue="1" operator="equal">
      <formula>"Napkin Hs"</formula>
    </cfRule>
    <cfRule type="cellIs" dxfId="12723" priority="297" stopIfTrue="1" operator="equal">
      <formula>"Towel"</formula>
    </cfRule>
    <cfRule type="cellIs" dxfId="12722" priority="298" stopIfTrue="1" operator="equal">
      <formula>"Napkin Hs"</formula>
    </cfRule>
  </conditionalFormatting>
  <conditionalFormatting sqref="B139:C139">
    <cfRule type="cellIs" dxfId="12721" priority="239" stopIfTrue="1" operator="equal">
      <formula>"Towel"</formula>
    </cfRule>
    <cfRule type="cellIs" dxfId="12720" priority="240" stopIfTrue="1" operator="equal">
      <formula>"Napkin Hs"</formula>
    </cfRule>
  </conditionalFormatting>
  <conditionalFormatting sqref="C139">
    <cfRule type="cellIs" dxfId="12719" priority="238" stopIfTrue="1" operator="equal">
      <formula>"Napkin Hs"</formula>
    </cfRule>
  </conditionalFormatting>
  <conditionalFormatting sqref="C139">
    <cfRule type="cellIs" dxfId="12718" priority="237" stopIfTrue="1" operator="equal">
      <formula>"Towel"</formula>
    </cfRule>
  </conditionalFormatting>
  <conditionalFormatting sqref="C139">
    <cfRule type="cellIs" dxfId="12717" priority="235" stopIfTrue="1" operator="equal">
      <formula>"Towel"</formula>
    </cfRule>
    <cfRule type="cellIs" dxfId="12716" priority="236" stopIfTrue="1" operator="equal">
      <formula>"Napkin Hs"</formula>
    </cfRule>
  </conditionalFormatting>
  <conditionalFormatting sqref="B138:C138">
    <cfRule type="cellIs" dxfId="12715" priority="233" stopIfTrue="1" operator="equal">
      <formula>"Towel"</formula>
    </cfRule>
    <cfRule type="cellIs" dxfId="12714" priority="234" stopIfTrue="1" operator="equal">
      <formula>"Napkin Hs"</formula>
    </cfRule>
  </conditionalFormatting>
  <conditionalFormatting sqref="C138">
    <cfRule type="cellIs" dxfId="12713" priority="229" stopIfTrue="1" operator="equal">
      <formula>"Towel"</formula>
    </cfRule>
    <cfRule type="cellIs" dxfId="12712" priority="230" stopIfTrue="1" operator="equal">
      <formula>"Napkin Hs"</formula>
    </cfRule>
  </conditionalFormatting>
  <conditionalFormatting sqref="C138">
    <cfRule type="cellIs" dxfId="12711" priority="231" stopIfTrue="1" operator="equal">
      <formula>"Towel"</formula>
    </cfRule>
    <cfRule type="cellIs" dxfId="12710" priority="232" stopIfTrue="1" operator="equal">
      <formula>"Napkin Hs"</formula>
    </cfRule>
  </conditionalFormatting>
  <conditionalFormatting sqref="B138:C138">
    <cfRule type="cellIs" dxfId="12709" priority="173" stopIfTrue="1" operator="equal">
      <formula>"Towel"</formula>
    </cfRule>
    <cfRule type="cellIs" dxfId="12708" priority="174" stopIfTrue="1" operator="equal">
      <formula>"Napkin Hs"</formula>
    </cfRule>
    <cfRule type="cellIs" dxfId="12707" priority="179" stopIfTrue="1" operator="equal">
      <formula>"Towel"</formula>
    </cfRule>
    <cfRule type="cellIs" dxfId="12706" priority="180" stopIfTrue="1" operator="equal">
      <formula>"Napkin Hs"</formula>
    </cfRule>
    <cfRule type="cellIs" dxfId="12705" priority="185" stopIfTrue="1" operator="equal">
      <formula>"Towel"</formula>
    </cfRule>
    <cfRule type="cellIs" dxfId="12704" priority="186" stopIfTrue="1" operator="equal">
      <formula>"Napkin Hs"</formula>
    </cfRule>
    <cfRule type="cellIs" dxfId="12703" priority="191" stopIfTrue="1" operator="equal">
      <formula>"Towel"</formula>
    </cfRule>
    <cfRule type="cellIs" dxfId="12702" priority="192" stopIfTrue="1" operator="equal">
      <formula>"Napkin Hs"</formula>
    </cfRule>
    <cfRule type="cellIs" dxfId="12701" priority="197" stopIfTrue="1" operator="equal">
      <formula>"Towel"</formula>
    </cfRule>
    <cfRule type="cellIs" dxfId="12700" priority="198" stopIfTrue="1" operator="equal">
      <formula>"Napkin Hs"</formula>
    </cfRule>
    <cfRule type="cellIs" dxfId="12699" priority="203" stopIfTrue="1" operator="equal">
      <formula>"Towel"</formula>
    </cfRule>
    <cfRule type="cellIs" dxfId="12698" priority="204" stopIfTrue="1" operator="equal">
      <formula>"Napkin Hs"</formula>
    </cfRule>
    <cfRule type="cellIs" dxfId="12697" priority="209" stopIfTrue="1" operator="equal">
      <formula>"Towel"</formula>
    </cfRule>
    <cfRule type="cellIs" dxfId="12696" priority="210" stopIfTrue="1" operator="equal">
      <formula>"Napkin Hs"</formula>
    </cfRule>
    <cfRule type="cellIs" dxfId="12695" priority="215" stopIfTrue="1" operator="equal">
      <formula>"Towel"</formula>
    </cfRule>
    <cfRule type="cellIs" dxfId="12694" priority="216" stopIfTrue="1" operator="equal">
      <formula>"Napkin Hs"</formula>
    </cfRule>
    <cfRule type="cellIs" dxfId="12693" priority="221" stopIfTrue="1" operator="equal">
      <formula>"Towel"</formula>
    </cfRule>
    <cfRule type="cellIs" dxfId="12692" priority="222" stopIfTrue="1" operator="equal">
      <formula>"Napkin Hs"</formula>
    </cfRule>
    <cfRule type="cellIs" dxfId="12691" priority="227" stopIfTrue="1" operator="equal">
      <formula>"Towel"</formula>
    </cfRule>
    <cfRule type="cellIs" dxfId="12690" priority="228" stopIfTrue="1" operator="equal">
      <formula>"Napkin Hs"</formula>
    </cfRule>
  </conditionalFormatting>
  <conditionalFormatting sqref="C138">
    <cfRule type="cellIs" dxfId="12689" priority="169" stopIfTrue="1" operator="equal">
      <formula>"Towel"</formula>
    </cfRule>
    <cfRule type="cellIs" dxfId="12688" priority="170" stopIfTrue="1" operator="equal">
      <formula>"Napkin Hs"</formula>
    </cfRule>
  </conditionalFormatting>
  <conditionalFormatting sqref="C138">
    <cfRule type="cellIs" dxfId="12687" priority="171" stopIfTrue="1" operator="equal">
      <formula>"Towel"</formula>
    </cfRule>
    <cfRule type="cellIs" dxfId="12686" priority="172" stopIfTrue="1" operator="equal">
      <formula>"Napkin Hs"</formula>
    </cfRule>
    <cfRule type="cellIs" dxfId="12685" priority="175" stopIfTrue="1" operator="equal">
      <formula>"Towel"</formula>
    </cfRule>
    <cfRule type="cellIs" dxfId="12684" priority="176" stopIfTrue="1" operator="equal">
      <formula>"Napkin Hs"</formula>
    </cfRule>
    <cfRule type="cellIs" dxfId="12683" priority="177" stopIfTrue="1" operator="equal">
      <formula>"Towel"</formula>
    </cfRule>
    <cfRule type="cellIs" dxfId="12682" priority="178" stopIfTrue="1" operator="equal">
      <formula>"Napkin Hs"</formula>
    </cfRule>
    <cfRule type="cellIs" dxfId="12681" priority="181" stopIfTrue="1" operator="equal">
      <formula>"Towel"</formula>
    </cfRule>
    <cfRule type="cellIs" dxfId="12680" priority="182" stopIfTrue="1" operator="equal">
      <formula>"Napkin Hs"</formula>
    </cfRule>
    <cfRule type="cellIs" dxfId="12679" priority="183" stopIfTrue="1" operator="equal">
      <formula>"Towel"</formula>
    </cfRule>
    <cfRule type="cellIs" dxfId="12678" priority="184" stopIfTrue="1" operator="equal">
      <formula>"Napkin Hs"</formula>
    </cfRule>
    <cfRule type="cellIs" dxfId="12677" priority="187" stopIfTrue="1" operator="equal">
      <formula>"Towel"</formula>
    </cfRule>
    <cfRule type="cellIs" dxfId="12676" priority="188" stopIfTrue="1" operator="equal">
      <formula>"Napkin Hs"</formula>
    </cfRule>
    <cfRule type="cellIs" dxfId="12675" priority="189" stopIfTrue="1" operator="equal">
      <formula>"Towel"</formula>
    </cfRule>
    <cfRule type="cellIs" dxfId="12674" priority="190" stopIfTrue="1" operator="equal">
      <formula>"Napkin Hs"</formula>
    </cfRule>
    <cfRule type="cellIs" dxfId="12673" priority="193" stopIfTrue="1" operator="equal">
      <formula>"Towel"</formula>
    </cfRule>
    <cfRule type="cellIs" dxfId="12672" priority="194" stopIfTrue="1" operator="equal">
      <formula>"Napkin Hs"</formula>
    </cfRule>
    <cfRule type="cellIs" dxfId="12671" priority="195" stopIfTrue="1" operator="equal">
      <formula>"Towel"</formula>
    </cfRule>
    <cfRule type="cellIs" dxfId="12670" priority="196" stopIfTrue="1" operator="equal">
      <formula>"Napkin Hs"</formula>
    </cfRule>
    <cfRule type="cellIs" dxfId="12669" priority="199" stopIfTrue="1" operator="equal">
      <formula>"Towel"</formula>
    </cfRule>
    <cfRule type="cellIs" dxfId="12668" priority="200" stopIfTrue="1" operator="equal">
      <formula>"Napkin Hs"</formula>
    </cfRule>
    <cfRule type="cellIs" dxfId="12667" priority="201" stopIfTrue="1" operator="equal">
      <formula>"Towel"</formula>
    </cfRule>
    <cfRule type="cellIs" dxfId="12666" priority="202" stopIfTrue="1" operator="equal">
      <formula>"Napkin Hs"</formula>
    </cfRule>
    <cfRule type="cellIs" dxfId="12665" priority="205" stopIfTrue="1" operator="equal">
      <formula>"Towel"</formula>
    </cfRule>
    <cfRule type="cellIs" dxfId="12664" priority="206" stopIfTrue="1" operator="equal">
      <formula>"Napkin Hs"</formula>
    </cfRule>
    <cfRule type="cellIs" dxfId="12663" priority="207" stopIfTrue="1" operator="equal">
      <formula>"Towel"</formula>
    </cfRule>
    <cfRule type="cellIs" dxfId="12662" priority="208" stopIfTrue="1" operator="equal">
      <formula>"Napkin Hs"</formula>
    </cfRule>
    <cfRule type="cellIs" dxfId="12661" priority="211" stopIfTrue="1" operator="equal">
      <formula>"Towel"</formula>
    </cfRule>
    <cfRule type="cellIs" dxfId="12660" priority="212" stopIfTrue="1" operator="equal">
      <formula>"Napkin Hs"</formula>
    </cfRule>
    <cfRule type="cellIs" dxfId="12659" priority="213" stopIfTrue="1" operator="equal">
      <formula>"Towel"</formula>
    </cfRule>
    <cfRule type="cellIs" dxfId="12658" priority="214" stopIfTrue="1" operator="equal">
      <formula>"Napkin Hs"</formula>
    </cfRule>
    <cfRule type="cellIs" dxfId="12657" priority="217" stopIfTrue="1" operator="equal">
      <formula>"Towel"</formula>
    </cfRule>
    <cfRule type="cellIs" dxfId="12656" priority="218" stopIfTrue="1" operator="equal">
      <formula>"Napkin Hs"</formula>
    </cfRule>
    <cfRule type="cellIs" dxfId="12655" priority="219" stopIfTrue="1" operator="equal">
      <formula>"Towel"</formula>
    </cfRule>
    <cfRule type="cellIs" dxfId="12654" priority="220" stopIfTrue="1" operator="equal">
      <formula>"Napkin Hs"</formula>
    </cfRule>
    <cfRule type="cellIs" dxfId="12653" priority="223" stopIfTrue="1" operator="equal">
      <formula>"Towel"</formula>
    </cfRule>
    <cfRule type="cellIs" dxfId="12652" priority="224" stopIfTrue="1" operator="equal">
      <formula>"Napkin Hs"</formula>
    </cfRule>
    <cfRule type="cellIs" dxfId="12651" priority="225" stopIfTrue="1" operator="equal">
      <formula>"Towel"</formula>
    </cfRule>
    <cfRule type="cellIs" dxfId="12650" priority="226" stopIfTrue="1" operator="equal">
      <formula>"Napkin Hs"</formula>
    </cfRule>
  </conditionalFormatting>
  <conditionalFormatting sqref="B135:C135">
    <cfRule type="cellIs" dxfId="12649" priority="167" stopIfTrue="1" operator="equal">
      <formula>"Towel"</formula>
    </cfRule>
    <cfRule type="cellIs" dxfId="12648" priority="168" stopIfTrue="1" operator="equal">
      <formula>"Napkin Hs"</formula>
    </cfRule>
  </conditionalFormatting>
  <conditionalFormatting sqref="C135">
    <cfRule type="cellIs" dxfId="12647" priority="166" stopIfTrue="1" operator="equal">
      <formula>"Napkin Hs"</formula>
    </cfRule>
  </conditionalFormatting>
  <conditionalFormatting sqref="C135">
    <cfRule type="cellIs" dxfId="12646" priority="165" stopIfTrue="1" operator="equal">
      <formula>"Towel"</formula>
    </cfRule>
  </conditionalFormatting>
  <conditionalFormatting sqref="C135">
    <cfRule type="cellIs" dxfId="12645" priority="163" stopIfTrue="1" operator="equal">
      <formula>"Towel"</formula>
    </cfRule>
    <cfRule type="cellIs" dxfId="12644" priority="164" stopIfTrue="1" operator="equal">
      <formula>"Napkin Hs"</formula>
    </cfRule>
  </conditionalFormatting>
  <conditionalFormatting sqref="B135:C135">
    <cfRule type="cellIs" dxfId="12643" priority="161" stopIfTrue="1" operator="equal">
      <formula>"Towel"</formula>
    </cfRule>
    <cfRule type="cellIs" dxfId="12642" priority="162" stopIfTrue="1" operator="equal">
      <formula>"Napkin Hs"</formula>
    </cfRule>
  </conditionalFormatting>
  <conditionalFormatting sqref="C135">
    <cfRule type="cellIs" dxfId="12641" priority="157" stopIfTrue="1" operator="equal">
      <formula>"Towel"</formula>
    </cfRule>
    <cfRule type="cellIs" dxfId="12640" priority="158" stopIfTrue="1" operator="equal">
      <formula>"Napkin Hs"</formula>
    </cfRule>
  </conditionalFormatting>
  <conditionalFormatting sqref="C135">
    <cfRule type="cellIs" dxfId="12639" priority="159" stopIfTrue="1" operator="equal">
      <formula>"Towel"</formula>
    </cfRule>
    <cfRule type="cellIs" dxfId="12638" priority="160" stopIfTrue="1" operator="equal">
      <formula>"Napkin Hs"</formula>
    </cfRule>
  </conditionalFormatting>
  <conditionalFormatting sqref="B141:C143">
    <cfRule type="cellIs" dxfId="12637" priority="155" stopIfTrue="1" operator="equal">
      <formula>"Towel"</formula>
    </cfRule>
    <cfRule type="cellIs" dxfId="12636" priority="156" stopIfTrue="1" operator="equal">
      <formula>"Napkin Hs"</formula>
    </cfRule>
  </conditionalFormatting>
  <conditionalFormatting sqref="C141:C143">
    <cfRule type="cellIs" dxfId="12635" priority="154" stopIfTrue="1" operator="equal">
      <formula>"Napkin Hs"</formula>
    </cfRule>
  </conditionalFormatting>
  <conditionalFormatting sqref="C141:C143">
    <cfRule type="cellIs" dxfId="12634" priority="153" stopIfTrue="1" operator="equal">
      <formula>"Towel"</formula>
    </cfRule>
  </conditionalFormatting>
  <conditionalFormatting sqref="C141:C143">
    <cfRule type="cellIs" dxfId="12633" priority="151" stopIfTrue="1" operator="equal">
      <formula>"Towel"</formula>
    </cfRule>
    <cfRule type="cellIs" dxfId="12632" priority="152" stopIfTrue="1" operator="equal">
      <formula>"Napkin Hs"</formula>
    </cfRule>
  </conditionalFormatting>
  <conditionalFormatting sqref="B143:C143">
    <cfRule type="cellIs" dxfId="12631" priority="95" stopIfTrue="1" operator="equal">
      <formula>"Towel"</formula>
    </cfRule>
    <cfRule type="cellIs" dxfId="12630" priority="96" stopIfTrue="1" operator="equal">
      <formula>"Napkin Hs"</formula>
    </cfRule>
    <cfRule type="cellIs" dxfId="12629" priority="101" stopIfTrue="1" operator="equal">
      <formula>"Towel"</formula>
    </cfRule>
    <cfRule type="cellIs" dxfId="12628" priority="102" stopIfTrue="1" operator="equal">
      <formula>"Napkin Hs"</formula>
    </cfRule>
    <cfRule type="cellIs" dxfId="12627" priority="107" stopIfTrue="1" operator="equal">
      <formula>"Towel"</formula>
    </cfRule>
    <cfRule type="cellIs" dxfId="12626" priority="108" stopIfTrue="1" operator="equal">
      <formula>"Napkin Hs"</formula>
    </cfRule>
    <cfRule type="cellIs" dxfId="12625" priority="113" stopIfTrue="1" operator="equal">
      <formula>"Towel"</formula>
    </cfRule>
    <cfRule type="cellIs" dxfId="12624" priority="114" stopIfTrue="1" operator="equal">
      <formula>"Napkin Hs"</formula>
    </cfRule>
    <cfRule type="cellIs" dxfId="12623" priority="119" stopIfTrue="1" operator="equal">
      <formula>"Towel"</formula>
    </cfRule>
    <cfRule type="cellIs" dxfId="12622" priority="120" stopIfTrue="1" operator="equal">
      <formula>"Napkin Hs"</formula>
    </cfRule>
    <cfRule type="cellIs" dxfId="12621" priority="125" stopIfTrue="1" operator="equal">
      <formula>"Towel"</formula>
    </cfRule>
    <cfRule type="cellIs" dxfId="12620" priority="126" stopIfTrue="1" operator="equal">
      <formula>"Napkin Hs"</formula>
    </cfRule>
    <cfRule type="cellIs" dxfId="12619" priority="131" stopIfTrue="1" operator="equal">
      <formula>"Towel"</formula>
    </cfRule>
    <cfRule type="cellIs" dxfId="12618" priority="132" stopIfTrue="1" operator="equal">
      <formula>"Napkin Hs"</formula>
    </cfRule>
    <cfRule type="cellIs" dxfId="12617" priority="137" stopIfTrue="1" operator="equal">
      <formula>"Towel"</formula>
    </cfRule>
    <cfRule type="cellIs" dxfId="12616" priority="138" stopIfTrue="1" operator="equal">
      <formula>"Napkin Hs"</formula>
    </cfRule>
    <cfRule type="cellIs" dxfId="12615" priority="143" stopIfTrue="1" operator="equal">
      <formula>"Towel"</formula>
    </cfRule>
    <cfRule type="cellIs" dxfId="12614" priority="144" stopIfTrue="1" operator="equal">
      <formula>"Napkin Hs"</formula>
    </cfRule>
    <cfRule type="cellIs" dxfId="12613" priority="149" stopIfTrue="1" operator="equal">
      <formula>"Towel"</formula>
    </cfRule>
    <cfRule type="cellIs" dxfId="12612" priority="150" stopIfTrue="1" operator="equal">
      <formula>"Napkin Hs"</formula>
    </cfRule>
  </conditionalFormatting>
  <conditionalFormatting sqref="C143">
    <cfRule type="cellIs" dxfId="12611" priority="147" stopIfTrue="1" operator="equal">
      <formula>"Towel"</formula>
    </cfRule>
    <cfRule type="cellIs" dxfId="12610" priority="148" stopIfTrue="1" operator="equal">
      <formula>"Napkin Hs"</formula>
    </cfRule>
  </conditionalFormatting>
  <conditionalFormatting sqref="C143">
    <cfRule type="cellIs" dxfId="12609" priority="91" stopIfTrue="1" operator="equal">
      <formula>"Towel"</formula>
    </cfRule>
    <cfRule type="cellIs" dxfId="12608" priority="92" stopIfTrue="1" operator="equal">
      <formula>"Napkin Hs"</formula>
    </cfRule>
    <cfRule type="cellIs" dxfId="12607" priority="93" stopIfTrue="1" operator="equal">
      <formula>"Towel"</formula>
    </cfRule>
    <cfRule type="cellIs" dxfId="12606" priority="94" stopIfTrue="1" operator="equal">
      <formula>"Napkin Hs"</formula>
    </cfRule>
    <cfRule type="cellIs" dxfId="12605" priority="97" stopIfTrue="1" operator="equal">
      <formula>"Towel"</formula>
    </cfRule>
    <cfRule type="cellIs" dxfId="12604" priority="98" stopIfTrue="1" operator="equal">
      <formula>"Napkin Hs"</formula>
    </cfRule>
    <cfRule type="cellIs" dxfId="12603" priority="99" stopIfTrue="1" operator="equal">
      <formula>"Towel"</formula>
    </cfRule>
    <cfRule type="cellIs" dxfId="12602" priority="100" stopIfTrue="1" operator="equal">
      <formula>"Napkin Hs"</formula>
    </cfRule>
    <cfRule type="cellIs" dxfId="12601" priority="103" stopIfTrue="1" operator="equal">
      <formula>"Towel"</formula>
    </cfRule>
    <cfRule type="cellIs" dxfId="12600" priority="104" stopIfTrue="1" operator="equal">
      <formula>"Napkin Hs"</formula>
    </cfRule>
    <cfRule type="cellIs" dxfId="12599" priority="105" stopIfTrue="1" operator="equal">
      <formula>"Towel"</formula>
    </cfRule>
    <cfRule type="cellIs" dxfId="12598" priority="106" stopIfTrue="1" operator="equal">
      <formula>"Napkin Hs"</formula>
    </cfRule>
    <cfRule type="cellIs" dxfId="12597" priority="109" stopIfTrue="1" operator="equal">
      <formula>"Towel"</formula>
    </cfRule>
    <cfRule type="cellIs" dxfId="12596" priority="110" stopIfTrue="1" operator="equal">
      <formula>"Napkin Hs"</formula>
    </cfRule>
    <cfRule type="cellIs" dxfId="12595" priority="111" stopIfTrue="1" operator="equal">
      <formula>"Towel"</formula>
    </cfRule>
    <cfRule type="cellIs" dxfId="12594" priority="112" stopIfTrue="1" operator="equal">
      <formula>"Napkin Hs"</formula>
    </cfRule>
    <cfRule type="cellIs" dxfId="12593" priority="115" stopIfTrue="1" operator="equal">
      <formula>"Towel"</formula>
    </cfRule>
    <cfRule type="cellIs" dxfId="12592" priority="116" stopIfTrue="1" operator="equal">
      <formula>"Napkin Hs"</formula>
    </cfRule>
    <cfRule type="cellIs" dxfId="12591" priority="117" stopIfTrue="1" operator="equal">
      <formula>"Towel"</formula>
    </cfRule>
    <cfRule type="cellIs" dxfId="12590" priority="118" stopIfTrue="1" operator="equal">
      <formula>"Napkin Hs"</formula>
    </cfRule>
    <cfRule type="cellIs" dxfId="12589" priority="121" stopIfTrue="1" operator="equal">
      <formula>"Towel"</formula>
    </cfRule>
    <cfRule type="cellIs" dxfId="12588" priority="122" stopIfTrue="1" operator="equal">
      <formula>"Napkin Hs"</formula>
    </cfRule>
    <cfRule type="cellIs" dxfId="12587" priority="123" stopIfTrue="1" operator="equal">
      <formula>"Towel"</formula>
    </cfRule>
    <cfRule type="cellIs" dxfId="12586" priority="124" stopIfTrue="1" operator="equal">
      <formula>"Napkin Hs"</formula>
    </cfRule>
    <cfRule type="cellIs" dxfId="12585" priority="127" stopIfTrue="1" operator="equal">
      <formula>"Towel"</formula>
    </cfRule>
    <cfRule type="cellIs" dxfId="12584" priority="128" stopIfTrue="1" operator="equal">
      <formula>"Napkin Hs"</formula>
    </cfRule>
    <cfRule type="cellIs" dxfId="12583" priority="129" stopIfTrue="1" operator="equal">
      <formula>"Towel"</formula>
    </cfRule>
    <cfRule type="cellIs" dxfId="12582" priority="130" stopIfTrue="1" operator="equal">
      <formula>"Napkin Hs"</formula>
    </cfRule>
    <cfRule type="cellIs" dxfId="12581" priority="133" stopIfTrue="1" operator="equal">
      <formula>"Towel"</formula>
    </cfRule>
    <cfRule type="cellIs" dxfId="12580" priority="134" stopIfTrue="1" operator="equal">
      <formula>"Napkin Hs"</formula>
    </cfRule>
    <cfRule type="cellIs" dxfId="12579" priority="135" stopIfTrue="1" operator="equal">
      <formula>"Towel"</formula>
    </cfRule>
    <cfRule type="cellIs" dxfId="12578" priority="136" stopIfTrue="1" operator="equal">
      <formula>"Napkin Hs"</formula>
    </cfRule>
    <cfRule type="cellIs" dxfId="12577" priority="139" stopIfTrue="1" operator="equal">
      <formula>"Towel"</formula>
    </cfRule>
    <cfRule type="cellIs" dxfId="12576" priority="140" stopIfTrue="1" operator="equal">
      <formula>"Napkin Hs"</formula>
    </cfRule>
    <cfRule type="cellIs" dxfId="12575" priority="141" stopIfTrue="1" operator="equal">
      <formula>"Towel"</formula>
    </cfRule>
    <cfRule type="cellIs" dxfId="12574" priority="142" stopIfTrue="1" operator="equal">
      <formula>"Napkin Hs"</formula>
    </cfRule>
    <cfRule type="cellIs" dxfId="12573" priority="145" stopIfTrue="1" operator="equal">
      <formula>"Towel"</formula>
    </cfRule>
    <cfRule type="cellIs" dxfId="12572" priority="146" stopIfTrue="1" operator="equal">
      <formula>"Napkin Hs"</formula>
    </cfRule>
  </conditionalFormatting>
  <conditionalFormatting sqref="B141:C141">
    <cfRule type="cellIs" dxfId="12571" priority="89" stopIfTrue="1" operator="equal">
      <formula>"Towel"</formula>
    </cfRule>
    <cfRule type="cellIs" dxfId="12570" priority="90" stopIfTrue="1" operator="equal">
      <formula>"Napkin Hs"</formula>
    </cfRule>
  </conditionalFormatting>
  <conditionalFormatting sqref="C141">
    <cfRule type="cellIs" dxfId="12569" priority="85" stopIfTrue="1" operator="equal">
      <formula>"Towel"</formula>
    </cfRule>
    <cfRule type="cellIs" dxfId="12568" priority="86" stopIfTrue="1" operator="equal">
      <formula>"Napkin Hs"</formula>
    </cfRule>
  </conditionalFormatting>
  <conditionalFormatting sqref="C141">
    <cfRule type="cellIs" dxfId="12567" priority="87" stopIfTrue="1" operator="equal">
      <formula>"Towel"</formula>
    </cfRule>
    <cfRule type="cellIs" dxfId="12566" priority="88" stopIfTrue="1" operator="equal">
      <formula>"Napkin Hs"</formula>
    </cfRule>
  </conditionalFormatting>
  <conditionalFormatting sqref="B142:C142">
    <cfRule type="cellIs" dxfId="12565" priority="83" stopIfTrue="1" operator="equal">
      <formula>"Towel"</formula>
    </cfRule>
    <cfRule type="cellIs" dxfId="12564" priority="84" stopIfTrue="1" operator="equal">
      <formula>"Napkin Hs"</formula>
    </cfRule>
  </conditionalFormatting>
  <conditionalFormatting sqref="C142">
    <cfRule type="cellIs" dxfId="12563" priority="79" stopIfTrue="1" operator="equal">
      <formula>"Towel"</formula>
    </cfRule>
    <cfRule type="cellIs" dxfId="12562" priority="80" stopIfTrue="1" operator="equal">
      <formula>"Napkin Hs"</formula>
    </cfRule>
  </conditionalFormatting>
  <conditionalFormatting sqref="C142">
    <cfRule type="cellIs" dxfId="12561" priority="81" stopIfTrue="1" operator="equal">
      <formula>"Towel"</formula>
    </cfRule>
    <cfRule type="cellIs" dxfId="12560" priority="82" stopIfTrue="1" operator="equal">
      <formula>"Napkin Hs"</formula>
    </cfRule>
  </conditionalFormatting>
  <conditionalFormatting sqref="B143:C143">
    <cfRule type="cellIs" dxfId="12559" priority="77" stopIfTrue="1" operator="equal">
      <formula>"Towel"</formula>
    </cfRule>
    <cfRule type="cellIs" dxfId="12558" priority="78" stopIfTrue="1" operator="equal">
      <formula>"Napkin Hs"</formula>
    </cfRule>
  </conditionalFormatting>
  <conditionalFormatting sqref="C143">
    <cfRule type="cellIs" dxfId="12557" priority="73" stopIfTrue="1" operator="equal">
      <formula>"Towel"</formula>
    </cfRule>
    <cfRule type="cellIs" dxfId="12556" priority="74" stopIfTrue="1" operator="equal">
      <formula>"Napkin Hs"</formula>
    </cfRule>
  </conditionalFormatting>
  <conditionalFormatting sqref="C143">
    <cfRule type="cellIs" dxfId="12555" priority="75" stopIfTrue="1" operator="equal">
      <formula>"Towel"</formula>
    </cfRule>
    <cfRule type="cellIs" dxfId="12554" priority="76" stopIfTrue="1" operator="equal">
      <formula>"Napkin Hs"</formula>
    </cfRule>
  </conditionalFormatting>
  <conditionalFormatting sqref="B143:C143">
    <cfRule type="cellIs" dxfId="12553" priority="17" stopIfTrue="1" operator="equal">
      <formula>"Towel"</formula>
    </cfRule>
    <cfRule type="cellIs" dxfId="12552" priority="18" stopIfTrue="1" operator="equal">
      <formula>"Napkin Hs"</formula>
    </cfRule>
    <cfRule type="cellIs" dxfId="12551" priority="23" stopIfTrue="1" operator="equal">
      <formula>"Towel"</formula>
    </cfRule>
    <cfRule type="cellIs" dxfId="12550" priority="24" stopIfTrue="1" operator="equal">
      <formula>"Napkin Hs"</formula>
    </cfRule>
    <cfRule type="cellIs" dxfId="12549" priority="29" stopIfTrue="1" operator="equal">
      <formula>"Towel"</formula>
    </cfRule>
    <cfRule type="cellIs" dxfId="12548" priority="30" stopIfTrue="1" operator="equal">
      <formula>"Napkin Hs"</formula>
    </cfRule>
    <cfRule type="cellIs" dxfId="12547" priority="35" stopIfTrue="1" operator="equal">
      <formula>"Towel"</formula>
    </cfRule>
    <cfRule type="cellIs" dxfId="12546" priority="36" stopIfTrue="1" operator="equal">
      <formula>"Napkin Hs"</formula>
    </cfRule>
    <cfRule type="cellIs" dxfId="12545" priority="41" stopIfTrue="1" operator="equal">
      <formula>"Towel"</formula>
    </cfRule>
    <cfRule type="cellIs" dxfId="12544" priority="42" stopIfTrue="1" operator="equal">
      <formula>"Napkin Hs"</formula>
    </cfRule>
    <cfRule type="cellIs" dxfId="12543" priority="47" stopIfTrue="1" operator="equal">
      <formula>"Towel"</formula>
    </cfRule>
    <cfRule type="cellIs" dxfId="12542" priority="48" stopIfTrue="1" operator="equal">
      <formula>"Napkin Hs"</formula>
    </cfRule>
    <cfRule type="cellIs" dxfId="12541" priority="53" stopIfTrue="1" operator="equal">
      <formula>"Towel"</formula>
    </cfRule>
    <cfRule type="cellIs" dxfId="12540" priority="54" stopIfTrue="1" operator="equal">
      <formula>"Napkin Hs"</formula>
    </cfRule>
    <cfRule type="cellIs" dxfId="12539" priority="59" stopIfTrue="1" operator="equal">
      <formula>"Towel"</formula>
    </cfRule>
    <cfRule type="cellIs" dxfId="12538" priority="60" stopIfTrue="1" operator="equal">
      <formula>"Napkin Hs"</formula>
    </cfRule>
    <cfRule type="cellIs" dxfId="12537" priority="65" stopIfTrue="1" operator="equal">
      <formula>"Towel"</formula>
    </cfRule>
    <cfRule type="cellIs" dxfId="12536" priority="66" stopIfTrue="1" operator="equal">
      <formula>"Napkin Hs"</formula>
    </cfRule>
    <cfRule type="cellIs" dxfId="12535" priority="71" stopIfTrue="1" operator="equal">
      <formula>"Towel"</formula>
    </cfRule>
    <cfRule type="cellIs" dxfId="12534" priority="72" stopIfTrue="1" operator="equal">
      <formula>"Napkin Hs"</formula>
    </cfRule>
  </conditionalFormatting>
  <conditionalFormatting sqref="C143">
    <cfRule type="cellIs" dxfId="12533" priority="13" stopIfTrue="1" operator="equal">
      <formula>"Towel"</formula>
    </cfRule>
    <cfRule type="cellIs" dxfId="12532" priority="14" stopIfTrue="1" operator="equal">
      <formula>"Napkin Hs"</formula>
    </cfRule>
  </conditionalFormatting>
  <conditionalFormatting sqref="C143">
    <cfRule type="cellIs" dxfId="12531" priority="15" stopIfTrue="1" operator="equal">
      <formula>"Towel"</formula>
    </cfRule>
    <cfRule type="cellIs" dxfId="12530" priority="16" stopIfTrue="1" operator="equal">
      <formula>"Napkin Hs"</formula>
    </cfRule>
    <cfRule type="cellIs" dxfId="12529" priority="19" stopIfTrue="1" operator="equal">
      <formula>"Towel"</formula>
    </cfRule>
    <cfRule type="cellIs" dxfId="12528" priority="20" stopIfTrue="1" operator="equal">
      <formula>"Napkin Hs"</formula>
    </cfRule>
    <cfRule type="cellIs" dxfId="12527" priority="21" stopIfTrue="1" operator="equal">
      <formula>"Towel"</formula>
    </cfRule>
    <cfRule type="cellIs" dxfId="12526" priority="22" stopIfTrue="1" operator="equal">
      <formula>"Napkin Hs"</formula>
    </cfRule>
    <cfRule type="cellIs" dxfId="12525" priority="25" stopIfTrue="1" operator="equal">
      <formula>"Towel"</formula>
    </cfRule>
    <cfRule type="cellIs" dxfId="12524" priority="26" stopIfTrue="1" operator="equal">
      <formula>"Napkin Hs"</formula>
    </cfRule>
    <cfRule type="cellIs" dxfId="12523" priority="27" stopIfTrue="1" operator="equal">
      <formula>"Towel"</formula>
    </cfRule>
    <cfRule type="cellIs" dxfId="12522" priority="28" stopIfTrue="1" operator="equal">
      <formula>"Napkin Hs"</formula>
    </cfRule>
    <cfRule type="cellIs" dxfId="12521" priority="31" stopIfTrue="1" operator="equal">
      <formula>"Towel"</formula>
    </cfRule>
    <cfRule type="cellIs" dxfId="12520" priority="32" stopIfTrue="1" operator="equal">
      <formula>"Napkin Hs"</formula>
    </cfRule>
    <cfRule type="cellIs" dxfId="12519" priority="33" stopIfTrue="1" operator="equal">
      <formula>"Towel"</formula>
    </cfRule>
    <cfRule type="cellIs" dxfId="12518" priority="34" stopIfTrue="1" operator="equal">
      <formula>"Napkin Hs"</formula>
    </cfRule>
    <cfRule type="cellIs" dxfId="12517" priority="37" stopIfTrue="1" operator="equal">
      <formula>"Towel"</formula>
    </cfRule>
    <cfRule type="cellIs" dxfId="12516" priority="38" stopIfTrue="1" operator="equal">
      <formula>"Napkin Hs"</formula>
    </cfRule>
    <cfRule type="cellIs" dxfId="12515" priority="39" stopIfTrue="1" operator="equal">
      <formula>"Towel"</formula>
    </cfRule>
    <cfRule type="cellIs" dxfId="12514" priority="40" stopIfTrue="1" operator="equal">
      <formula>"Napkin Hs"</formula>
    </cfRule>
    <cfRule type="cellIs" dxfId="12513" priority="43" stopIfTrue="1" operator="equal">
      <formula>"Towel"</formula>
    </cfRule>
    <cfRule type="cellIs" dxfId="12512" priority="44" stopIfTrue="1" operator="equal">
      <formula>"Napkin Hs"</formula>
    </cfRule>
    <cfRule type="cellIs" dxfId="12511" priority="45" stopIfTrue="1" operator="equal">
      <formula>"Towel"</formula>
    </cfRule>
    <cfRule type="cellIs" dxfId="12510" priority="46" stopIfTrue="1" operator="equal">
      <formula>"Napkin Hs"</formula>
    </cfRule>
    <cfRule type="cellIs" dxfId="12509" priority="49" stopIfTrue="1" operator="equal">
      <formula>"Towel"</formula>
    </cfRule>
    <cfRule type="cellIs" dxfId="12508" priority="50" stopIfTrue="1" operator="equal">
      <formula>"Napkin Hs"</formula>
    </cfRule>
    <cfRule type="cellIs" dxfId="12507" priority="51" stopIfTrue="1" operator="equal">
      <formula>"Towel"</formula>
    </cfRule>
    <cfRule type="cellIs" dxfId="12506" priority="52" stopIfTrue="1" operator="equal">
      <formula>"Napkin Hs"</formula>
    </cfRule>
    <cfRule type="cellIs" dxfId="12505" priority="55" stopIfTrue="1" operator="equal">
      <formula>"Towel"</formula>
    </cfRule>
    <cfRule type="cellIs" dxfId="12504" priority="56" stopIfTrue="1" operator="equal">
      <formula>"Napkin Hs"</formula>
    </cfRule>
    <cfRule type="cellIs" dxfId="12503" priority="57" stopIfTrue="1" operator="equal">
      <formula>"Towel"</formula>
    </cfRule>
    <cfRule type="cellIs" dxfId="12502" priority="58" stopIfTrue="1" operator="equal">
      <formula>"Napkin Hs"</formula>
    </cfRule>
    <cfRule type="cellIs" dxfId="12501" priority="61" stopIfTrue="1" operator="equal">
      <formula>"Towel"</formula>
    </cfRule>
    <cfRule type="cellIs" dxfId="12500" priority="62" stopIfTrue="1" operator="equal">
      <formula>"Napkin Hs"</formula>
    </cfRule>
    <cfRule type="cellIs" dxfId="12499" priority="63" stopIfTrue="1" operator="equal">
      <formula>"Towel"</formula>
    </cfRule>
    <cfRule type="cellIs" dxfId="12498" priority="64" stopIfTrue="1" operator="equal">
      <formula>"Napkin Hs"</formula>
    </cfRule>
    <cfRule type="cellIs" dxfId="12497" priority="67" stopIfTrue="1" operator="equal">
      <formula>"Towel"</formula>
    </cfRule>
    <cfRule type="cellIs" dxfId="12496" priority="68" stopIfTrue="1" operator="equal">
      <formula>"Napkin Hs"</formula>
    </cfRule>
    <cfRule type="cellIs" dxfId="12495" priority="69" stopIfTrue="1" operator="equal">
      <formula>"Towel"</formula>
    </cfRule>
    <cfRule type="cellIs" dxfId="12494" priority="70" stopIfTrue="1" operator="equal">
      <formula>"Napkin Hs"</formula>
    </cfRule>
  </conditionalFormatting>
  <conditionalFormatting sqref="B140:C140">
    <cfRule type="cellIs" dxfId="12493" priority="11" stopIfTrue="1" operator="equal">
      <formula>"Towel"</formula>
    </cfRule>
    <cfRule type="cellIs" dxfId="12492" priority="12" stopIfTrue="1" operator="equal">
      <formula>"Napkin Hs"</formula>
    </cfRule>
  </conditionalFormatting>
  <conditionalFormatting sqref="C140">
    <cfRule type="cellIs" dxfId="12491" priority="10" stopIfTrue="1" operator="equal">
      <formula>"Napkin Hs"</formula>
    </cfRule>
  </conditionalFormatting>
  <conditionalFormatting sqref="C140">
    <cfRule type="cellIs" dxfId="12490" priority="9" stopIfTrue="1" operator="equal">
      <formula>"Towel"</formula>
    </cfRule>
  </conditionalFormatting>
  <conditionalFormatting sqref="C140">
    <cfRule type="cellIs" dxfId="12489" priority="7" stopIfTrue="1" operator="equal">
      <formula>"Towel"</formula>
    </cfRule>
    <cfRule type="cellIs" dxfId="12488" priority="8" stopIfTrue="1" operator="equal">
      <formula>"Napkin Hs"</formula>
    </cfRule>
  </conditionalFormatting>
  <conditionalFormatting sqref="B140:C140">
    <cfRule type="cellIs" dxfId="12487" priority="5" stopIfTrue="1" operator="equal">
      <formula>"Towel"</formula>
    </cfRule>
    <cfRule type="cellIs" dxfId="12486" priority="6" stopIfTrue="1" operator="equal">
      <formula>"Napkin Hs"</formula>
    </cfRule>
  </conditionalFormatting>
  <conditionalFormatting sqref="C140">
    <cfRule type="cellIs" dxfId="12485" priority="1" stopIfTrue="1" operator="equal">
      <formula>"Towel"</formula>
    </cfRule>
    <cfRule type="cellIs" dxfId="12484" priority="2" stopIfTrue="1" operator="equal">
      <formula>"Napkin Hs"</formula>
    </cfRule>
  </conditionalFormatting>
  <conditionalFormatting sqref="C140">
    <cfRule type="cellIs" dxfId="12483" priority="3" stopIfTrue="1" operator="equal">
      <formula>"Towel"</formula>
    </cfRule>
    <cfRule type="cellIs" dxfId="12482" priority="4" stopIfTrue="1" operator="equal">
      <formula>"Napkin Hs"</formula>
    </cfRule>
  </conditionalFormatting>
  <pageMargins left="0.75" right="0.75" top="1" bottom="1" header="0.5" footer="0.5"/>
  <pageSetup scale="2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F289"/>
  <sheetViews>
    <sheetView zoomScale="90" zoomScaleNormal="90" workbookViewId="0">
      <pane xSplit="6" ySplit="6" topLeftCell="W142" activePane="bottomRight" state="frozen"/>
      <selection pane="topRight" activeCell="F1" sqref="F1"/>
      <selection pane="bottomLeft" activeCell="A7" sqref="A7"/>
      <selection pane="bottomRight" activeCell="AD146" sqref="AD146"/>
    </sheetView>
  </sheetViews>
  <sheetFormatPr defaultColWidth="10.28515625" defaultRowHeight="12"/>
  <cols>
    <col min="1" max="1" width="12.28515625" style="33" customWidth="1"/>
    <col min="2" max="3" width="14.140625" style="33" customWidth="1"/>
    <col min="4" max="4" width="10.28515625" style="33" customWidth="1"/>
    <col min="5" max="5" width="7.5703125" style="33" bestFit="1" customWidth="1"/>
    <col min="6" max="6" width="7" style="60" customWidth="1"/>
    <col min="7" max="9" width="10.28515625" style="33" customWidth="1"/>
    <col min="10" max="11" width="10.28515625" style="89" customWidth="1"/>
    <col min="12" max="13" width="12.7109375" style="61" customWidth="1"/>
    <col min="14" max="15" width="10.28515625" style="33" customWidth="1"/>
    <col min="16" max="16" width="16.85546875" style="33" bestFit="1" customWidth="1"/>
    <col min="17" max="17" width="12.7109375" style="349" customWidth="1"/>
    <col min="18" max="19" width="10.28515625" style="33" customWidth="1"/>
    <col min="20" max="20" width="10.7109375" style="33" customWidth="1"/>
    <col min="21" max="21" width="10.28515625" style="33" customWidth="1"/>
    <col min="22" max="22" width="12.28515625" style="33" customWidth="1"/>
    <col min="23" max="23" width="13" style="33" customWidth="1"/>
    <col min="24" max="24" width="10.28515625" style="33" customWidth="1"/>
    <col min="25" max="25" width="10.140625" style="33" customWidth="1"/>
    <col min="26" max="28" width="10.28515625" style="33" customWidth="1"/>
    <col min="29" max="29" width="12" style="33" customWidth="1"/>
    <col min="30" max="30" width="11.42578125" style="33" bestFit="1" customWidth="1"/>
    <col min="31" max="31" width="41.42578125" style="33" customWidth="1"/>
    <col min="32" max="38" width="10.28515625" style="33" customWidth="1"/>
    <col min="39" max="39" width="11.7109375" style="33" customWidth="1"/>
    <col min="40" max="41" width="10.28515625" style="33" customWidth="1"/>
    <col min="42" max="43" width="12.42578125" style="33" customWidth="1"/>
    <col min="44" max="44" width="29.7109375" style="33" bestFit="1" customWidth="1"/>
    <col min="45" max="16384" width="10.28515625" style="33"/>
  </cols>
  <sheetData>
    <row r="1" spans="1:58" s="24" customFormat="1" ht="15.75">
      <c r="A1" s="23" t="s">
        <v>426</v>
      </c>
      <c r="G1" s="25"/>
      <c r="H1" s="25"/>
      <c r="I1" s="25"/>
      <c r="J1" s="86"/>
      <c r="K1" s="86"/>
      <c r="L1" s="26"/>
      <c r="M1" s="26"/>
      <c r="O1" s="25"/>
      <c r="P1" s="27"/>
      <c r="Q1" s="25"/>
      <c r="R1" s="27"/>
      <c r="S1" s="27"/>
      <c r="W1" s="27"/>
      <c r="X1" s="28"/>
      <c r="Y1" s="28"/>
      <c r="Z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</row>
    <row r="2" spans="1:58" s="24" customFormat="1">
      <c r="A2" s="100"/>
      <c r="G2" s="25"/>
      <c r="H2" s="25"/>
      <c r="I2" s="25"/>
      <c r="J2" s="86"/>
      <c r="K2" s="86"/>
      <c r="L2" s="26"/>
      <c r="M2" s="26"/>
      <c r="O2" s="25"/>
      <c r="P2" s="27"/>
      <c r="Q2" s="25"/>
      <c r="R2" s="27"/>
      <c r="S2" s="27"/>
      <c r="W2" s="27"/>
      <c r="X2" s="28"/>
      <c r="Y2" s="28"/>
      <c r="Z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</row>
    <row r="3" spans="1:58" ht="24" customHeight="1">
      <c r="A3" s="899" t="s">
        <v>7</v>
      </c>
      <c r="B3" s="899" t="s">
        <v>8</v>
      </c>
      <c r="C3" s="899" t="s">
        <v>202</v>
      </c>
      <c r="D3" s="899" t="s">
        <v>92</v>
      </c>
      <c r="E3" s="899" t="s">
        <v>93</v>
      </c>
      <c r="F3" s="899" t="s">
        <v>94</v>
      </c>
      <c r="G3" s="952" t="s">
        <v>95</v>
      </c>
      <c r="H3" s="953"/>
      <c r="I3" s="953"/>
      <c r="J3" s="953"/>
      <c r="K3" s="954"/>
      <c r="L3" s="938" t="s">
        <v>96</v>
      </c>
      <c r="M3" s="939"/>
      <c r="N3" s="940"/>
      <c r="O3" s="944" t="s">
        <v>97</v>
      </c>
      <c r="P3" s="901" t="s">
        <v>109</v>
      </c>
      <c r="Q3" s="944" t="s">
        <v>98</v>
      </c>
      <c r="R3" s="903" t="s">
        <v>99</v>
      </c>
      <c r="S3" s="903" t="s">
        <v>100</v>
      </c>
      <c r="T3" s="899" t="s">
        <v>159</v>
      </c>
      <c r="U3" s="899" t="s">
        <v>158</v>
      </c>
      <c r="V3" s="899" t="s">
        <v>160</v>
      </c>
      <c r="W3" s="903" t="s">
        <v>144</v>
      </c>
      <c r="X3" s="928" t="s">
        <v>102</v>
      </c>
      <c r="Y3" s="928" t="s">
        <v>329</v>
      </c>
      <c r="Z3" s="903" t="s">
        <v>103</v>
      </c>
      <c r="AA3" s="899" t="s">
        <v>161</v>
      </c>
      <c r="AB3" s="899" t="s">
        <v>172</v>
      </c>
      <c r="AC3" s="899" t="s">
        <v>170</v>
      </c>
      <c r="AD3" s="899" t="s">
        <v>127</v>
      </c>
      <c r="AE3" s="921" t="s">
        <v>128</v>
      </c>
      <c r="AF3" s="924" t="s">
        <v>129</v>
      </c>
      <c r="AG3" s="924"/>
      <c r="AH3" s="924"/>
      <c r="AI3" s="924"/>
      <c r="AJ3" s="924"/>
      <c r="AK3" s="924"/>
      <c r="AL3" s="924"/>
      <c r="AM3" s="946" t="s">
        <v>130</v>
      </c>
      <c r="AN3" s="904" t="s">
        <v>104</v>
      </c>
      <c r="AO3" s="904"/>
      <c r="AP3" s="904"/>
      <c r="AQ3" s="904"/>
      <c r="AR3" s="904"/>
      <c r="AS3" s="905" t="s">
        <v>105</v>
      </c>
      <c r="AT3" s="907" t="s">
        <v>248</v>
      </c>
      <c r="AU3" s="908"/>
      <c r="AV3" s="911" t="s">
        <v>131</v>
      </c>
      <c r="AW3" s="912"/>
      <c r="AX3" s="913" t="s">
        <v>131</v>
      </c>
      <c r="AY3" s="914"/>
      <c r="AZ3" s="915" t="s">
        <v>335</v>
      </c>
      <c r="BA3" s="902" t="s">
        <v>106</v>
      </c>
      <c r="BB3" s="898" t="s">
        <v>107</v>
      </c>
      <c r="BC3" s="898" t="s">
        <v>108</v>
      </c>
      <c r="BD3" s="930" t="s">
        <v>412</v>
      </c>
      <c r="BE3" s="933" t="s">
        <v>413</v>
      </c>
      <c r="BF3" s="898" t="s">
        <v>414</v>
      </c>
    </row>
    <row r="4" spans="1:58" ht="12" customHeight="1">
      <c r="A4" s="920"/>
      <c r="B4" s="920"/>
      <c r="C4" s="920"/>
      <c r="D4" s="920"/>
      <c r="E4" s="920"/>
      <c r="F4" s="920"/>
      <c r="G4" s="955"/>
      <c r="H4" s="956"/>
      <c r="I4" s="956"/>
      <c r="J4" s="956"/>
      <c r="K4" s="957"/>
      <c r="L4" s="941"/>
      <c r="M4" s="942"/>
      <c r="N4" s="943"/>
      <c r="O4" s="945"/>
      <c r="P4" s="925"/>
      <c r="Q4" s="945"/>
      <c r="R4" s="927"/>
      <c r="S4" s="927"/>
      <c r="T4" s="920"/>
      <c r="U4" s="920"/>
      <c r="V4" s="920"/>
      <c r="W4" s="927"/>
      <c r="X4" s="929"/>
      <c r="Y4" s="929"/>
      <c r="Z4" s="927"/>
      <c r="AA4" s="920"/>
      <c r="AB4" s="920"/>
      <c r="AC4" s="920"/>
      <c r="AD4" s="920"/>
      <c r="AE4" s="922"/>
      <c r="AF4" s="949" t="s">
        <v>132</v>
      </c>
      <c r="AG4" s="950"/>
      <c r="AH4" s="951"/>
      <c r="AI4" s="925" t="s">
        <v>203</v>
      </c>
      <c r="AJ4" s="925" t="s">
        <v>14</v>
      </c>
      <c r="AK4" s="925" t="s">
        <v>133</v>
      </c>
      <c r="AL4" s="925" t="s">
        <v>17</v>
      </c>
      <c r="AM4" s="947"/>
      <c r="AN4" s="900" t="s">
        <v>110</v>
      </c>
      <c r="AO4" s="900" t="s">
        <v>14</v>
      </c>
      <c r="AP4" s="900" t="s">
        <v>111</v>
      </c>
      <c r="AQ4" s="900" t="s">
        <v>17</v>
      </c>
      <c r="AR4" s="902" t="s">
        <v>112</v>
      </c>
      <c r="AS4" s="905"/>
      <c r="AT4" s="909"/>
      <c r="AU4" s="910"/>
      <c r="AV4" s="527" t="s">
        <v>6</v>
      </c>
      <c r="AW4" s="527" t="s">
        <v>134</v>
      </c>
      <c r="AX4" s="528" t="s">
        <v>6</v>
      </c>
      <c r="AY4" s="529" t="s">
        <v>134</v>
      </c>
      <c r="AZ4" s="916"/>
      <c r="BA4" s="902"/>
      <c r="BB4" s="898"/>
      <c r="BC4" s="898"/>
      <c r="BD4" s="931"/>
      <c r="BE4" s="934"/>
      <c r="BF4" s="898"/>
    </row>
    <row r="5" spans="1:58" s="36" customFormat="1" ht="48">
      <c r="A5" s="920"/>
      <c r="B5" s="920"/>
      <c r="C5" s="923"/>
      <c r="D5" s="920"/>
      <c r="E5" s="920"/>
      <c r="F5" s="920"/>
      <c r="G5" s="31" t="s">
        <v>113</v>
      </c>
      <c r="H5" s="30" t="s">
        <v>114</v>
      </c>
      <c r="I5" s="34" t="s">
        <v>115</v>
      </c>
      <c r="J5" s="87" t="s">
        <v>116</v>
      </c>
      <c r="K5" s="87" t="s">
        <v>101</v>
      </c>
      <c r="L5" s="35" t="s">
        <v>117</v>
      </c>
      <c r="M5" s="35" t="s">
        <v>118</v>
      </c>
      <c r="N5" s="30" t="s">
        <v>119</v>
      </c>
      <c r="O5" s="945"/>
      <c r="P5" s="926"/>
      <c r="Q5" s="945"/>
      <c r="R5" s="927"/>
      <c r="S5" s="927"/>
      <c r="T5" s="920"/>
      <c r="U5" s="920"/>
      <c r="V5" s="920"/>
      <c r="W5" s="927"/>
      <c r="X5" s="929"/>
      <c r="Y5" s="937"/>
      <c r="Z5" s="927"/>
      <c r="AA5" s="920"/>
      <c r="AB5" s="923"/>
      <c r="AC5" s="920"/>
      <c r="AD5" s="923"/>
      <c r="AE5" s="922"/>
      <c r="AF5" s="458" t="s">
        <v>204</v>
      </c>
      <c r="AG5" s="457" t="s">
        <v>205</v>
      </c>
      <c r="AH5" s="457" t="s">
        <v>206</v>
      </c>
      <c r="AI5" s="926"/>
      <c r="AJ5" s="926"/>
      <c r="AK5" s="926"/>
      <c r="AL5" s="926"/>
      <c r="AM5" s="948"/>
      <c r="AN5" s="901"/>
      <c r="AO5" s="901"/>
      <c r="AP5" s="901"/>
      <c r="AQ5" s="901"/>
      <c r="AR5" s="903"/>
      <c r="AS5" s="906"/>
      <c r="AT5" s="518" t="s">
        <v>327</v>
      </c>
      <c r="AU5" s="518" t="s">
        <v>328</v>
      </c>
      <c r="AV5" s="530" t="s">
        <v>326</v>
      </c>
      <c r="AW5" s="530" t="s">
        <v>326</v>
      </c>
      <c r="AX5" s="528" t="s">
        <v>16</v>
      </c>
      <c r="AY5" s="528" t="s">
        <v>16</v>
      </c>
      <c r="AZ5" s="917"/>
      <c r="BA5" s="903"/>
      <c r="BB5" s="899"/>
      <c r="BC5" s="899"/>
      <c r="BD5" s="932"/>
      <c r="BE5" s="935"/>
      <c r="BF5" s="936"/>
    </row>
    <row r="6" spans="1:58" ht="12.95" customHeight="1">
      <c r="A6" s="343">
        <f>+Report1!A9</f>
        <v>46113</v>
      </c>
      <c r="B6" s="45" t="s">
        <v>427</v>
      </c>
      <c r="C6" s="450">
        <f>(M6*E6*O6*Q6)/100000000</f>
        <v>58.108987439999993</v>
      </c>
      <c r="D6" s="45" t="s">
        <v>408</v>
      </c>
      <c r="E6" s="46">
        <v>14</v>
      </c>
      <c r="F6" s="46">
        <v>1</v>
      </c>
      <c r="G6" s="463">
        <v>1700</v>
      </c>
      <c r="H6" s="48">
        <f>+N6</f>
        <v>0.24</v>
      </c>
      <c r="I6" s="49">
        <v>0.88</v>
      </c>
      <c r="J6" s="88">
        <f>E6*G6*(1-H6)*1440/1000000*2.77</f>
        <v>72.149414399999998</v>
      </c>
      <c r="K6" s="88">
        <f>(IF(G6&lt;L6,L6,G6)*(1-IF(H6&lt;N6,H6,N6))*E6*O6*Q6)/100000000</f>
        <v>61.92510004799999</v>
      </c>
      <c r="L6" s="39">
        <v>1595.2380952380952</v>
      </c>
      <c r="M6" s="39">
        <v>1212.3809523809523</v>
      </c>
      <c r="N6" s="50">
        <f>1-(M6/L6)</f>
        <v>0.24</v>
      </c>
      <c r="O6" s="51">
        <f>+'Trim Rwd'!H4</f>
        <v>271.70999999999998</v>
      </c>
      <c r="P6" s="52">
        <f>O6*(Q6-R6-S6)</f>
        <v>332029.62</v>
      </c>
      <c r="Q6" s="51">
        <v>1260</v>
      </c>
      <c r="R6" s="419">
        <v>0</v>
      </c>
      <c r="S6" s="419">
        <v>38</v>
      </c>
      <c r="T6" s="41">
        <f>E6*M6*O6*Q6/100000000</f>
        <v>58.108987439999993</v>
      </c>
      <c r="U6" s="41">
        <f>E6*M6*O6*(Q6-R6-S6)/100000000</f>
        <v>56.35649416799999</v>
      </c>
      <c r="V6" s="41">
        <f>E6*G6*(1-N6)*O6/100*(R6+S6)/1000000</f>
        <v>1.8675823823999997</v>
      </c>
      <c r="W6" s="41">
        <f>+'1'!K7/1000</f>
        <v>59.5</v>
      </c>
      <c r="X6" s="416">
        <f>SUM(W6:W9)/SUM(K6:K9)</f>
        <v>0.88350182457804671</v>
      </c>
      <c r="Y6" s="220">
        <v>0</v>
      </c>
      <c r="Z6" s="41">
        <v>0</v>
      </c>
      <c r="AA6" s="53">
        <f>SUM(U6:U9)-SUM(W6:W9)-SUM(Z6:Z9)-SUM(Y6:Y9)</f>
        <v>2.1183789679999947</v>
      </c>
      <c r="AB6" s="53">
        <f>(SUM(K6:K9)-SUM(W6:W9)-SUM(Y6:Y9)-SUM(Z6:Z9)-SUM(AC6:AC9)-SUM(V6:V9))-AA6</f>
        <v>-0.12129071039999761</v>
      </c>
      <c r="AC6" s="41">
        <f>K6-T6</f>
        <v>3.8161126079999974</v>
      </c>
      <c r="AD6" s="41">
        <f>+AM6+BA6</f>
        <v>5</v>
      </c>
      <c r="AE6" s="238" t="s">
        <v>456</v>
      </c>
      <c r="AF6" s="41">
        <v>5</v>
      </c>
      <c r="AG6" s="41"/>
      <c r="AH6" s="41"/>
      <c r="AI6" s="459"/>
      <c r="AJ6" s="41"/>
      <c r="AK6" s="41"/>
      <c r="AL6" s="41"/>
      <c r="AM6" s="41">
        <f>SUM(AF6:AL6)+AT6+AV6+AX6</f>
        <v>5</v>
      </c>
      <c r="AN6" s="41"/>
      <c r="AO6" s="41"/>
      <c r="AP6" s="41"/>
      <c r="AQ6" s="41"/>
      <c r="AR6" s="41">
        <f>SUM(AN6:AQ6)</f>
        <v>0</v>
      </c>
      <c r="AS6" s="41"/>
      <c r="AT6" s="41"/>
      <c r="AU6" s="41"/>
      <c r="AV6" s="41"/>
      <c r="AW6" s="41"/>
      <c r="AX6" s="41"/>
      <c r="AY6" s="41"/>
      <c r="AZ6" s="41"/>
      <c r="BA6" s="41">
        <f>+AR6+AS6+AU6+AW6+AY6+AZ6</f>
        <v>0</v>
      </c>
      <c r="BB6" s="37">
        <v>1</v>
      </c>
      <c r="BC6" s="55"/>
      <c r="BD6" s="55"/>
      <c r="BE6" s="37"/>
      <c r="BF6" s="55"/>
    </row>
    <row r="7" spans="1:58" ht="12.95" customHeight="1">
      <c r="A7" s="343"/>
      <c r="B7" s="45" t="s">
        <v>427</v>
      </c>
      <c r="C7" s="450">
        <f>(M7*E7*O7*Q7)/100000000</f>
        <v>9.3768191999999999</v>
      </c>
      <c r="D7" s="45" t="s">
        <v>408</v>
      </c>
      <c r="E7" s="46">
        <v>15</v>
      </c>
      <c r="F7" s="46">
        <v>1</v>
      </c>
      <c r="G7" s="463">
        <v>1700</v>
      </c>
      <c r="H7" s="48">
        <f>+N7</f>
        <v>0.24</v>
      </c>
      <c r="I7" s="49">
        <v>0.88</v>
      </c>
      <c r="J7" s="88">
        <f>E7*G7*(1-H7)*1440/1000000*2.77</f>
        <v>77.302943999999997</v>
      </c>
      <c r="K7" s="88">
        <f>(IF(G7&lt;L7,L7,G7)*(1-IF(H7&lt;N7,H7,N7))*E7*O7*Q7)/100000000</f>
        <v>9.488448</v>
      </c>
      <c r="L7" s="39">
        <v>1680</v>
      </c>
      <c r="M7" s="39">
        <f>+L7-L7*0.24</f>
        <v>1276.8</v>
      </c>
      <c r="N7" s="50">
        <f>1-(M7/L7)</f>
        <v>0.24</v>
      </c>
      <c r="O7" s="51">
        <f>+'Trim Rwd'!H6</f>
        <v>272</v>
      </c>
      <c r="P7" s="52">
        <f>O7*(Q7-R7-S7)</f>
        <v>46240</v>
      </c>
      <c r="Q7" s="51">
        <v>180</v>
      </c>
      <c r="R7" s="419">
        <v>0</v>
      </c>
      <c r="S7" s="419">
        <v>10</v>
      </c>
      <c r="T7" s="41">
        <f>E7*M7*O7*Q7/100000000</f>
        <v>9.3768191999999999</v>
      </c>
      <c r="U7" s="41">
        <f>E7*M7*O7*(Q7-R7-S7)/100000000</f>
        <v>8.8558848000000001</v>
      </c>
      <c r="V7" s="41">
        <f>E7*G7*(1-N7)*O7/100*(R7+S7)/1000000</f>
        <v>0.52713600000000005</v>
      </c>
      <c r="W7" s="41">
        <f>+'1'!K8/1000</f>
        <v>3.5939999999999999</v>
      </c>
      <c r="X7" s="42"/>
      <c r="Y7" s="220"/>
      <c r="Z7" s="41"/>
      <c r="AA7" s="41"/>
      <c r="AB7" s="41"/>
      <c r="AC7" s="41">
        <f>K7-T7</f>
        <v>0.11162880000000008</v>
      </c>
      <c r="AD7" s="41">
        <f>+AM7+BA7</f>
        <v>16</v>
      </c>
      <c r="AE7" s="238" t="s">
        <v>458</v>
      </c>
      <c r="AF7" s="41"/>
      <c r="AG7" s="41">
        <v>16</v>
      </c>
      <c r="AH7" s="41"/>
      <c r="AI7" s="459"/>
      <c r="AJ7" s="41"/>
      <c r="AK7" s="41"/>
      <c r="AL7" s="41"/>
      <c r="AM7" s="41">
        <f>SUM(AF7:AL7)+AT7+AV7+AX7</f>
        <v>16</v>
      </c>
      <c r="AN7" s="89"/>
      <c r="AO7" s="41"/>
      <c r="AP7" s="41"/>
      <c r="AQ7" s="41"/>
      <c r="AR7" s="41">
        <f>SUM(AN7:AQ7)</f>
        <v>0</v>
      </c>
      <c r="AS7" s="41"/>
      <c r="AT7" s="41"/>
      <c r="AU7" s="41"/>
      <c r="AV7" s="41"/>
      <c r="AW7" s="41"/>
      <c r="AX7" s="41"/>
      <c r="AY7" s="41"/>
      <c r="AZ7" s="41"/>
      <c r="BA7" s="41">
        <f>+AR7+AS7+AU7+AW7+AY7+AZ7</f>
        <v>0</v>
      </c>
      <c r="BB7" s="54"/>
      <c r="BC7" s="55">
        <v>17</v>
      </c>
      <c r="BD7" s="55"/>
      <c r="BE7" s="54"/>
      <c r="BF7" s="55"/>
    </row>
    <row r="8" spans="1:58" ht="12.95" customHeight="1">
      <c r="A8" s="44"/>
      <c r="B8" s="45"/>
      <c r="C8" s="450"/>
      <c r="D8" s="45"/>
      <c r="E8" s="46"/>
      <c r="F8" s="46"/>
      <c r="G8" s="47"/>
      <c r="H8" s="48"/>
      <c r="I8" s="49"/>
      <c r="J8" s="88"/>
      <c r="K8" s="88"/>
      <c r="L8" s="39"/>
      <c r="M8" s="39"/>
      <c r="N8" s="50"/>
      <c r="O8" s="51"/>
      <c r="P8" s="52"/>
      <c r="Q8" s="51"/>
      <c r="R8" s="419"/>
      <c r="S8" s="419"/>
      <c r="T8" s="41"/>
      <c r="U8" s="41"/>
      <c r="V8" s="41"/>
      <c r="W8" s="41"/>
      <c r="X8" s="42"/>
      <c r="Y8" s="220"/>
      <c r="Z8" s="41"/>
      <c r="AA8" s="41"/>
      <c r="AB8" s="41"/>
      <c r="AC8" s="41"/>
      <c r="AD8" s="41">
        <f>+AM8+BA8</f>
        <v>27</v>
      </c>
      <c r="AE8" s="238" t="s">
        <v>459</v>
      </c>
      <c r="AF8" s="37"/>
      <c r="AG8" s="37"/>
      <c r="AH8" s="37">
        <v>27</v>
      </c>
      <c r="AJ8" s="41"/>
      <c r="AK8" s="41"/>
      <c r="AL8" s="41"/>
      <c r="AM8" s="41">
        <f>SUM(AF8:AL8)+AT8+AV8+AX8</f>
        <v>27</v>
      </c>
      <c r="AN8" s="41"/>
      <c r="AO8" s="41"/>
      <c r="AP8" s="41"/>
      <c r="AQ8" s="41"/>
      <c r="AR8" s="41">
        <f>SUM(AN8:AQ8)</f>
        <v>0</v>
      </c>
      <c r="AS8" s="41"/>
      <c r="AT8" s="41"/>
      <c r="AU8" s="41"/>
      <c r="AV8" s="41"/>
      <c r="AW8" s="41"/>
      <c r="AX8" s="41"/>
      <c r="AY8" s="41"/>
      <c r="AZ8" s="41"/>
      <c r="BA8" s="41">
        <f>+AR8+AS8+AU8+AW8+AY8+AZ8</f>
        <v>0</v>
      </c>
      <c r="BB8" s="37"/>
      <c r="BC8" s="57"/>
      <c r="BD8" s="57"/>
      <c r="BE8" s="37"/>
      <c r="BF8" s="57"/>
    </row>
    <row r="9" spans="1:58" ht="12.95" customHeight="1">
      <c r="A9" s="44"/>
      <c r="B9" s="45"/>
      <c r="C9" s="450"/>
      <c r="D9" s="45"/>
      <c r="E9" s="46"/>
      <c r="F9" s="46"/>
      <c r="G9" s="47"/>
      <c r="H9" s="48"/>
      <c r="I9" s="49"/>
      <c r="J9" s="88"/>
      <c r="K9" s="88"/>
      <c r="L9" s="39"/>
      <c r="M9" s="39"/>
      <c r="N9" s="50"/>
      <c r="O9" s="51"/>
      <c r="P9" s="52"/>
      <c r="Q9" s="38"/>
      <c r="R9" s="419"/>
      <c r="S9" s="419"/>
      <c r="T9" s="41"/>
      <c r="U9" s="41"/>
      <c r="V9" s="41"/>
      <c r="W9" s="41"/>
      <c r="X9" s="42"/>
      <c r="Y9" s="220"/>
      <c r="Z9" s="41"/>
      <c r="AA9" s="41"/>
      <c r="AB9" s="41"/>
      <c r="AC9" s="41"/>
      <c r="AD9" s="41"/>
      <c r="AE9" s="241"/>
      <c r="AF9" s="41"/>
      <c r="AG9" s="41"/>
      <c r="AH9" s="41"/>
      <c r="AI9" s="459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37"/>
      <c r="BC9" s="57"/>
      <c r="BD9" s="57"/>
      <c r="BE9" s="37"/>
      <c r="BF9" s="57"/>
    </row>
    <row r="10" spans="1:58" ht="12.95" customHeight="1">
      <c r="A10" s="343">
        <v>46114</v>
      </c>
      <c r="B10" s="45" t="s">
        <v>427</v>
      </c>
      <c r="C10" s="450">
        <f>(M10*E10*O10*Q10)/100000000</f>
        <v>29.097907200000002</v>
      </c>
      <c r="D10" s="45" t="s">
        <v>408</v>
      </c>
      <c r="E10" s="46">
        <v>15</v>
      </c>
      <c r="F10" s="46">
        <v>1</v>
      </c>
      <c r="G10" s="463">
        <v>1700</v>
      </c>
      <c r="H10" s="48">
        <f>+N10</f>
        <v>0.24</v>
      </c>
      <c r="I10" s="49">
        <v>0.88</v>
      </c>
      <c r="J10" s="88">
        <f>E10*G10*(1-H10)*1440/1000000*2.77</f>
        <v>77.302943999999997</v>
      </c>
      <c r="K10" s="88">
        <f>(IF(G10&lt;L10,L10,G10)*(1-IF(H10&lt;N10,H10,N10))*E10*O10*Q10)/100000000</f>
        <v>29.519615999999999</v>
      </c>
      <c r="L10" s="39">
        <v>1675.7142857142858</v>
      </c>
      <c r="M10" s="39">
        <v>1273.5428571428572</v>
      </c>
      <c r="N10" s="50">
        <f>1-(M10/L10)</f>
        <v>0.24</v>
      </c>
      <c r="O10" s="51">
        <f>+'Trim Rwd'!H8</f>
        <v>272</v>
      </c>
      <c r="P10" s="52">
        <f>O10*(Q10-R10-S10)</f>
        <v>147968</v>
      </c>
      <c r="Q10" s="51">
        <v>560</v>
      </c>
      <c r="R10" s="419">
        <v>0</v>
      </c>
      <c r="S10" s="419">
        <v>16</v>
      </c>
      <c r="T10" s="41">
        <f>E10*M10*O10*Q10/100000000</f>
        <v>29.097907200000002</v>
      </c>
      <c r="U10" s="41">
        <f>E10*M10*O10*(Q10-R10-S10)/100000000</f>
        <v>28.266538422857142</v>
      </c>
      <c r="V10" s="41">
        <f>E10*G10*(1-N10)*O10/100*(R10+S10)/1000000</f>
        <v>0.84341759999999999</v>
      </c>
      <c r="W10" s="41">
        <f>+'2'!K8/1000</f>
        <v>33.99</v>
      </c>
      <c r="X10" s="416">
        <f>SUM(W10:W13)/SUM(K10:K13)</f>
        <v>0.94830449899454528</v>
      </c>
      <c r="Y10" s="220">
        <v>0</v>
      </c>
      <c r="Z10" s="41">
        <v>0</v>
      </c>
      <c r="AA10" s="53">
        <f>SUM(U10:U13)-SUM(W10:W13)-SUM(Z10:Z13)-SUM(Y10:Y13)</f>
        <v>1.1889224032011043</v>
      </c>
      <c r="AB10" s="53">
        <f>(SUM(K10:K13)-SUM(W10:W13)-SUM(Y10:Y13)-SUM(Z10:Z13)-SUM(AC10:AC13)-SUM(V10:V13))-AA10</f>
        <v>-1.6737668065986089E-2</v>
      </c>
      <c r="AC10" s="41">
        <f>K10-T10</f>
        <v>0.42170879999999755</v>
      </c>
      <c r="AD10" s="41">
        <f>+AM10+BA10</f>
        <v>0</v>
      </c>
      <c r="AE10" s="238" t="s">
        <v>277</v>
      </c>
      <c r="AF10" s="41">
        <v>0</v>
      </c>
      <c r="AG10" s="41"/>
      <c r="AH10" s="41"/>
      <c r="AI10" s="459"/>
      <c r="AJ10" s="41"/>
      <c r="AK10" s="41"/>
      <c r="AL10" s="41"/>
      <c r="AM10" s="41">
        <f>SUM(AF10:AL10)+AT10+AV10+AX10</f>
        <v>0</v>
      </c>
      <c r="AN10" s="41"/>
      <c r="AO10" s="41"/>
      <c r="AP10" s="41"/>
      <c r="AQ10" s="41"/>
      <c r="AR10" s="41">
        <f>SUM(AN10:AQ10)</f>
        <v>0</v>
      </c>
      <c r="AS10" s="41"/>
      <c r="AT10" s="41"/>
      <c r="AU10" s="41"/>
      <c r="AV10" s="41"/>
      <c r="AW10" s="41"/>
      <c r="AX10" s="41"/>
      <c r="AY10" s="41"/>
      <c r="AZ10" s="41"/>
      <c r="BA10" s="41">
        <f>+AR10+AS10+AU10+AW10+AY10+AZ10</f>
        <v>0</v>
      </c>
      <c r="BB10" s="37">
        <v>0</v>
      </c>
      <c r="BC10" s="55"/>
      <c r="BD10" s="55"/>
      <c r="BE10" s="37"/>
      <c r="BF10" s="55"/>
    </row>
    <row r="11" spans="1:58" ht="12.95" customHeight="1">
      <c r="A11" s="343"/>
      <c r="B11" s="45" t="s">
        <v>427</v>
      </c>
      <c r="C11" s="450">
        <f>(M11*E11*O11*Q11)/100000000</f>
        <v>38.373509189189186</v>
      </c>
      <c r="D11" s="45" t="s">
        <v>408</v>
      </c>
      <c r="E11" s="46">
        <v>12.5</v>
      </c>
      <c r="F11" s="46">
        <v>1</v>
      </c>
      <c r="G11" s="463">
        <v>1700</v>
      </c>
      <c r="H11" s="48">
        <f>+N11</f>
        <v>0.2400000000000001</v>
      </c>
      <c r="I11" s="49">
        <v>0.88</v>
      </c>
      <c r="J11" s="88">
        <f>E11*G11*(1-H11)*1440/1000000*2.77</f>
        <v>64.419119999999992</v>
      </c>
      <c r="K11" s="88">
        <f>(IF(G11&lt;L11,L11,G11)*(1-IF(H11&lt;N11,H11,N11))*E11*O11*Q11)/100000000</f>
        <v>38.57981837837837</v>
      </c>
      <c r="L11" s="39">
        <v>1690.909090909091</v>
      </c>
      <c r="M11" s="39">
        <v>1285.090909090909</v>
      </c>
      <c r="N11" s="50">
        <f>1-(M11/L11)</f>
        <v>0.2400000000000001</v>
      </c>
      <c r="O11" s="51">
        <f>+'Trim Rwd'!H9</f>
        <v>271.45945945945948</v>
      </c>
      <c r="P11" s="52">
        <f>O11*(Q11-R11-S11)</f>
        <v>233455.13513513515</v>
      </c>
      <c r="Q11" s="51">
        <v>880</v>
      </c>
      <c r="R11" s="419">
        <v>0</v>
      </c>
      <c r="S11" s="419">
        <v>20</v>
      </c>
      <c r="T11" s="41">
        <f>E11*M11*O11*Q11/100000000</f>
        <v>38.373509189189186</v>
      </c>
      <c r="U11" s="41">
        <f>E11*M11*O11*(Q11-R11-S11)/100000000</f>
        <v>37.501383980343974</v>
      </c>
      <c r="V11" s="41">
        <f>E11*G11*(1-N11)*O11/100*(R11+S11)/1000000</f>
        <v>0.87681405405405399</v>
      </c>
      <c r="W11" s="41">
        <f>+'2'!K9/1000</f>
        <v>30.588999999999999</v>
      </c>
      <c r="X11" s="42"/>
      <c r="Y11" s="220"/>
      <c r="Z11" s="41"/>
      <c r="AA11" s="53"/>
      <c r="AB11" s="53"/>
      <c r="AC11" s="41">
        <f>K11-T11</f>
        <v>0.20630918918918439</v>
      </c>
      <c r="AD11" s="41">
        <f>+AM11+BA11</f>
        <v>11</v>
      </c>
      <c r="AE11" s="238" t="s">
        <v>485</v>
      </c>
      <c r="AF11" s="41"/>
      <c r="AG11" s="41">
        <v>11</v>
      </c>
      <c r="AH11" s="41"/>
      <c r="AI11" s="459"/>
      <c r="AJ11" s="41"/>
      <c r="AK11" s="41"/>
      <c r="AL11" s="41"/>
      <c r="AM11" s="41">
        <f>SUM(AF11:AL11)+AT11+AV11+AX11</f>
        <v>11</v>
      </c>
      <c r="AN11" s="41"/>
      <c r="AO11" s="41"/>
      <c r="AP11" s="41"/>
      <c r="AQ11" s="41"/>
      <c r="AR11" s="41">
        <f>SUM(AN11:AQ11)</f>
        <v>0</v>
      </c>
      <c r="AS11" s="41"/>
      <c r="AT11" s="41"/>
      <c r="AU11" s="41"/>
      <c r="AV11" s="41"/>
      <c r="AW11" s="41"/>
      <c r="AX11" s="41"/>
      <c r="AY11" s="41"/>
      <c r="AZ11" s="41"/>
      <c r="BA11" s="41">
        <f>+AR11+AS11+AU11+AW11+AY11+AZ11</f>
        <v>0</v>
      </c>
      <c r="BB11" s="54"/>
      <c r="BC11" s="55">
        <v>15</v>
      </c>
      <c r="BD11" s="55"/>
      <c r="BE11" s="54"/>
      <c r="BF11" s="55"/>
    </row>
    <row r="12" spans="1:58" ht="12.95" customHeight="1">
      <c r="A12" s="343"/>
      <c r="B12" s="45"/>
      <c r="C12" s="450"/>
      <c r="D12" s="45"/>
      <c r="E12" s="46"/>
      <c r="F12" s="46"/>
      <c r="G12" s="463"/>
      <c r="H12" s="48"/>
      <c r="I12" s="49"/>
      <c r="J12" s="88"/>
      <c r="K12" s="88"/>
      <c r="L12" s="39"/>
      <c r="M12" s="39"/>
      <c r="N12" s="50"/>
      <c r="O12" s="51"/>
      <c r="P12" s="52"/>
      <c r="Q12" s="51"/>
      <c r="R12" s="419"/>
      <c r="S12" s="419"/>
      <c r="T12" s="41"/>
      <c r="U12" s="41"/>
      <c r="V12" s="41"/>
      <c r="W12" s="41"/>
      <c r="X12" s="42"/>
      <c r="Y12" s="220"/>
      <c r="Z12" s="41"/>
      <c r="AA12" s="41"/>
      <c r="AB12" s="41"/>
      <c r="AC12" s="41"/>
      <c r="AD12" s="41">
        <f>+AM12+BA12</f>
        <v>20</v>
      </c>
      <c r="AE12" s="238" t="s">
        <v>486</v>
      </c>
      <c r="AF12" s="41"/>
      <c r="AG12" s="41"/>
      <c r="AH12" s="41">
        <v>20</v>
      </c>
      <c r="AI12" s="459"/>
      <c r="AJ12" s="41"/>
      <c r="AK12" s="41"/>
      <c r="AL12" s="41"/>
      <c r="AM12" s="41">
        <f>SUM(AF12:AL12)+AT12+AV12+AX12</f>
        <v>20</v>
      </c>
      <c r="AN12" s="89"/>
      <c r="AO12" s="41"/>
      <c r="AP12" s="41"/>
      <c r="AQ12" s="41"/>
      <c r="AR12" s="41">
        <f>SUM(AN12:AQ12)</f>
        <v>0</v>
      </c>
      <c r="AS12" s="41"/>
      <c r="AT12" s="41"/>
      <c r="AU12" s="41"/>
      <c r="AV12" s="41"/>
      <c r="AW12" s="41"/>
      <c r="AX12" s="41"/>
      <c r="AY12" s="41"/>
      <c r="AZ12" s="41"/>
      <c r="BA12" s="41">
        <f>+AR12+AS12+AU12+AW12+AY12+AZ12</f>
        <v>0</v>
      </c>
      <c r="BB12" s="37"/>
      <c r="BC12" s="57"/>
      <c r="BD12" s="57"/>
      <c r="BE12" s="37"/>
      <c r="BF12" s="57"/>
    </row>
    <row r="13" spans="1:58" ht="12.95" customHeight="1">
      <c r="A13" s="44"/>
      <c r="B13" s="45"/>
      <c r="C13" s="450"/>
      <c r="D13" s="45"/>
      <c r="E13" s="46"/>
      <c r="F13" s="46"/>
      <c r="G13" s="47"/>
      <c r="H13" s="48"/>
      <c r="I13" s="49"/>
      <c r="J13" s="88"/>
      <c r="K13" s="88"/>
      <c r="L13" s="39"/>
      <c r="M13" s="39"/>
      <c r="N13" s="50"/>
      <c r="O13" s="51"/>
      <c r="P13" s="52"/>
      <c r="Q13" s="51"/>
      <c r="R13" s="419"/>
      <c r="S13" s="419"/>
      <c r="T13" s="41"/>
      <c r="U13" s="41"/>
      <c r="V13" s="41"/>
      <c r="W13" s="41"/>
      <c r="X13" s="42"/>
      <c r="Y13" s="220"/>
      <c r="Z13" s="41"/>
      <c r="AA13" s="41"/>
      <c r="AB13" s="41"/>
      <c r="AC13" s="41"/>
      <c r="AD13" s="41">
        <f>+AM13+BA13</f>
        <v>5</v>
      </c>
      <c r="AE13" s="238" t="s">
        <v>487</v>
      </c>
      <c r="AF13" s="37"/>
      <c r="AG13" s="37"/>
      <c r="AH13" s="37"/>
      <c r="AI13" s="33">
        <v>5</v>
      </c>
      <c r="AJ13" s="41"/>
      <c r="AK13" s="41"/>
      <c r="AL13" s="41"/>
      <c r="AM13" s="41">
        <f>SUM(AF13:AL13)+AT13+AV13+AX13</f>
        <v>5</v>
      </c>
      <c r="AN13" s="41"/>
      <c r="AO13" s="41"/>
      <c r="AP13" s="41"/>
      <c r="AQ13" s="41"/>
      <c r="AR13" s="41">
        <f>SUM(AN13:AQ13)</f>
        <v>0</v>
      </c>
      <c r="AS13" s="41"/>
      <c r="AT13" s="41"/>
      <c r="AU13" s="41"/>
      <c r="AV13" s="41"/>
      <c r="AW13" s="41"/>
      <c r="AX13" s="41"/>
      <c r="AY13" s="41"/>
      <c r="AZ13" s="41"/>
      <c r="BA13" s="41">
        <f>+AR13+AS13+AU13+AW13+AY13+AZ13</f>
        <v>0</v>
      </c>
      <c r="BB13" s="37"/>
      <c r="BC13" s="57"/>
      <c r="BD13" s="57"/>
      <c r="BE13" s="37"/>
      <c r="BF13" s="57"/>
    </row>
    <row r="14" spans="1:58" ht="12.95" customHeight="1">
      <c r="A14" s="44"/>
      <c r="B14" s="45"/>
      <c r="C14" s="450"/>
      <c r="D14" s="45"/>
      <c r="E14" s="46"/>
      <c r="F14" s="46"/>
      <c r="G14" s="47"/>
      <c r="H14" s="48"/>
      <c r="I14" s="49"/>
      <c r="J14" s="88"/>
      <c r="K14" s="88"/>
      <c r="L14" s="39"/>
      <c r="M14" s="39"/>
      <c r="N14" s="50"/>
      <c r="O14" s="51"/>
      <c r="P14" s="52"/>
      <c r="Q14" s="38"/>
      <c r="R14" s="419"/>
      <c r="S14" s="419"/>
      <c r="T14" s="41"/>
      <c r="U14" s="41"/>
      <c r="V14" s="41"/>
      <c r="W14" s="41"/>
      <c r="X14" s="416"/>
      <c r="Y14" s="220"/>
      <c r="Z14" s="41"/>
      <c r="AA14" s="41"/>
      <c r="AB14" s="41"/>
      <c r="AC14" s="41"/>
      <c r="AD14" s="41"/>
      <c r="AE14" s="241"/>
      <c r="AF14" s="41"/>
      <c r="AG14" s="41"/>
      <c r="AH14" s="41"/>
      <c r="AI14" s="459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37"/>
      <c r="BC14" s="55"/>
      <c r="BD14" s="55"/>
      <c r="BE14" s="55"/>
      <c r="BF14" s="55"/>
    </row>
    <row r="15" spans="1:58" ht="12.95" customHeight="1">
      <c r="A15" s="343">
        <v>46115</v>
      </c>
      <c r="B15" s="45" t="s">
        <v>427</v>
      </c>
      <c r="C15" s="450">
        <f>(M15*E15*O15*Q15)/100000000</f>
        <v>63.151668000000001</v>
      </c>
      <c r="D15" s="45" t="s">
        <v>408</v>
      </c>
      <c r="E15" s="46">
        <v>12.5</v>
      </c>
      <c r="F15" s="46">
        <v>1</v>
      </c>
      <c r="G15" s="463">
        <v>1700</v>
      </c>
      <c r="H15" s="48">
        <f>+N15</f>
        <v>0.24</v>
      </c>
      <c r="I15" s="49">
        <v>0.88</v>
      </c>
      <c r="J15" s="88">
        <f>E15*G15*(1-H15)*1440/1000000*2.77</f>
        <v>64.419120000000007</v>
      </c>
      <c r="K15" s="88">
        <f>(IF(G15&lt;L15,L15,G15)*(1-IF(H15&lt;N15,H15,N15))*E15*O15*Q15)/100000000</f>
        <v>63.151668000000001</v>
      </c>
      <c r="L15" s="39">
        <v>1700</v>
      </c>
      <c r="M15" s="39">
        <v>1292</v>
      </c>
      <c r="N15" s="50">
        <f>1-(M15/L15)</f>
        <v>0.24</v>
      </c>
      <c r="O15" s="51">
        <f>+'Trim Rwd'!H12</f>
        <v>271.55</v>
      </c>
      <c r="P15" s="52">
        <f>O15*(Q15-R15-S15)</f>
        <v>380984.65</v>
      </c>
      <c r="Q15" s="51">
        <v>1440</v>
      </c>
      <c r="R15" s="419">
        <v>0</v>
      </c>
      <c r="S15" s="419">
        <v>37</v>
      </c>
      <c r="T15" s="41">
        <f>E15*M15*O15*Q15/100000000</f>
        <v>63.151668000000001</v>
      </c>
      <c r="U15" s="41">
        <f>E15*M15*O15*(Q15-R15-S15)/100000000</f>
        <v>61.529020975000002</v>
      </c>
      <c r="V15" s="41">
        <f>E15*G15*(1-N15)*O15/100*(R15+S15)/1000000</f>
        <v>1.6226470249999998</v>
      </c>
      <c r="W15" s="41">
        <f>+'3'!K34/1000</f>
        <v>63.481000000000002</v>
      </c>
      <c r="X15" s="416">
        <f>SUM(W15:W18)/SUM(K15:K18)</f>
        <v>1.0052149374740189</v>
      </c>
      <c r="Y15" s="220">
        <v>0</v>
      </c>
      <c r="Z15" s="41">
        <v>0</v>
      </c>
      <c r="AA15" s="41">
        <f>SUM(U15:U18)-SUM(W15:W18)-SUM(Z15:Z18)-SUM(Y15:Y18)</f>
        <v>-1.951979025</v>
      </c>
      <c r="AB15" s="41">
        <f>(SUM(K15:K18)-SUM(W15:W18)-SUM(Y15:Y18)-SUM(Z15:Z18)-SUM(AC15:AC18)-SUM(V15:V18))-AA15</f>
        <v>0</v>
      </c>
      <c r="AC15" s="41">
        <f>K15-T15</f>
        <v>0</v>
      </c>
      <c r="AD15" s="41">
        <f>+AM15+BA15</f>
        <v>0</v>
      </c>
      <c r="AE15" s="241" t="s">
        <v>277</v>
      </c>
      <c r="AF15" s="41">
        <v>0</v>
      </c>
      <c r="AG15" s="41"/>
      <c r="AH15" s="41"/>
      <c r="AI15" s="459"/>
      <c r="AJ15" s="41"/>
      <c r="AK15" s="41"/>
      <c r="AL15" s="41"/>
      <c r="AM15" s="41">
        <f>SUM(AF15:AL15)+AT15+AV15+AX15</f>
        <v>0</v>
      </c>
      <c r="AN15" s="89"/>
      <c r="AO15" s="41"/>
      <c r="AP15" s="41"/>
      <c r="AQ15" s="41"/>
      <c r="AR15" s="41">
        <f>SUM(AN15:AQ15)</f>
        <v>0</v>
      </c>
      <c r="AS15" s="41"/>
      <c r="AT15" s="41"/>
      <c r="AU15" s="41"/>
      <c r="AV15" s="41"/>
      <c r="AW15" s="41"/>
      <c r="AX15" s="41"/>
      <c r="AY15" s="41"/>
      <c r="AZ15" s="41"/>
      <c r="BA15" s="41">
        <f>+AR15+AS15+AU15+AW15+AY15+AZ15</f>
        <v>0</v>
      </c>
      <c r="BB15" s="37">
        <v>0</v>
      </c>
      <c r="BC15" s="55"/>
      <c r="BD15" s="55"/>
      <c r="BE15" s="37"/>
      <c r="BF15" s="55"/>
    </row>
    <row r="16" spans="1:58" ht="12.95" customHeight="1">
      <c r="A16" s="343"/>
      <c r="B16" s="45"/>
      <c r="C16" s="450"/>
      <c r="D16" s="45"/>
      <c r="E16" s="46"/>
      <c r="F16" s="46"/>
      <c r="G16" s="463"/>
      <c r="H16" s="48"/>
      <c r="I16" s="49"/>
      <c r="J16" s="88"/>
      <c r="K16" s="88"/>
      <c r="L16" s="39"/>
      <c r="M16" s="39"/>
      <c r="N16" s="50"/>
      <c r="O16" s="51"/>
      <c r="P16" s="52"/>
      <c r="Q16" s="51"/>
      <c r="R16" s="419"/>
      <c r="S16" s="419"/>
      <c r="T16" s="41"/>
      <c r="U16" s="41"/>
      <c r="V16" s="41"/>
      <c r="W16" s="41"/>
      <c r="X16" s="42"/>
      <c r="Y16" s="220"/>
      <c r="Z16" s="41"/>
      <c r="AA16" s="53"/>
      <c r="AB16" s="53"/>
      <c r="AC16" s="41"/>
      <c r="AD16" s="41">
        <f>+AM16+BA16</f>
        <v>11</v>
      </c>
      <c r="AE16" s="238" t="s">
        <v>458</v>
      </c>
      <c r="AF16" s="41"/>
      <c r="AG16" s="41">
        <v>11</v>
      </c>
      <c r="AH16" s="41"/>
      <c r="AI16" s="459"/>
      <c r="AJ16" s="41"/>
      <c r="AK16" s="41"/>
      <c r="AL16" s="41"/>
      <c r="AM16" s="41">
        <f>SUM(AF16:AL16)+AT16+AV16+AX16</f>
        <v>11</v>
      </c>
      <c r="AN16" s="41"/>
      <c r="AO16" s="41"/>
      <c r="AP16" s="41"/>
      <c r="AQ16" s="41"/>
      <c r="AR16" s="41">
        <f>SUM(AN16:AQ16)</f>
        <v>0</v>
      </c>
      <c r="AS16" s="41"/>
      <c r="AT16" s="41"/>
      <c r="AU16" s="41"/>
      <c r="AV16" s="41"/>
      <c r="AW16" s="41"/>
      <c r="AX16" s="41"/>
      <c r="AY16" s="41"/>
      <c r="AZ16" s="41"/>
      <c r="BA16" s="41">
        <f>+AR16+AS16+AU16+AW16+AY16+AZ16</f>
        <v>0</v>
      </c>
      <c r="BB16" s="54"/>
      <c r="BC16" s="55">
        <v>17</v>
      </c>
      <c r="BD16" s="55"/>
      <c r="BE16" s="54"/>
      <c r="BF16" s="55"/>
    </row>
    <row r="17" spans="1:58" ht="12.95" customHeight="1">
      <c r="A17" s="343"/>
      <c r="B17" s="45"/>
      <c r="C17" s="450"/>
      <c r="D17" s="45"/>
      <c r="E17" s="46"/>
      <c r="F17" s="46"/>
      <c r="G17" s="463"/>
      <c r="H17" s="48"/>
      <c r="I17" s="49"/>
      <c r="J17" s="88"/>
      <c r="K17" s="88"/>
      <c r="L17" s="39"/>
      <c r="M17" s="39"/>
      <c r="N17" s="50"/>
      <c r="O17" s="51"/>
      <c r="P17" s="52"/>
      <c r="Q17" s="51"/>
      <c r="R17" s="419"/>
      <c r="S17" s="419"/>
      <c r="T17" s="41"/>
      <c r="U17" s="41"/>
      <c r="V17" s="41"/>
      <c r="W17" s="41"/>
      <c r="X17" s="42"/>
      <c r="Y17" s="220"/>
      <c r="Z17" s="41"/>
      <c r="AA17" s="53"/>
      <c r="AB17" s="53"/>
      <c r="AC17" s="41"/>
      <c r="AD17" s="41">
        <f>+AM17+BA17</f>
        <v>26</v>
      </c>
      <c r="AE17" s="238" t="s">
        <v>459</v>
      </c>
      <c r="AF17" s="41"/>
      <c r="AG17" s="41"/>
      <c r="AH17" s="41">
        <v>26</v>
      </c>
      <c r="AI17" s="459"/>
      <c r="AJ17" s="41"/>
      <c r="AK17" s="41"/>
      <c r="AL17" s="41"/>
      <c r="AM17" s="41">
        <f>SUM(AF17:AL17)+AT17+AV17+AX17</f>
        <v>26</v>
      </c>
      <c r="AN17" s="41"/>
      <c r="AO17" s="41"/>
      <c r="AP17" s="41"/>
      <c r="AQ17" s="41"/>
      <c r="AR17" s="41">
        <f>SUM(AN17:AQ17)</f>
        <v>0</v>
      </c>
      <c r="AS17" s="41"/>
      <c r="AT17" s="41"/>
      <c r="AU17" s="41"/>
      <c r="AV17" s="41"/>
      <c r="AW17" s="41"/>
      <c r="AX17" s="41"/>
      <c r="AY17" s="41"/>
      <c r="AZ17" s="41"/>
      <c r="BA17" s="41">
        <f>+AR17+AS17+AU17+AW17+AY17+AZ17</f>
        <v>0</v>
      </c>
      <c r="BB17" s="37"/>
      <c r="BC17" s="57"/>
      <c r="BD17" s="57"/>
      <c r="BE17" s="37"/>
      <c r="BF17" s="57"/>
    </row>
    <row r="18" spans="1:58" ht="12.95" customHeight="1">
      <c r="A18" s="343"/>
      <c r="B18" s="45"/>
      <c r="C18" s="450"/>
      <c r="D18" s="45"/>
      <c r="E18" s="46"/>
      <c r="F18" s="46"/>
      <c r="G18" s="463"/>
      <c r="H18" s="48"/>
      <c r="I18" s="49"/>
      <c r="J18" s="88"/>
      <c r="K18" s="88"/>
      <c r="L18" s="39"/>
      <c r="M18" s="39"/>
      <c r="N18" s="50"/>
      <c r="O18" s="51"/>
      <c r="P18" s="52"/>
      <c r="Q18" s="51"/>
      <c r="R18" s="419"/>
      <c r="S18" s="419"/>
      <c r="T18" s="41"/>
      <c r="U18" s="41"/>
      <c r="V18" s="41"/>
      <c r="W18" s="41"/>
      <c r="X18" s="42"/>
      <c r="Y18" s="220"/>
      <c r="Z18" s="41"/>
      <c r="AA18" s="41"/>
      <c r="AB18" s="41"/>
      <c r="AC18" s="41"/>
      <c r="AD18" s="41"/>
      <c r="AE18" s="238"/>
      <c r="AF18" s="41"/>
      <c r="AG18" s="41"/>
      <c r="AH18" s="41"/>
      <c r="AI18" s="459"/>
      <c r="AJ18" s="41"/>
      <c r="AK18" s="41"/>
      <c r="AL18" s="41"/>
      <c r="AM18" s="41"/>
      <c r="AN18" s="89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37"/>
      <c r="BC18" s="57"/>
      <c r="BD18" s="57"/>
      <c r="BE18" s="37"/>
      <c r="BF18" s="57"/>
    </row>
    <row r="19" spans="1:58" ht="12.95" customHeight="1">
      <c r="A19" s="343">
        <v>46116</v>
      </c>
      <c r="B19" s="45" t="s">
        <v>427</v>
      </c>
      <c r="C19" s="450">
        <f>(M19*E19*O19*Q19)/100000000</f>
        <v>26.046720000000001</v>
      </c>
      <c r="D19" s="45" t="s">
        <v>408</v>
      </c>
      <c r="E19" s="46">
        <v>12.5</v>
      </c>
      <c r="F19" s="46">
        <v>1</v>
      </c>
      <c r="G19" s="463">
        <v>1700</v>
      </c>
      <c r="H19" s="48">
        <f>+N19</f>
        <v>0.24</v>
      </c>
      <c r="I19" s="49">
        <v>0.88</v>
      </c>
      <c r="J19" s="88">
        <f>E19*G19*(1-H19)*1440/1000000*2.77</f>
        <v>64.419120000000007</v>
      </c>
      <c r="K19" s="88">
        <f>(IF(G19&lt;L19,L19,G19)*(1-IF(H19&lt;N19,H19,N19))*E19*O19*Q19)/100000000</f>
        <v>26.3568</v>
      </c>
      <c r="L19" s="39">
        <v>1680</v>
      </c>
      <c r="M19" s="39">
        <v>1276.8</v>
      </c>
      <c r="N19" s="50">
        <f>1-(M19/L19)</f>
        <v>0.24</v>
      </c>
      <c r="O19" s="51">
        <f>+'Trim Rwd'!H16</f>
        <v>272</v>
      </c>
      <c r="P19" s="52">
        <f>O19*(Q19-R19-S19)</f>
        <v>157216</v>
      </c>
      <c r="Q19" s="51">
        <v>600</v>
      </c>
      <c r="R19" s="419">
        <v>0</v>
      </c>
      <c r="S19" s="419">
        <v>22</v>
      </c>
      <c r="T19" s="41">
        <f>E19*M19*O19*Q19/100000000</f>
        <v>26.046720000000001</v>
      </c>
      <c r="U19" s="41">
        <f>E19*M19*O19*(Q19-R19-S19)/100000000</f>
        <v>25.0916736</v>
      </c>
      <c r="V19" s="41">
        <f>E19*G19*(1-N19)*O19/100*(R19+S19)/1000000</f>
        <v>0.96641600000000005</v>
      </c>
      <c r="W19" s="41">
        <f>+'4'!K9/1000</f>
        <v>54.262</v>
      </c>
      <c r="X19" s="416">
        <f>SUM(W19:W22)/SUM(K19:K22)</f>
        <v>0.88577419544239522</v>
      </c>
      <c r="Y19" s="220">
        <v>0</v>
      </c>
      <c r="Z19" s="41">
        <v>0</v>
      </c>
      <c r="AA19" s="53">
        <f>SUM(U19:U22)-SUM(W19:W22)-SUM(Z19:Z22)-SUM(Y19:Y22)</f>
        <v>3.1140592914285747</v>
      </c>
      <c r="AB19" s="53">
        <f>(SUM(K19:K22)-SUM(W19:W22)-SUM(Y19:Y22)-SUM(Z19:Z22)-SUM(AC19:AC22)-SUM(V19:V22))-AA19</f>
        <v>-6.217321142857557E-2</v>
      </c>
      <c r="AC19" s="41">
        <f>K19-T19</f>
        <v>0.31007999999999925</v>
      </c>
      <c r="AD19" s="41">
        <f>+AM19+BA19</f>
        <v>0</v>
      </c>
      <c r="AE19" s="238" t="s">
        <v>277</v>
      </c>
      <c r="AF19" s="41">
        <v>0</v>
      </c>
      <c r="AG19" s="41"/>
      <c r="AH19" s="41"/>
      <c r="AI19" s="459"/>
      <c r="AJ19" s="41"/>
      <c r="AK19" s="41"/>
      <c r="AL19" s="41"/>
      <c r="AM19" s="41">
        <f>SUM(AF19:AL19)+AT19+AV19+AX19</f>
        <v>0</v>
      </c>
      <c r="AN19" s="41"/>
      <c r="AO19" s="41"/>
      <c r="AP19" s="41"/>
      <c r="AQ19" s="41"/>
      <c r="AR19" s="41">
        <f>SUM(AN19:AQ19)</f>
        <v>0</v>
      </c>
      <c r="AS19" s="41"/>
      <c r="AT19" s="41"/>
      <c r="AU19" s="41"/>
      <c r="AV19" s="41"/>
      <c r="AW19" s="41"/>
      <c r="AX19" s="41"/>
      <c r="AY19" s="41"/>
      <c r="AZ19" s="41"/>
      <c r="BA19" s="41">
        <f>+AR19+AS19+AU19+AW19+AY19+AZ19</f>
        <v>0</v>
      </c>
      <c r="BB19" s="37">
        <v>0</v>
      </c>
      <c r="BC19" s="55"/>
      <c r="BD19" s="55"/>
      <c r="BE19" s="37"/>
      <c r="BF19" s="55"/>
    </row>
    <row r="20" spans="1:58" ht="12.95" customHeight="1">
      <c r="A20" s="343"/>
      <c r="B20" s="45" t="s">
        <v>427</v>
      </c>
      <c r="C20" s="450">
        <f>(M20*E20*O20*Q20)/100000000</f>
        <v>33.480103679999999</v>
      </c>
      <c r="D20" s="45" t="s">
        <v>408</v>
      </c>
      <c r="E20" s="46">
        <v>12</v>
      </c>
      <c r="F20" s="46">
        <v>1</v>
      </c>
      <c r="G20" s="463">
        <v>1700</v>
      </c>
      <c r="H20" s="48">
        <f>+N20</f>
        <v>0.24</v>
      </c>
      <c r="I20" s="49">
        <v>0.88</v>
      </c>
      <c r="J20" s="88">
        <f>E20*G20*(1-H20)*1440/1000000*2.77</f>
        <v>61.8423552</v>
      </c>
      <c r="K20" s="88">
        <f>(IF(G20&lt;L20,L20,G20)*(1-IF(H20&lt;N20,H20,N20))*E20*O20*Q20)/100000000</f>
        <v>34.902604799999999</v>
      </c>
      <c r="L20" s="39">
        <v>1630.7142857142858</v>
      </c>
      <c r="M20" s="39">
        <v>1239.3428571428572</v>
      </c>
      <c r="N20" s="50">
        <f>1-(M20/L20)</f>
        <v>0.24</v>
      </c>
      <c r="O20" s="51">
        <f>+'Trim Rwd'!H17</f>
        <v>268</v>
      </c>
      <c r="P20" s="52">
        <f>O20*(Q20-R20-S20)</f>
        <v>217080</v>
      </c>
      <c r="Q20" s="51">
        <v>840</v>
      </c>
      <c r="R20" s="419">
        <v>0</v>
      </c>
      <c r="S20" s="419">
        <v>30</v>
      </c>
      <c r="T20" s="41">
        <f>E20*M20*O20*Q20/100000000</f>
        <v>33.480103679999999</v>
      </c>
      <c r="U20" s="41">
        <f>E20*M20*O20*(Q20-R20-S20)/100000000</f>
        <v>32.284385691428575</v>
      </c>
      <c r="V20" s="41">
        <f>E20*G20*(1-N20)*O20/100*(R20+S20)/1000000</f>
        <v>1.2465216000000001</v>
      </c>
      <c r="W20" s="41">
        <f>+'4'!K10/1000</f>
        <v>0</v>
      </c>
      <c r="X20" s="42"/>
      <c r="Y20" s="220"/>
      <c r="Z20" s="41"/>
      <c r="AA20" s="41"/>
      <c r="AB20" s="41"/>
      <c r="AC20" s="41">
        <f>K20-T20</f>
        <v>1.4225011199999997</v>
      </c>
      <c r="AD20" s="41">
        <f>+AM20+BA20</f>
        <v>22</v>
      </c>
      <c r="AE20" s="238" t="s">
        <v>485</v>
      </c>
      <c r="AF20" s="41"/>
      <c r="AG20" s="41">
        <v>22</v>
      </c>
      <c r="AH20" s="41"/>
      <c r="AI20" s="459"/>
      <c r="AJ20" s="41"/>
      <c r="AK20" s="41"/>
      <c r="AL20" s="41"/>
      <c r="AM20" s="41">
        <f>SUM(AF20:AL20)+AT20+AV20+AX20</f>
        <v>22</v>
      </c>
      <c r="AN20" s="89"/>
      <c r="AO20" s="41"/>
      <c r="AP20" s="41"/>
      <c r="AQ20" s="41"/>
      <c r="AR20" s="41">
        <f>SUM(AN20:AQ20)</f>
        <v>0</v>
      </c>
      <c r="AS20" s="41"/>
      <c r="AT20" s="41"/>
      <c r="AU20" s="41"/>
      <c r="AV20" s="41"/>
      <c r="AW20" s="41"/>
      <c r="AX20" s="41"/>
      <c r="AY20" s="41"/>
      <c r="AZ20" s="41"/>
      <c r="BA20" s="41">
        <f>+AR20+AS20+AU20+AW20+AY20+AZ20</f>
        <v>0</v>
      </c>
      <c r="BB20" s="54"/>
      <c r="BC20" s="55">
        <v>15</v>
      </c>
      <c r="BD20" s="55"/>
      <c r="BE20" s="54"/>
      <c r="BF20" s="55"/>
    </row>
    <row r="21" spans="1:58" ht="12.95" customHeight="1">
      <c r="A21" s="44"/>
      <c r="B21" s="45"/>
      <c r="C21" s="450"/>
      <c r="D21" s="45"/>
      <c r="E21" s="46"/>
      <c r="F21" s="46"/>
      <c r="G21" s="47"/>
      <c r="H21" s="48"/>
      <c r="I21" s="49"/>
      <c r="J21" s="88"/>
      <c r="K21" s="88"/>
      <c r="L21" s="39"/>
      <c r="M21" s="39"/>
      <c r="N21" s="50"/>
      <c r="O21" s="51"/>
      <c r="P21" s="52"/>
      <c r="Q21" s="51"/>
      <c r="R21" s="419"/>
      <c r="S21" s="419"/>
      <c r="T21" s="41"/>
      <c r="U21" s="41"/>
      <c r="V21" s="41"/>
      <c r="W21" s="41"/>
      <c r="X21" s="42"/>
      <c r="Y21" s="220"/>
      <c r="Z21" s="41"/>
      <c r="AA21" s="41"/>
      <c r="AB21" s="41"/>
      <c r="AC21" s="41"/>
      <c r="AD21" s="41">
        <f>+AM21+BA21</f>
        <v>30</v>
      </c>
      <c r="AE21" s="238" t="s">
        <v>459</v>
      </c>
      <c r="AF21" s="37"/>
      <c r="AG21" s="37"/>
      <c r="AH21" s="37">
        <v>30</v>
      </c>
      <c r="AJ21" s="41"/>
      <c r="AK21" s="41"/>
      <c r="AL21" s="41"/>
      <c r="AM21" s="41">
        <f>SUM(AF21:AL21)+AT21+AV21+AX21</f>
        <v>30</v>
      </c>
      <c r="AN21" s="41"/>
      <c r="AO21" s="41"/>
      <c r="AP21" s="41"/>
      <c r="AQ21" s="41"/>
      <c r="AR21" s="41">
        <f>SUM(AN21:AQ21)</f>
        <v>0</v>
      </c>
      <c r="AS21" s="41"/>
      <c r="AT21" s="41"/>
      <c r="AU21" s="41"/>
      <c r="AV21" s="41"/>
      <c r="AW21" s="41"/>
      <c r="AX21" s="41"/>
      <c r="AY21" s="41"/>
      <c r="AZ21" s="41"/>
      <c r="BA21" s="41">
        <f>+AR21+AS21+AU21+AW21+AY21+AZ21</f>
        <v>0</v>
      </c>
      <c r="BB21" s="37"/>
      <c r="BC21" s="57"/>
      <c r="BD21" s="57"/>
      <c r="BE21" s="37"/>
      <c r="BF21" s="57"/>
    </row>
    <row r="22" spans="1:58" ht="12.95" customHeight="1">
      <c r="A22" s="44"/>
      <c r="B22" s="45"/>
      <c r="C22" s="450"/>
      <c r="D22" s="45"/>
      <c r="E22" s="46"/>
      <c r="F22" s="46"/>
      <c r="G22" s="47"/>
      <c r="H22" s="48"/>
      <c r="I22" s="49"/>
      <c r="J22" s="88"/>
      <c r="K22" s="88"/>
      <c r="L22" s="39"/>
      <c r="M22" s="39"/>
      <c r="N22" s="50"/>
      <c r="O22" s="51"/>
      <c r="P22" s="52"/>
      <c r="Q22" s="38"/>
      <c r="R22" s="419"/>
      <c r="S22" s="419"/>
      <c r="T22" s="41"/>
      <c r="U22" s="41"/>
      <c r="V22" s="41"/>
      <c r="W22" s="41"/>
      <c r="X22" s="42"/>
      <c r="Y22" s="220"/>
      <c r="Z22" s="41"/>
      <c r="AA22" s="41"/>
      <c r="AB22" s="41"/>
      <c r="AC22" s="41"/>
      <c r="AD22" s="41"/>
      <c r="AE22" s="241"/>
      <c r="AF22" s="41"/>
      <c r="AG22" s="41"/>
      <c r="AH22" s="41"/>
      <c r="AI22" s="459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37"/>
      <c r="BC22" s="57"/>
      <c r="BD22" s="57"/>
      <c r="BE22" s="37"/>
      <c r="BF22" s="57"/>
    </row>
    <row r="23" spans="1:58" ht="12.95" customHeight="1">
      <c r="A23" s="343">
        <v>46117</v>
      </c>
      <c r="B23" s="45" t="s">
        <v>427</v>
      </c>
      <c r="C23" s="450">
        <f>(M23*E23*O23*Q23)/100000000</f>
        <v>27.6609312</v>
      </c>
      <c r="D23" s="45" t="s">
        <v>408</v>
      </c>
      <c r="E23" s="46">
        <v>12</v>
      </c>
      <c r="F23" s="46">
        <v>1</v>
      </c>
      <c r="G23" s="463">
        <v>1700</v>
      </c>
      <c r="H23" s="48">
        <f>+N23</f>
        <v>0.23994726433750824</v>
      </c>
      <c r="I23" s="49">
        <v>0.88</v>
      </c>
      <c r="J23" s="88">
        <f>E23*G23*(1-H23)*1440/1000000*2.77</f>
        <v>61.846646381015162</v>
      </c>
      <c r="K23" s="88">
        <f>(IF(G23&lt;L23,L23,G23)*(1-IF(H23&lt;N23,H23,N23))*E23*O23*Q23)/100000000</f>
        <v>30.997747554383654</v>
      </c>
      <c r="L23" s="39">
        <v>1517</v>
      </c>
      <c r="M23" s="39">
        <v>1153</v>
      </c>
      <c r="N23" s="50">
        <f>1-(M23/L23)</f>
        <v>0.23994726433750824</v>
      </c>
      <c r="O23" s="51">
        <f>+'Trim Rwd'!H19</f>
        <v>272</v>
      </c>
      <c r="P23" s="52">
        <f>O23*(Q23-R23-S23)</f>
        <v>153136</v>
      </c>
      <c r="Q23" s="51">
        <f>600+135</f>
        <v>735</v>
      </c>
      <c r="R23" s="419">
        <v>135</v>
      </c>
      <c r="S23" s="419">
        <v>37</v>
      </c>
      <c r="T23" s="41">
        <f>E23*M23*O23*Q23/100000000</f>
        <v>27.6609312</v>
      </c>
      <c r="U23" s="41">
        <f>E23*M23*O23*(Q23-R23-S23)/100000000</f>
        <v>21.18789696</v>
      </c>
      <c r="V23" s="41">
        <f>E23*G23*(1-N23)*O23/100*(R23+S23)/1000000</f>
        <v>7.2538946657877377</v>
      </c>
      <c r="W23" s="41">
        <f>+'5'!K10/1000</f>
        <v>25.678999999999998</v>
      </c>
      <c r="X23" s="416">
        <f>SUM(W23:W26)/SUM(K23:K26)</f>
        <v>0.76882602427068336</v>
      </c>
      <c r="Y23" s="220">
        <v>0</v>
      </c>
      <c r="Z23" s="41">
        <f>+'5'!D7/1000</f>
        <v>0.26</v>
      </c>
      <c r="AA23" s="53">
        <f>SUM(U23:U26)-SUM(W23:W26)-SUM(Z23:Z26)-SUM(Y23:Y26)</f>
        <v>-1.001927224615381</v>
      </c>
      <c r="AB23" s="53">
        <f>(SUM(K23:K26)-SUM(W23:W26)-SUM(Y23:Y26)-SUM(Z23:Z26)-SUM(AC23:AC26)-SUM(V23:V26))-AA23</f>
        <v>-0.98603423501850496</v>
      </c>
      <c r="AC23" s="41">
        <f>K23-T23</f>
        <v>3.3368163543836538</v>
      </c>
      <c r="AD23" s="41">
        <f>+AM23+BA23</f>
        <v>20</v>
      </c>
      <c r="AE23" s="238" t="s">
        <v>522</v>
      </c>
      <c r="AF23" s="41">
        <v>20</v>
      </c>
      <c r="AG23" s="41"/>
      <c r="AH23" s="41"/>
      <c r="AI23" s="459"/>
      <c r="AJ23" s="41"/>
      <c r="AK23" s="41"/>
      <c r="AL23" s="41"/>
      <c r="AM23" s="41">
        <f>SUM(AF23:AL23)+AT23+AV23+AX23</f>
        <v>20</v>
      </c>
      <c r="AN23" s="41"/>
      <c r="AO23" s="41"/>
      <c r="AP23" s="41"/>
      <c r="AQ23" s="41"/>
      <c r="AR23" s="41">
        <f>SUM(AN23:AQ23)</f>
        <v>0</v>
      </c>
      <c r="AS23" s="41"/>
      <c r="AT23" s="41"/>
      <c r="AU23" s="41"/>
      <c r="AV23" s="41"/>
      <c r="AW23" s="41"/>
      <c r="AX23" s="41"/>
      <c r="AY23" s="41"/>
      <c r="AZ23" s="41"/>
      <c r="BA23" s="41">
        <f>+AR23+AS23+AU23+AW23+AY23+AZ23</f>
        <v>0</v>
      </c>
      <c r="BB23" s="37">
        <v>4</v>
      </c>
      <c r="BC23" s="55"/>
      <c r="BD23" s="55"/>
      <c r="BE23" s="37"/>
      <c r="BF23" s="55"/>
    </row>
    <row r="24" spans="1:58" ht="12.95" customHeight="1">
      <c r="A24" s="343"/>
      <c r="B24" s="45" t="s">
        <v>427</v>
      </c>
      <c r="C24" s="450">
        <f>(M24*E24*O24*Q24)/100000000</f>
        <v>4.4576279999999997</v>
      </c>
      <c r="D24" s="45" t="s">
        <v>408</v>
      </c>
      <c r="E24" s="46">
        <v>14</v>
      </c>
      <c r="F24" s="46">
        <v>1</v>
      </c>
      <c r="G24" s="463">
        <v>1700</v>
      </c>
      <c r="H24" s="48">
        <f>+N24</f>
        <v>0.24</v>
      </c>
      <c r="I24" s="49">
        <v>0.88</v>
      </c>
      <c r="J24" s="88">
        <f>E24*G24*(1-H24)*1440/1000000*2.77</f>
        <v>72.149414399999998</v>
      </c>
      <c r="K24" s="88">
        <f>(IF(G24&lt;L24,L24,G24)*(1-IF(H24&lt;N24,H24,N24))*E24*O24*Q24)/100000000</f>
        <v>5.0519784000000003</v>
      </c>
      <c r="L24" s="39">
        <v>1500</v>
      </c>
      <c r="M24" s="39">
        <v>1140</v>
      </c>
      <c r="N24" s="50">
        <f>1-(M24/L24)</f>
        <v>0.24</v>
      </c>
      <c r="O24" s="51">
        <f>+'Trim Rwd'!H20</f>
        <v>266</v>
      </c>
      <c r="P24" s="52">
        <f>O24*(Q24-R24-S24)</f>
        <v>25270</v>
      </c>
      <c r="Q24" s="51">
        <v>105</v>
      </c>
      <c r="R24" s="419">
        <v>0</v>
      </c>
      <c r="S24" s="419">
        <v>10</v>
      </c>
      <c r="T24" s="41">
        <f>E24*M24*O24*Q24/100000000</f>
        <v>4.4576279999999997</v>
      </c>
      <c r="U24" s="41">
        <f>E24*M24*O24*(Q24-R24-S24)/100000000</f>
        <v>4.0330919999999999</v>
      </c>
      <c r="V24" s="41">
        <f>E24*G24*(1-N24)*O24/100*(R24+S24)/1000000</f>
        <v>0.48114080000000004</v>
      </c>
      <c r="W24" s="41">
        <f>+'5'!K7/1000</f>
        <v>2.9990000000000001</v>
      </c>
      <c r="X24" s="42"/>
      <c r="Y24" s="220"/>
      <c r="Z24" s="41"/>
      <c r="AA24" s="41"/>
      <c r="AB24" s="41"/>
      <c r="AC24" s="41">
        <f>K24-T24</f>
        <v>0.59435040000000061</v>
      </c>
      <c r="AD24" s="41">
        <f>+AM24+BA24</f>
        <v>17</v>
      </c>
      <c r="AE24" s="238" t="s">
        <v>525</v>
      </c>
      <c r="AF24" s="41"/>
      <c r="AG24" s="41">
        <v>17</v>
      </c>
      <c r="AH24" s="41"/>
      <c r="AI24" s="459"/>
      <c r="AJ24" s="41"/>
      <c r="AK24" s="41"/>
      <c r="AL24" s="41"/>
      <c r="AM24" s="41">
        <f>SUM(AF24:AL24)+AT24+AV24+AX24</f>
        <v>17</v>
      </c>
      <c r="AN24" s="89"/>
      <c r="AO24" s="41"/>
      <c r="AP24" s="41"/>
      <c r="AQ24" s="41"/>
      <c r="AR24" s="41">
        <f>SUM(AN24:AQ24)</f>
        <v>0</v>
      </c>
      <c r="AS24" s="41"/>
      <c r="AT24" s="41"/>
      <c r="AU24" s="41"/>
      <c r="AV24" s="41"/>
      <c r="AW24" s="41"/>
      <c r="AX24" s="41"/>
      <c r="AY24" s="41"/>
      <c r="AZ24" s="41"/>
      <c r="BA24" s="41">
        <f>+AR24+AS24+AU24+AW24+AY24+AZ24</f>
        <v>0</v>
      </c>
      <c r="BB24" s="54"/>
      <c r="BC24" s="55">
        <v>10</v>
      </c>
      <c r="BD24" s="55"/>
      <c r="BE24" s="54"/>
      <c r="BF24" s="55"/>
    </row>
    <row r="25" spans="1:58" ht="12.95" customHeight="1">
      <c r="A25" s="44"/>
      <c r="B25" s="45" t="s">
        <v>523</v>
      </c>
      <c r="C25" s="450">
        <f>(M25*E25*O25*Q25)/100000000</f>
        <v>22.285351384615389</v>
      </c>
      <c r="D25" s="45" t="s">
        <v>408</v>
      </c>
      <c r="E25" s="46">
        <v>12</v>
      </c>
      <c r="F25" s="46">
        <v>1</v>
      </c>
      <c r="G25" s="463">
        <v>1700</v>
      </c>
      <c r="H25" s="48">
        <f>+N25</f>
        <v>0.24</v>
      </c>
      <c r="I25" s="49">
        <v>0.88</v>
      </c>
      <c r="J25" s="88">
        <f>E25*G25*(1-H25)*1440/1000000*2.77</f>
        <v>61.8423552</v>
      </c>
      <c r="K25" s="88">
        <f>(IF(G25&lt;L25,L25,G25)*(1-IF(H25&lt;N25,H25,N25))*E25*O25*Q25)/100000000</f>
        <v>25.256731569230769</v>
      </c>
      <c r="L25" s="39">
        <v>1500</v>
      </c>
      <c r="M25" s="39">
        <v>1140</v>
      </c>
      <c r="N25" s="50">
        <f>1-(M25/L25)</f>
        <v>0.24</v>
      </c>
      <c r="O25" s="51">
        <f>+'Trim Rwd'!H21</f>
        <v>271.50769230769231</v>
      </c>
      <c r="P25" s="52">
        <f>O25*(Q25-R25-S25)</f>
        <v>154759.38461538462</v>
      </c>
      <c r="Q25" s="51">
        <v>600</v>
      </c>
      <c r="R25" s="419">
        <v>0</v>
      </c>
      <c r="S25" s="419">
        <v>30</v>
      </c>
      <c r="T25" s="41">
        <f>E25*M25*O25*Q25/100000000</f>
        <v>22.285351384615389</v>
      </c>
      <c r="U25" s="41">
        <f>E25*M25*O25*(Q25-R25-S25)/100000000</f>
        <v>21.171083815384616</v>
      </c>
      <c r="V25" s="41">
        <f>E25*G25*(1-N25)*O25/100*(R25+S25)/1000000</f>
        <v>1.2628365784615385</v>
      </c>
      <c r="W25" s="41">
        <f>+'5'!K11/1000</f>
        <v>18.456</v>
      </c>
      <c r="X25" s="42"/>
      <c r="Y25" s="220"/>
      <c r="Z25" s="41"/>
      <c r="AA25" s="41"/>
      <c r="AB25" s="41"/>
      <c r="AC25" s="41">
        <f>K25-T25</f>
        <v>2.9713801846153807</v>
      </c>
      <c r="AD25" s="41">
        <f>+AM25+BA25</f>
        <v>30</v>
      </c>
      <c r="AE25" s="238" t="s">
        <v>486</v>
      </c>
      <c r="AF25" s="37"/>
      <c r="AG25" s="37"/>
      <c r="AH25" s="37">
        <v>30</v>
      </c>
      <c r="AJ25" s="41"/>
      <c r="AK25" s="41"/>
      <c r="AL25" s="41"/>
      <c r="AM25" s="41">
        <f>SUM(AF25:AL25)+AT25+AV25+AX25</f>
        <v>30</v>
      </c>
      <c r="AN25" s="41"/>
      <c r="AO25" s="41"/>
      <c r="AP25" s="41"/>
      <c r="AQ25" s="41"/>
      <c r="AR25" s="41">
        <f>SUM(AN25:AQ25)</f>
        <v>0</v>
      </c>
      <c r="AS25" s="41"/>
      <c r="AT25" s="41"/>
      <c r="AU25" s="41"/>
      <c r="AV25" s="41"/>
      <c r="AW25" s="41"/>
      <c r="AX25" s="41"/>
      <c r="AY25" s="41"/>
      <c r="AZ25" s="41"/>
      <c r="BA25" s="41">
        <f>+AR25+AS25+AU25+AW25+AY25+AZ25</f>
        <v>0</v>
      </c>
      <c r="BB25" s="37"/>
      <c r="BC25" s="57"/>
      <c r="BD25" s="57"/>
      <c r="BE25" s="37"/>
      <c r="BF25" s="57"/>
    </row>
    <row r="26" spans="1:58" ht="12.95" customHeight="1">
      <c r="A26" s="44"/>
      <c r="B26" s="45"/>
      <c r="C26" s="450"/>
      <c r="D26" s="45"/>
      <c r="E26" s="46"/>
      <c r="F26" s="46"/>
      <c r="G26" s="47"/>
      <c r="H26" s="48"/>
      <c r="I26" s="49"/>
      <c r="J26" s="88"/>
      <c r="K26" s="88"/>
      <c r="L26" s="39"/>
      <c r="M26" s="39"/>
      <c r="N26" s="50"/>
      <c r="O26" s="51"/>
      <c r="P26" s="52"/>
      <c r="Q26" s="38"/>
      <c r="R26" s="419"/>
      <c r="S26" s="419"/>
      <c r="T26" s="41"/>
      <c r="U26" s="41"/>
      <c r="V26" s="41"/>
      <c r="W26" s="41"/>
      <c r="X26" s="42"/>
      <c r="Y26" s="220"/>
      <c r="Z26" s="41"/>
      <c r="AA26" s="41"/>
      <c r="AB26" s="41"/>
      <c r="AC26" s="41"/>
      <c r="AD26" s="41">
        <f>+AM26+BA26</f>
        <v>10</v>
      </c>
      <c r="AE26" s="241" t="s">
        <v>487</v>
      </c>
      <c r="AF26" s="41"/>
      <c r="AG26" s="41"/>
      <c r="AH26" s="41"/>
      <c r="AI26" s="459">
        <v>10</v>
      </c>
      <c r="AJ26" s="41"/>
      <c r="AK26" s="41"/>
      <c r="AL26" s="41"/>
      <c r="AM26" s="41">
        <f>SUM(AF26:AL26)+AT26+AV26+AX26</f>
        <v>10</v>
      </c>
      <c r="AN26" s="41"/>
      <c r="AO26" s="41"/>
      <c r="AP26" s="41"/>
      <c r="AQ26" s="41"/>
      <c r="AR26" s="41">
        <f>SUM(AN26:AQ26)</f>
        <v>0</v>
      </c>
      <c r="AS26" s="41"/>
      <c r="AT26" s="41"/>
      <c r="AU26" s="41"/>
      <c r="AV26" s="41"/>
      <c r="AW26" s="41"/>
      <c r="AX26" s="41"/>
      <c r="AY26" s="41"/>
      <c r="AZ26" s="41"/>
      <c r="BA26" s="41">
        <f>+AR26+AS26+AU26+AW26+AY26+AZ26</f>
        <v>0</v>
      </c>
      <c r="BB26" s="37"/>
      <c r="BC26" s="57"/>
      <c r="BD26" s="57"/>
      <c r="BE26" s="37"/>
      <c r="BF26" s="57"/>
    </row>
    <row r="27" spans="1:58" ht="12.95" customHeight="1">
      <c r="A27" s="44"/>
      <c r="B27" s="45"/>
      <c r="C27" s="450"/>
      <c r="D27" s="45"/>
      <c r="E27" s="46"/>
      <c r="F27" s="46"/>
      <c r="G27" s="47"/>
      <c r="H27" s="48"/>
      <c r="I27" s="49"/>
      <c r="J27" s="88"/>
      <c r="K27" s="88"/>
      <c r="L27" s="39"/>
      <c r="M27" s="39"/>
      <c r="N27" s="50"/>
      <c r="O27" s="51"/>
      <c r="P27" s="52"/>
      <c r="Q27" s="51"/>
      <c r="R27" s="419"/>
      <c r="S27" s="419"/>
      <c r="T27" s="41"/>
      <c r="U27" s="41"/>
      <c r="V27" s="41"/>
      <c r="W27" s="41"/>
      <c r="X27" s="42"/>
      <c r="Y27" s="220"/>
      <c r="Z27" s="41"/>
      <c r="AA27" s="41"/>
      <c r="AB27" s="41"/>
      <c r="AC27" s="41"/>
      <c r="AD27" s="41">
        <f>+AM27+BA27</f>
        <v>135</v>
      </c>
      <c r="AE27" s="238" t="s">
        <v>526</v>
      </c>
      <c r="AF27" s="37"/>
      <c r="AG27" s="37"/>
      <c r="AH27" s="37"/>
      <c r="AI27" s="459"/>
      <c r="AJ27" s="41"/>
      <c r="AK27" s="41"/>
      <c r="AL27" s="41"/>
      <c r="AM27" s="41">
        <f>SUM(AF27:AL27)+AT27+AV27+AX27</f>
        <v>0</v>
      </c>
      <c r="AN27" s="41"/>
      <c r="AO27" s="41"/>
      <c r="AP27" s="41"/>
      <c r="AQ27" s="41"/>
      <c r="AR27" s="41">
        <f>SUM(AN27:AQ27)</f>
        <v>0</v>
      </c>
      <c r="AS27" s="41"/>
      <c r="AT27" s="41"/>
      <c r="AU27" s="41"/>
      <c r="AV27" s="41"/>
      <c r="AW27" s="41"/>
      <c r="AX27" s="41"/>
      <c r="AY27" s="41">
        <v>135</v>
      </c>
      <c r="AZ27" s="41"/>
      <c r="BA27" s="41">
        <f>+AR27+AS27+AU27+AW27+AY27+AZ27</f>
        <v>135</v>
      </c>
      <c r="BB27" s="37"/>
      <c r="BC27" s="57"/>
      <c r="BD27" s="57"/>
      <c r="BE27" s="37">
        <v>1</v>
      </c>
      <c r="BF27" s="57"/>
    </row>
    <row r="28" spans="1:58" ht="12.95" customHeight="1">
      <c r="A28" s="44"/>
      <c r="B28" s="45"/>
      <c r="C28" s="450"/>
      <c r="D28" s="45"/>
      <c r="E28" s="46"/>
      <c r="F28" s="46"/>
      <c r="G28" s="47"/>
      <c r="H28" s="48"/>
      <c r="I28" s="49"/>
      <c r="J28" s="88"/>
      <c r="K28" s="88"/>
      <c r="L28" s="39"/>
      <c r="M28" s="39"/>
      <c r="N28" s="50"/>
      <c r="O28" s="51"/>
      <c r="P28" s="52"/>
      <c r="Q28" s="51"/>
      <c r="R28" s="419"/>
      <c r="S28" s="419"/>
      <c r="T28" s="41"/>
      <c r="U28" s="41"/>
      <c r="V28" s="41"/>
      <c r="W28" s="41"/>
      <c r="X28" s="42"/>
      <c r="Y28" s="220"/>
      <c r="Z28" s="41"/>
      <c r="AA28" s="41"/>
      <c r="AB28" s="41"/>
      <c r="AC28" s="41"/>
      <c r="AD28" s="41"/>
      <c r="AE28" s="573"/>
      <c r="AF28" s="37"/>
      <c r="AG28" s="37"/>
      <c r="AH28" s="37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37"/>
      <c r="BC28" s="57"/>
      <c r="BD28" s="57"/>
      <c r="BE28" s="37"/>
      <c r="BF28" s="57"/>
    </row>
    <row r="29" spans="1:58" ht="12.95" customHeight="1">
      <c r="A29" s="343">
        <v>46118</v>
      </c>
      <c r="B29" s="45" t="s">
        <v>523</v>
      </c>
      <c r="C29" s="450">
        <f>(M29*E29*O29*Q29)/100000000</f>
        <v>7.9975833600000001</v>
      </c>
      <c r="D29" s="45" t="s">
        <v>408</v>
      </c>
      <c r="E29" s="46">
        <v>12</v>
      </c>
      <c r="F29" s="46">
        <v>1</v>
      </c>
      <c r="G29" s="463">
        <v>1700</v>
      </c>
      <c r="H29" s="48">
        <f>+N29</f>
        <v>0.24</v>
      </c>
      <c r="I29" s="49">
        <v>0.88</v>
      </c>
      <c r="J29" s="88">
        <f>E29*G29*(1-H29)*1440/1000000*2.77</f>
        <v>61.8423552</v>
      </c>
      <c r="K29" s="88">
        <f>(IF(G29&lt;L29,L29,G29)*(1-IF(H29&lt;N29,H29,N29))*E29*O29*Q29)/100000000</f>
        <v>8.7715430399999992</v>
      </c>
      <c r="L29" s="39">
        <v>1550</v>
      </c>
      <c r="M29" s="39">
        <f>+L29-L29*0.24</f>
        <v>1178</v>
      </c>
      <c r="N29" s="50">
        <f>1-(M29/L29)</f>
        <v>0.24</v>
      </c>
      <c r="O29" s="51">
        <f>+'Trim Rwd'!H24</f>
        <v>272</v>
      </c>
      <c r="P29" s="52">
        <f>O29*(Q29-R29-S29)</f>
        <v>53312</v>
      </c>
      <c r="Q29" s="51">
        <v>208</v>
      </c>
      <c r="R29" s="419">
        <v>0</v>
      </c>
      <c r="S29" s="419">
        <v>12</v>
      </c>
      <c r="T29" s="41">
        <f>E29*M29*O29*Q29/100000000</f>
        <v>7.9975833600000001</v>
      </c>
      <c r="U29" s="41">
        <f>E29*M29*O29*(Q29-R29-S29)/100000000</f>
        <v>7.5361843200000003</v>
      </c>
      <c r="V29" s="41">
        <f>E29*G29*(1-N29)*O29/100*(R29+S29)/1000000</f>
        <v>0.50605055999999993</v>
      </c>
      <c r="W29" s="41">
        <f>+'6'!K11/1000</f>
        <v>11.897</v>
      </c>
      <c r="X29" s="416">
        <f>SUM(W29:W32)/SUM(K29:K32)</f>
        <v>0.90679342184358558</v>
      </c>
      <c r="Y29" s="220">
        <v>0</v>
      </c>
      <c r="Z29" s="41">
        <v>0</v>
      </c>
      <c r="AA29" s="53">
        <f>SUM(U29:U32)-SUM(W29:W32)-SUM(Z29:Z32)-SUM(Y29:Y32)</f>
        <v>0.6915538560000013</v>
      </c>
      <c r="AB29" s="53">
        <f>(SUM(K29:K32)-SUM(W29:W32)-SUM(Y29:Y32)-SUM(Z29:Z32)-SUM(AC29:AC32)-SUM(V29:V32))-AA29</f>
        <v>-0.10108607999999675</v>
      </c>
      <c r="AC29" s="41">
        <f>K29-T29</f>
        <v>0.77395967999999904</v>
      </c>
      <c r="AD29" s="41">
        <f>+AM29+BA29</f>
        <v>0</v>
      </c>
      <c r="AE29" s="238" t="s">
        <v>277</v>
      </c>
      <c r="AF29" s="41">
        <v>0</v>
      </c>
      <c r="AG29" s="41"/>
      <c r="AH29" s="41"/>
      <c r="AI29" s="459"/>
      <c r="AJ29" s="41"/>
      <c r="AK29" s="41"/>
      <c r="AL29" s="41"/>
      <c r="AM29" s="41">
        <f>SUM(AF29:AL29)+AT29+AV29+AX29</f>
        <v>0</v>
      </c>
      <c r="AN29" s="41"/>
      <c r="AO29" s="41"/>
      <c r="AP29" s="41"/>
      <c r="AQ29" s="41"/>
      <c r="AR29" s="41">
        <f>SUM(AN29:AQ29)</f>
        <v>0</v>
      </c>
      <c r="AS29" s="41"/>
      <c r="AT29" s="41"/>
      <c r="AU29" s="41"/>
      <c r="AV29" s="41"/>
      <c r="AW29" s="41"/>
      <c r="AX29" s="41"/>
      <c r="AY29" s="41"/>
      <c r="AZ29" s="41"/>
      <c r="BA29" s="41">
        <f>+AR29+AS29+AU29+AW29+AY29+AZ29</f>
        <v>0</v>
      </c>
      <c r="BB29" s="37">
        <v>0</v>
      </c>
      <c r="BC29" s="55"/>
      <c r="BD29" s="55"/>
      <c r="BE29" s="37"/>
      <c r="BF29" s="55"/>
    </row>
    <row r="30" spans="1:58" ht="12.95" customHeight="1">
      <c r="A30" s="343"/>
      <c r="B30" s="45" t="s">
        <v>523</v>
      </c>
      <c r="C30" s="450">
        <f>(M30*E30*O30*Q30)/100000000</f>
        <v>53.966488575999996</v>
      </c>
      <c r="D30" s="45" t="s">
        <v>408</v>
      </c>
      <c r="E30" s="46">
        <v>13</v>
      </c>
      <c r="F30" s="46">
        <v>1</v>
      </c>
      <c r="G30" s="463">
        <v>1700</v>
      </c>
      <c r="H30" s="48">
        <f>+N30</f>
        <v>0.24</v>
      </c>
      <c r="I30" s="49">
        <v>0.88</v>
      </c>
      <c r="J30" s="88">
        <f>E30*G30*(1-H30)*1440/1000000*2.77</f>
        <v>66.995884799999999</v>
      </c>
      <c r="K30" s="88">
        <f>(IF(G30&lt;L30,L30,G30)*(1-IF(H30&lt;N30,H30,N30))*E30*O30*Q30)/100000000</f>
        <v>56.284067839999999</v>
      </c>
      <c r="L30" s="39">
        <v>1630</v>
      </c>
      <c r="M30" s="39">
        <f>+L30-L30*0.24</f>
        <v>1238.8</v>
      </c>
      <c r="N30" s="50">
        <f>1-(M30/L30)</f>
        <v>0.24</v>
      </c>
      <c r="O30" s="51">
        <f>+'Trim Rwd'!H25</f>
        <v>272</v>
      </c>
      <c r="P30" s="52">
        <f>O30*(Q30-R30-S30)</f>
        <v>326944</v>
      </c>
      <c r="Q30" s="51">
        <v>1232</v>
      </c>
      <c r="R30" s="419">
        <v>0</v>
      </c>
      <c r="S30" s="419">
        <v>30</v>
      </c>
      <c r="T30" s="41">
        <f>E30*M30*O30*Q30/100000000</f>
        <v>53.966488575999996</v>
      </c>
      <c r="U30" s="41">
        <f>E30*M30*O30*(Q30-R30-S30)/100000000</f>
        <v>52.652369535999995</v>
      </c>
      <c r="V30" s="41">
        <f>E30*G30*(1-N30)*O30/100*(R30+S30)/1000000</f>
        <v>1.3705536</v>
      </c>
      <c r="W30" s="41">
        <f>+'6'!K12/1000</f>
        <v>47.094999999999999</v>
      </c>
      <c r="X30" s="42"/>
      <c r="Y30" s="220"/>
      <c r="Z30" s="41">
        <f>+'6'!D34/1000</f>
        <v>0.505</v>
      </c>
      <c r="AA30" s="41"/>
      <c r="AB30" s="41"/>
      <c r="AC30" s="41">
        <f>K30-T30</f>
        <v>2.3175792640000026</v>
      </c>
      <c r="AD30" s="41">
        <f>+AM30+BA30</f>
        <v>14</v>
      </c>
      <c r="AE30" s="238" t="s">
        <v>545</v>
      </c>
      <c r="AF30" s="41"/>
      <c r="AG30" s="41">
        <v>14</v>
      </c>
      <c r="AH30" s="41"/>
      <c r="AI30" s="459"/>
      <c r="AJ30" s="41"/>
      <c r="AK30" s="41"/>
      <c r="AL30" s="41"/>
      <c r="AM30" s="41">
        <f>SUM(AF30:AL30)+AT30+AV30+AX30</f>
        <v>14</v>
      </c>
      <c r="AN30" s="89"/>
      <c r="AO30" s="41"/>
      <c r="AP30" s="41"/>
      <c r="AQ30" s="41"/>
      <c r="AR30" s="41">
        <f>SUM(AN30:AQ30)</f>
        <v>0</v>
      </c>
      <c r="AS30" s="41"/>
      <c r="AT30" s="41"/>
      <c r="AU30" s="41"/>
      <c r="AV30" s="41"/>
      <c r="AW30" s="41"/>
      <c r="AX30" s="41"/>
      <c r="AY30" s="41"/>
      <c r="AZ30" s="41"/>
      <c r="BA30" s="41">
        <f>+AR30+AS30+AU30+AW30+AY30+AZ30</f>
        <v>0</v>
      </c>
      <c r="BB30" s="54"/>
      <c r="BC30" s="55">
        <v>13</v>
      </c>
      <c r="BD30" s="55"/>
      <c r="BE30" s="54"/>
      <c r="BF30" s="55"/>
    </row>
    <row r="31" spans="1:58" ht="12.95" customHeight="1">
      <c r="A31" s="44"/>
      <c r="B31" s="45"/>
      <c r="C31" s="450"/>
      <c r="D31" s="45"/>
      <c r="E31" s="46"/>
      <c r="F31" s="46"/>
      <c r="G31" s="463"/>
      <c r="H31" s="48"/>
      <c r="I31" s="49"/>
      <c r="J31" s="88"/>
      <c r="K31" s="88"/>
      <c r="L31" s="39"/>
      <c r="M31" s="39"/>
      <c r="N31" s="50"/>
      <c r="O31" s="51"/>
      <c r="P31" s="52"/>
      <c r="Q31" s="51"/>
      <c r="R31" s="419"/>
      <c r="S31" s="419"/>
      <c r="T31" s="41"/>
      <c r="U31" s="41"/>
      <c r="V31" s="41"/>
      <c r="W31" s="41"/>
      <c r="X31" s="42"/>
      <c r="Y31" s="220"/>
      <c r="Z31" s="41"/>
      <c r="AA31" s="41"/>
      <c r="AB31" s="41"/>
      <c r="AC31" s="41"/>
      <c r="AD31" s="41">
        <f>+AM31+BA31</f>
        <v>28</v>
      </c>
      <c r="AE31" s="238" t="s">
        <v>546</v>
      </c>
      <c r="AF31" s="37"/>
      <c r="AG31" s="37"/>
      <c r="AH31" s="37">
        <v>28</v>
      </c>
      <c r="AJ31" s="41"/>
      <c r="AK31" s="41"/>
      <c r="AL31" s="41"/>
      <c r="AM31" s="41">
        <f>SUM(AF31:AL31)+AT31+AV31+AX31</f>
        <v>28</v>
      </c>
      <c r="AN31" s="41"/>
      <c r="AO31" s="41"/>
      <c r="AP31" s="41"/>
      <c r="AQ31" s="41"/>
      <c r="AR31" s="41">
        <f>SUM(AN31:AQ31)</f>
        <v>0</v>
      </c>
      <c r="AS31" s="41"/>
      <c r="AT31" s="41"/>
      <c r="AU31" s="41"/>
      <c r="AV31" s="41"/>
      <c r="AW31" s="41"/>
      <c r="AX31" s="41"/>
      <c r="AY31" s="41"/>
      <c r="AZ31" s="41"/>
      <c r="BA31" s="41">
        <f>+AR31+AS31+AU31+AW31+AY31+AZ31</f>
        <v>0</v>
      </c>
      <c r="BB31" s="37"/>
      <c r="BC31" s="57"/>
      <c r="BD31" s="57"/>
      <c r="BE31" s="37"/>
      <c r="BF31" s="57"/>
    </row>
    <row r="32" spans="1:58" ht="12.95" customHeight="1">
      <c r="A32" s="44"/>
      <c r="B32" s="45"/>
      <c r="C32" s="450"/>
      <c r="D32" s="45"/>
      <c r="E32" s="46"/>
      <c r="F32" s="46"/>
      <c r="G32" s="47"/>
      <c r="H32" s="48"/>
      <c r="I32" s="49"/>
      <c r="J32" s="88"/>
      <c r="K32" s="88"/>
      <c r="L32" s="39"/>
      <c r="M32" s="39"/>
      <c r="N32" s="50"/>
      <c r="O32" s="51"/>
      <c r="P32" s="52"/>
      <c r="Q32" s="38"/>
      <c r="R32" s="419"/>
      <c r="S32" s="419"/>
      <c r="T32" s="41"/>
      <c r="U32" s="41"/>
      <c r="V32" s="41"/>
      <c r="W32" s="41"/>
      <c r="X32" s="42"/>
      <c r="Y32" s="220"/>
      <c r="Z32" s="41"/>
      <c r="AA32" s="41"/>
      <c r="AB32" s="41"/>
      <c r="AC32" s="41"/>
      <c r="AD32" s="41"/>
      <c r="AE32" s="241"/>
      <c r="AF32" s="41"/>
      <c r="AG32" s="41"/>
      <c r="AH32" s="41"/>
      <c r="AI32" s="459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37"/>
      <c r="BC32" s="57"/>
      <c r="BD32" s="57"/>
      <c r="BE32" s="37"/>
      <c r="BF32" s="57"/>
    </row>
    <row r="33" spans="1:58" ht="12.95" customHeight="1">
      <c r="A33" s="343">
        <v>46119</v>
      </c>
      <c r="B33" s="45" t="s">
        <v>523</v>
      </c>
      <c r="C33" s="450">
        <f>(M33*E33*O33*Q33)/100000000</f>
        <v>10.517895360000001</v>
      </c>
      <c r="D33" s="45" t="s">
        <v>408</v>
      </c>
      <c r="E33" s="46">
        <v>13.5</v>
      </c>
      <c r="F33" s="46">
        <v>1</v>
      </c>
      <c r="G33" s="463">
        <v>1700</v>
      </c>
      <c r="H33" s="48">
        <f>+N33</f>
        <v>0.24</v>
      </c>
      <c r="I33" s="49">
        <v>0.88</v>
      </c>
      <c r="J33" s="88">
        <f>E33*G33*(1-H33)*1440/1000000*2.77</f>
        <v>69.572649600000005</v>
      </c>
      <c r="K33" s="88">
        <f>(IF(G33&lt;L33,L33,G33)*(1-IF(H33&lt;N33,H33,N33))*E33*O33*Q33)/100000000</f>
        <v>10.643108399999999</v>
      </c>
      <c r="L33" s="39">
        <v>1680</v>
      </c>
      <c r="M33" s="39">
        <f>+L33-L33*0.24</f>
        <v>1276.8</v>
      </c>
      <c r="N33" s="50">
        <f>1-(M33/L33)</f>
        <v>0.24</v>
      </c>
      <c r="O33" s="51">
        <f>+'Trim Rwd'!H28</f>
        <v>270</v>
      </c>
      <c r="P33" s="52">
        <f>O33*(Q33-R33-S33)</f>
        <v>58320</v>
      </c>
      <c r="Q33" s="51">
        <v>226</v>
      </c>
      <c r="R33" s="419">
        <v>0</v>
      </c>
      <c r="S33" s="419">
        <v>10</v>
      </c>
      <c r="T33" s="41">
        <f>E33*M33*O33*Q33/100000000</f>
        <v>10.517895360000001</v>
      </c>
      <c r="U33" s="41">
        <f>E33*M33*O33*(Q33-R33-S33)/100000000</f>
        <v>10.05250176</v>
      </c>
      <c r="V33" s="41">
        <f>E33*G33*(1-N33)*O33/100*(R33+S33)/1000000</f>
        <v>0.47093400000000002</v>
      </c>
      <c r="W33" s="41">
        <f>+'7'!K13/1000</f>
        <v>11.138</v>
      </c>
      <c r="X33" s="416">
        <f>SUM(W33:W36)/SUM(K33:K36)</f>
        <v>0.94432381228372042</v>
      </c>
      <c r="Y33" s="220">
        <v>0</v>
      </c>
      <c r="Z33" s="41">
        <v>0</v>
      </c>
      <c r="AA33" s="53">
        <f>SUM(U33:U36)-SUM(W33:W36)-SUM(Z33:Z36)-SUM(Y33:Y36)</f>
        <v>1.1320457599999936</v>
      </c>
      <c r="AB33" s="53">
        <f>(SUM(K33:K36)-SUM(W33:W36)-SUM(Y33:Y36)-SUM(Z33:Z36)-SUM(AC33:AC36)-SUM(V33:V36))-AA33</f>
        <v>-5.5403999999923403E-3</v>
      </c>
      <c r="AC33" s="41">
        <f>K33-T33</f>
        <v>0.12521303999999844</v>
      </c>
      <c r="AD33" s="41">
        <f>+AM33+BA33</f>
        <v>10</v>
      </c>
      <c r="AE33" s="238" t="s">
        <v>555</v>
      </c>
      <c r="AF33" s="41">
        <v>10</v>
      </c>
      <c r="AG33" s="41"/>
      <c r="AH33" s="41"/>
      <c r="AI33" s="459"/>
      <c r="AJ33" s="41"/>
      <c r="AK33" s="41"/>
      <c r="AL33" s="41"/>
      <c r="AM33" s="41">
        <f>SUM(AF33:AL33)+AT33+AV33+AX33</f>
        <v>10</v>
      </c>
      <c r="AN33" s="41"/>
      <c r="AO33" s="41"/>
      <c r="AP33" s="41"/>
      <c r="AQ33" s="41"/>
      <c r="AR33" s="41">
        <f>SUM(AN33:AQ33)</f>
        <v>0</v>
      </c>
      <c r="AS33" s="41"/>
      <c r="AT33" s="41"/>
      <c r="AU33" s="41"/>
      <c r="AV33" s="41"/>
      <c r="AW33" s="41"/>
      <c r="AX33" s="41"/>
      <c r="AY33" s="41"/>
      <c r="AZ33" s="41"/>
      <c r="BA33" s="41">
        <f>+AR33+AS33+AU33+AW33+AY33+AZ33</f>
        <v>0</v>
      </c>
      <c r="BB33" s="37">
        <v>2</v>
      </c>
      <c r="BC33" s="55"/>
      <c r="BD33" s="55"/>
      <c r="BE33" s="37"/>
      <c r="BF33" s="55"/>
    </row>
    <row r="34" spans="1:58" ht="12.95" customHeight="1">
      <c r="A34" s="343"/>
      <c r="B34" s="45" t="s">
        <v>523</v>
      </c>
      <c r="C34" s="450">
        <f>(M34*E34*O34*Q34)/100000000</f>
        <v>53.328592</v>
      </c>
      <c r="D34" s="45" t="s">
        <v>408</v>
      </c>
      <c r="E34" s="46">
        <v>12.5</v>
      </c>
      <c r="F34" s="46">
        <v>1</v>
      </c>
      <c r="G34" s="463">
        <v>1700</v>
      </c>
      <c r="H34" s="48">
        <f>+N34</f>
        <v>0.24</v>
      </c>
      <c r="I34" s="49">
        <v>0.88</v>
      </c>
      <c r="J34" s="88">
        <f>E34*G34*(1-H34)*1440/1000000*2.77</f>
        <v>64.419120000000007</v>
      </c>
      <c r="K34" s="88">
        <f>(IF(G34&lt;L34,L34,G34)*(1-IF(H34&lt;N34,H34,N34))*E34*O34*Q34)/100000000</f>
        <v>53.328592</v>
      </c>
      <c r="L34" s="39">
        <v>1700</v>
      </c>
      <c r="M34" s="39">
        <f>+L34-L34*0.24</f>
        <v>1292</v>
      </c>
      <c r="N34" s="50">
        <f>1-(M34/L34)</f>
        <v>0.24</v>
      </c>
      <c r="O34" s="51">
        <f>+'Trim Rwd'!H29</f>
        <v>272</v>
      </c>
      <c r="P34" s="52">
        <f>O34*(Q34-R34-S34)</f>
        <v>319056</v>
      </c>
      <c r="Q34" s="51">
        <v>1214</v>
      </c>
      <c r="R34" s="419">
        <v>0</v>
      </c>
      <c r="S34" s="419">
        <f>11+30</f>
        <v>41</v>
      </c>
      <c r="T34" s="41">
        <f>E34*M34*O34*Q34/100000000</f>
        <v>53.328592</v>
      </c>
      <c r="U34" s="41">
        <f>E34*M34*O34*(Q34-R34-S34)/100000000</f>
        <v>51.527543999999999</v>
      </c>
      <c r="V34" s="41">
        <f>E34*G34*(1-N34)*O34/100*(R34+S34)/1000000</f>
        <v>1.801048</v>
      </c>
      <c r="W34" s="41">
        <f>+'7'!K14/1000</f>
        <v>45.898000000000003</v>
      </c>
      <c r="X34" s="42"/>
      <c r="Y34" s="220"/>
      <c r="Z34" s="41">
        <v>0</v>
      </c>
      <c r="AA34" s="41"/>
      <c r="AB34" s="41"/>
      <c r="AC34" s="41">
        <f>K34-T34</f>
        <v>0</v>
      </c>
      <c r="AD34" s="41">
        <f>+AM34+BA34</f>
        <v>11</v>
      </c>
      <c r="AE34" s="238" t="s">
        <v>558</v>
      </c>
      <c r="AF34" s="41"/>
      <c r="AG34" s="41">
        <v>11</v>
      </c>
      <c r="AH34" s="41"/>
      <c r="AI34" s="459"/>
      <c r="AJ34" s="41"/>
      <c r="AK34" s="41"/>
      <c r="AL34" s="41"/>
      <c r="AM34" s="41">
        <f>SUM(AF34:AL34)+AT34+AV34+AX34</f>
        <v>11</v>
      </c>
      <c r="AN34" s="89"/>
      <c r="AO34" s="41"/>
      <c r="AP34" s="41"/>
      <c r="AQ34" s="41"/>
      <c r="AR34" s="41">
        <f>SUM(AN34:AQ34)</f>
        <v>0</v>
      </c>
      <c r="AS34" s="41"/>
      <c r="AT34" s="41"/>
      <c r="AU34" s="41"/>
      <c r="AV34" s="41"/>
      <c r="AW34" s="41"/>
      <c r="AX34" s="41"/>
      <c r="AY34" s="41"/>
      <c r="AZ34" s="41"/>
      <c r="BA34" s="41">
        <f>+AR34+AS34+AU34+AW34+AY34+AZ34</f>
        <v>0</v>
      </c>
      <c r="BB34" s="54"/>
      <c r="BC34" s="55">
        <v>11</v>
      </c>
      <c r="BD34" s="55"/>
      <c r="BE34" s="54"/>
      <c r="BF34" s="55"/>
    </row>
    <row r="35" spans="1:58" ht="12.95" customHeight="1">
      <c r="A35" s="44"/>
      <c r="B35" s="45" t="s">
        <v>523</v>
      </c>
      <c r="C35" s="450"/>
      <c r="D35" s="45"/>
      <c r="E35" s="46">
        <v>13</v>
      </c>
      <c r="F35" s="46"/>
      <c r="G35" s="463"/>
      <c r="H35" s="48"/>
      <c r="I35" s="49"/>
      <c r="J35" s="88"/>
      <c r="K35" s="88"/>
      <c r="L35" s="39"/>
      <c r="M35" s="39"/>
      <c r="N35" s="50"/>
      <c r="O35" s="51"/>
      <c r="P35" s="52"/>
      <c r="Q35" s="51"/>
      <c r="R35" s="419"/>
      <c r="S35" s="419"/>
      <c r="T35" s="41"/>
      <c r="U35" s="41"/>
      <c r="V35" s="41"/>
      <c r="W35" s="41">
        <f>+'7'!K12/1000</f>
        <v>3.3740000000000001</v>
      </c>
      <c r="X35" s="42"/>
      <c r="Y35" s="220"/>
      <c r="Z35" s="41">
        <f>+'7'!D9/1000</f>
        <v>3.7999999999999999E-2</v>
      </c>
      <c r="AA35" s="41"/>
      <c r="AB35" s="41"/>
      <c r="AC35" s="41"/>
      <c r="AD35" s="41">
        <f>+AM35+BA35</f>
        <v>30</v>
      </c>
      <c r="AE35" s="238" t="s">
        <v>459</v>
      </c>
      <c r="AF35" s="37"/>
      <c r="AG35" s="37"/>
      <c r="AH35" s="37">
        <v>30</v>
      </c>
      <c r="AJ35" s="41"/>
      <c r="AK35" s="41"/>
      <c r="AL35" s="41"/>
      <c r="AM35" s="41">
        <f>SUM(AF35:AL35)+AT35+AV35+AX35</f>
        <v>30</v>
      </c>
      <c r="AN35" s="41"/>
      <c r="AO35" s="41"/>
      <c r="AP35" s="41"/>
      <c r="AQ35" s="41"/>
      <c r="AR35" s="41">
        <f>SUM(AN35:AQ35)</f>
        <v>0</v>
      </c>
      <c r="AS35" s="41"/>
      <c r="AT35" s="41"/>
      <c r="AU35" s="41"/>
      <c r="AV35" s="41"/>
      <c r="AW35" s="41"/>
      <c r="AX35" s="41"/>
      <c r="AY35" s="41"/>
      <c r="AZ35" s="41"/>
      <c r="BA35" s="41">
        <f>+AR35+AS35+AU35+AW35+AY35+AZ35</f>
        <v>0</v>
      </c>
      <c r="BB35" s="37"/>
      <c r="BC35" s="57"/>
      <c r="BD35" s="57"/>
      <c r="BE35" s="37"/>
      <c r="BF35" s="57"/>
    </row>
    <row r="36" spans="1:58" ht="12.95" customHeight="1">
      <c r="A36" s="44"/>
      <c r="B36" s="45"/>
      <c r="C36" s="450"/>
      <c r="D36" s="45"/>
      <c r="E36" s="46"/>
      <c r="F36" s="46"/>
      <c r="G36" s="47"/>
      <c r="H36" s="48"/>
      <c r="I36" s="49"/>
      <c r="J36" s="88"/>
      <c r="K36" s="88"/>
      <c r="L36" s="39"/>
      <c r="M36" s="39"/>
      <c r="N36" s="50"/>
      <c r="O36" s="51"/>
      <c r="P36" s="52"/>
      <c r="Q36" s="38"/>
      <c r="R36" s="419"/>
      <c r="S36" s="419"/>
      <c r="T36" s="41"/>
      <c r="U36" s="41"/>
      <c r="V36" s="41"/>
      <c r="W36" s="41"/>
      <c r="X36" s="42"/>
      <c r="Y36" s="220"/>
      <c r="Z36" s="41"/>
      <c r="AA36" s="41"/>
      <c r="AB36" s="41"/>
      <c r="AC36" s="41"/>
      <c r="AD36" s="41"/>
      <c r="AE36" s="241"/>
      <c r="AF36" s="41"/>
      <c r="AG36" s="41"/>
      <c r="AH36" s="41"/>
      <c r="AI36" s="459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37"/>
      <c r="BC36" s="57"/>
      <c r="BD36" s="57"/>
      <c r="BE36" s="37"/>
      <c r="BF36" s="57"/>
    </row>
    <row r="37" spans="1:58" ht="12.95" customHeight="1">
      <c r="A37" s="343">
        <v>46120</v>
      </c>
      <c r="B37" s="45" t="s">
        <v>523</v>
      </c>
      <c r="C37" s="450">
        <f>(M37*E37*O37*Q37)/100000000</f>
        <v>42.170879999999997</v>
      </c>
      <c r="D37" s="45" t="s">
        <v>408</v>
      </c>
      <c r="E37" s="46">
        <v>12.5</v>
      </c>
      <c r="F37" s="46">
        <v>1</v>
      </c>
      <c r="G37" s="463">
        <v>1700</v>
      </c>
      <c r="H37" s="48">
        <f>+N37</f>
        <v>0.24</v>
      </c>
      <c r="I37" s="49">
        <v>0.88</v>
      </c>
      <c r="J37" s="88">
        <f>E37*G37*(1-H37)*1440/1000000*2.77</f>
        <v>64.419120000000007</v>
      </c>
      <c r="K37" s="88">
        <f>(IF(G37&lt;L37,L37,G37)*(1-IF(H37&lt;N37,H37,N37))*E37*O37*Q37)/100000000</f>
        <v>42.170879999999997</v>
      </c>
      <c r="L37" s="39">
        <v>1700</v>
      </c>
      <c r="M37" s="39">
        <f>+L37-L37*0.24</f>
        <v>1292</v>
      </c>
      <c r="N37" s="50">
        <f>1-(M37/L37)</f>
        <v>0.24</v>
      </c>
      <c r="O37" s="51">
        <f>+'Trim Rwd'!H31</f>
        <v>272</v>
      </c>
      <c r="P37" s="52">
        <f>O37*(Q37-R37-S37)</f>
        <v>249152</v>
      </c>
      <c r="Q37" s="51">
        <v>960</v>
      </c>
      <c r="R37" s="419">
        <v>0</v>
      </c>
      <c r="S37" s="419">
        <v>44</v>
      </c>
      <c r="T37" s="41">
        <f>E37*M37*O37*Q37/100000000</f>
        <v>42.170879999999997</v>
      </c>
      <c r="U37" s="41">
        <f>E37*M37*O37*(Q37-R37-S37)/100000000</f>
        <v>40.238047999999999</v>
      </c>
      <c r="V37" s="41">
        <f>E37*G37*(1-N37)*O37/100*(R37+S37)/1000000</f>
        <v>1.9328320000000001</v>
      </c>
      <c r="W37" s="41">
        <f>+'8'!K14/1000</f>
        <v>27.305</v>
      </c>
      <c r="X37" s="416">
        <f>SUM(W37:W40)/SUM(K37:K40)</f>
        <v>0.92692772797605072</v>
      </c>
      <c r="Y37" s="220">
        <v>0</v>
      </c>
      <c r="Z37" s="41">
        <v>0</v>
      </c>
      <c r="AA37" s="53">
        <f>SUM(U37:U40)-SUM(W37:W40)-SUM(Z37:Z40)-SUM(Y37:Y40)</f>
        <v>2.2837013999999982</v>
      </c>
      <c r="AB37" s="53">
        <f>(SUM(K37:K40)-SUM(W37:W40)-SUM(Y37:Y40)-SUM(Z37:Z40)-SUM(AC37:AC40)-SUM(V37:V40))-AA37</f>
        <v>0</v>
      </c>
      <c r="AC37" s="41">
        <f>K37-T37</f>
        <v>0</v>
      </c>
      <c r="AD37" s="41">
        <f>+AM37+BA37</f>
        <v>0</v>
      </c>
      <c r="AE37" s="238" t="s">
        <v>277</v>
      </c>
      <c r="AF37" s="41">
        <v>0</v>
      </c>
      <c r="AG37" s="41"/>
      <c r="AH37" s="41"/>
      <c r="AI37" s="459"/>
      <c r="AJ37" s="41"/>
      <c r="AK37" s="41"/>
      <c r="AL37" s="41"/>
      <c r="AM37" s="41">
        <f>SUM(AF37:AL37)+AT37+AV37+AX37</f>
        <v>0</v>
      </c>
      <c r="AN37" s="41"/>
      <c r="AO37" s="41"/>
      <c r="AP37" s="41"/>
      <c r="AQ37" s="41"/>
      <c r="AR37" s="41">
        <f>SUM(AN37:AQ37)</f>
        <v>0</v>
      </c>
      <c r="AS37" s="41"/>
      <c r="AT37" s="41"/>
      <c r="AU37" s="41"/>
      <c r="AV37" s="41"/>
      <c r="AW37" s="41"/>
      <c r="AX37" s="41"/>
      <c r="AY37" s="41"/>
      <c r="AZ37" s="41"/>
      <c r="BA37" s="41">
        <f>+AR37+AS37+AU37+AW37+AY37+AZ37</f>
        <v>0</v>
      </c>
      <c r="BB37" s="37">
        <v>0</v>
      </c>
      <c r="BC37" s="55"/>
      <c r="BD37" s="55"/>
      <c r="BE37" s="37"/>
      <c r="BF37" s="55"/>
    </row>
    <row r="38" spans="1:58" ht="12.95" customHeight="1">
      <c r="A38" s="343"/>
      <c r="B38" s="45" t="s">
        <v>523</v>
      </c>
      <c r="C38" s="450">
        <f>(M38*E38*O38*Q38)/100000000</f>
        <v>21.727305600000001</v>
      </c>
      <c r="D38" s="45" t="s">
        <v>408</v>
      </c>
      <c r="E38" s="46">
        <v>13</v>
      </c>
      <c r="F38" s="46">
        <v>1</v>
      </c>
      <c r="G38" s="463">
        <v>1700</v>
      </c>
      <c r="H38" s="48">
        <f>+N38</f>
        <v>0.24</v>
      </c>
      <c r="I38" s="49">
        <v>0.88</v>
      </c>
      <c r="J38" s="88">
        <f>E38*G38*(1-H38)*1440/1000000*2.77</f>
        <v>66.995884799999999</v>
      </c>
      <c r="K38" s="88">
        <f>(IF(G38&lt;L38,L38,G38)*(1-IF(H38&lt;N38,H38,N38))*E38*O38*Q38)/100000000</f>
        <v>21.727305600000001</v>
      </c>
      <c r="L38" s="39">
        <v>1700</v>
      </c>
      <c r="M38" s="39">
        <f>+L38-L38*0.24</f>
        <v>1292</v>
      </c>
      <c r="N38" s="50">
        <f>1-(M38/L38)</f>
        <v>0.24</v>
      </c>
      <c r="O38" s="51">
        <f>+'Trim Rwd'!H32</f>
        <v>269.5</v>
      </c>
      <c r="P38" s="52">
        <f>O38*(Q38-R38-S38)</f>
        <v>126665</v>
      </c>
      <c r="Q38" s="51">
        <v>480</v>
      </c>
      <c r="R38" s="419">
        <v>0</v>
      </c>
      <c r="S38" s="419">
        <v>10</v>
      </c>
      <c r="T38" s="41">
        <f>E38*M38*O38*Q38/100000000</f>
        <v>21.727305600000001</v>
      </c>
      <c r="U38" s="41">
        <f>E38*M38*O38*(Q38-R38-S38)/100000000</f>
        <v>21.274653399999998</v>
      </c>
      <c r="V38" s="41">
        <f>E38*G38*(1-N38)*O38/100*(R38+S38)/1000000</f>
        <v>0.4526522</v>
      </c>
      <c r="W38" s="41">
        <f>+'8'!K12/1000</f>
        <v>31.923999999999999</v>
      </c>
      <c r="X38" s="42"/>
      <c r="Y38" s="220"/>
      <c r="Z38" s="41"/>
      <c r="AA38" s="41"/>
      <c r="AB38" s="41"/>
      <c r="AC38" s="41">
        <f>K38-T38</f>
        <v>0</v>
      </c>
      <c r="AD38" s="41">
        <f>+AM38+BA38</f>
        <v>17</v>
      </c>
      <c r="AE38" s="238" t="s">
        <v>572</v>
      </c>
      <c r="AF38" s="41"/>
      <c r="AG38" s="41">
        <v>17</v>
      </c>
      <c r="AH38" s="41"/>
      <c r="AI38" s="459"/>
      <c r="AJ38" s="41"/>
      <c r="AK38" s="41"/>
      <c r="AL38" s="41"/>
      <c r="AM38" s="41">
        <f>SUM(AF38:AL38)+AT38+AV38+AX38</f>
        <v>17</v>
      </c>
      <c r="AN38" s="89"/>
      <c r="AO38" s="41"/>
      <c r="AP38" s="41"/>
      <c r="AQ38" s="41"/>
      <c r="AR38" s="41">
        <f>SUM(AN38:AQ38)</f>
        <v>0</v>
      </c>
      <c r="AS38" s="41"/>
      <c r="AT38" s="41"/>
      <c r="AU38" s="41"/>
      <c r="AV38" s="41"/>
      <c r="AW38" s="41"/>
      <c r="AX38" s="41"/>
      <c r="AY38" s="41"/>
      <c r="AZ38" s="41"/>
      <c r="BA38" s="41">
        <f>+AR38+AS38+AU38+AW38+AY38+AZ38</f>
        <v>0</v>
      </c>
      <c r="BB38" s="54"/>
      <c r="BC38" s="55">
        <v>16</v>
      </c>
      <c r="BD38" s="55"/>
      <c r="BE38" s="54"/>
      <c r="BF38" s="55"/>
    </row>
    <row r="39" spans="1:58" ht="12.95" customHeight="1">
      <c r="A39" s="44"/>
      <c r="B39" s="45"/>
      <c r="C39" s="450"/>
      <c r="D39" s="45"/>
      <c r="E39" s="46"/>
      <c r="F39" s="46"/>
      <c r="G39" s="463"/>
      <c r="H39" s="48"/>
      <c r="I39" s="49"/>
      <c r="J39" s="88"/>
      <c r="K39" s="88"/>
      <c r="L39" s="39"/>
      <c r="M39" s="39"/>
      <c r="N39" s="50"/>
      <c r="O39" s="51"/>
      <c r="P39" s="52"/>
      <c r="Q39" s="51"/>
      <c r="R39" s="419"/>
      <c r="S39" s="419"/>
      <c r="T39" s="41"/>
      <c r="U39" s="41"/>
      <c r="V39" s="41"/>
      <c r="W39" s="41"/>
      <c r="X39" s="42"/>
      <c r="Y39" s="220"/>
      <c r="Z39" s="41"/>
      <c r="AA39" s="41"/>
      <c r="AB39" s="41"/>
      <c r="AC39" s="41"/>
      <c r="AD39" s="41">
        <f>+AM39+BA39</f>
        <v>37</v>
      </c>
      <c r="AE39" s="238" t="s">
        <v>573</v>
      </c>
      <c r="AF39" s="37"/>
      <c r="AG39" s="37"/>
      <c r="AH39" s="37">
        <v>37</v>
      </c>
      <c r="AJ39" s="41"/>
      <c r="AK39" s="41"/>
      <c r="AL39" s="41"/>
      <c r="AM39" s="41">
        <f>SUM(AF39:AL39)+AT39+AV39+AX39</f>
        <v>37</v>
      </c>
      <c r="AN39" s="41"/>
      <c r="AO39" s="41"/>
      <c r="AP39" s="41"/>
      <c r="AQ39" s="41"/>
      <c r="AR39" s="41">
        <f>SUM(AN39:AQ39)</f>
        <v>0</v>
      </c>
      <c r="AS39" s="41"/>
      <c r="AT39" s="41"/>
      <c r="AU39" s="41"/>
      <c r="AV39" s="41"/>
      <c r="AW39" s="41"/>
      <c r="AX39" s="41"/>
      <c r="AY39" s="41"/>
      <c r="AZ39" s="41"/>
      <c r="BA39" s="41">
        <f>+AR39+AS39+AU39+AW39+AY39+AZ39</f>
        <v>0</v>
      </c>
      <c r="BB39" s="37"/>
      <c r="BC39" s="57"/>
      <c r="BD39" s="57"/>
      <c r="BE39" s="37"/>
      <c r="BF39" s="57"/>
    </row>
    <row r="40" spans="1:58" ht="12.95" customHeight="1">
      <c r="A40" s="44"/>
      <c r="B40" s="45"/>
      <c r="C40" s="450"/>
      <c r="D40" s="45"/>
      <c r="E40" s="46"/>
      <c r="F40" s="46"/>
      <c r="G40" s="47"/>
      <c r="H40" s="48"/>
      <c r="I40" s="49"/>
      <c r="J40" s="88"/>
      <c r="K40" s="88"/>
      <c r="L40" s="39"/>
      <c r="M40" s="39"/>
      <c r="N40" s="50"/>
      <c r="O40" s="51"/>
      <c r="P40" s="52"/>
      <c r="Q40" s="38"/>
      <c r="R40" s="419"/>
      <c r="S40" s="419"/>
      <c r="T40" s="41"/>
      <c r="U40" s="41"/>
      <c r="V40" s="41"/>
      <c r="W40" s="41"/>
      <c r="X40" s="42"/>
      <c r="Y40" s="220"/>
      <c r="Z40" s="41"/>
      <c r="AA40" s="41"/>
      <c r="AB40" s="41"/>
      <c r="AC40" s="41"/>
      <c r="AD40" s="41"/>
      <c r="AE40" s="241"/>
      <c r="AF40" s="41"/>
      <c r="AG40" s="41"/>
      <c r="AH40" s="41"/>
      <c r="AI40" s="459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37"/>
      <c r="BC40" s="57"/>
      <c r="BD40" s="57"/>
      <c r="BE40" s="37"/>
      <c r="BF40" s="57"/>
    </row>
    <row r="41" spans="1:58" ht="12.95" customHeight="1">
      <c r="A41" s="343">
        <v>46121</v>
      </c>
      <c r="B41" s="45" t="s">
        <v>523</v>
      </c>
      <c r="C41" s="450">
        <f>(M41*E41*O41*Q41)/100000000</f>
        <v>64.926301440000003</v>
      </c>
      <c r="D41" s="45" t="s">
        <v>408</v>
      </c>
      <c r="E41" s="46">
        <v>13</v>
      </c>
      <c r="F41" s="46">
        <v>1</v>
      </c>
      <c r="G41" s="463">
        <v>1700</v>
      </c>
      <c r="H41" s="48">
        <f>+N41</f>
        <v>0.23999999999999988</v>
      </c>
      <c r="I41" s="49">
        <v>0.88</v>
      </c>
      <c r="J41" s="88">
        <f>E41*G41*(1-H41)*1440/1000000*2.77</f>
        <v>66.995884800000013</v>
      </c>
      <c r="K41" s="88">
        <f>(IF(G41&lt;L41,L41,G41)*(1-IF(H41&lt;N41,H41,N41))*E41*O41*Q41)/100000000</f>
        <v>65.18191680000001</v>
      </c>
      <c r="L41" s="39">
        <v>1693.3333333333333</v>
      </c>
      <c r="M41" s="39">
        <v>1286.9333333333334</v>
      </c>
      <c r="N41" s="50">
        <f>1-(M41/L41)</f>
        <v>0.23999999999999988</v>
      </c>
      <c r="O41" s="51">
        <f>+'Trim Rwd'!H34</f>
        <v>269.5</v>
      </c>
      <c r="P41" s="52">
        <f>O41*(Q41-R41-S41)</f>
        <v>377569.5</v>
      </c>
      <c r="Q41" s="51">
        <v>1440</v>
      </c>
      <c r="R41" s="419">
        <v>0</v>
      </c>
      <c r="S41" s="419">
        <v>39</v>
      </c>
      <c r="T41" s="41">
        <f>E41*M41*O41*Q41/100000000</f>
        <v>64.926301440000003</v>
      </c>
      <c r="U41" s="41">
        <f>E41*M41*O41*(Q41-R41-S41)/100000000</f>
        <v>63.167880776000004</v>
      </c>
      <c r="V41" s="41">
        <f>E41*G41*(1-N41)*O41/100*(R41+S41)/1000000</f>
        <v>1.7653435800000004</v>
      </c>
      <c r="W41" s="41">
        <f>+'9'!K34/1000</f>
        <v>61.509</v>
      </c>
      <c r="X41" s="416">
        <f>SUM(W41:W44)/SUM(K41:K44)</f>
        <v>0.94365129194850539</v>
      </c>
      <c r="Y41" s="220">
        <v>0</v>
      </c>
      <c r="Z41" s="41">
        <f>+'9'!D34/1000</f>
        <v>0.28199999999999997</v>
      </c>
      <c r="AA41" s="53">
        <f>SUM(U41:U44)-SUM(W41:W44)-SUM(Z41:Z44)-SUM(Y41:Y44)</f>
        <v>1.3768807760000037</v>
      </c>
      <c r="AB41" s="53">
        <f>(SUM(K41:K44)-SUM(W41:W44)-SUM(Y41:Y44)-SUM(Z41:Z44)-SUM(AC41:AC44)-SUM(V41:V44))-AA41</f>
        <v>-6.9229160000012779E-3</v>
      </c>
      <c r="AC41" s="41">
        <f>K41-T41</f>
        <v>0.25561536000000729</v>
      </c>
      <c r="AD41" s="41">
        <f>+AM41+BA41</f>
        <v>0</v>
      </c>
      <c r="AE41" s="238" t="s">
        <v>277</v>
      </c>
      <c r="AF41" s="41">
        <v>0</v>
      </c>
      <c r="AG41" s="41"/>
      <c r="AH41" s="41"/>
      <c r="AI41" s="459"/>
      <c r="AJ41" s="41"/>
      <c r="AK41" s="41"/>
      <c r="AL41" s="41"/>
      <c r="AM41" s="41">
        <f>SUM(AF41:AL41)+AT41+AV41+AX41</f>
        <v>0</v>
      </c>
      <c r="AN41" s="41"/>
      <c r="AO41" s="41"/>
      <c r="AP41" s="41"/>
      <c r="AQ41" s="41"/>
      <c r="AR41" s="41">
        <f>SUM(AN41:AQ41)</f>
        <v>0</v>
      </c>
      <c r="AS41" s="41"/>
      <c r="AT41" s="41"/>
      <c r="AU41" s="41"/>
      <c r="AV41" s="41"/>
      <c r="AW41" s="41"/>
      <c r="AX41" s="41"/>
      <c r="AY41" s="41"/>
      <c r="AZ41" s="41"/>
      <c r="BA41" s="41">
        <f>+AR41+AS41+AU41+AW41+AY41+AZ41</f>
        <v>0</v>
      </c>
      <c r="BB41" s="37">
        <v>0</v>
      </c>
      <c r="BC41" s="55"/>
      <c r="BD41" s="55"/>
      <c r="BE41" s="37"/>
      <c r="BF41" s="55"/>
    </row>
    <row r="42" spans="1:58" ht="12.95" customHeight="1">
      <c r="A42" s="343"/>
      <c r="B42" s="45"/>
      <c r="C42" s="450"/>
      <c r="D42" s="45"/>
      <c r="E42" s="46"/>
      <c r="F42" s="46"/>
      <c r="G42" s="463"/>
      <c r="H42" s="48"/>
      <c r="I42" s="49"/>
      <c r="J42" s="88"/>
      <c r="K42" s="88"/>
      <c r="L42" s="39"/>
      <c r="M42" s="39"/>
      <c r="N42" s="50"/>
      <c r="O42" s="51"/>
      <c r="P42" s="52"/>
      <c r="Q42" s="51"/>
      <c r="R42" s="419"/>
      <c r="S42" s="419"/>
      <c r="T42" s="41"/>
      <c r="U42" s="41"/>
      <c r="V42" s="41"/>
      <c r="W42" s="41"/>
      <c r="X42" s="42"/>
      <c r="Y42" s="220"/>
      <c r="Z42" s="41"/>
      <c r="AA42" s="41"/>
      <c r="AB42" s="41"/>
      <c r="AC42" s="41"/>
      <c r="AD42" s="41">
        <f>+AM42+BA42</f>
        <v>15</v>
      </c>
      <c r="AE42" s="238" t="s">
        <v>581</v>
      </c>
      <c r="AF42" s="41"/>
      <c r="AG42" s="41">
        <v>15</v>
      </c>
      <c r="AH42" s="41"/>
      <c r="AI42" s="459"/>
      <c r="AJ42" s="41"/>
      <c r="AK42" s="41"/>
      <c r="AL42" s="41"/>
      <c r="AM42" s="41">
        <f>SUM(AF42:AL42)+AT42+AV42+AX42</f>
        <v>15</v>
      </c>
      <c r="AN42" s="89"/>
      <c r="AO42" s="41"/>
      <c r="AP42" s="41"/>
      <c r="AQ42" s="41"/>
      <c r="AR42" s="41">
        <f>SUM(AN42:AQ42)</f>
        <v>0</v>
      </c>
      <c r="AS42" s="41"/>
      <c r="AT42" s="41"/>
      <c r="AU42" s="41"/>
      <c r="AV42" s="41"/>
      <c r="AW42" s="41"/>
      <c r="AX42" s="41"/>
      <c r="AY42" s="41"/>
      <c r="AZ42" s="41"/>
      <c r="BA42" s="41">
        <f>+AR42+AS42+AU42+AW42+AY42+AZ42</f>
        <v>0</v>
      </c>
      <c r="BB42" s="54"/>
      <c r="BC42" s="55">
        <v>14</v>
      </c>
      <c r="BD42" s="55"/>
      <c r="BE42" s="54"/>
      <c r="BF42" s="55"/>
    </row>
    <row r="43" spans="1:58" ht="12.95" customHeight="1">
      <c r="A43" s="44"/>
      <c r="B43" s="45"/>
      <c r="C43" s="450"/>
      <c r="D43" s="45"/>
      <c r="E43" s="46"/>
      <c r="F43" s="46"/>
      <c r="G43" s="463"/>
      <c r="H43" s="48"/>
      <c r="I43" s="49"/>
      <c r="J43" s="88"/>
      <c r="K43" s="88"/>
      <c r="L43" s="39"/>
      <c r="M43" s="39"/>
      <c r="N43" s="50"/>
      <c r="O43" s="51"/>
      <c r="P43" s="52"/>
      <c r="Q43" s="51"/>
      <c r="R43" s="419"/>
      <c r="S43" s="419"/>
      <c r="T43" s="41"/>
      <c r="U43" s="41"/>
      <c r="V43" s="41"/>
      <c r="W43" s="41"/>
      <c r="X43" s="42"/>
      <c r="Y43" s="220"/>
      <c r="Z43" s="41"/>
      <c r="AA43" s="41"/>
      <c r="AB43" s="41"/>
      <c r="AC43" s="41"/>
      <c r="AD43" s="41">
        <f>+AM43+BA43</f>
        <v>24</v>
      </c>
      <c r="AE43" s="238" t="s">
        <v>486</v>
      </c>
      <c r="AF43" s="37"/>
      <c r="AG43" s="37"/>
      <c r="AH43" s="37">
        <v>24</v>
      </c>
      <c r="AJ43" s="41"/>
      <c r="AK43" s="41"/>
      <c r="AL43" s="41"/>
      <c r="AM43" s="41">
        <f>SUM(AF43:AL43)+AT43+AV43+AX43</f>
        <v>24</v>
      </c>
      <c r="AN43" s="41"/>
      <c r="AO43" s="41"/>
      <c r="AP43" s="41"/>
      <c r="AQ43" s="41"/>
      <c r="AR43" s="41">
        <f>SUM(AN43:AQ43)</f>
        <v>0</v>
      </c>
      <c r="AS43" s="41"/>
      <c r="AT43" s="41"/>
      <c r="AU43" s="41"/>
      <c r="AV43" s="41"/>
      <c r="AW43" s="41"/>
      <c r="AX43" s="41"/>
      <c r="AY43" s="41"/>
      <c r="AZ43" s="41"/>
      <c r="BA43" s="41">
        <f>+AR43+AS43+AU43+AW43+AY43+AZ43</f>
        <v>0</v>
      </c>
      <c r="BB43" s="37"/>
      <c r="BC43" s="57"/>
      <c r="BD43" s="57"/>
      <c r="BE43" s="37"/>
      <c r="BF43" s="57"/>
    </row>
    <row r="44" spans="1:58" ht="12.95" customHeight="1">
      <c r="A44" s="44"/>
      <c r="B44" s="45"/>
      <c r="C44" s="450"/>
      <c r="D44" s="45"/>
      <c r="E44" s="46"/>
      <c r="F44" s="46"/>
      <c r="G44" s="47"/>
      <c r="H44" s="48"/>
      <c r="I44" s="49"/>
      <c r="J44" s="88"/>
      <c r="K44" s="88"/>
      <c r="L44" s="39"/>
      <c r="M44" s="39"/>
      <c r="N44" s="50"/>
      <c r="O44" s="51"/>
      <c r="P44" s="52"/>
      <c r="Q44" s="38"/>
      <c r="R44" s="419"/>
      <c r="S44" s="419"/>
      <c r="T44" s="41"/>
      <c r="U44" s="41"/>
      <c r="V44" s="41"/>
      <c r="W44" s="41"/>
      <c r="X44" s="42"/>
      <c r="Y44" s="220"/>
      <c r="Z44" s="41"/>
      <c r="AA44" s="41"/>
      <c r="AB44" s="41"/>
      <c r="AC44" s="41"/>
      <c r="AD44" s="41"/>
      <c r="AE44" s="241"/>
      <c r="AF44" s="41"/>
      <c r="AG44" s="41"/>
      <c r="AH44" s="41"/>
      <c r="AI44" s="459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37"/>
      <c r="BC44" s="57"/>
      <c r="BD44" s="57"/>
      <c r="BE44" s="37"/>
      <c r="BF44" s="57"/>
    </row>
    <row r="45" spans="1:58" ht="12.95" customHeight="1">
      <c r="A45" s="343">
        <v>46122</v>
      </c>
      <c r="B45" s="45" t="s">
        <v>523</v>
      </c>
      <c r="C45" s="450">
        <f>(M45*E45*O45*Q45)/100000000</f>
        <v>0.54318264000000005</v>
      </c>
      <c r="D45" s="45" t="s">
        <v>408</v>
      </c>
      <c r="E45" s="46">
        <v>13</v>
      </c>
      <c r="F45" s="46">
        <v>1</v>
      </c>
      <c r="G45" s="463">
        <v>1700</v>
      </c>
      <c r="H45" s="48">
        <f>+N45</f>
        <v>0.24</v>
      </c>
      <c r="I45" s="49">
        <v>0.88</v>
      </c>
      <c r="J45" s="88">
        <f>E45*G45*(1-H45)*1440/1000000*2.77</f>
        <v>66.995884799999999</v>
      </c>
      <c r="K45" s="88">
        <f>(IF(G45&lt;L45,L45,G45)*(1-IF(H45&lt;N45,H45,N45))*E45*O45*Q45)/100000000</f>
        <v>0.54318264000000005</v>
      </c>
      <c r="L45" s="39">
        <v>1700</v>
      </c>
      <c r="M45" s="39">
        <f>+L45-L45*0.24</f>
        <v>1292</v>
      </c>
      <c r="N45" s="50">
        <f>1-(M45/L45)</f>
        <v>0.24</v>
      </c>
      <c r="O45" s="51">
        <f>+'Trim Rwd'!H36</f>
        <v>269.5</v>
      </c>
      <c r="P45" s="52">
        <f>O45*(Q45-R45-S45)</f>
        <v>3234</v>
      </c>
      <c r="Q45" s="51">
        <v>12</v>
      </c>
      <c r="R45" s="419">
        <v>0</v>
      </c>
      <c r="S45" s="419">
        <v>0</v>
      </c>
      <c r="T45" s="41">
        <f>E45*M45*O45*Q45/100000000</f>
        <v>0.54318264000000005</v>
      </c>
      <c r="U45" s="41">
        <f>E45*M45*O45*(Q45-R45-S45)/100000000</f>
        <v>0.54318264000000005</v>
      </c>
      <c r="V45" s="41">
        <f>E45*G45*(1-N45)*O45/100*(R45+S45)/1000000</f>
        <v>0</v>
      </c>
      <c r="W45" s="41">
        <f>+'10'!K12/1000</f>
        <v>5.5579999999999998</v>
      </c>
      <c r="X45" s="416">
        <f>SUM(W45:W48)/SUM(K45:K48)</f>
        <v>0.83113884425451567</v>
      </c>
      <c r="Y45" s="220">
        <v>0</v>
      </c>
      <c r="Z45" s="41">
        <v>0</v>
      </c>
      <c r="AA45" s="53">
        <f>SUM(U45:U48)-SUM(W45:W48)-SUM(Z45:Z48)-SUM(Y45:Y48)</f>
        <v>10.604510235999999</v>
      </c>
      <c r="AB45" s="53">
        <f>(SUM(K45:K48)-SUM(W45:W48)-SUM(Y45:Y48)-SUM(Z45:Z48)-SUM(AC45:AC48)-SUM(V45:V48))-AA45</f>
        <v>5.1519049999996014E-2</v>
      </c>
      <c r="AC45" s="41">
        <f>K45-T45</f>
        <v>0</v>
      </c>
      <c r="AD45" s="41">
        <f>+AM45+BA45</f>
        <v>0</v>
      </c>
      <c r="AE45" s="238" t="s">
        <v>277</v>
      </c>
      <c r="AF45" s="41">
        <v>0</v>
      </c>
      <c r="AG45" s="41"/>
      <c r="AH45" s="41"/>
      <c r="AI45" s="459"/>
      <c r="AJ45" s="41"/>
      <c r="AK45" s="41"/>
      <c r="AL45" s="41"/>
      <c r="AM45" s="41">
        <f>SUM(AF45:AL45)+AT45+AV45+AX45</f>
        <v>0</v>
      </c>
      <c r="AN45" s="41"/>
      <c r="AO45" s="41"/>
      <c r="AP45" s="41"/>
      <c r="AQ45" s="41"/>
      <c r="AR45" s="41">
        <f>SUM(AN45:AQ45)</f>
        <v>0</v>
      </c>
      <c r="AS45" s="41"/>
      <c r="AT45" s="41"/>
      <c r="AU45" s="41"/>
      <c r="AV45" s="41"/>
      <c r="AW45" s="41"/>
      <c r="AX45" s="41"/>
      <c r="AY45" s="41"/>
      <c r="AZ45" s="41"/>
      <c r="BA45" s="41">
        <f>+AR45+AS45+AU45+AW45+AY45+AZ45</f>
        <v>0</v>
      </c>
      <c r="BB45" s="37">
        <v>0</v>
      </c>
      <c r="BC45" s="55"/>
      <c r="BD45" s="55"/>
      <c r="BE45" s="37"/>
      <c r="BF45" s="55"/>
    </row>
    <row r="46" spans="1:58" ht="12.95" customHeight="1">
      <c r="A46" s="343"/>
      <c r="B46" s="45" t="s">
        <v>231</v>
      </c>
      <c r="C46" s="450">
        <f>(M46*E46*O46*Q46)/100000000</f>
        <v>23.482881240000001</v>
      </c>
      <c r="D46" s="45" t="s">
        <v>408</v>
      </c>
      <c r="E46" s="46">
        <v>14</v>
      </c>
      <c r="F46" s="46">
        <v>1</v>
      </c>
      <c r="G46" s="463">
        <v>1270</v>
      </c>
      <c r="H46" s="48">
        <v>0</v>
      </c>
      <c r="I46" s="49">
        <v>0.88</v>
      </c>
      <c r="J46" s="88">
        <f>E46*G46*(1-H46)*1440/1000000*2.77</f>
        <v>70.920864000000009</v>
      </c>
      <c r="K46" s="88">
        <f>(IF(G46&lt;L46,L46,G46)*(1-IF(H46&lt;N46,H46,N46))*E46*O46*Q46)/100000000</f>
        <v>23.565359999999998</v>
      </c>
      <c r="L46" s="39">
        <v>1300</v>
      </c>
      <c r="M46" s="39">
        <f>+L46-L46*0.0035</f>
        <v>1295.45</v>
      </c>
      <c r="N46" s="50">
        <f>1-(M46/L46)</f>
        <v>3.4999999999999476E-3</v>
      </c>
      <c r="O46" s="51">
        <f>+'Trim Rwd'!H37</f>
        <v>260</v>
      </c>
      <c r="P46" s="52">
        <f>O46*(Q46-R46-S46)</f>
        <v>128180</v>
      </c>
      <c r="Q46" s="51">
        <v>498</v>
      </c>
      <c r="R46" s="419">
        <v>0</v>
      </c>
      <c r="S46" s="419">
        <v>5</v>
      </c>
      <c r="T46" s="41">
        <f>E46*M46*O46*Q46/100000000</f>
        <v>23.482881240000001</v>
      </c>
      <c r="U46" s="41">
        <f>E46*M46*O46*(Q46-R46-S46)/100000000</f>
        <v>23.247109340000002</v>
      </c>
      <c r="V46" s="41">
        <f>E46*G46*(1-N46)*O46/100*(R46+S46)/1000000</f>
        <v>0.23033101</v>
      </c>
      <c r="W46" s="41">
        <f>+'10'!K15/1000</f>
        <v>19.550999999999998</v>
      </c>
      <c r="X46" s="42"/>
      <c r="Y46" s="220"/>
      <c r="Z46" s="41">
        <f>+'10'!D8/1000</f>
        <v>0.74299999999999999</v>
      </c>
      <c r="AA46" s="41"/>
      <c r="AB46" s="41"/>
      <c r="AC46" s="41">
        <f>K46-T46</f>
        <v>8.2478759999997209E-2</v>
      </c>
      <c r="AD46" s="41">
        <f>+AM46+BA46</f>
        <v>0</v>
      </c>
      <c r="AE46" s="238" t="s">
        <v>591</v>
      </c>
      <c r="AF46" s="41"/>
      <c r="AG46" s="41">
        <v>0</v>
      </c>
      <c r="AH46" s="41"/>
      <c r="AI46" s="459"/>
      <c r="AJ46" s="41"/>
      <c r="AK46" s="41"/>
      <c r="AL46" s="41"/>
      <c r="AM46" s="41">
        <f>SUM(AF46:AL46)+AT46+AV46+AX46</f>
        <v>0</v>
      </c>
      <c r="AN46" s="89"/>
      <c r="AO46" s="41"/>
      <c r="AP46" s="41"/>
      <c r="AQ46" s="41"/>
      <c r="AR46" s="41">
        <f>SUM(AN46:AQ46)</f>
        <v>0</v>
      </c>
      <c r="AS46" s="41"/>
      <c r="AT46" s="41"/>
      <c r="AU46" s="41"/>
      <c r="AV46" s="41"/>
      <c r="AW46" s="41"/>
      <c r="AX46" s="41"/>
      <c r="AY46" s="41"/>
      <c r="AZ46" s="41"/>
      <c r="BA46" s="41">
        <f>+AR46+AS46+AU46+AW46+AY46+AZ46</f>
        <v>0</v>
      </c>
      <c r="BB46" s="54"/>
      <c r="BC46" s="55">
        <v>0</v>
      </c>
      <c r="BD46" s="55"/>
      <c r="BE46" s="54"/>
      <c r="BF46" s="55"/>
    </row>
    <row r="47" spans="1:58" ht="12.95" customHeight="1">
      <c r="A47" s="44"/>
      <c r="B47" s="45" t="s">
        <v>231</v>
      </c>
      <c r="C47" s="450">
        <f>(M47*E47*O47*Q47)/100000000</f>
        <v>53.994387887999999</v>
      </c>
      <c r="D47" s="45" t="s">
        <v>408</v>
      </c>
      <c r="E47" s="46">
        <v>17</v>
      </c>
      <c r="F47" s="46">
        <v>1</v>
      </c>
      <c r="G47" s="463">
        <v>1210</v>
      </c>
      <c r="H47" s="48">
        <v>0</v>
      </c>
      <c r="I47" s="49">
        <v>0.88</v>
      </c>
      <c r="J47" s="88">
        <f>E47*G47*(1-H47)*1440/1000000*2.77</f>
        <v>82.049616</v>
      </c>
      <c r="K47" s="88">
        <f>(IF(G47&lt;L47,L47,G47)*(1-IF(H47&lt;N47,H47,N47))*E47*O47*Q47)/100000000</f>
        <v>54.184032000000002</v>
      </c>
      <c r="L47" s="39">
        <v>1260</v>
      </c>
      <c r="M47" s="39">
        <f>+L47-L47*0.0035</f>
        <v>1255.5899999999999</v>
      </c>
      <c r="N47" s="50">
        <f>1-(M47/L47)</f>
        <v>3.5000000000000586E-3</v>
      </c>
      <c r="O47" s="51">
        <f>+'Trim Rwd'!H38</f>
        <v>272</v>
      </c>
      <c r="P47" s="52">
        <f>O47*(Q47-R47-S47)</f>
        <v>247520</v>
      </c>
      <c r="Q47" s="51">
        <v>930</v>
      </c>
      <c r="R47" s="419">
        <v>0</v>
      </c>
      <c r="S47" s="419">
        <v>20</v>
      </c>
      <c r="T47" s="41">
        <f>E47*M47*O47*Q47/100000000</f>
        <v>53.994387887999999</v>
      </c>
      <c r="U47" s="41">
        <f>E47*M47*O47*(Q47-R47-S47)/100000000</f>
        <v>52.833218256000002</v>
      </c>
      <c r="V47" s="41">
        <f>E47*G47*(1-N47)*O47/100*(R47+S47)/1000000</f>
        <v>1.1150914719999998</v>
      </c>
      <c r="W47" s="41">
        <f>+'10'!K16/1000</f>
        <v>39.963000000000001</v>
      </c>
      <c r="X47" s="42"/>
      <c r="Y47" s="220"/>
      <c r="Z47" s="41">
        <f>+'10'!D17/1000</f>
        <v>0.20399999999999999</v>
      </c>
      <c r="AA47" s="41"/>
      <c r="AB47" s="41"/>
      <c r="AC47" s="41">
        <f>K47-T47</f>
        <v>0.18964411200000342</v>
      </c>
      <c r="AD47" s="41">
        <f>+AM47+BA47</f>
        <v>7</v>
      </c>
      <c r="AE47" s="238" t="s">
        <v>592</v>
      </c>
      <c r="AF47" s="37"/>
      <c r="AG47" s="37"/>
      <c r="AH47" s="37">
        <v>7</v>
      </c>
      <c r="AI47" s="459"/>
      <c r="AJ47" s="41"/>
      <c r="AK47" s="41"/>
      <c r="AL47" s="41"/>
      <c r="AM47" s="41">
        <f>SUM(AF47:AL47)+AT47+AV47+AX47</f>
        <v>7</v>
      </c>
      <c r="AN47" s="41"/>
      <c r="AO47" s="41"/>
      <c r="AP47" s="41"/>
      <c r="AQ47" s="41"/>
      <c r="AR47" s="41">
        <f>SUM(AN47:AQ47)</f>
        <v>0</v>
      </c>
      <c r="AS47" s="41"/>
      <c r="AT47" s="41"/>
      <c r="AU47" s="41"/>
      <c r="AV47" s="41"/>
      <c r="AW47" s="41"/>
      <c r="AX47" s="41"/>
      <c r="AY47" s="41"/>
      <c r="AZ47" s="41"/>
      <c r="BA47" s="41">
        <f>+AR47+AS47+AU47+AW47+AY47+AZ47</f>
        <v>0</v>
      </c>
      <c r="BB47" s="37"/>
      <c r="BC47" s="57"/>
      <c r="BD47" s="57"/>
      <c r="BE47" s="37"/>
      <c r="BF47" s="57"/>
    </row>
    <row r="48" spans="1:58" ht="12.95" customHeight="1">
      <c r="A48" s="44"/>
      <c r="B48" s="45"/>
      <c r="C48" s="450"/>
      <c r="D48" s="45"/>
      <c r="E48" s="46"/>
      <c r="F48" s="46"/>
      <c r="G48" s="47"/>
      <c r="H48" s="48"/>
      <c r="I48" s="49"/>
      <c r="J48" s="88"/>
      <c r="K48" s="88"/>
      <c r="L48" s="39"/>
      <c r="M48" s="39"/>
      <c r="N48" s="50"/>
      <c r="O48" s="51"/>
      <c r="P48" s="52"/>
      <c r="Q48" s="38"/>
      <c r="R48" s="419"/>
      <c r="S48" s="419"/>
      <c r="T48" s="41"/>
      <c r="U48" s="41"/>
      <c r="V48" s="41"/>
      <c r="W48" s="41"/>
      <c r="X48" s="42"/>
      <c r="Y48" s="220"/>
      <c r="Z48" s="41"/>
      <c r="AA48" s="41"/>
      <c r="AB48" s="41"/>
      <c r="AC48" s="41"/>
      <c r="AD48" s="41">
        <f>+AM48+BA48</f>
        <v>18</v>
      </c>
      <c r="AE48" s="241" t="s">
        <v>487</v>
      </c>
      <c r="AF48" s="41"/>
      <c r="AG48" s="37"/>
      <c r="AH48" s="37"/>
      <c r="AI48" s="33">
        <v>18</v>
      </c>
      <c r="AJ48" s="41"/>
      <c r="AK48" s="41"/>
      <c r="AL48" s="41"/>
      <c r="AM48" s="41">
        <f>SUM(AF48:AL48)+AT48+AV48+AX48</f>
        <v>18</v>
      </c>
      <c r="AN48" s="41"/>
      <c r="AO48" s="41"/>
      <c r="AP48" s="41"/>
      <c r="AQ48" s="41"/>
      <c r="AR48" s="41">
        <f>SUM(AN48:AQ48)</f>
        <v>0</v>
      </c>
      <c r="AS48" s="41"/>
      <c r="AT48" s="41"/>
      <c r="AU48" s="41"/>
      <c r="AV48" s="41"/>
      <c r="AW48" s="41"/>
      <c r="AX48" s="41"/>
      <c r="AY48" s="41"/>
      <c r="AZ48" s="41"/>
      <c r="BA48" s="41">
        <f>+AR48+AS48+AU48+AW48+AY48+AZ48</f>
        <v>0</v>
      </c>
      <c r="BB48" s="37"/>
      <c r="BC48" s="57"/>
      <c r="BD48" s="57"/>
      <c r="BE48" s="37"/>
      <c r="BF48" s="57"/>
    </row>
    <row r="49" spans="1:58" ht="12.95" customHeight="1">
      <c r="A49" s="343"/>
      <c r="B49" s="45"/>
      <c r="C49" s="450"/>
      <c r="D49" s="45"/>
      <c r="E49" s="46"/>
      <c r="F49" s="46"/>
      <c r="G49" s="463"/>
      <c r="H49" s="48"/>
      <c r="I49" s="49"/>
      <c r="J49" s="88"/>
      <c r="K49" s="88"/>
      <c r="L49" s="39"/>
      <c r="M49" s="39"/>
      <c r="N49" s="50"/>
      <c r="O49" s="51"/>
      <c r="P49" s="52"/>
      <c r="Q49" s="51"/>
      <c r="R49" s="419"/>
      <c r="S49" s="419"/>
      <c r="T49" s="41"/>
      <c r="U49" s="41"/>
      <c r="V49" s="41"/>
      <c r="W49" s="41"/>
      <c r="X49" s="416"/>
      <c r="Y49" s="220"/>
      <c r="Z49" s="41"/>
      <c r="AA49" s="53"/>
      <c r="AB49" s="53"/>
      <c r="AC49" s="41"/>
      <c r="AD49" s="41"/>
      <c r="AE49" s="238"/>
      <c r="AF49" s="41"/>
      <c r="AG49" s="41"/>
      <c r="AH49" s="41"/>
      <c r="AI49" s="459"/>
      <c r="AJ49" s="41"/>
      <c r="AK49" s="41"/>
      <c r="AL49" s="41"/>
      <c r="AM49" s="41"/>
      <c r="AN49" s="89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54"/>
      <c r="BC49" s="55"/>
      <c r="BD49" s="55"/>
      <c r="BE49" s="55"/>
      <c r="BF49" s="55"/>
    </row>
    <row r="50" spans="1:58" ht="12.95" customHeight="1">
      <c r="A50" s="343">
        <v>46123</v>
      </c>
      <c r="B50" s="45" t="s">
        <v>231</v>
      </c>
      <c r="C50" s="450">
        <f>(M50*E50*O50*Q50)/100000000</f>
        <v>83.604213504000001</v>
      </c>
      <c r="D50" s="45" t="s">
        <v>609</v>
      </c>
      <c r="E50" s="46">
        <v>17</v>
      </c>
      <c r="F50" s="46">
        <v>1</v>
      </c>
      <c r="G50" s="463">
        <v>1210</v>
      </c>
      <c r="H50" s="48">
        <v>0</v>
      </c>
      <c r="I50" s="49">
        <v>0.88</v>
      </c>
      <c r="J50" s="88">
        <f>E50*G50*(1-H50)*1440/1000000*2.77</f>
        <v>82.049616</v>
      </c>
      <c r="K50" s="88">
        <f>(IF(G50&lt;L50,L50,G50)*(1-IF(H50&lt;N50,H50,N50))*E50*O50*Q50)/100000000</f>
        <v>83.897856000000004</v>
      </c>
      <c r="L50" s="39">
        <v>1260</v>
      </c>
      <c r="M50" s="39">
        <f>+L50-L50*0.0035</f>
        <v>1255.5899999999999</v>
      </c>
      <c r="N50" s="50">
        <f>1-(M50/L50)</f>
        <v>3.5000000000000586E-3</v>
      </c>
      <c r="O50" s="51">
        <f>+'Trim Rwd'!H40</f>
        <v>272</v>
      </c>
      <c r="P50" s="52">
        <f>O50*(Q50-R50-S50)</f>
        <v>389776</v>
      </c>
      <c r="Q50" s="51">
        <v>1440</v>
      </c>
      <c r="R50" s="419">
        <v>0</v>
      </c>
      <c r="S50" s="419">
        <v>7</v>
      </c>
      <c r="T50" s="41">
        <f>E50*M50*O50*Q50/100000000</f>
        <v>83.604213504000001</v>
      </c>
      <c r="U50" s="41">
        <f>E50*M50*O50*(Q50-R50-S50)/100000000</f>
        <v>83.197804132800002</v>
      </c>
      <c r="V50" s="41">
        <f>E50*G50*(1-N50)*O50/100*(R50+S50)/1000000</f>
        <v>0.39028201519999994</v>
      </c>
      <c r="W50" s="41">
        <f>+'11'!K34/1000</f>
        <v>80.748000000000005</v>
      </c>
      <c r="X50" s="416">
        <f>SUM(W50:W53)/SUM(K50:K53)</f>
        <v>0.96245606085571489</v>
      </c>
      <c r="Y50" s="220">
        <v>0</v>
      </c>
      <c r="Z50" s="41">
        <f>+'11'!D34/1000</f>
        <v>0.23499999999999999</v>
      </c>
      <c r="AA50" s="53">
        <f>SUM(U50:U53)-SUM(W50:W53)-SUM(Z50:Z53)-SUM(Y50:Y53)</f>
        <v>2.2148041327999972</v>
      </c>
      <c r="AB50" s="53">
        <f>(SUM(K50:K53)-SUM(W50:W53)-SUM(Y50:Y53)-SUM(Z50:Z53)-SUM(AC50:AC53)-SUM(V50:V53))-AA50</f>
        <v>1.6127355999998816E-2</v>
      </c>
      <c r="AC50" s="41">
        <f>K50-T50</f>
        <v>0.29364249600000392</v>
      </c>
      <c r="AD50" s="41">
        <f>+AM50+BA50</f>
        <v>0</v>
      </c>
      <c r="AE50" s="238" t="s">
        <v>277</v>
      </c>
      <c r="AF50" s="41">
        <v>0</v>
      </c>
      <c r="AG50" s="41"/>
      <c r="AH50" s="41"/>
      <c r="AI50" s="459"/>
      <c r="AJ50" s="41"/>
      <c r="AK50" s="41"/>
      <c r="AL50" s="41"/>
      <c r="AM50" s="41">
        <f>SUM(AF50:AL50)+AT50+AV50+AX50</f>
        <v>0</v>
      </c>
      <c r="AN50" s="41"/>
      <c r="AO50" s="41"/>
      <c r="AP50" s="41"/>
      <c r="AQ50" s="41"/>
      <c r="AR50" s="41">
        <f>SUM(AN50:AQ50)</f>
        <v>0</v>
      </c>
      <c r="AS50" s="41"/>
      <c r="AT50" s="41"/>
      <c r="AU50" s="41"/>
      <c r="AV50" s="41"/>
      <c r="AW50" s="41"/>
      <c r="AX50" s="41"/>
      <c r="AY50" s="41"/>
      <c r="AZ50" s="41"/>
      <c r="BA50" s="41">
        <f>+AR50+AS50+AU50+AW50+AY50+AZ50</f>
        <v>0</v>
      </c>
      <c r="BB50" s="37">
        <v>0</v>
      </c>
      <c r="BC50" s="55"/>
      <c r="BD50" s="55"/>
      <c r="BE50" s="37"/>
      <c r="BF50" s="55"/>
    </row>
    <row r="51" spans="1:58" ht="12.95" customHeight="1">
      <c r="A51" s="343"/>
      <c r="B51" s="45"/>
      <c r="C51" s="450"/>
      <c r="D51" s="45"/>
      <c r="E51" s="46"/>
      <c r="F51" s="46"/>
      <c r="G51" s="463"/>
      <c r="H51" s="48"/>
      <c r="I51" s="49"/>
      <c r="J51" s="88"/>
      <c r="K51" s="88"/>
      <c r="L51" s="39"/>
      <c r="M51" s="39"/>
      <c r="N51" s="50"/>
      <c r="O51" s="51"/>
      <c r="P51" s="52"/>
      <c r="Q51" s="51"/>
      <c r="R51" s="419"/>
      <c r="S51" s="419"/>
      <c r="T51" s="41"/>
      <c r="U51" s="41"/>
      <c r="V51" s="41"/>
      <c r="W51" s="41"/>
      <c r="X51" s="42"/>
      <c r="Y51" s="220"/>
      <c r="Z51" s="41"/>
      <c r="AA51" s="41"/>
      <c r="AB51" s="41"/>
      <c r="AC51" s="41"/>
      <c r="AD51" s="41">
        <f>+AM51+BA51</f>
        <v>0</v>
      </c>
      <c r="AE51" s="238" t="s">
        <v>591</v>
      </c>
      <c r="AF51" s="41"/>
      <c r="AG51" s="41">
        <v>0</v>
      </c>
      <c r="AH51" s="41"/>
      <c r="AI51" s="459"/>
      <c r="AJ51" s="41"/>
      <c r="AK51" s="41"/>
      <c r="AL51" s="41"/>
      <c r="AM51" s="41">
        <f>SUM(AF51:AL51)+AT51+AV51+AX51</f>
        <v>0</v>
      </c>
      <c r="AN51" s="89"/>
      <c r="AO51" s="41"/>
      <c r="AP51" s="41"/>
      <c r="AQ51" s="41"/>
      <c r="AR51" s="41">
        <f>SUM(AN51:AQ51)</f>
        <v>0</v>
      </c>
      <c r="AS51" s="41"/>
      <c r="AT51" s="41"/>
      <c r="AU51" s="41"/>
      <c r="AV51" s="41"/>
      <c r="AW51" s="41"/>
      <c r="AX51" s="41"/>
      <c r="AY51" s="41"/>
      <c r="AZ51" s="41"/>
      <c r="BA51" s="41">
        <f>+AR51+AS51+AU51+AW51+AY51+AZ51</f>
        <v>0</v>
      </c>
      <c r="BB51" s="54"/>
      <c r="BC51" s="55">
        <v>0</v>
      </c>
      <c r="BD51" s="55"/>
      <c r="BE51" s="54"/>
      <c r="BF51" s="55"/>
    </row>
    <row r="52" spans="1:58" ht="12.95" customHeight="1">
      <c r="A52" s="44"/>
      <c r="B52" s="45"/>
      <c r="C52" s="450"/>
      <c r="D52" s="45"/>
      <c r="E52" s="46"/>
      <c r="F52" s="46"/>
      <c r="G52" s="463"/>
      <c r="H52" s="48"/>
      <c r="I52" s="49"/>
      <c r="J52" s="88"/>
      <c r="K52" s="88"/>
      <c r="L52" s="39"/>
      <c r="M52" s="39"/>
      <c r="N52" s="50"/>
      <c r="O52" s="51"/>
      <c r="P52" s="52"/>
      <c r="Q52" s="51"/>
      <c r="R52" s="419"/>
      <c r="S52" s="419"/>
      <c r="T52" s="41"/>
      <c r="U52" s="41"/>
      <c r="V52" s="41"/>
      <c r="W52" s="41"/>
      <c r="X52" s="42"/>
      <c r="Y52" s="220"/>
      <c r="Z52" s="41"/>
      <c r="AA52" s="41"/>
      <c r="AB52" s="41"/>
      <c r="AC52" s="41"/>
      <c r="AD52" s="41">
        <f>+AM52+BA52</f>
        <v>7</v>
      </c>
      <c r="AE52" s="238" t="s">
        <v>612</v>
      </c>
      <c r="AF52" s="37"/>
      <c r="AG52" s="37"/>
      <c r="AH52" s="37">
        <v>7</v>
      </c>
      <c r="AI52" s="459"/>
      <c r="AJ52" s="41"/>
      <c r="AK52" s="41"/>
      <c r="AL52" s="41"/>
      <c r="AM52" s="41">
        <f>SUM(AF52:AL52)+AT52+AV52+AX52</f>
        <v>7</v>
      </c>
      <c r="AN52" s="41"/>
      <c r="AO52" s="41"/>
      <c r="AP52" s="41"/>
      <c r="AQ52" s="41"/>
      <c r="AR52" s="41">
        <f>SUM(AN52:AQ52)</f>
        <v>0</v>
      </c>
      <c r="AS52" s="41"/>
      <c r="AT52" s="41"/>
      <c r="AU52" s="41"/>
      <c r="AV52" s="41"/>
      <c r="AW52" s="41"/>
      <c r="AX52" s="41"/>
      <c r="AY52" s="41"/>
      <c r="AZ52" s="41"/>
      <c r="BA52" s="41">
        <f>+AR52+AS52+AU52+AW52+AY52+AZ52</f>
        <v>0</v>
      </c>
      <c r="BB52" s="37"/>
      <c r="BC52" s="57"/>
      <c r="BD52" s="57"/>
      <c r="BE52" s="37"/>
      <c r="BF52" s="57"/>
    </row>
    <row r="53" spans="1:58" ht="12.95" customHeight="1">
      <c r="A53" s="44"/>
      <c r="B53" s="45"/>
      <c r="C53" s="450"/>
      <c r="D53" s="45"/>
      <c r="E53" s="46"/>
      <c r="F53" s="46"/>
      <c r="G53" s="47"/>
      <c r="H53" s="48"/>
      <c r="I53" s="49"/>
      <c r="J53" s="88"/>
      <c r="K53" s="88"/>
      <c r="L53" s="39"/>
      <c r="M53" s="39"/>
      <c r="N53" s="50"/>
      <c r="O53" s="51"/>
      <c r="P53" s="52"/>
      <c r="Q53" s="38"/>
      <c r="R53" s="419"/>
      <c r="S53" s="419"/>
      <c r="T53" s="41"/>
      <c r="U53" s="41"/>
      <c r="V53" s="41"/>
      <c r="W53" s="41"/>
      <c r="X53" s="42"/>
      <c r="Y53" s="220"/>
      <c r="Z53" s="41"/>
      <c r="AA53" s="41"/>
      <c r="AB53" s="41"/>
      <c r="AC53" s="41"/>
      <c r="AD53" s="41"/>
      <c r="AE53" s="241"/>
      <c r="AF53" s="41"/>
      <c r="AG53" s="37"/>
      <c r="AH53" s="37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37"/>
      <c r="BC53" s="57"/>
      <c r="BD53" s="57"/>
      <c r="BE53" s="37"/>
      <c r="BF53" s="57"/>
    </row>
    <row r="54" spans="1:58" ht="12.95" customHeight="1">
      <c r="A54" s="343">
        <v>46124</v>
      </c>
      <c r="B54" s="45" t="s">
        <v>231</v>
      </c>
      <c r="C54" s="450">
        <f>(M54*E54*O54*Q54)/100000000</f>
        <v>66.419476049835609</v>
      </c>
      <c r="D54" s="45" t="s">
        <v>608</v>
      </c>
      <c r="E54" s="46">
        <v>17</v>
      </c>
      <c r="F54" s="46">
        <v>1</v>
      </c>
      <c r="G54" s="463">
        <v>1210</v>
      </c>
      <c r="H54" s="48">
        <v>0</v>
      </c>
      <c r="I54" s="49">
        <v>0.88</v>
      </c>
      <c r="J54" s="88">
        <f>E54*G54*(1-H54)*1440/1000000*2.77</f>
        <v>82.049616</v>
      </c>
      <c r="K54" s="88">
        <f>(IF(G54&lt;L54,L54,G54)*(1-IF(H54&lt;N54,H54,N54))*E54*O54*Q54)/100000000</f>
        <v>66.652760712328757</v>
      </c>
      <c r="L54" s="39">
        <v>1260</v>
      </c>
      <c r="M54" s="39">
        <f>+L54-L54*0.0035</f>
        <v>1255.5899999999999</v>
      </c>
      <c r="N54" s="50">
        <f>1-(M54/L54)</f>
        <v>3.5000000000000586E-3</v>
      </c>
      <c r="O54" s="51">
        <f>+'Trim Rwd'!H42</f>
        <v>267.32876712328766</v>
      </c>
      <c r="P54" s="52">
        <f>O54*(Q54-R54-S54)</f>
        <v>309834.0410958904</v>
      </c>
      <c r="Q54" s="51">
        <v>1164</v>
      </c>
      <c r="R54" s="419">
        <v>0</v>
      </c>
      <c r="S54" s="419">
        <v>5</v>
      </c>
      <c r="T54" s="41">
        <f>E54*M54*O54*Q54/100000000</f>
        <v>66.419476049835609</v>
      </c>
      <c r="U54" s="41">
        <f>E54*M54*O54*(Q54-R54-S54)/100000000</f>
        <v>66.134169022130123</v>
      </c>
      <c r="V54" s="41">
        <f>E54*G54*(1-N54)*O54/100*(R54+S54)/1000000</f>
        <v>0.2739853202568493</v>
      </c>
      <c r="W54" s="41">
        <f>+'12'!K16/1000</f>
        <v>68.319999999999993</v>
      </c>
      <c r="X54" s="416">
        <f>SUM(W54:W57)/SUM(K54:K57)</f>
        <v>1.0960021047342325</v>
      </c>
      <c r="Y54" s="220">
        <v>0</v>
      </c>
      <c r="Z54" s="41">
        <f>+'12'!D34/1000</f>
        <v>0.84599999999999997</v>
      </c>
      <c r="AA54" s="53">
        <f>SUM(U54:U57)-SUM(W54:W57)-SUM(Z54:Z57)-SUM(Y54:Y57)</f>
        <v>-9.4986581234698626</v>
      </c>
      <c r="AB54" s="53">
        <f>(SUM(K54:K57)-SUM(W54:W57)-SUM(Y54:Y57)-SUM(Z54:Z57)-SUM(AC54:AC57)-SUM(V54:V57))-AA54</f>
        <v>1.006850904863299E-2</v>
      </c>
      <c r="AC54" s="41">
        <f>K54-T54</f>
        <v>0.23328466249314772</v>
      </c>
      <c r="AD54" s="41">
        <f>+AM54+BA54</f>
        <v>0</v>
      </c>
      <c r="AE54" s="238" t="s">
        <v>277</v>
      </c>
      <c r="AF54" s="41">
        <v>0</v>
      </c>
      <c r="AG54" s="41"/>
      <c r="AH54" s="41"/>
      <c r="AI54" s="459"/>
      <c r="AJ54" s="41"/>
      <c r="AK54" s="41"/>
      <c r="AL54" s="41"/>
      <c r="AM54" s="41">
        <f>SUM(AF54:AL54)+AT54+AV54+AX54</f>
        <v>0</v>
      </c>
      <c r="AN54" s="41"/>
      <c r="AO54" s="41"/>
      <c r="AP54" s="41"/>
      <c r="AQ54" s="41"/>
      <c r="AR54" s="41">
        <f>SUM(AN54:AQ54)</f>
        <v>0</v>
      </c>
      <c r="AS54" s="41"/>
      <c r="AT54" s="41"/>
      <c r="AU54" s="41"/>
      <c r="AV54" s="41"/>
      <c r="AW54" s="41"/>
      <c r="AX54" s="41"/>
      <c r="AY54" s="41"/>
      <c r="AZ54" s="41"/>
      <c r="BA54" s="41">
        <f>+AR54+AS54+AU54+AW54+AY54+AZ54</f>
        <v>0</v>
      </c>
      <c r="BB54" s="37">
        <v>0</v>
      </c>
      <c r="BC54" s="55"/>
      <c r="BD54" s="55"/>
      <c r="BE54" s="37"/>
      <c r="BF54" s="55"/>
    </row>
    <row r="55" spans="1:58" ht="12.95" customHeight="1">
      <c r="A55" s="343"/>
      <c r="B55" s="45" t="s">
        <v>231</v>
      </c>
      <c r="C55" s="450">
        <f>(M55*E55*O55*Q55)/100000000</f>
        <v>14.527075852799998</v>
      </c>
      <c r="D55" s="45" t="s">
        <v>608</v>
      </c>
      <c r="E55" s="46">
        <v>16</v>
      </c>
      <c r="F55" s="46">
        <v>1</v>
      </c>
      <c r="G55" s="463">
        <v>1270</v>
      </c>
      <c r="H55" s="48">
        <v>0</v>
      </c>
      <c r="I55" s="49">
        <v>0.88</v>
      </c>
      <c r="J55" s="88">
        <f>E55*G55*(1-H55)*1440/1000000*2.77</f>
        <v>81.052415999999994</v>
      </c>
      <c r="K55" s="88">
        <f>(IF(G55&lt;L55,L55,G55)*(1-IF(H55&lt;N55,H55,N55))*E55*O55*Q55)/100000000</f>
        <v>14.6937984</v>
      </c>
      <c r="L55" s="39">
        <v>1260</v>
      </c>
      <c r="M55" s="39">
        <f>+L55-L55*0.0035</f>
        <v>1255.5899999999999</v>
      </c>
      <c r="N55" s="50">
        <f>1-(M55/L55)</f>
        <v>3.5000000000000586E-3</v>
      </c>
      <c r="O55" s="51">
        <f>+'Trim Rwd'!H48</f>
        <v>262</v>
      </c>
      <c r="P55" s="52">
        <f>O55*(Q55-R55-S55)</f>
        <v>71526</v>
      </c>
      <c r="Q55" s="51">
        <v>276</v>
      </c>
      <c r="R55" s="419">
        <v>0</v>
      </c>
      <c r="S55" s="419">
        <v>3</v>
      </c>
      <c r="T55" s="41">
        <f>E55*M55*O55*Q55/100000000</f>
        <v>14.527075852799998</v>
      </c>
      <c r="U55" s="41">
        <f>E55*M55*O55*(Q55-R55-S55)/100000000</f>
        <v>14.369172854399999</v>
      </c>
      <c r="V55" s="41">
        <f>E55*G55*(1-N55)*O55/100*(R55+S55)/1000000</f>
        <v>0.15915619679999998</v>
      </c>
      <c r="W55" s="41">
        <f>+'12'!K17/1000</f>
        <v>20.835999999999999</v>
      </c>
      <c r="X55" s="42"/>
      <c r="Y55" s="220"/>
      <c r="Z55" s="41"/>
      <c r="AA55" s="41"/>
      <c r="AB55" s="41"/>
      <c r="AC55" s="41">
        <f>K55-T55</f>
        <v>0.16672254720000268</v>
      </c>
      <c r="AD55" s="41">
        <f>+AM55+BA55</f>
        <v>0</v>
      </c>
      <c r="AE55" s="238" t="s">
        <v>591</v>
      </c>
      <c r="AF55" s="41"/>
      <c r="AG55" s="41">
        <v>0</v>
      </c>
      <c r="AH55" s="41"/>
      <c r="AI55" s="459"/>
      <c r="AJ55" s="41"/>
      <c r="AK55" s="41"/>
      <c r="AL55" s="41"/>
      <c r="AM55" s="41">
        <f>SUM(AF55:AL55)+AT55+AV55+AX55</f>
        <v>0</v>
      </c>
      <c r="AN55" s="89"/>
      <c r="AO55" s="41"/>
      <c r="AP55" s="41"/>
      <c r="AQ55" s="41"/>
      <c r="AR55" s="41">
        <f>SUM(AN55:AQ55)</f>
        <v>0</v>
      </c>
      <c r="AS55" s="41"/>
      <c r="AT55" s="41"/>
      <c r="AU55" s="41"/>
      <c r="AV55" s="41"/>
      <c r="AW55" s="41"/>
      <c r="AX55" s="41"/>
      <c r="AY55" s="41"/>
      <c r="AZ55" s="41"/>
      <c r="BA55" s="41">
        <f>+AR55+AS55+AU55+AW55+AY55+AZ55</f>
        <v>0</v>
      </c>
      <c r="BB55" s="54"/>
      <c r="BC55" s="55">
        <v>0</v>
      </c>
      <c r="BD55" s="55"/>
      <c r="BE55" s="54"/>
      <c r="BF55" s="55"/>
    </row>
    <row r="56" spans="1:58" ht="12.95" customHeight="1">
      <c r="A56" s="44"/>
      <c r="B56" s="45"/>
      <c r="C56" s="450"/>
      <c r="D56" s="45"/>
      <c r="E56" s="46"/>
      <c r="F56" s="46"/>
      <c r="G56" s="463"/>
      <c r="H56" s="48"/>
      <c r="I56" s="49"/>
      <c r="J56" s="88"/>
      <c r="K56" s="88"/>
      <c r="L56" s="39"/>
      <c r="M56" s="39"/>
      <c r="N56" s="50"/>
      <c r="O56" s="51"/>
      <c r="P56" s="52"/>
      <c r="Q56" s="51"/>
      <c r="R56" s="419"/>
      <c r="S56" s="419"/>
      <c r="T56" s="41"/>
      <c r="U56" s="41"/>
      <c r="V56" s="41"/>
      <c r="W56" s="41"/>
      <c r="X56" s="42"/>
      <c r="Y56" s="220"/>
      <c r="Z56" s="41"/>
      <c r="AA56" s="41"/>
      <c r="AB56" s="41"/>
      <c r="AC56" s="41"/>
      <c r="AD56" s="41">
        <f>+AM56+BA56</f>
        <v>8</v>
      </c>
      <c r="AE56" s="238" t="s">
        <v>592</v>
      </c>
      <c r="AF56" s="37"/>
      <c r="AG56" s="37"/>
      <c r="AH56" s="37">
        <v>8</v>
      </c>
      <c r="AI56" s="459"/>
      <c r="AJ56" s="41"/>
      <c r="AK56" s="41"/>
      <c r="AL56" s="41"/>
      <c r="AM56" s="41">
        <f>SUM(AF56:AL56)+AT56+AV56+AX56</f>
        <v>8</v>
      </c>
      <c r="AN56" s="41"/>
      <c r="AO56" s="41"/>
      <c r="AP56" s="41"/>
      <c r="AQ56" s="41"/>
      <c r="AR56" s="41">
        <f>SUM(AN56:AQ56)</f>
        <v>0</v>
      </c>
      <c r="AS56" s="41"/>
      <c r="AT56" s="41"/>
      <c r="AU56" s="41"/>
      <c r="AV56" s="41"/>
      <c r="AW56" s="41"/>
      <c r="AX56" s="41"/>
      <c r="AY56" s="41"/>
      <c r="AZ56" s="41"/>
      <c r="BA56" s="41">
        <f>+AR56+AS56+AU56+AW56+AY56+AZ56</f>
        <v>0</v>
      </c>
      <c r="BB56" s="37"/>
      <c r="BC56" s="57"/>
      <c r="BD56" s="57"/>
      <c r="BE56" s="37"/>
      <c r="BF56" s="57"/>
    </row>
    <row r="57" spans="1:58" ht="12.95" customHeight="1">
      <c r="A57" s="44"/>
      <c r="B57" s="45"/>
      <c r="C57" s="450"/>
      <c r="D57" s="45"/>
      <c r="E57" s="46"/>
      <c r="F57" s="46"/>
      <c r="G57" s="47"/>
      <c r="H57" s="48"/>
      <c r="I57" s="49"/>
      <c r="J57" s="88"/>
      <c r="K57" s="88"/>
      <c r="L57" s="39"/>
      <c r="M57" s="39"/>
      <c r="N57" s="50"/>
      <c r="O57" s="51"/>
      <c r="P57" s="52"/>
      <c r="Q57" s="38"/>
      <c r="R57" s="419"/>
      <c r="S57" s="419"/>
      <c r="T57" s="41"/>
      <c r="U57" s="41"/>
      <c r="V57" s="41"/>
      <c r="W57" s="41"/>
      <c r="X57" s="42"/>
      <c r="Y57" s="220"/>
      <c r="Z57" s="41"/>
      <c r="AA57" s="41"/>
      <c r="AB57" s="41"/>
      <c r="AC57" s="41"/>
      <c r="AD57" s="41"/>
      <c r="AE57" s="241"/>
      <c r="AF57" s="41"/>
      <c r="AG57" s="37"/>
      <c r="AH57" s="37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37"/>
      <c r="BC57" s="57"/>
      <c r="BD57" s="57"/>
      <c r="BE57" s="37"/>
      <c r="BF57" s="57"/>
    </row>
    <row r="58" spans="1:58" ht="12.95" customHeight="1">
      <c r="A58" s="343">
        <v>46125</v>
      </c>
      <c r="B58" s="45" t="s">
        <v>231</v>
      </c>
      <c r="C58" s="450">
        <f>(M58*E58*O58*Q58)/100000000</f>
        <v>55.541248655939604</v>
      </c>
      <c r="D58" s="45" t="s">
        <v>608</v>
      </c>
      <c r="E58" s="46">
        <v>16</v>
      </c>
      <c r="F58" s="46">
        <v>1</v>
      </c>
      <c r="G58" s="463">
        <v>1270</v>
      </c>
      <c r="H58" s="48">
        <v>0</v>
      </c>
      <c r="I58" s="49">
        <v>0.88</v>
      </c>
      <c r="J58" s="88">
        <f>E58*G58*(1-H58)*1440/1000000*2.77</f>
        <v>81.052415999999994</v>
      </c>
      <c r="K58" s="88">
        <f>(IF(G58&lt;L58,L58,G58)*(1-IF(H58&lt;N58,H58,N58))*E58*O58*Q58)/100000000</f>
        <v>60.745014400000002</v>
      </c>
      <c r="L58" s="39">
        <v>1165.2830188679245</v>
      </c>
      <c r="M58" s="39">
        <v>1161.2045283018865</v>
      </c>
      <c r="N58" s="50">
        <f>1-(M58/L58)</f>
        <v>3.5000000000002807E-3</v>
      </c>
      <c r="O58" s="51">
        <f>+'Trim Rwd'!H50</f>
        <v>262</v>
      </c>
      <c r="P58" s="52">
        <f>O58*(Q58-R58-S58)</f>
        <v>274838</v>
      </c>
      <c r="Q58" s="51">
        <f>1440-299</f>
        <v>1141</v>
      </c>
      <c r="R58" s="419">
        <f>380-299</f>
        <v>81</v>
      </c>
      <c r="S58" s="419">
        <v>11</v>
      </c>
      <c r="T58" s="41">
        <f>E58*M58*O58*Q58/100000000</f>
        <v>55.541248655939604</v>
      </c>
      <c r="U58" s="41">
        <f>E58*M58*O58*(Q58-R58-S58)/100000000</f>
        <v>51.062900823909423</v>
      </c>
      <c r="V58" s="41">
        <f>E58*G58*(1-N58)*O58/100*(R58+S58)/1000000</f>
        <v>4.8807900351999987</v>
      </c>
      <c r="W58" s="41">
        <f>+'13'!K34/1000</f>
        <v>55.878</v>
      </c>
      <c r="X58" s="416">
        <f>SUM(W58:W61)/SUM(K58:K61)</f>
        <v>0.91987796121092036</v>
      </c>
      <c r="Y58" s="220">
        <v>0</v>
      </c>
      <c r="Z58" s="41">
        <f>+'13'!D34/1000</f>
        <v>0.47399999999999998</v>
      </c>
      <c r="AA58" s="53">
        <f>SUM(U58:U61)-SUM(W58:W61)-SUM(Z58:Z61)-SUM(Y58:Y61)</f>
        <v>-5.289099176090577</v>
      </c>
      <c r="AB58" s="53">
        <f>(SUM(K58:K61)-SUM(W58:W61)-SUM(Y58:Y61)-SUM(Z58:Z61)-SUM(AC58:AC61)-SUM(V58:V61))-AA58</f>
        <v>-0.4024422031698176</v>
      </c>
      <c r="AC58" s="41">
        <f>K58-T58</f>
        <v>5.2037657440603979</v>
      </c>
      <c r="AD58" s="41">
        <f>+AM58+BA58</f>
        <v>0</v>
      </c>
      <c r="AE58" s="238" t="s">
        <v>277</v>
      </c>
      <c r="AF58" s="41">
        <v>0</v>
      </c>
      <c r="AG58" s="41"/>
      <c r="AH58" s="41"/>
      <c r="AI58" s="459"/>
      <c r="AJ58" s="41"/>
      <c r="AK58" s="41"/>
      <c r="AL58" s="41"/>
      <c r="AM58" s="41">
        <f>SUM(AF58:AL58)+AT58+AV58+AX58</f>
        <v>0</v>
      </c>
      <c r="AN58" s="41"/>
      <c r="AO58" s="41"/>
      <c r="AP58" s="41"/>
      <c r="AQ58" s="41"/>
      <c r="AR58" s="41">
        <f>SUM(AN58:AQ58)</f>
        <v>0</v>
      </c>
      <c r="AS58" s="41"/>
      <c r="AT58" s="41"/>
      <c r="AU58" s="41"/>
      <c r="AV58" s="41"/>
      <c r="AW58" s="41"/>
      <c r="AX58" s="41"/>
      <c r="AY58" s="41"/>
      <c r="AZ58" s="41"/>
      <c r="BA58" s="41">
        <f>+AR58+AS58+AU58+AW58+AY58+AZ58</f>
        <v>0</v>
      </c>
      <c r="BB58" s="37">
        <v>0</v>
      </c>
      <c r="BC58" s="55"/>
      <c r="BD58" s="55"/>
      <c r="BE58" s="37"/>
      <c r="BF58" s="55"/>
    </row>
    <row r="59" spans="1:58" ht="12.95" customHeight="1">
      <c r="A59" s="343"/>
      <c r="B59" s="45"/>
      <c r="C59" s="450"/>
      <c r="D59" s="45"/>
      <c r="E59" s="46"/>
      <c r="F59" s="46"/>
      <c r="G59" s="463"/>
      <c r="H59" s="48"/>
      <c r="I59" s="49"/>
      <c r="J59" s="88"/>
      <c r="K59" s="88"/>
      <c r="L59" s="39"/>
      <c r="M59" s="39"/>
      <c r="N59" s="50"/>
      <c r="O59" s="51"/>
      <c r="P59" s="52"/>
      <c r="Q59" s="51"/>
      <c r="R59" s="419"/>
      <c r="S59" s="419"/>
      <c r="T59" s="41"/>
      <c r="U59" s="41"/>
      <c r="V59" s="41"/>
      <c r="W59" s="41"/>
      <c r="X59" s="42"/>
      <c r="Y59" s="220"/>
      <c r="Z59" s="41"/>
      <c r="AA59" s="41"/>
      <c r="AB59" s="41"/>
      <c r="AC59" s="41"/>
      <c r="AD59" s="41">
        <f>+AM59+BA59</f>
        <v>0</v>
      </c>
      <c r="AE59" s="238" t="s">
        <v>591</v>
      </c>
      <c r="AF59" s="41"/>
      <c r="AG59" s="41">
        <v>0</v>
      </c>
      <c r="AH59" s="41"/>
      <c r="AI59" s="459"/>
      <c r="AJ59" s="41"/>
      <c r="AK59" s="41"/>
      <c r="AL59" s="41"/>
      <c r="AM59" s="41">
        <f>SUM(AF59:AL59)+AT59+AV59+AX59</f>
        <v>0</v>
      </c>
      <c r="AN59" s="89"/>
      <c r="AO59" s="41"/>
      <c r="AP59" s="41"/>
      <c r="AQ59" s="41"/>
      <c r="AR59" s="41">
        <f>SUM(AN59:AQ59)</f>
        <v>0</v>
      </c>
      <c r="AS59" s="41"/>
      <c r="AT59" s="41"/>
      <c r="AU59" s="41"/>
      <c r="AV59" s="41"/>
      <c r="AW59" s="41"/>
      <c r="AX59" s="41"/>
      <c r="AY59" s="41"/>
      <c r="AZ59" s="41"/>
      <c r="BA59" s="41">
        <f>+AR59+AS59+AU59+AW59+AY59+AZ59</f>
        <v>0</v>
      </c>
      <c r="BB59" s="54"/>
      <c r="BC59" s="55">
        <v>0</v>
      </c>
      <c r="BD59" s="55"/>
      <c r="BE59" s="54"/>
      <c r="BF59" s="55"/>
    </row>
    <row r="60" spans="1:58" ht="12.95" customHeight="1">
      <c r="A60" s="44"/>
      <c r="B60" s="45"/>
      <c r="C60" s="450"/>
      <c r="D60" s="45"/>
      <c r="E60" s="46"/>
      <c r="F60" s="46"/>
      <c r="G60" s="463"/>
      <c r="H60" s="48"/>
      <c r="I60" s="49"/>
      <c r="J60" s="88"/>
      <c r="K60" s="88"/>
      <c r="L60" s="39"/>
      <c r="M60" s="39"/>
      <c r="N60" s="50"/>
      <c r="O60" s="51"/>
      <c r="P60" s="52"/>
      <c r="Q60" s="51"/>
      <c r="R60" s="419"/>
      <c r="S60" s="419"/>
      <c r="T60" s="41"/>
      <c r="U60" s="41"/>
      <c r="V60" s="41"/>
      <c r="W60" s="41"/>
      <c r="X60" s="42"/>
      <c r="Y60" s="220"/>
      <c r="Z60" s="41"/>
      <c r="AA60" s="41"/>
      <c r="AB60" s="41"/>
      <c r="AC60" s="41"/>
      <c r="AD60" s="41">
        <f>+AM60+BA60</f>
        <v>11</v>
      </c>
      <c r="AE60" s="238" t="s">
        <v>634</v>
      </c>
      <c r="AF60" s="37"/>
      <c r="AG60" s="37"/>
      <c r="AH60" s="37">
        <v>11</v>
      </c>
      <c r="AI60" s="459"/>
      <c r="AJ60" s="41"/>
      <c r="AK60" s="41"/>
      <c r="AL60" s="41"/>
      <c r="AM60" s="41">
        <f>SUM(AF60:AL60)+AT60+AV60+AX60</f>
        <v>11</v>
      </c>
      <c r="AN60" s="41"/>
      <c r="AO60" s="41"/>
      <c r="AP60" s="41"/>
      <c r="AQ60" s="41"/>
      <c r="AR60" s="41">
        <f>SUM(AN60:AQ60)</f>
        <v>0</v>
      </c>
      <c r="AS60" s="41"/>
      <c r="AT60" s="41"/>
      <c r="AU60" s="41"/>
      <c r="AV60" s="41"/>
      <c r="AW60" s="41"/>
      <c r="AX60" s="41"/>
      <c r="AY60" s="41"/>
      <c r="AZ60" s="41"/>
      <c r="BA60" s="41">
        <f>+AR60+AS60+AU60+AW60+AY60+AZ60</f>
        <v>0</v>
      </c>
      <c r="BB60" s="37"/>
      <c r="BC60" s="57"/>
      <c r="BD60" s="57"/>
      <c r="BE60" s="37"/>
      <c r="BF60" s="57"/>
    </row>
    <row r="61" spans="1:58" ht="12.95" customHeight="1">
      <c r="A61" s="44"/>
      <c r="B61" s="45"/>
      <c r="C61" s="450"/>
      <c r="D61" s="45"/>
      <c r="E61" s="46"/>
      <c r="F61" s="46"/>
      <c r="G61" s="47"/>
      <c r="H61" s="48"/>
      <c r="I61" s="49"/>
      <c r="J61" s="88"/>
      <c r="K61" s="88"/>
      <c r="L61" s="39"/>
      <c r="M61" s="39"/>
      <c r="N61" s="50"/>
      <c r="O61" s="51"/>
      <c r="P61" s="52"/>
      <c r="Q61" s="38"/>
      <c r="R61" s="419"/>
      <c r="S61" s="419"/>
      <c r="T61" s="41"/>
      <c r="U61" s="41"/>
      <c r="V61" s="41"/>
      <c r="W61" s="41"/>
      <c r="X61" s="42"/>
      <c r="Y61" s="220"/>
      <c r="Z61" s="41"/>
      <c r="AA61" s="41"/>
      <c r="AB61" s="41"/>
      <c r="AC61" s="41"/>
      <c r="AD61" s="41">
        <f>+AM61+BA61</f>
        <v>81</v>
      </c>
      <c r="AE61" s="241" t="s">
        <v>635</v>
      </c>
      <c r="AF61" s="41"/>
      <c r="AG61" s="37"/>
      <c r="AH61" s="37"/>
      <c r="AI61" s="459"/>
      <c r="AJ61" s="41"/>
      <c r="AK61" s="41"/>
      <c r="AL61" s="41"/>
      <c r="AM61" s="41">
        <f>SUM(AF61:AL61)+AT61+AV61+AX61</f>
        <v>0</v>
      </c>
      <c r="AN61" s="41"/>
      <c r="AO61" s="41"/>
      <c r="AP61" s="41"/>
      <c r="AQ61" s="41"/>
      <c r="AR61" s="41">
        <f>SUM(AN61:AQ61)</f>
        <v>0</v>
      </c>
      <c r="AS61" s="41"/>
      <c r="AT61" s="41"/>
      <c r="AU61" s="41"/>
      <c r="AV61" s="41"/>
      <c r="AW61" s="41"/>
      <c r="AX61" s="41"/>
      <c r="AY61" s="41">
        <f>380-299</f>
        <v>81</v>
      </c>
      <c r="AZ61" s="41"/>
      <c r="BA61" s="41">
        <f>+AR61+AS61+AU61+AW61+AY61+AZ61</f>
        <v>81</v>
      </c>
      <c r="BB61" s="37"/>
      <c r="BC61" s="57"/>
      <c r="BD61" s="57"/>
      <c r="BE61" s="37"/>
      <c r="BF61" s="57"/>
    </row>
    <row r="62" spans="1:58" ht="12.95" customHeight="1">
      <c r="A62" s="44"/>
      <c r="B62" s="45"/>
      <c r="C62" s="450"/>
      <c r="D62" s="45"/>
      <c r="E62" s="46"/>
      <c r="F62" s="46"/>
      <c r="G62" s="47"/>
      <c r="H62" s="48"/>
      <c r="I62" s="49"/>
      <c r="J62" s="88"/>
      <c r="K62" s="88"/>
      <c r="L62" s="39"/>
      <c r="M62" s="39"/>
      <c r="N62" s="50"/>
      <c r="O62" s="51"/>
      <c r="P62" s="52"/>
      <c r="Q62" s="51"/>
      <c r="R62" s="419"/>
      <c r="S62" s="419"/>
      <c r="T62" s="41"/>
      <c r="U62" s="41"/>
      <c r="V62" s="41"/>
      <c r="W62" s="41"/>
      <c r="X62" s="42"/>
      <c r="Y62" s="220"/>
      <c r="Z62" s="41"/>
      <c r="AA62" s="41"/>
      <c r="AB62" s="41"/>
      <c r="AC62" s="41"/>
      <c r="AD62" s="41"/>
      <c r="AE62" s="238"/>
      <c r="AF62" s="37"/>
      <c r="AG62" s="37"/>
      <c r="AH62" s="37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37"/>
      <c r="BC62" s="57"/>
      <c r="BD62" s="55"/>
      <c r="BE62" s="55"/>
      <c r="BF62" s="55"/>
    </row>
    <row r="63" spans="1:58" ht="12.95" customHeight="1">
      <c r="A63" s="343">
        <v>46126</v>
      </c>
      <c r="B63" s="45" t="s">
        <v>231</v>
      </c>
      <c r="C63" s="450">
        <f>(M63*E63*O63*Q63)/100000000</f>
        <v>78.259274495999989</v>
      </c>
      <c r="D63" s="45" t="s">
        <v>608</v>
      </c>
      <c r="E63" s="46">
        <v>16</v>
      </c>
      <c r="F63" s="46">
        <v>1</v>
      </c>
      <c r="G63" s="463">
        <v>1270</v>
      </c>
      <c r="H63" s="48">
        <v>0</v>
      </c>
      <c r="I63" s="49">
        <v>0.88</v>
      </c>
      <c r="J63" s="88">
        <f>E63*G63*(1-H63)*1440/1000000*2.77</f>
        <v>81.052415999999994</v>
      </c>
      <c r="K63" s="88">
        <f>(IF(G63&lt;L63,L63,G63)*(1-IF(H63&lt;N63,H63,N63))*E63*O63*Q63)/100000000</f>
        <v>78.7408128</v>
      </c>
      <c r="L63" s="39">
        <v>1266.6666666666667</v>
      </c>
      <c r="M63" s="39">
        <v>1262.2333333333331</v>
      </c>
      <c r="N63" s="50">
        <f>1-(M63/L63)</f>
        <v>3.5000000000002807E-3</v>
      </c>
      <c r="O63" s="51">
        <f>+'Trim Rwd'!H52</f>
        <v>269.10000000000002</v>
      </c>
      <c r="P63" s="52">
        <f>O63*(Q63-R63-S63)</f>
        <v>382929.30000000005</v>
      </c>
      <c r="Q63" s="51">
        <v>1440</v>
      </c>
      <c r="R63" s="419">
        <v>0</v>
      </c>
      <c r="S63" s="419">
        <v>17</v>
      </c>
      <c r="T63" s="41">
        <f>E63*M63*O63*Q63/100000000</f>
        <v>78.259274495999989</v>
      </c>
      <c r="U63" s="41">
        <f>E63*M63*O63*(Q63-R63-S63)/100000000</f>
        <v>77.335380283199996</v>
      </c>
      <c r="V63" s="41">
        <f>E63*G63*(1-N63)*O63/100*(R63+S63)/1000000</f>
        <v>0.9263255133599998</v>
      </c>
      <c r="W63" s="41">
        <f>+'14'!K34/1000</f>
        <v>73.936999999999998</v>
      </c>
      <c r="X63" s="416">
        <f>SUM(W63:W66)/SUM(K63:K66)</f>
        <v>0.93899208518203148</v>
      </c>
      <c r="Y63" s="220">
        <v>0</v>
      </c>
      <c r="Z63" s="41">
        <f>+'14'!D34/1000</f>
        <v>1.2629999999999999</v>
      </c>
      <c r="AA63" s="53">
        <f>SUM(U63:U66)-SUM(W63:W66)-SUM(Z63:Z66)-SUM(Y63:Y66)</f>
        <v>2.1353802831999982</v>
      </c>
      <c r="AB63" s="53">
        <f>(SUM(K63:K66)-SUM(W63:W66)-SUM(Y63:Y66)-SUM(Z63:Z66)-SUM(AC63:AC66)-SUM(V63:V66))-AA63</f>
        <v>-2.4313005600062887E-3</v>
      </c>
      <c r="AC63" s="41">
        <f>K63-T63</f>
        <v>0.48153830400001141</v>
      </c>
      <c r="AD63" s="41">
        <f>+AM63+BA63</f>
        <v>0</v>
      </c>
      <c r="AE63" s="238" t="s">
        <v>277</v>
      </c>
      <c r="AF63" s="41">
        <v>0</v>
      </c>
      <c r="AG63" s="41"/>
      <c r="AH63" s="41"/>
      <c r="AI63" s="459"/>
      <c r="AJ63" s="41"/>
      <c r="AK63" s="41"/>
      <c r="AL63" s="41"/>
      <c r="AM63" s="41">
        <f>SUM(AF63:AL63)+AT63+AV63+AX63</f>
        <v>0</v>
      </c>
      <c r="AN63" s="41"/>
      <c r="AO63" s="41"/>
      <c r="AP63" s="41"/>
      <c r="AQ63" s="41"/>
      <c r="AR63" s="41">
        <f>SUM(AN63:AQ63)</f>
        <v>0</v>
      </c>
      <c r="AS63" s="41"/>
      <c r="AT63" s="41"/>
      <c r="AU63" s="41"/>
      <c r="AV63" s="41"/>
      <c r="AW63" s="41"/>
      <c r="AX63" s="41"/>
      <c r="AY63" s="41"/>
      <c r="AZ63" s="41"/>
      <c r="BA63" s="41">
        <f>+AR63+AS63+AU63+AW63+AY63+AZ63</f>
        <v>0</v>
      </c>
      <c r="BB63" s="37">
        <v>0</v>
      </c>
      <c r="BC63" s="55"/>
      <c r="BD63" s="55"/>
      <c r="BE63" s="37"/>
      <c r="BF63" s="55"/>
    </row>
    <row r="64" spans="1:58" ht="12.95" customHeight="1">
      <c r="A64" s="343"/>
      <c r="B64" s="45"/>
      <c r="C64" s="450"/>
      <c r="D64" s="45"/>
      <c r="E64" s="46"/>
      <c r="F64" s="46"/>
      <c r="G64" s="463"/>
      <c r="H64" s="48"/>
      <c r="I64" s="49"/>
      <c r="J64" s="88"/>
      <c r="K64" s="88"/>
      <c r="L64" s="39"/>
      <c r="M64" s="39"/>
      <c r="N64" s="50"/>
      <c r="O64" s="51"/>
      <c r="P64" s="52"/>
      <c r="Q64" s="51"/>
      <c r="R64" s="419"/>
      <c r="S64" s="419"/>
      <c r="T64" s="41"/>
      <c r="U64" s="41"/>
      <c r="V64" s="41"/>
      <c r="W64" s="41"/>
      <c r="X64" s="42"/>
      <c r="Y64" s="220"/>
      <c r="Z64" s="41"/>
      <c r="AA64" s="41"/>
      <c r="AB64" s="41"/>
      <c r="AC64" s="41"/>
      <c r="AD64" s="41">
        <f>+AM64+BA64</f>
        <v>1</v>
      </c>
      <c r="AE64" s="238" t="s">
        <v>640</v>
      </c>
      <c r="AF64" s="41"/>
      <c r="AG64" s="41">
        <v>1</v>
      </c>
      <c r="AH64" s="41"/>
      <c r="AI64" s="459"/>
      <c r="AJ64" s="41"/>
      <c r="AK64" s="41"/>
      <c r="AL64" s="41"/>
      <c r="AM64" s="41">
        <f>SUM(AF64:AL64)+AT64+AV64+AX64</f>
        <v>1</v>
      </c>
      <c r="AN64" s="89"/>
      <c r="AO64" s="41"/>
      <c r="AP64" s="41"/>
      <c r="AQ64" s="41"/>
      <c r="AR64" s="41">
        <f>SUM(AN64:AQ64)</f>
        <v>0</v>
      </c>
      <c r="AS64" s="41"/>
      <c r="AT64" s="41"/>
      <c r="AU64" s="41"/>
      <c r="AV64" s="41"/>
      <c r="AW64" s="41"/>
      <c r="AX64" s="41"/>
      <c r="AY64" s="41"/>
      <c r="AZ64" s="41"/>
      <c r="BA64" s="41">
        <f>+AR64+AS64+AU64+AW64+AY64+AZ64</f>
        <v>0</v>
      </c>
      <c r="BB64" s="54"/>
      <c r="BC64" s="55">
        <v>1</v>
      </c>
      <c r="BD64" s="55"/>
      <c r="BE64" s="54"/>
      <c r="BF64" s="55"/>
    </row>
    <row r="65" spans="1:58" ht="12.95" customHeight="1">
      <c r="A65" s="44"/>
      <c r="B65" s="45"/>
      <c r="C65" s="450"/>
      <c r="D65" s="45"/>
      <c r="E65" s="46"/>
      <c r="F65" s="46"/>
      <c r="G65" s="463"/>
      <c r="H65" s="48"/>
      <c r="I65" s="49"/>
      <c r="J65" s="88"/>
      <c r="K65" s="88"/>
      <c r="L65" s="39"/>
      <c r="M65" s="39"/>
      <c r="N65" s="50"/>
      <c r="O65" s="51"/>
      <c r="P65" s="52"/>
      <c r="Q65" s="51"/>
      <c r="R65" s="419"/>
      <c r="S65" s="419"/>
      <c r="T65" s="41"/>
      <c r="U65" s="41"/>
      <c r="V65" s="41"/>
      <c r="W65" s="41"/>
      <c r="X65" s="42"/>
      <c r="Y65" s="220"/>
      <c r="Z65" s="41"/>
      <c r="AA65" s="41"/>
      <c r="AB65" s="41"/>
      <c r="AC65" s="41"/>
      <c r="AD65" s="41">
        <f>+AM65+BA65</f>
        <v>16</v>
      </c>
      <c r="AE65" s="238" t="s">
        <v>612</v>
      </c>
      <c r="AF65" s="37"/>
      <c r="AG65" s="37"/>
      <c r="AH65" s="37">
        <v>16</v>
      </c>
      <c r="AI65" s="459"/>
      <c r="AJ65" s="41"/>
      <c r="AK65" s="41"/>
      <c r="AL65" s="41"/>
      <c r="AM65" s="41">
        <f>SUM(AF65:AL65)+AT65+AV65+AX65</f>
        <v>16</v>
      </c>
      <c r="AN65" s="41"/>
      <c r="AO65" s="41"/>
      <c r="AP65" s="41"/>
      <c r="AQ65" s="41"/>
      <c r="AR65" s="41">
        <f>SUM(AN65:AQ65)</f>
        <v>0</v>
      </c>
      <c r="AS65" s="41"/>
      <c r="AT65" s="41"/>
      <c r="AU65" s="41"/>
      <c r="AV65" s="41"/>
      <c r="AW65" s="41"/>
      <c r="AX65" s="41"/>
      <c r="AY65" s="41"/>
      <c r="AZ65" s="41"/>
      <c r="BA65" s="41">
        <f>+AR65+AS65+AU65+AW65+AY65+AZ65</f>
        <v>0</v>
      </c>
      <c r="BB65" s="37"/>
      <c r="BC65" s="57"/>
      <c r="BD65" s="57"/>
      <c r="BE65" s="37"/>
      <c r="BF65" s="57"/>
    </row>
    <row r="66" spans="1:58" ht="12.95" customHeight="1">
      <c r="A66" s="44"/>
      <c r="B66" s="45"/>
      <c r="C66" s="450"/>
      <c r="D66" s="45"/>
      <c r="E66" s="46"/>
      <c r="F66" s="46"/>
      <c r="G66" s="47"/>
      <c r="H66" s="48"/>
      <c r="I66" s="49"/>
      <c r="J66" s="88"/>
      <c r="K66" s="88"/>
      <c r="L66" s="39"/>
      <c r="M66" s="39"/>
      <c r="N66" s="50"/>
      <c r="O66" s="51"/>
      <c r="P66" s="52"/>
      <c r="Q66" s="38"/>
      <c r="R66" s="419"/>
      <c r="S66" s="419"/>
      <c r="T66" s="41"/>
      <c r="U66" s="41"/>
      <c r="V66" s="41"/>
      <c r="W66" s="41"/>
      <c r="X66" s="42"/>
      <c r="Y66" s="220"/>
      <c r="Z66" s="41"/>
      <c r="AA66" s="41"/>
      <c r="AB66" s="41"/>
      <c r="AC66" s="41"/>
      <c r="AD66" s="41"/>
      <c r="AE66" s="241"/>
      <c r="AF66" s="41"/>
      <c r="AG66" s="37"/>
      <c r="AH66" s="37"/>
      <c r="AI66" s="459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37"/>
      <c r="BC66" s="57"/>
      <c r="BD66" s="57"/>
      <c r="BE66" s="37"/>
      <c r="BF66" s="57"/>
    </row>
    <row r="67" spans="1:58" ht="12.95" customHeight="1">
      <c r="A67" s="343">
        <v>46127</v>
      </c>
      <c r="B67" s="45" t="s">
        <v>231</v>
      </c>
      <c r="C67" s="450">
        <f>(M67*E67*O67*Q67)/100000000</f>
        <v>78.057232127999995</v>
      </c>
      <c r="D67" s="45" t="s">
        <v>608</v>
      </c>
      <c r="E67" s="46">
        <v>16</v>
      </c>
      <c r="F67" s="46">
        <v>1</v>
      </c>
      <c r="G67" s="463">
        <v>1270</v>
      </c>
      <c r="H67" s="48">
        <v>0</v>
      </c>
      <c r="I67" s="49">
        <v>0.88</v>
      </c>
      <c r="J67" s="88">
        <f>E67*G67*(1-H67)*1440/1000000*2.77</f>
        <v>81.052415999999994</v>
      </c>
      <c r="K67" s="88">
        <f>(IF(G67&lt;L67,L67,G67)*(1-IF(H67&lt;N67,H67,N67))*E67*O67*Q67)/100000000</f>
        <v>78.331391999999994</v>
      </c>
      <c r="L67" s="39">
        <v>1273.3333333333333</v>
      </c>
      <c r="M67" s="39">
        <v>1268.8766666666666</v>
      </c>
      <c r="N67" s="50">
        <f>1-(M67/L67)</f>
        <v>3.5000000000000586E-3</v>
      </c>
      <c r="O67" s="51">
        <f>+'Trim Rwd'!H56</f>
        <v>267</v>
      </c>
      <c r="P67" s="52">
        <f>O67*(Q67-R67-S67)</f>
        <v>381810</v>
      </c>
      <c r="Q67" s="51">
        <v>1440</v>
      </c>
      <c r="R67" s="419">
        <v>0</v>
      </c>
      <c r="S67" s="419">
        <v>10</v>
      </c>
      <c r="T67" s="41">
        <f>E67*M67*O67*Q67/100000000</f>
        <v>78.057232127999995</v>
      </c>
      <c r="U67" s="41">
        <f>E67*M67*O67*(Q67-R67-S67)/100000000</f>
        <v>77.51516801599999</v>
      </c>
      <c r="V67" s="41">
        <f>E67*G67*(1-N67)*O67/100*(R67+S67)/1000000</f>
        <v>0.54064509599999988</v>
      </c>
      <c r="W67" s="41">
        <f>+'15'!K34/1000</f>
        <v>80.088999999999999</v>
      </c>
      <c r="X67" s="416">
        <f>SUM(W67:W70)/SUM(K67:K70)</f>
        <v>1.0224381050192495</v>
      </c>
      <c r="Y67" s="220">
        <v>0</v>
      </c>
      <c r="Z67" s="41">
        <f>+'15'!D34/1000</f>
        <v>0.70599999999999996</v>
      </c>
      <c r="AA67" s="53">
        <f>SUM(U67:U70)-SUM(W67:W70)-SUM(Z67:Z70)-SUM(Y67:Y70)</f>
        <v>-3.2798319840000087</v>
      </c>
      <c r="AB67" s="53">
        <f>(SUM(K67:K70)-SUM(W67:W70)-SUM(Y67:Y70)-SUM(Z67:Z70)-SUM(AC67:AC70)-SUM(V67:V70))-AA67</f>
        <v>1.4190160000056018E-3</v>
      </c>
      <c r="AC67" s="41">
        <f>K67-T67</f>
        <v>0.27415987199999847</v>
      </c>
      <c r="AD67" s="41">
        <f>+AM67+BA67</f>
        <v>0</v>
      </c>
      <c r="AE67" s="238" t="s">
        <v>277</v>
      </c>
      <c r="AF67" s="41">
        <v>0</v>
      </c>
      <c r="AG67" s="41"/>
      <c r="AH67" s="41"/>
      <c r="AI67" s="459"/>
      <c r="AJ67" s="41"/>
      <c r="AK67" s="41"/>
      <c r="AL67" s="41"/>
      <c r="AM67" s="41">
        <f>SUM(AF67:AL67)+AT67+AV67+AX67</f>
        <v>0</v>
      </c>
      <c r="AN67" s="41"/>
      <c r="AO67" s="41"/>
      <c r="AP67" s="41"/>
      <c r="AQ67" s="41"/>
      <c r="AR67" s="41">
        <f>SUM(AN67:AQ67)</f>
        <v>0</v>
      </c>
      <c r="AS67" s="41"/>
      <c r="AT67" s="41"/>
      <c r="AU67" s="41"/>
      <c r="AV67" s="41"/>
      <c r="AW67" s="41"/>
      <c r="AX67" s="41"/>
      <c r="AY67" s="41"/>
      <c r="AZ67" s="41"/>
      <c r="BA67" s="41">
        <f>+AR67+AS67+AU67+AW67+AY67+AZ67</f>
        <v>0</v>
      </c>
      <c r="BB67" s="37">
        <v>0</v>
      </c>
      <c r="BC67" s="55"/>
      <c r="BD67" s="55"/>
      <c r="BE67" s="37"/>
      <c r="BF67" s="55"/>
    </row>
    <row r="68" spans="1:58" ht="12.95" customHeight="1">
      <c r="A68" s="343"/>
      <c r="B68" s="45"/>
      <c r="C68" s="450"/>
      <c r="D68" s="45"/>
      <c r="E68" s="46"/>
      <c r="F68" s="46"/>
      <c r="G68" s="463"/>
      <c r="H68" s="48"/>
      <c r="I68" s="49"/>
      <c r="J68" s="88"/>
      <c r="K68" s="88"/>
      <c r="L68" s="39"/>
      <c r="M68" s="39"/>
      <c r="N68" s="50"/>
      <c r="O68" s="51"/>
      <c r="P68" s="52"/>
      <c r="Q68" s="51"/>
      <c r="R68" s="419"/>
      <c r="S68" s="419"/>
      <c r="T68" s="41"/>
      <c r="U68" s="41"/>
      <c r="V68" s="41"/>
      <c r="W68" s="41"/>
      <c r="X68" s="42"/>
      <c r="Y68" s="220"/>
      <c r="Z68" s="41"/>
      <c r="AA68" s="41"/>
      <c r="AB68" s="41"/>
      <c r="AC68" s="41"/>
      <c r="AD68" s="41">
        <f>+AM68+BA68</f>
        <v>1</v>
      </c>
      <c r="AE68" s="238" t="s">
        <v>640</v>
      </c>
      <c r="AF68" s="41"/>
      <c r="AG68" s="41">
        <v>1</v>
      </c>
      <c r="AH68" s="41"/>
      <c r="AI68" s="459"/>
      <c r="AJ68" s="41"/>
      <c r="AK68" s="41"/>
      <c r="AL68" s="41"/>
      <c r="AM68" s="41">
        <f>SUM(AF68:AL68)+AT68+AV68+AX68</f>
        <v>1</v>
      </c>
      <c r="AN68" s="89"/>
      <c r="AO68" s="41"/>
      <c r="AP68" s="41"/>
      <c r="AQ68" s="41"/>
      <c r="AR68" s="41">
        <f>SUM(AN68:AQ68)</f>
        <v>0</v>
      </c>
      <c r="AS68" s="41"/>
      <c r="AT68" s="41"/>
      <c r="AU68" s="41"/>
      <c r="AV68" s="41"/>
      <c r="AW68" s="41"/>
      <c r="AX68" s="41"/>
      <c r="AY68" s="41"/>
      <c r="AZ68" s="41"/>
      <c r="BA68" s="41">
        <f>+AR68+AS68+AU68+AW68+AY68+AZ68</f>
        <v>0</v>
      </c>
      <c r="BB68" s="54"/>
      <c r="BC68" s="55">
        <v>1</v>
      </c>
      <c r="BD68" s="55"/>
      <c r="BE68" s="54"/>
      <c r="BF68" s="55"/>
    </row>
    <row r="69" spans="1:58" ht="12.95" customHeight="1">
      <c r="A69" s="44"/>
      <c r="B69" s="45"/>
      <c r="C69" s="450"/>
      <c r="D69" s="45"/>
      <c r="E69" s="46"/>
      <c r="F69" s="46"/>
      <c r="G69" s="463"/>
      <c r="H69" s="48"/>
      <c r="I69" s="49"/>
      <c r="J69" s="88"/>
      <c r="K69" s="88"/>
      <c r="L69" s="39"/>
      <c r="M69" s="39"/>
      <c r="N69" s="50"/>
      <c r="O69" s="51"/>
      <c r="P69" s="52"/>
      <c r="Q69" s="51"/>
      <c r="R69" s="419"/>
      <c r="S69" s="419"/>
      <c r="T69" s="41"/>
      <c r="U69" s="41"/>
      <c r="V69" s="41"/>
      <c r="W69" s="41"/>
      <c r="X69" s="42"/>
      <c r="Y69" s="220"/>
      <c r="Z69" s="41"/>
      <c r="AA69" s="41"/>
      <c r="AB69" s="41"/>
      <c r="AC69" s="41"/>
      <c r="AD69" s="41">
        <f>+AM69+BA69</f>
        <v>9</v>
      </c>
      <c r="AE69" s="238" t="s">
        <v>592</v>
      </c>
      <c r="AF69" s="37"/>
      <c r="AG69" s="37"/>
      <c r="AH69" s="37">
        <v>9</v>
      </c>
      <c r="AI69" s="459"/>
      <c r="AJ69" s="41"/>
      <c r="AK69" s="41"/>
      <c r="AL69" s="41"/>
      <c r="AM69" s="41">
        <f>SUM(AF69:AL69)+AT69+AV69+AX69</f>
        <v>9</v>
      </c>
      <c r="AN69" s="41"/>
      <c r="AO69" s="41"/>
      <c r="AP69" s="41"/>
      <c r="AQ69" s="41"/>
      <c r="AR69" s="41">
        <f>SUM(AN69:AQ69)</f>
        <v>0</v>
      </c>
      <c r="AS69" s="41"/>
      <c r="AT69" s="41"/>
      <c r="AU69" s="41"/>
      <c r="AV69" s="41"/>
      <c r="AW69" s="41"/>
      <c r="AX69" s="41"/>
      <c r="AY69" s="41"/>
      <c r="AZ69" s="41"/>
      <c r="BA69" s="41">
        <f>+AR69+AS69+AU69+AW69+AY69+AZ69</f>
        <v>0</v>
      </c>
      <c r="BB69" s="37"/>
      <c r="BC69" s="57"/>
      <c r="BD69" s="57"/>
      <c r="BE69" s="37"/>
      <c r="BF69" s="57"/>
    </row>
    <row r="70" spans="1:58" ht="12.95" customHeight="1">
      <c r="A70" s="44"/>
      <c r="B70" s="45"/>
      <c r="C70" s="450"/>
      <c r="D70" s="45"/>
      <c r="E70" s="46"/>
      <c r="F70" s="46"/>
      <c r="G70" s="47"/>
      <c r="H70" s="48"/>
      <c r="I70" s="49"/>
      <c r="J70" s="88"/>
      <c r="K70" s="88"/>
      <c r="L70" s="39"/>
      <c r="M70" s="39"/>
      <c r="N70" s="50"/>
      <c r="O70" s="51"/>
      <c r="P70" s="52"/>
      <c r="Q70" s="38"/>
      <c r="R70" s="419"/>
      <c r="S70" s="419"/>
      <c r="T70" s="41"/>
      <c r="U70" s="41"/>
      <c r="V70" s="41"/>
      <c r="W70" s="41"/>
      <c r="X70" s="42"/>
      <c r="Y70" s="220"/>
      <c r="Z70" s="41"/>
      <c r="AA70" s="41"/>
      <c r="AB70" s="41"/>
      <c r="AC70" s="41"/>
      <c r="AD70" s="41"/>
      <c r="AE70" s="241"/>
      <c r="AF70" s="41"/>
      <c r="AG70" s="37"/>
      <c r="AH70" s="37"/>
      <c r="AI70" s="459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37"/>
      <c r="BC70" s="57"/>
      <c r="BD70" s="57"/>
      <c r="BE70" s="37"/>
      <c r="BF70" s="57"/>
    </row>
    <row r="71" spans="1:58" ht="12.95" customHeight="1">
      <c r="A71" s="343">
        <v>46128</v>
      </c>
      <c r="B71" s="45" t="s">
        <v>231</v>
      </c>
      <c r="C71" s="450">
        <f>(M71*E71*O71*Q71)/100000000</f>
        <v>79.691938560000011</v>
      </c>
      <c r="D71" s="45" t="s">
        <v>608</v>
      </c>
      <c r="E71" s="46">
        <v>16</v>
      </c>
      <c r="F71" s="46">
        <v>1</v>
      </c>
      <c r="G71" s="463">
        <v>1270</v>
      </c>
      <c r="H71" s="48">
        <v>0</v>
      </c>
      <c r="I71" s="49">
        <v>0.88</v>
      </c>
      <c r="J71" s="88">
        <f>E71*G71*(1-H71)*1440/1000000*2.77</f>
        <v>81.052415999999994</v>
      </c>
      <c r="K71" s="88">
        <f>(IF(G71&lt;L71,L71,G71)*(1-IF(H71&lt;N71,H71,N71))*E71*O71*Q71)/100000000</f>
        <v>79.97184</v>
      </c>
      <c r="L71" s="39">
        <v>1300</v>
      </c>
      <c r="M71" s="39">
        <f>+L71-L71*0.0035</f>
        <v>1295.45</v>
      </c>
      <c r="N71" s="50">
        <f>1-(M71/L71)</f>
        <v>3.4999999999999476E-3</v>
      </c>
      <c r="O71" s="51">
        <f>+'Trim Rwd'!H58</f>
        <v>267</v>
      </c>
      <c r="P71" s="52">
        <f>O71*(Q71-R71-S71)</f>
        <v>382878</v>
      </c>
      <c r="Q71" s="51">
        <v>1440</v>
      </c>
      <c r="R71" s="419">
        <v>0</v>
      </c>
      <c r="S71" s="419">
        <v>6</v>
      </c>
      <c r="T71" s="41">
        <f>E71*M71*O71*Q71/100000000</f>
        <v>79.691938560000011</v>
      </c>
      <c r="U71" s="41">
        <f>E71*M71*O71*(Q71-R71-S71)/100000000</f>
        <v>79.359888816000009</v>
      </c>
      <c r="V71" s="41">
        <f>E71*G71*(1-N71)*O71/100*(R71+S71)/1000000</f>
        <v>0.32438705759999997</v>
      </c>
      <c r="W71" s="41">
        <f>+'16'!K34/1000</f>
        <v>79.995000000000005</v>
      </c>
      <c r="X71" s="416">
        <f>SUM(W71:W74)/SUM(K71:K74)</f>
        <v>1.0002896019398828</v>
      </c>
      <c r="Y71" s="220">
        <v>0</v>
      </c>
      <c r="Z71" s="41">
        <f>+'16'!D34/1000</f>
        <v>0.74299999999999999</v>
      </c>
      <c r="AA71" s="53">
        <f>SUM(U71:U74)-SUM(W71:W74)-SUM(Z71:Z74)-SUM(Y71:Y74)</f>
        <v>-1.3781111839999958</v>
      </c>
      <c r="AB71" s="53">
        <f>(SUM(K71:K74)-SUM(W71:W74)-SUM(Y71:Y74)-SUM(Z71:Z74)-SUM(AC71:AC74)-SUM(V71:V74))-AA71</f>
        <v>7.6626864000024497E-3</v>
      </c>
      <c r="AC71" s="41">
        <f>K71-T71</f>
        <v>0.27990143999998907</v>
      </c>
      <c r="AD71" s="41">
        <f>+AM71+BA71</f>
        <v>0</v>
      </c>
      <c r="AE71" s="238" t="s">
        <v>277</v>
      </c>
      <c r="AF71" s="41">
        <v>0</v>
      </c>
      <c r="AG71" s="41"/>
      <c r="AH71" s="41"/>
      <c r="AI71" s="459"/>
      <c r="AJ71" s="41"/>
      <c r="AK71" s="41"/>
      <c r="AL71" s="41"/>
      <c r="AM71" s="41">
        <f>SUM(AF71:AL71)+AT71+AV71+AX71</f>
        <v>0</v>
      </c>
      <c r="AN71" s="41"/>
      <c r="AO71" s="41"/>
      <c r="AP71" s="41"/>
      <c r="AQ71" s="41"/>
      <c r="AR71" s="41">
        <f>SUM(AN71:AQ71)</f>
        <v>0</v>
      </c>
      <c r="AS71" s="41"/>
      <c r="AT71" s="41"/>
      <c r="AU71" s="41"/>
      <c r="AV71" s="41"/>
      <c r="AW71" s="41"/>
      <c r="AX71" s="41"/>
      <c r="AY71" s="41"/>
      <c r="AZ71" s="41"/>
      <c r="BA71" s="41">
        <f>+AR71+AS71+AU71+AW71+AY71+AZ71</f>
        <v>0</v>
      </c>
      <c r="BB71" s="37">
        <v>0</v>
      </c>
      <c r="BC71" s="55"/>
      <c r="BD71" s="55"/>
      <c r="BE71" s="37"/>
      <c r="BF71" s="55"/>
    </row>
    <row r="72" spans="1:58" ht="12.95" customHeight="1">
      <c r="A72" s="343"/>
      <c r="B72" s="45"/>
      <c r="C72" s="450"/>
      <c r="D72" s="45"/>
      <c r="E72" s="46"/>
      <c r="F72" s="46"/>
      <c r="G72" s="463"/>
      <c r="H72" s="48"/>
      <c r="I72" s="49"/>
      <c r="J72" s="88"/>
      <c r="K72" s="88"/>
      <c r="L72" s="39"/>
      <c r="M72" s="39"/>
      <c r="N72" s="50"/>
      <c r="O72" s="51"/>
      <c r="P72" s="52"/>
      <c r="Q72" s="51"/>
      <c r="R72" s="419"/>
      <c r="S72" s="419"/>
      <c r="T72" s="41"/>
      <c r="U72" s="41"/>
      <c r="V72" s="41"/>
      <c r="W72" s="41"/>
      <c r="X72" s="42"/>
      <c r="Y72" s="220"/>
      <c r="Z72" s="41"/>
      <c r="AA72" s="41"/>
      <c r="AB72" s="41"/>
      <c r="AC72" s="41"/>
      <c r="AD72" s="41">
        <f>+AM72+BA72</f>
        <v>0</v>
      </c>
      <c r="AE72" s="238" t="s">
        <v>591</v>
      </c>
      <c r="AF72" s="41"/>
      <c r="AG72" s="41">
        <v>0</v>
      </c>
      <c r="AH72" s="41"/>
      <c r="AI72" s="459"/>
      <c r="AJ72" s="41"/>
      <c r="AK72" s="41"/>
      <c r="AL72" s="41"/>
      <c r="AM72" s="41">
        <f>SUM(AF72:AL72)+AT72+AV72+AX72</f>
        <v>0</v>
      </c>
      <c r="AN72" s="89"/>
      <c r="AO72" s="41"/>
      <c r="AP72" s="41"/>
      <c r="AQ72" s="41"/>
      <c r="AR72" s="41">
        <f>SUM(AN72:AQ72)</f>
        <v>0</v>
      </c>
      <c r="AS72" s="41"/>
      <c r="AT72" s="41"/>
      <c r="AU72" s="41"/>
      <c r="AV72" s="41"/>
      <c r="AW72" s="41"/>
      <c r="AX72" s="41"/>
      <c r="AY72" s="41"/>
      <c r="AZ72" s="41"/>
      <c r="BA72" s="41">
        <f>+AR72+AS72+AU72+AW72+AY72+AZ72</f>
        <v>0</v>
      </c>
      <c r="BB72" s="54"/>
      <c r="BC72" s="55">
        <v>0</v>
      </c>
      <c r="BD72" s="55"/>
      <c r="BE72" s="54"/>
      <c r="BF72" s="55"/>
    </row>
    <row r="73" spans="1:58" ht="12.95" customHeight="1">
      <c r="A73" s="44"/>
      <c r="B73" s="45"/>
      <c r="C73" s="450"/>
      <c r="D73" s="45"/>
      <c r="E73" s="46"/>
      <c r="F73" s="46"/>
      <c r="G73" s="463"/>
      <c r="H73" s="48"/>
      <c r="I73" s="49"/>
      <c r="J73" s="88"/>
      <c r="K73" s="88"/>
      <c r="L73" s="39"/>
      <c r="M73" s="39"/>
      <c r="N73" s="50"/>
      <c r="O73" s="51"/>
      <c r="P73" s="52"/>
      <c r="Q73" s="51"/>
      <c r="R73" s="419"/>
      <c r="S73" s="419"/>
      <c r="T73" s="41"/>
      <c r="U73" s="41"/>
      <c r="V73" s="41"/>
      <c r="W73" s="41"/>
      <c r="X73" s="42"/>
      <c r="Y73" s="220"/>
      <c r="Z73" s="41"/>
      <c r="AA73" s="41"/>
      <c r="AB73" s="41"/>
      <c r="AC73" s="41"/>
      <c r="AD73" s="41">
        <f>+AM73+BA73</f>
        <v>6</v>
      </c>
      <c r="AE73" s="238" t="s">
        <v>592</v>
      </c>
      <c r="AF73" s="37"/>
      <c r="AG73" s="37"/>
      <c r="AH73" s="37">
        <v>6</v>
      </c>
      <c r="AI73" s="459"/>
      <c r="AJ73" s="41"/>
      <c r="AK73" s="41"/>
      <c r="AL73" s="41"/>
      <c r="AM73" s="41">
        <f>SUM(AF73:AL73)+AT73+AV73+AX73</f>
        <v>6</v>
      </c>
      <c r="AN73" s="41"/>
      <c r="AO73" s="41"/>
      <c r="AP73" s="41"/>
      <c r="AQ73" s="41"/>
      <c r="AR73" s="41">
        <f>SUM(AN73:AQ73)</f>
        <v>0</v>
      </c>
      <c r="AS73" s="41"/>
      <c r="AT73" s="41"/>
      <c r="AU73" s="41"/>
      <c r="AV73" s="41"/>
      <c r="AW73" s="41"/>
      <c r="AX73" s="41"/>
      <c r="AY73" s="41"/>
      <c r="AZ73" s="41"/>
      <c r="BA73" s="41">
        <f>+AR73+AS73+AU73+AW73+AY73+AZ73</f>
        <v>0</v>
      </c>
      <c r="BB73" s="37"/>
      <c r="BC73" s="57"/>
      <c r="BD73" s="57"/>
      <c r="BE73" s="37"/>
      <c r="BF73" s="57"/>
    </row>
    <row r="74" spans="1:58" ht="12.95" customHeight="1">
      <c r="A74" s="44"/>
      <c r="B74" s="45"/>
      <c r="C74" s="450"/>
      <c r="D74" s="45"/>
      <c r="E74" s="46"/>
      <c r="F74" s="46"/>
      <c r="G74" s="47"/>
      <c r="H74" s="48"/>
      <c r="I74" s="49"/>
      <c r="J74" s="88"/>
      <c r="K74" s="88"/>
      <c r="L74" s="39"/>
      <c r="M74" s="39"/>
      <c r="N74" s="50"/>
      <c r="O74" s="51"/>
      <c r="P74" s="52"/>
      <c r="Q74" s="38"/>
      <c r="R74" s="419"/>
      <c r="S74" s="419"/>
      <c r="T74" s="41"/>
      <c r="U74" s="41"/>
      <c r="V74" s="41"/>
      <c r="W74" s="41"/>
      <c r="X74" s="42"/>
      <c r="Y74" s="220"/>
      <c r="Z74" s="41"/>
      <c r="AA74" s="41"/>
      <c r="AB74" s="41"/>
      <c r="AC74" s="41"/>
      <c r="AD74" s="41"/>
      <c r="AE74" s="241"/>
      <c r="AF74" s="41"/>
      <c r="AG74" s="37"/>
      <c r="AH74" s="37"/>
      <c r="AI74" s="459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37"/>
      <c r="BC74" s="57"/>
      <c r="BD74" s="57"/>
      <c r="BE74" s="37"/>
      <c r="BF74" s="57"/>
    </row>
    <row r="75" spans="1:58" ht="12.95" customHeight="1">
      <c r="A75" s="343">
        <v>46129</v>
      </c>
      <c r="B75" s="45" t="s">
        <v>231</v>
      </c>
      <c r="C75" s="450">
        <f>(M75*E75*O75*Q75)/100000000</f>
        <v>14.482477295999999</v>
      </c>
      <c r="D75" s="45" t="s">
        <v>608</v>
      </c>
      <c r="E75" s="46">
        <v>16</v>
      </c>
      <c r="F75" s="46">
        <v>1</v>
      </c>
      <c r="G75" s="463">
        <v>1270</v>
      </c>
      <c r="H75" s="48">
        <v>0</v>
      </c>
      <c r="I75" s="49">
        <v>0.88</v>
      </c>
      <c r="J75" s="88">
        <f>E75*G75*(1-H75)*1440/1000000*2.77</f>
        <v>81.052415999999994</v>
      </c>
      <c r="K75" s="88">
        <f>(IF(G75&lt;L75,L75,G75)*(1-IF(H75&lt;N75,H75,N75))*E75*O75*Q75)/100000000</f>
        <v>14.648688</v>
      </c>
      <c r="L75" s="39">
        <v>1260</v>
      </c>
      <c r="M75" s="39">
        <v>1255.5899999999999</v>
      </c>
      <c r="N75" s="50">
        <f>1-(M75/L75)</f>
        <v>3.5000000000000586E-3</v>
      </c>
      <c r="O75" s="51">
        <f>+'Trim Rwd'!H60</f>
        <v>267</v>
      </c>
      <c r="P75" s="52">
        <f>O75*(Q75-R75-S75)</f>
        <v>71289</v>
      </c>
      <c r="Q75" s="51">
        <v>270</v>
      </c>
      <c r="R75" s="419">
        <v>0</v>
      </c>
      <c r="S75" s="419">
        <v>3</v>
      </c>
      <c r="T75" s="41">
        <f>E75*M75*O75*Q75/100000000</f>
        <v>14.482477295999999</v>
      </c>
      <c r="U75" s="41">
        <f>E75*M75*O75*(Q75-R75-S75)/100000000</f>
        <v>14.321560881599998</v>
      </c>
      <c r="V75" s="41">
        <f>E75*G75*(1-N75)*O75/100*(R75+S75)/1000000</f>
        <v>0.16219352879999996</v>
      </c>
      <c r="W75" s="41">
        <f>+'17'!K17/1000</f>
        <v>27.721</v>
      </c>
      <c r="X75" s="416">
        <f>SUM(W75:W78)/SUM(K75:K78)</f>
        <v>0.99328624982802594</v>
      </c>
      <c r="Y75" s="220">
        <v>0</v>
      </c>
      <c r="Z75" s="41">
        <v>0</v>
      </c>
      <c r="AA75" s="53">
        <f>SUM(U75:U78)-SUM(W75:W78)-SUM(Z75:Z78)-SUM(Y75:Y78)</f>
        <v>-0.96927516685714965</v>
      </c>
      <c r="AB75" s="53">
        <f>(SUM(K75:K78)-SUM(W75:W78)-SUM(Y75:Y78)-SUM(Z75:Z78)-SUM(AC75:AC78)-SUM(V75:V78))-AA75</f>
        <v>2.4340793714300091E-2</v>
      </c>
      <c r="AC75" s="41">
        <f>K75-T75</f>
        <v>0.16621070400000093</v>
      </c>
      <c r="AD75" s="41">
        <f>+AM75+BA75</f>
        <v>0</v>
      </c>
      <c r="AE75" s="238" t="s">
        <v>277</v>
      </c>
      <c r="AF75" s="41">
        <v>0</v>
      </c>
      <c r="AG75" s="41"/>
      <c r="AH75" s="41"/>
      <c r="AI75" s="459"/>
      <c r="AJ75" s="41"/>
      <c r="AK75" s="41"/>
      <c r="AL75" s="41"/>
      <c r="AM75" s="41">
        <f>SUM(AF75:AL75)+AT75+AV75+AX75</f>
        <v>0</v>
      </c>
      <c r="AN75" s="41"/>
      <c r="AO75" s="41"/>
      <c r="AP75" s="41"/>
      <c r="AQ75" s="41"/>
      <c r="AR75" s="41">
        <f>SUM(AN75:AQ75)</f>
        <v>0</v>
      </c>
      <c r="AS75" s="41"/>
      <c r="AT75" s="41"/>
      <c r="AU75" s="41"/>
      <c r="AV75" s="41"/>
      <c r="AW75" s="41"/>
      <c r="AX75" s="41"/>
      <c r="AY75" s="41"/>
      <c r="AZ75" s="41"/>
      <c r="BA75" s="41">
        <f>+AR75+AS75+AU75+AW75+AY75+AZ75</f>
        <v>0</v>
      </c>
      <c r="BB75" s="37">
        <v>0</v>
      </c>
      <c r="BC75" s="55"/>
      <c r="BD75" s="55"/>
      <c r="BE75" s="37"/>
      <c r="BF75" s="55"/>
    </row>
    <row r="76" spans="1:58" ht="12.95" customHeight="1">
      <c r="A76" s="343"/>
      <c r="B76" s="45" t="s">
        <v>231</v>
      </c>
      <c r="C76" s="450">
        <f>(M76*E76*O76*Q76)/100000000</f>
        <v>68.509605699918367</v>
      </c>
      <c r="D76" s="45" t="s">
        <v>608</v>
      </c>
      <c r="E76" s="46">
        <v>17</v>
      </c>
      <c r="F76" s="46">
        <v>1</v>
      </c>
      <c r="G76" s="463">
        <v>1210</v>
      </c>
      <c r="H76" s="48">
        <v>0</v>
      </c>
      <c r="I76" s="49">
        <v>0.88</v>
      </c>
      <c r="J76" s="88">
        <f>E76*G76*(1-H76)*1440/1000000*2.77</f>
        <v>82.049616</v>
      </c>
      <c r="K76" s="88">
        <f>(IF(G76&lt;L76,L76,G76)*(1-IF(H76&lt;N76,H76,N76))*E76*O76*Q76)/100000000</f>
        <v>68.750231510204074</v>
      </c>
      <c r="L76" s="39">
        <v>1280</v>
      </c>
      <c r="M76" s="39">
        <v>1275.52</v>
      </c>
      <c r="N76" s="50">
        <f>1-(M76/L76)</f>
        <v>3.5000000000000586E-3</v>
      </c>
      <c r="O76" s="51">
        <f>+'Trim Rwd'!H61</f>
        <v>270.0408163265306</v>
      </c>
      <c r="P76" s="52">
        <f>O76*(Q76-R76-S76)</f>
        <v>313787.42857142858</v>
      </c>
      <c r="Q76" s="51">
        <v>1170</v>
      </c>
      <c r="R76" s="419">
        <v>0</v>
      </c>
      <c r="S76" s="419">
        <v>8</v>
      </c>
      <c r="T76" s="41">
        <f>E76*M76*O76*Q76/100000000</f>
        <v>68.509605699918367</v>
      </c>
      <c r="U76" s="41">
        <f>E76*M76*O76*(Q76-R76-S76)/100000000</f>
        <v>68.041163951542856</v>
      </c>
      <c r="V76" s="41">
        <f>E76*G76*(1-N76)*O76/100*(R76+S76)/1000000</f>
        <v>0.4428238402612244</v>
      </c>
      <c r="W76" s="41">
        <f>+'17'!K16/1000</f>
        <v>55.118000000000002</v>
      </c>
      <c r="X76" s="42"/>
      <c r="Y76" s="220"/>
      <c r="Z76" s="41">
        <f>+'17'!D34/1000</f>
        <v>0.49299999999999999</v>
      </c>
      <c r="AA76" s="41"/>
      <c r="AB76" s="41"/>
      <c r="AC76" s="41">
        <f>K76-T76</f>
        <v>0.24062581028570662</v>
      </c>
      <c r="AD76" s="41">
        <f>+AM76+BA76</f>
        <v>0</v>
      </c>
      <c r="AE76" s="238" t="s">
        <v>591</v>
      </c>
      <c r="AF76" s="41"/>
      <c r="AG76" s="41">
        <v>0</v>
      </c>
      <c r="AH76" s="41"/>
      <c r="AI76" s="459"/>
      <c r="AJ76" s="41"/>
      <c r="AK76" s="41"/>
      <c r="AL76" s="41"/>
      <c r="AM76" s="41">
        <f>SUM(AF76:AL76)+AT76+AV76+AX76</f>
        <v>0</v>
      </c>
      <c r="AN76" s="89"/>
      <c r="AO76" s="41"/>
      <c r="AP76" s="41"/>
      <c r="AQ76" s="41"/>
      <c r="AR76" s="41">
        <f>SUM(AN76:AQ76)</f>
        <v>0</v>
      </c>
      <c r="AS76" s="41"/>
      <c r="AT76" s="41"/>
      <c r="AU76" s="41"/>
      <c r="AV76" s="41"/>
      <c r="AW76" s="41"/>
      <c r="AX76" s="41"/>
      <c r="AY76" s="41"/>
      <c r="AZ76" s="41"/>
      <c r="BA76" s="41">
        <f>+AR76+AS76+AU76+AW76+AY76+AZ76</f>
        <v>0</v>
      </c>
      <c r="BB76" s="54"/>
      <c r="BC76" s="55">
        <v>0</v>
      </c>
      <c r="BD76" s="55"/>
      <c r="BE76" s="54"/>
      <c r="BF76" s="55"/>
    </row>
    <row r="77" spans="1:58" ht="12.95" customHeight="1">
      <c r="A77" s="44"/>
      <c r="B77" s="45"/>
      <c r="C77" s="450"/>
      <c r="D77" s="45"/>
      <c r="E77" s="46"/>
      <c r="F77" s="46"/>
      <c r="G77" s="463"/>
      <c r="H77" s="48"/>
      <c r="I77" s="49"/>
      <c r="J77" s="88"/>
      <c r="K77" s="88"/>
      <c r="L77" s="39"/>
      <c r="M77" s="39"/>
      <c r="N77" s="50"/>
      <c r="O77" s="51"/>
      <c r="P77" s="52"/>
      <c r="Q77" s="51"/>
      <c r="R77" s="419"/>
      <c r="S77" s="419"/>
      <c r="T77" s="41"/>
      <c r="U77" s="41"/>
      <c r="V77" s="41"/>
      <c r="W77" s="41"/>
      <c r="X77" s="42"/>
      <c r="Y77" s="220"/>
      <c r="Z77" s="41"/>
      <c r="AA77" s="41"/>
      <c r="AB77" s="41"/>
      <c r="AC77" s="41"/>
      <c r="AD77" s="41">
        <f>+AM77+BA77</f>
        <v>11</v>
      </c>
      <c r="AE77" s="238" t="s">
        <v>612</v>
      </c>
      <c r="AF77" s="37"/>
      <c r="AG77" s="37"/>
      <c r="AH77" s="37">
        <v>11</v>
      </c>
      <c r="AI77" s="459"/>
      <c r="AJ77" s="41"/>
      <c r="AK77" s="41"/>
      <c r="AL77" s="41"/>
      <c r="AM77" s="41">
        <f>SUM(AF77:AL77)+AT77+AV77+AX77</f>
        <v>11</v>
      </c>
      <c r="AN77" s="41"/>
      <c r="AO77" s="41"/>
      <c r="AP77" s="41"/>
      <c r="AQ77" s="41"/>
      <c r="AR77" s="41">
        <f>SUM(AN77:AQ77)</f>
        <v>0</v>
      </c>
      <c r="AS77" s="41"/>
      <c r="AT77" s="41"/>
      <c r="AU77" s="41"/>
      <c r="AV77" s="41"/>
      <c r="AW77" s="41"/>
      <c r="AX77" s="41"/>
      <c r="AY77" s="41"/>
      <c r="AZ77" s="41"/>
      <c r="BA77" s="41">
        <f>+AR77+AS77+AU77+AW77+AY77+AZ77</f>
        <v>0</v>
      </c>
      <c r="BB77" s="37"/>
      <c r="BC77" s="57"/>
      <c r="BD77" s="57"/>
      <c r="BE77" s="37"/>
      <c r="BF77" s="57"/>
    </row>
    <row r="78" spans="1:58" ht="12.95" customHeight="1">
      <c r="A78" s="44"/>
      <c r="B78" s="45"/>
      <c r="C78" s="450"/>
      <c r="D78" s="45"/>
      <c r="E78" s="46"/>
      <c r="F78" s="46"/>
      <c r="G78" s="47"/>
      <c r="H78" s="48"/>
      <c r="I78" s="49"/>
      <c r="J78" s="88"/>
      <c r="K78" s="88"/>
      <c r="L78" s="39"/>
      <c r="M78" s="39"/>
      <c r="N78" s="50"/>
      <c r="O78" s="51"/>
      <c r="P78" s="52"/>
      <c r="Q78" s="51"/>
      <c r="R78" s="419"/>
      <c r="S78" s="419"/>
      <c r="T78" s="41"/>
      <c r="U78" s="41"/>
      <c r="V78" s="41"/>
      <c r="W78" s="41"/>
      <c r="X78" s="42"/>
      <c r="Y78" s="220"/>
      <c r="Z78" s="41"/>
      <c r="AA78" s="41"/>
      <c r="AB78" s="41"/>
      <c r="AC78" s="41"/>
      <c r="AD78" s="41"/>
      <c r="AE78" s="238"/>
      <c r="AF78" s="37"/>
      <c r="AG78" s="37"/>
      <c r="AH78" s="37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37"/>
      <c r="BC78" s="57"/>
      <c r="BD78" s="55"/>
      <c r="BE78" s="55"/>
      <c r="BF78" s="55"/>
    </row>
    <row r="79" spans="1:58" ht="12.95" customHeight="1">
      <c r="A79" s="44">
        <v>46130</v>
      </c>
      <c r="B79" s="45" t="s">
        <v>231</v>
      </c>
      <c r="C79" s="450">
        <f>(M79*E79*O79*Q79)/100000000</f>
        <v>70.020740391875023</v>
      </c>
      <c r="D79" s="45" t="s">
        <v>608</v>
      </c>
      <c r="E79" s="46">
        <v>17</v>
      </c>
      <c r="F79" s="46">
        <v>1</v>
      </c>
      <c r="G79" s="47">
        <v>1210</v>
      </c>
      <c r="H79" s="48">
        <v>0</v>
      </c>
      <c r="I79" s="49">
        <v>0.88</v>
      </c>
      <c r="J79" s="88">
        <f>E79*G79*(1-H79)*1440/1000000*2.77</f>
        <v>82.049616</v>
      </c>
      <c r="K79" s="88">
        <f>(IF(G79&lt;L79,L79,G79)*(1-IF(H79&lt;N79,H79,N79))*E79*O79*Q79)/100000000</f>
        <v>70.26667375000001</v>
      </c>
      <c r="L79" s="39">
        <v>1300</v>
      </c>
      <c r="M79" s="39">
        <f>+L79-L79*0.0035</f>
        <v>1295.45</v>
      </c>
      <c r="N79" s="50">
        <f>1-(M79/L79)</f>
        <v>3.4999999999999476E-3</v>
      </c>
      <c r="O79" s="51">
        <f>+'Trim Rwd'!H64</f>
        <v>261.04166666666669</v>
      </c>
      <c r="P79" s="52">
        <f>O79*(Q79-R79-S79)</f>
        <v>316382.5</v>
      </c>
      <c r="Q79" s="51">
        <v>1218</v>
      </c>
      <c r="R79" s="419">
        <v>0</v>
      </c>
      <c r="S79" s="419">
        <v>6</v>
      </c>
      <c r="T79" s="41">
        <f>E79*M79*O79*Q79/100000000</f>
        <v>70.020740391875023</v>
      </c>
      <c r="U79" s="41">
        <f>E79*M79*O79*(Q79-R79-S79)/100000000</f>
        <v>69.67581063625002</v>
      </c>
      <c r="V79" s="41">
        <f>E79*G79*(1-N79)*O79/100*(R79+S79)/1000000</f>
        <v>0.32105000331250005</v>
      </c>
      <c r="W79" s="41">
        <f>+'18'!K16/1000</f>
        <v>76.516000000000005</v>
      </c>
      <c r="X79" s="42">
        <f>SUM(W79:W82)/SUM(K79:K82)</f>
        <v>0.9440063239886245</v>
      </c>
      <c r="Y79" s="220">
        <v>0</v>
      </c>
      <c r="Z79" s="41">
        <f>+'18'!D34/1000</f>
        <v>0.185</v>
      </c>
      <c r="AA79" s="41">
        <f>SUM(U79:U82)-SUM(W79:W82)-SUM(Z79:Z82)-SUM(Y79:Y82)</f>
        <v>3.6764971772500155</v>
      </c>
      <c r="AB79" s="41">
        <f>(SUM(K79:K82)-SUM(W79:W82)-SUM(Y79:Y82)-SUM(Z79:Z82)-SUM(AC79:AC82)-SUM(V79:V82))-AA79</f>
        <v>2.4997227412504763E-2</v>
      </c>
      <c r="AC79" s="41">
        <f>K79-T79</f>
        <v>0.24593335812498651</v>
      </c>
      <c r="AD79" s="41">
        <f>+AM79+BA79</f>
        <v>0</v>
      </c>
      <c r="AE79" s="238" t="s">
        <v>277</v>
      </c>
      <c r="AF79" s="41">
        <v>0</v>
      </c>
      <c r="AG79" s="41"/>
      <c r="AH79" s="41"/>
      <c r="AI79" s="41"/>
      <c r="AJ79" s="41"/>
      <c r="AK79" s="41"/>
      <c r="AL79" s="41"/>
      <c r="AM79" s="41">
        <f>SUM(AF79:AL79)+AT79+AV79+AX79</f>
        <v>0</v>
      </c>
      <c r="AN79" s="41"/>
      <c r="AO79" s="41"/>
      <c r="AP79" s="41"/>
      <c r="AQ79" s="41"/>
      <c r="AR79" s="41">
        <f>SUM(AN79:AQ79)</f>
        <v>0</v>
      </c>
      <c r="AS79" s="41"/>
      <c r="AT79" s="41"/>
      <c r="AU79" s="41"/>
      <c r="AV79" s="41"/>
      <c r="AW79" s="41"/>
      <c r="AX79" s="41"/>
      <c r="AY79" s="41"/>
      <c r="AZ79" s="41"/>
      <c r="BA79" s="41">
        <f>+AR79+AS79+AU79+AW79+AY79+AZ79</f>
        <v>0</v>
      </c>
      <c r="BB79" s="37">
        <v>0</v>
      </c>
      <c r="BC79" s="55"/>
      <c r="BD79" s="55"/>
      <c r="BE79" s="37"/>
      <c r="BF79" s="55"/>
    </row>
    <row r="80" spans="1:58" ht="12.95" customHeight="1">
      <c r="A80" s="343"/>
      <c r="B80" s="45" t="s">
        <v>231</v>
      </c>
      <c r="C80" s="450">
        <f>(M80*E80*O80*Q80)/100000000</f>
        <v>10.750110461999999</v>
      </c>
      <c r="D80" s="45" t="s">
        <v>608</v>
      </c>
      <c r="E80" s="46">
        <v>14</v>
      </c>
      <c r="F80" s="46">
        <v>1</v>
      </c>
      <c r="G80" s="463">
        <v>1270</v>
      </c>
      <c r="H80" s="48">
        <v>0</v>
      </c>
      <c r="I80" s="49">
        <v>0.88</v>
      </c>
      <c r="J80" s="88">
        <f>E80*G80*(1-H80)*1440/1000000*2.77</f>
        <v>70.920864000000009</v>
      </c>
      <c r="K80" s="88">
        <f>(IF(G80&lt;L80,L80,G80)*(1-IF(H80&lt;N80,H80,N80))*E80*O80*Q80)/100000000</f>
        <v>10.787868</v>
      </c>
      <c r="L80" s="39">
        <v>1300</v>
      </c>
      <c r="M80" s="39">
        <f>+L80-L80*0.0035</f>
        <v>1295.45</v>
      </c>
      <c r="N80" s="50">
        <f>1-(M80/L80)</f>
        <v>3.4999999999999476E-3</v>
      </c>
      <c r="O80" s="51">
        <f>+'Trim Rwd'!H70</f>
        <v>267</v>
      </c>
      <c r="P80" s="52">
        <f>O80*(Q80-R80-S80)</f>
        <v>59007</v>
      </c>
      <c r="Q80" s="51">
        <v>222</v>
      </c>
      <c r="R80" s="419">
        <v>0</v>
      </c>
      <c r="S80" s="419">
        <v>1</v>
      </c>
      <c r="T80" s="41">
        <f>E80*M80*O80*Q80/100000000</f>
        <v>10.750110461999999</v>
      </c>
      <c r="U80" s="41">
        <f>E80*M80*O80*(Q80-R80-S80)/100000000</f>
        <v>10.701686540999999</v>
      </c>
      <c r="V80" s="41">
        <f>E80*G80*(1-N80)*O80/100*(R80+S80)/1000000</f>
        <v>4.7306445900000001E-2</v>
      </c>
      <c r="W80" s="41">
        <f>+'18'!K15/1000</f>
        <v>0</v>
      </c>
      <c r="X80" s="416"/>
      <c r="Y80" s="220"/>
      <c r="Z80" s="41">
        <v>0</v>
      </c>
      <c r="AA80" s="53"/>
      <c r="AB80" s="53"/>
      <c r="AC80" s="41">
        <f>K80-T80</f>
        <v>3.7757538000001034E-2</v>
      </c>
      <c r="AD80" s="41">
        <f>+AM80+BA80</f>
        <v>1</v>
      </c>
      <c r="AE80" s="238" t="s">
        <v>640</v>
      </c>
      <c r="AF80" s="41"/>
      <c r="AG80" s="41">
        <v>1</v>
      </c>
      <c r="AH80" s="41"/>
      <c r="AI80" s="459"/>
      <c r="AJ80" s="41"/>
      <c r="AK80" s="41"/>
      <c r="AL80" s="41"/>
      <c r="AM80" s="41">
        <f>SUM(AF80:AL80)+AT80+AV80+AX80</f>
        <v>1</v>
      </c>
      <c r="AN80" s="41"/>
      <c r="AO80" s="41"/>
      <c r="AP80" s="41"/>
      <c r="AQ80" s="41"/>
      <c r="AR80" s="41">
        <f>SUM(AN80:AQ80)</f>
        <v>0</v>
      </c>
      <c r="AS80" s="41"/>
      <c r="AT80" s="41"/>
      <c r="AU80" s="41"/>
      <c r="AV80" s="41"/>
      <c r="AW80" s="41"/>
      <c r="AX80" s="41"/>
      <c r="AY80" s="41"/>
      <c r="AZ80" s="41"/>
      <c r="BA80" s="41">
        <f>+AR80+AS80+AU80+AW80+AY80+AZ80</f>
        <v>0</v>
      </c>
      <c r="BB80" s="54"/>
      <c r="BC80" s="55">
        <v>1</v>
      </c>
      <c r="BD80" s="55"/>
      <c r="BE80" s="54"/>
      <c r="BF80" s="55"/>
    </row>
    <row r="81" spans="1:58" ht="12.95" customHeight="1">
      <c r="A81" s="343"/>
      <c r="B81" s="45"/>
      <c r="C81" s="450"/>
      <c r="D81" s="45"/>
      <c r="E81" s="46"/>
      <c r="F81" s="46"/>
      <c r="G81" s="463"/>
      <c r="H81" s="48"/>
      <c r="I81" s="49"/>
      <c r="J81" s="88"/>
      <c r="K81" s="88"/>
      <c r="L81" s="39"/>
      <c r="M81" s="39"/>
      <c r="N81" s="50"/>
      <c r="O81" s="51"/>
      <c r="P81" s="52"/>
      <c r="Q81" s="51"/>
      <c r="R81" s="419"/>
      <c r="S81" s="419"/>
      <c r="T81" s="41"/>
      <c r="U81" s="41"/>
      <c r="V81" s="41"/>
      <c r="W81" s="41"/>
      <c r="X81" s="416"/>
      <c r="Y81" s="220"/>
      <c r="Z81" s="41"/>
      <c r="AA81" s="53"/>
      <c r="AB81" s="53"/>
      <c r="AC81" s="41"/>
      <c r="AD81" s="41">
        <f>+AM81+BA81</f>
        <v>6</v>
      </c>
      <c r="AE81" s="238" t="s">
        <v>592</v>
      </c>
      <c r="AF81" s="41"/>
      <c r="AG81" s="41"/>
      <c r="AH81" s="41">
        <v>6</v>
      </c>
      <c r="AI81" s="459"/>
      <c r="AJ81" s="41"/>
      <c r="AK81" s="41"/>
      <c r="AL81" s="41"/>
      <c r="AM81" s="41">
        <f>SUM(AF81:AL81)+AT81+AV81+AX81</f>
        <v>6</v>
      </c>
      <c r="AN81" s="89"/>
      <c r="AO81" s="41"/>
      <c r="AP81" s="41"/>
      <c r="AQ81" s="41"/>
      <c r="AR81" s="41">
        <f>SUM(AN81:AQ81)</f>
        <v>0</v>
      </c>
      <c r="AS81" s="41"/>
      <c r="AT81" s="41"/>
      <c r="AU81" s="41"/>
      <c r="AV81" s="41"/>
      <c r="AW81" s="41"/>
      <c r="AX81" s="41"/>
      <c r="AY81" s="41"/>
      <c r="AZ81" s="41"/>
      <c r="BA81" s="41">
        <f>+AR81+AS81+AU81+AW81+AY81+AZ81</f>
        <v>0</v>
      </c>
      <c r="BB81" s="37"/>
      <c r="BC81" s="57"/>
      <c r="BD81" s="57"/>
      <c r="BE81" s="37"/>
      <c r="BF81" s="57"/>
    </row>
    <row r="82" spans="1:58" ht="12.95" customHeight="1">
      <c r="A82" s="44"/>
      <c r="B82" s="45"/>
      <c r="C82" s="450"/>
      <c r="D82" s="45"/>
      <c r="E82" s="46"/>
      <c r="F82" s="46"/>
      <c r="G82" s="47"/>
      <c r="H82" s="48"/>
      <c r="I82" s="49"/>
      <c r="J82" s="88"/>
      <c r="K82" s="88"/>
      <c r="L82" s="39"/>
      <c r="M82" s="39"/>
      <c r="N82" s="50"/>
      <c r="O82" s="51"/>
      <c r="P82" s="52"/>
      <c r="Q82" s="51"/>
      <c r="R82" s="419"/>
      <c r="S82" s="419"/>
      <c r="T82" s="41"/>
      <c r="U82" s="41"/>
      <c r="V82" s="41"/>
      <c r="W82" s="41"/>
      <c r="X82" s="42"/>
      <c r="Y82" s="220"/>
      <c r="Z82" s="41"/>
      <c r="AA82" s="41"/>
      <c r="AB82" s="41"/>
      <c r="AC82" s="41"/>
      <c r="AD82" s="41"/>
      <c r="AE82" s="238"/>
      <c r="AF82" s="37"/>
      <c r="AG82" s="37"/>
      <c r="AH82" s="37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37"/>
      <c r="BC82" s="57"/>
      <c r="BD82" s="55"/>
      <c r="BE82" s="55"/>
      <c r="BF82" s="55"/>
    </row>
    <row r="83" spans="1:58" ht="12.95" customHeight="1">
      <c r="A83" s="44">
        <v>46131</v>
      </c>
      <c r="B83" s="45" t="s">
        <v>231</v>
      </c>
      <c r="C83" s="450">
        <f>(M83*E83*O83*Q83)/100000000</f>
        <v>52.068502443704212</v>
      </c>
      <c r="D83" s="45" t="s">
        <v>608</v>
      </c>
      <c r="E83" s="46">
        <v>14</v>
      </c>
      <c r="F83" s="46">
        <v>1</v>
      </c>
      <c r="G83" s="463">
        <v>1270</v>
      </c>
      <c r="H83" s="48">
        <v>0</v>
      </c>
      <c r="I83" s="49">
        <v>0.88</v>
      </c>
      <c r="J83" s="88">
        <f>E83*G83*(1-H83)*1440/1000000*2.77</f>
        <v>70.920864000000009</v>
      </c>
      <c r="K83" s="88">
        <f>(IF(G83&lt;L83,L83,G83)*(1-IF(H83&lt;N83,H83,N83))*E83*O83*Q83)/100000000</f>
        <v>52.251382281690141</v>
      </c>
      <c r="L83" s="39">
        <v>1300</v>
      </c>
      <c r="M83" s="39">
        <f>+L83-L83*0.0035</f>
        <v>1295.45</v>
      </c>
      <c r="N83" s="50">
        <f>1-(M83/L83)</f>
        <v>3.4999999999999476E-3</v>
      </c>
      <c r="O83" s="51">
        <f>+'Trim Rwd'!H72</f>
        <v>267.56338028169012</v>
      </c>
      <c r="P83" s="52">
        <f>O83*(Q83-R83-S83)</f>
        <v>284687.43661971827</v>
      </c>
      <c r="Q83" s="51">
        <v>1073</v>
      </c>
      <c r="R83" s="419">
        <v>0</v>
      </c>
      <c r="S83" s="419">
        <v>9</v>
      </c>
      <c r="T83" s="41">
        <f>E83*M83*O83*Q83/100000000</f>
        <v>52.068502443704212</v>
      </c>
      <c r="U83" s="41">
        <f>E83*M83*O83*(Q83-R83-S83)/100000000</f>
        <v>51.63176756766196</v>
      </c>
      <c r="V83" s="41">
        <f>E83*G83*(1-N83)*O83/100*(R83+S83)/1000000</f>
        <v>0.42665637890281688</v>
      </c>
      <c r="W83" s="41">
        <f>+'19'!K15/1000</f>
        <v>58.482999999999997</v>
      </c>
      <c r="X83" s="42">
        <f>SUM(W83:W86)/SUM(K83:K86)</f>
        <v>1.0044804784621213</v>
      </c>
      <c r="Y83" s="220">
        <v>0</v>
      </c>
      <c r="Z83" s="41">
        <f>+('19'!D16+'19'!D25)/1000</f>
        <v>0.51900000000000002</v>
      </c>
      <c r="AA83" s="41">
        <f>SUM(U83:U86)-SUM(W83:W86)-SUM(Z83:Z86)-SUM(Y83:Y86)</f>
        <v>-2.4355918043380225</v>
      </c>
      <c r="AB83" s="41">
        <f>(SUM(K83:K86)-SUM(W83:W86)-SUM(Y83:Y86)-SUM(Z83:Z86)-SUM(AC83:AC86)-SUM(V83:V86))-AA83</f>
        <v>1.058591493943517E-2</v>
      </c>
      <c r="AC83" s="41">
        <f>K83-T83</f>
        <v>0.18287983798592933</v>
      </c>
      <c r="AD83" s="41">
        <f>+AM83+BA83</f>
        <v>0</v>
      </c>
      <c r="AE83" s="241" t="s">
        <v>277</v>
      </c>
      <c r="AF83" s="41">
        <v>0</v>
      </c>
      <c r="AG83" s="41"/>
      <c r="AH83" s="41"/>
      <c r="AI83" s="41"/>
      <c r="AJ83" s="41"/>
      <c r="AK83" s="41"/>
      <c r="AL83" s="41"/>
      <c r="AM83" s="41">
        <f>SUM(AF83:AL83)+AT83+AV83+AX83</f>
        <v>0</v>
      </c>
      <c r="AN83" s="58"/>
      <c r="AO83" s="41"/>
      <c r="AP83" s="41"/>
      <c r="AQ83" s="41"/>
      <c r="AR83" s="41">
        <f>SUM(AN83:AQ83)</f>
        <v>0</v>
      </c>
      <c r="AS83" s="41"/>
      <c r="AT83" s="41"/>
      <c r="AU83" s="41"/>
      <c r="AV83" s="41"/>
      <c r="AW83" s="41"/>
      <c r="AX83" s="41"/>
      <c r="AY83" s="41"/>
      <c r="AZ83" s="41"/>
      <c r="BA83" s="41">
        <f>+AR83+AS83+AU83+AW83+AY83+AZ83</f>
        <v>0</v>
      </c>
      <c r="BB83" s="37">
        <v>0</v>
      </c>
      <c r="BC83" s="55"/>
      <c r="BD83" s="55"/>
      <c r="BE83" s="37"/>
      <c r="BF83" s="55"/>
    </row>
    <row r="84" spans="1:58" ht="12.95" customHeight="1">
      <c r="A84" s="343"/>
      <c r="B84" s="45" t="s">
        <v>231</v>
      </c>
      <c r="C84" s="450">
        <f>(M84*E84*O84*Q84)/100000000</f>
        <v>20.484456586000004</v>
      </c>
      <c r="D84" s="45" t="s">
        <v>608</v>
      </c>
      <c r="E84" s="46">
        <v>19</v>
      </c>
      <c r="F84" s="46">
        <v>1</v>
      </c>
      <c r="G84" s="463">
        <v>1090</v>
      </c>
      <c r="H84" s="48">
        <v>0</v>
      </c>
      <c r="I84" s="49">
        <v>0.88</v>
      </c>
      <c r="J84" s="88">
        <f>E84*G84*(1-H84)*1440/1000000*2.77</f>
        <v>82.608047999999997</v>
      </c>
      <c r="K84" s="88">
        <f>(IF(G84&lt;L84,L84,G84)*(1-IF(H84&lt;N84,H84,N84))*E84*O84*Q84)/100000000</f>
        <v>20.556404000000001</v>
      </c>
      <c r="L84" s="39">
        <v>1100</v>
      </c>
      <c r="M84" s="39">
        <f>+L84-L84*0.0035</f>
        <v>1096.1500000000001</v>
      </c>
      <c r="N84" s="50">
        <f>1-(M84/L84)</f>
        <v>3.4999999999999476E-3</v>
      </c>
      <c r="O84" s="51">
        <f>+'Trim Rwd'!H74</f>
        <v>268</v>
      </c>
      <c r="P84" s="52">
        <f>O84*(Q84-R84-S84)</f>
        <v>98088</v>
      </c>
      <c r="Q84" s="51">
        <v>367</v>
      </c>
      <c r="R84" s="419">
        <v>0</v>
      </c>
      <c r="S84" s="419">
        <v>1</v>
      </c>
      <c r="T84" s="41">
        <f>E84*M84*O84*Q84/100000000</f>
        <v>20.484456586000004</v>
      </c>
      <c r="U84" s="41">
        <f>E84*M84*O84*(Q84-R84-S84)/100000000</f>
        <v>20.428640628</v>
      </c>
      <c r="V84" s="41">
        <f>E84*G84*(1-N84)*O84/100*(R84+S84)/1000000</f>
        <v>5.5308540199999999E-2</v>
      </c>
      <c r="W84" s="41">
        <f>+'19'!K18/1000</f>
        <v>9.3160000000000007</v>
      </c>
      <c r="X84" s="416"/>
      <c r="Y84" s="220"/>
      <c r="Z84" s="41">
        <f>+'19'!D26/1000</f>
        <v>0.51800000000000002</v>
      </c>
      <c r="AA84" s="53"/>
      <c r="AB84" s="53"/>
      <c r="AC84" s="41">
        <f>K84-T84</f>
        <v>7.1947413999996712E-2</v>
      </c>
      <c r="AD84" s="41">
        <f>+AM84+BA84</f>
        <v>1</v>
      </c>
      <c r="AE84" s="238" t="s">
        <v>640</v>
      </c>
      <c r="AF84" s="41"/>
      <c r="AG84" s="41">
        <v>1</v>
      </c>
      <c r="AH84" s="41"/>
      <c r="AI84" s="459"/>
      <c r="AJ84" s="41"/>
      <c r="AK84" s="41"/>
      <c r="AL84" s="41"/>
      <c r="AM84" s="41">
        <f>SUM(AF84:AL84)+AT84+AV84+AX84</f>
        <v>1</v>
      </c>
      <c r="AN84" s="41"/>
      <c r="AO84" s="41"/>
      <c r="AP84" s="41"/>
      <c r="AQ84" s="41"/>
      <c r="AR84" s="41">
        <f>SUM(AN84:AQ84)</f>
        <v>0</v>
      </c>
      <c r="AS84" s="41"/>
      <c r="AT84" s="41"/>
      <c r="AU84" s="41"/>
      <c r="AV84" s="41"/>
      <c r="AW84" s="41"/>
      <c r="AX84" s="41"/>
      <c r="AY84" s="41"/>
      <c r="AZ84" s="41"/>
      <c r="BA84" s="41">
        <f>+AR84+AS84+AU84+AW84+AY84+AZ84</f>
        <v>0</v>
      </c>
      <c r="BB84" s="54"/>
      <c r="BC84" s="55">
        <v>1</v>
      </c>
      <c r="BD84" s="55"/>
      <c r="BE84" s="54"/>
      <c r="BF84" s="55"/>
    </row>
    <row r="85" spans="1:58" ht="12.95" customHeight="1">
      <c r="A85" s="343"/>
      <c r="B85" s="45" t="s">
        <v>231</v>
      </c>
      <c r="C85" s="450"/>
      <c r="D85" s="45"/>
      <c r="E85" s="46">
        <v>17</v>
      </c>
      <c r="F85" s="46"/>
      <c r="G85" s="463"/>
      <c r="H85" s="48"/>
      <c r="I85" s="49"/>
      <c r="J85" s="88"/>
      <c r="K85" s="88"/>
      <c r="L85" s="39"/>
      <c r="M85" s="39"/>
      <c r="N85" s="50"/>
      <c r="O85" s="51"/>
      <c r="P85" s="52"/>
      <c r="Q85" s="51"/>
      <c r="R85" s="419"/>
      <c r="S85" s="419"/>
      <c r="T85" s="41"/>
      <c r="U85" s="41"/>
      <c r="V85" s="41"/>
      <c r="W85" s="41">
        <f>+'19'!K16/1000</f>
        <v>5.335</v>
      </c>
      <c r="X85" s="416"/>
      <c r="Y85" s="220"/>
      <c r="Z85" s="41">
        <f>+'19'!D8/1000</f>
        <v>0.32500000000000001</v>
      </c>
      <c r="AA85" s="53"/>
      <c r="AB85" s="53"/>
      <c r="AC85" s="41"/>
      <c r="AD85" s="41">
        <f>+AM85+BA85</f>
        <v>9</v>
      </c>
      <c r="AE85" s="238" t="s">
        <v>666</v>
      </c>
      <c r="AF85" s="41"/>
      <c r="AG85" s="41"/>
      <c r="AH85" s="41">
        <v>9</v>
      </c>
      <c r="AI85" s="459"/>
      <c r="AJ85" s="41"/>
      <c r="AK85" s="41"/>
      <c r="AL85" s="41"/>
      <c r="AM85" s="41">
        <f>SUM(AF85:AL85)+AT85+AV85+AX85</f>
        <v>9</v>
      </c>
      <c r="AN85" s="41"/>
      <c r="AO85" s="41"/>
      <c r="AP85" s="41"/>
      <c r="AQ85" s="41"/>
      <c r="AR85" s="41">
        <f>SUM(AN85:AQ85)</f>
        <v>0</v>
      </c>
      <c r="AS85" s="41"/>
      <c r="AT85" s="41"/>
      <c r="AU85" s="41"/>
      <c r="AV85" s="41"/>
      <c r="AW85" s="41"/>
      <c r="AX85" s="41"/>
      <c r="AY85" s="41"/>
      <c r="AZ85" s="41"/>
      <c r="BA85" s="41">
        <f>+AR85+AS85+AU85+AW85+AY85+AZ85</f>
        <v>0</v>
      </c>
      <c r="BB85" s="37"/>
      <c r="BC85" s="57"/>
      <c r="BD85" s="57"/>
      <c r="BE85" s="37"/>
      <c r="BF85" s="57"/>
    </row>
    <row r="86" spans="1:58" ht="12.95" customHeight="1">
      <c r="A86" s="343"/>
      <c r="B86" s="45"/>
      <c r="C86" s="450"/>
      <c r="D86" s="45"/>
      <c r="E86" s="46"/>
      <c r="F86" s="46"/>
      <c r="G86" s="463"/>
      <c r="H86" s="48"/>
      <c r="I86" s="49"/>
      <c r="J86" s="88"/>
      <c r="K86" s="88"/>
      <c r="L86" s="39"/>
      <c r="M86" s="39"/>
      <c r="N86" s="50"/>
      <c r="O86" s="51"/>
      <c r="P86" s="52"/>
      <c r="Q86" s="51"/>
      <c r="R86" s="419"/>
      <c r="S86" s="419"/>
      <c r="T86" s="41"/>
      <c r="U86" s="41"/>
      <c r="V86" s="41"/>
      <c r="W86" s="41"/>
      <c r="X86" s="416"/>
      <c r="Y86" s="220"/>
      <c r="Z86" s="41"/>
      <c r="AA86" s="53"/>
      <c r="AB86" s="53"/>
      <c r="AC86" s="41"/>
      <c r="AD86" s="41"/>
      <c r="AE86" s="238"/>
      <c r="AF86" s="41"/>
      <c r="AG86" s="41"/>
      <c r="AH86" s="41"/>
      <c r="AI86" s="459"/>
      <c r="AJ86" s="41"/>
      <c r="AK86" s="41"/>
      <c r="AL86" s="41"/>
      <c r="AM86" s="41"/>
      <c r="AN86" s="89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54"/>
      <c r="BC86" s="55"/>
      <c r="BD86" s="55"/>
      <c r="BE86" s="55"/>
      <c r="BF86" s="55"/>
    </row>
    <row r="87" spans="1:58" ht="12.95" customHeight="1">
      <c r="A87" s="44">
        <v>46132</v>
      </c>
      <c r="B87" s="45" t="s">
        <v>231</v>
      </c>
      <c r="C87" s="450">
        <f>(M87*E87*O87*Q87)/100000000</f>
        <v>2.2183570514285718</v>
      </c>
      <c r="D87" s="45" t="s">
        <v>608</v>
      </c>
      <c r="E87" s="46">
        <v>19</v>
      </c>
      <c r="F87" s="46">
        <v>1</v>
      </c>
      <c r="G87" s="47">
        <v>1090</v>
      </c>
      <c r="H87" s="48">
        <v>0</v>
      </c>
      <c r="I87" s="49">
        <v>0.88</v>
      </c>
      <c r="J87" s="88">
        <f>E87*G87*(1-H87)*1440/1000000*2.77</f>
        <v>82.608047999999997</v>
      </c>
      <c r="K87" s="88">
        <f>(IF(G87&lt;L87,L87,G87)*(1-IF(H87&lt;N87,H87,N87))*E87*O87*Q87)/100000000</f>
        <v>2.2261485714285714</v>
      </c>
      <c r="L87" s="39">
        <v>1100</v>
      </c>
      <c r="M87" s="39">
        <f>+L87-L87*0.0035</f>
        <v>1096.1500000000001</v>
      </c>
      <c r="N87" s="50">
        <f>1-(M87/L87)</f>
        <v>3.4999999999999476E-3</v>
      </c>
      <c r="O87" s="51">
        <f>+'Trim Rwd'!H77</f>
        <v>266.28571428571428</v>
      </c>
      <c r="P87" s="52">
        <f>O87*(Q87-R87-S87)</f>
        <v>10651.428571428571</v>
      </c>
      <c r="Q87" s="51">
        <v>40</v>
      </c>
      <c r="R87" s="419">
        <v>0</v>
      </c>
      <c r="S87" s="419">
        <v>0</v>
      </c>
      <c r="T87" s="41">
        <f>E87*M87*O87*Q87/100000000</f>
        <v>2.2183570514285718</v>
      </c>
      <c r="U87" s="41">
        <f>E87*M87*O87*(Q87-R87-S87)/100000000</f>
        <v>2.2183570514285718</v>
      </c>
      <c r="V87" s="41">
        <f>E87*G87*(1-N87)*O87/100*(R87+S87)/1000000</f>
        <v>0</v>
      </c>
      <c r="W87" s="41">
        <f>+'20'!K18/1000</f>
        <v>12.875</v>
      </c>
      <c r="X87" s="42">
        <f>SUM(W87:W91)/SUM(K87:K91)</f>
        <v>1.0754025512867882</v>
      </c>
      <c r="Y87" s="220">
        <v>0</v>
      </c>
      <c r="Z87" s="41">
        <v>0</v>
      </c>
      <c r="AA87" s="41">
        <f>SUM(U87:U91)-SUM(W87:W91)-SUM(Z87:Z91)-SUM(Y87:Y91)</f>
        <v>-9.7701499157714249</v>
      </c>
      <c r="AB87" s="41">
        <f>(SUM(K87:K91)-SUM(W87:W91)-SUM(Y87:Y91)-SUM(Z87:Z91)-SUM(AC87:AC91)-SUM(V87:V91))-AA87</f>
        <v>-1.4567235600006612E-2</v>
      </c>
      <c r="AC87" s="41">
        <f>K87-T87</f>
        <v>7.7915199999996076E-3</v>
      </c>
      <c r="AD87" s="41">
        <f>+AM87+BA87</f>
        <v>0</v>
      </c>
      <c r="AE87" s="238" t="s">
        <v>277</v>
      </c>
      <c r="AF87" s="37">
        <v>0</v>
      </c>
      <c r="AG87" s="37"/>
      <c r="AH87" s="37"/>
      <c r="AJ87" s="41"/>
      <c r="AK87" s="41"/>
      <c r="AL87" s="41"/>
      <c r="AM87" s="41">
        <f>SUM(AF87:AL87)+AT87+AV87+AX87</f>
        <v>0</v>
      </c>
      <c r="AN87" s="41"/>
      <c r="AO87" s="41"/>
      <c r="AP87" s="41"/>
      <c r="AQ87" s="41"/>
      <c r="AR87" s="41">
        <f>SUM(AN87:AQ87)</f>
        <v>0</v>
      </c>
      <c r="AS87" s="41"/>
      <c r="AT87" s="41"/>
      <c r="AU87" s="41"/>
      <c r="AV87" s="41"/>
      <c r="AW87" s="41"/>
      <c r="AX87" s="41"/>
      <c r="AY87" s="41"/>
      <c r="AZ87" s="41"/>
      <c r="BA87" s="41">
        <f>+AR87+AS87+AU87+AW87+AY87+AZ87</f>
        <v>0</v>
      </c>
      <c r="BB87" s="37">
        <v>0</v>
      </c>
      <c r="BC87" s="55"/>
      <c r="BD87" s="55"/>
      <c r="BE87" s="37"/>
      <c r="BF87" s="55"/>
    </row>
    <row r="88" spans="1:58" ht="12.95" customHeight="1">
      <c r="A88" s="44"/>
      <c r="B88" s="45" t="s">
        <v>231</v>
      </c>
      <c r="C88" s="450">
        <f>(M88*E88*O88*Q88)/100000000</f>
        <v>9.7247956679999987</v>
      </c>
      <c r="D88" s="45" t="s">
        <v>608</v>
      </c>
      <c r="E88" s="46">
        <v>17</v>
      </c>
      <c r="F88" s="46">
        <v>1</v>
      </c>
      <c r="G88" s="463">
        <v>1210</v>
      </c>
      <c r="H88" s="48">
        <v>0</v>
      </c>
      <c r="I88" s="49">
        <v>0.88</v>
      </c>
      <c r="J88" s="88">
        <f>E88*G88*(1-H88)*1440/1000000*2.77</f>
        <v>82.049616</v>
      </c>
      <c r="K88" s="88">
        <f>(IF(G88&lt;L88,L88,G88)*(1-IF(H88&lt;N88,H88,N88))*E88*O88*Q88)/100000000</f>
        <v>9.7589520000000007</v>
      </c>
      <c r="L88" s="39">
        <v>1260</v>
      </c>
      <c r="M88" s="39">
        <f>+L88-L88*0.0035</f>
        <v>1255.5899999999999</v>
      </c>
      <c r="N88" s="50">
        <f>1-(M88/L88)</f>
        <v>3.5000000000000586E-3</v>
      </c>
      <c r="O88" s="51">
        <f>+'Trim Rwd'!H79</f>
        <v>268</v>
      </c>
      <c r="P88" s="52">
        <f>O88*(Q88-R88-S88)</f>
        <v>44756</v>
      </c>
      <c r="Q88" s="51">
        <v>170</v>
      </c>
      <c r="R88" s="419">
        <v>0</v>
      </c>
      <c r="S88" s="419">
        <v>3</v>
      </c>
      <c r="T88" s="41">
        <f>E88*M88*O88*Q88/100000000</f>
        <v>9.7247956679999987</v>
      </c>
      <c r="U88" s="41">
        <f>E88*M88*O88*(Q88-R88-S88)/100000000</f>
        <v>9.5531816267999989</v>
      </c>
      <c r="V88" s="41">
        <f>E88*G88*(1-N88)*O88/100*(R88+S88)/1000000</f>
        <v>0.16480396019999996</v>
      </c>
      <c r="W88" s="41">
        <f>+'20'!K16/1000</f>
        <v>9.1110000000000007</v>
      </c>
      <c r="X88" s="42"/>
      <c r="Y88" s="220"/>
      <c r="Z88" s="41">
        <f>+'20'!D8/1000</f>
        <v>9.7000000000000003E-2</v>
      </c>
      <c r="AA88" s="41"/>
      <c r="AB88" s="41"/>
      <c r="AC88" s="41">
        <f t="shared" ref="AC88:AC90" si="0">K88-T88</f>
        <v>3.415633200000201E-2</v>
      </c>
      <c r="AD88" s="41">
        <f>+AM88+BA88</f>
        <v>0</v>
      </c>
      <c r="AE88" s="241" t="s">
        <v>591</v>
      </c>
      <c r="AF88" s="41"/>
      <c r="AG88" s="41">
        <v>0</v>
      </c>
      <c r="AH88" s="41"/>
      <c r="AI88" s="41"/>
      <c r="AJ88" s="41"/>
      <c r="AK88" s="41"/>
      <c r="AL88" s="41"/>
      <c r="AM88" s="41">
        <f>SUM(AF88:AL88)+AT88+AV88+AX88</f>
        <v>0</v>
      </c>
      <c r="AN88" s="58"/>
      <c r="AO88" s="41"/>
      <c r="AP88" s="41"/>
      <c r="AQ88" s="41"/>
      <c r="AR88" s="41">
        <f>SUM(AN88:AQ88)</f>
        <v>0</v>
      </c>
      <c r="AS88" s="41"/>
      <c r="AT88" s="41"/>
      <c r="AU88" s="41"/>
      <c r="AV88" s="41"/>
      <c r="AW88" s="41"/>
      <c r="AX88" s="41"/>
      <c r="AY88" s="41"/>
      <c r="AZ88" s="41"/>
      <c r="BA88" s="41">
        <f>+AR88+AS88+AU88+AW88+AY88+AZ88</f>
        <v>0</v>
      </c>
      <c r="BB88" s="54"/>
      <c r="BC88" s="55">
        <v>0</v>
      </c>
      <c r="BD88" s="55"/>
      <c r="BE88" s="54"/>
      <c r="BF88" s="55"/>
    </row>
    <row r="89" spans="1:58" ht="12.95" customHeight="1">
      <c r="A89" s="343"/>
      <c r="B89" s="45" t="s">
        <v>231</v>
      </c>
      <c r="C89" s="450">
        <f>(M89*E89*O89*Q89)/100000000</f>
        <v>27.773929820000006</v>
      </c>
      <c r="D89" s="45" t="s">
        <v>608</v>
      </c>
      <c r="E89" s="46">
        <v>15.5</v>
      </c>
      <c r="F89" s="46">
        <v>1</v>
      </c>
      <c r="G89" s="463">
        <v>1270</v>
      </c>
      <c r="H89" s="48">
        <v>0</v>
      </c>
      <c r="I89" s="49">
        <v>0.88</v>
      </c>
      <c r="J89" s="88">
        <f>E89*G89*(1-H89)*1440/1000000*2.77</f>
        <v>78.519527999999994</v>
      </c>
      <c r="K89" s="88">
        <f>(IF(G89&lt;L89,L89,G89)*(1-IF(H89&lt;N89,H89,N89))*E89*O89*Q89)/100000000</f>
        <v>27.871479999999998</v>
      </c>
      <c r="L89" s="39">
        <v>1300</v>
      </c>
      <c r="M89" s="39">
        <f>+L89-L89*0.0035</f>
        <v>1295.45</v>
      </c>
      <c r="N89" s="50">
        <f>1-(M89/L89)</f>
        <v>3.4999999999999476E-3</v>
      </c>
      <c r="O89" s="51">
        <f>+'Trim Rwd'!H80</f>
        <v>266</v>
      </c>
      <c r="P89" s="52">
        <f>O89*(Q89-R89-S89)</f>
        <v>137256</v>
      </c>
      <c r="Q89" s="51">
        <v>520</v>
      </c>
      <c r="R89" s="419">
        <v>0</v>
      </c>
      <c r="S89" s="419">
        <v>4</v>
      </c>
      <c r="T89" s="41">
        <f>E89*M89*O89*Q89/100000000</f>
        <v>27.773929820000006</v>
      </c>
      <c r="U89" s="41">
        <f>E89*M89*O89*(Q89-R89-S89)/100000000</f>
        <v>27.560284206000002</v>
      </c>
      <c r="V89" s="41">
        <f>E89*G89*(1-N89)*O89/100*(R89+S89)/1000000</f>
        <v>0.20871533060000003</v>
      </c>
      <c r="W89" s="41">
        <f>+'20'!K19/1000</f>
        <v>26.491</v>
      </c>
      <c r="X89" s="416"/>
      <c r="Y89" s="220"/>
      <c r="Z89" s="41">
        <f>+('20'!D9+'20'!D16)/1000</f>
        <v>0.71299999999999997</v>
      </c>
      <c r="AA89" s="53"/>
      <c r="AB89" s="53"/>
      <c r="AC89" s="41">
        <f t="shared" si="0"/>
        <v>9.7550179999991826E-2</v>
      </c>
      <c r="AD89" s="41">
        <f>+AM89+BA89</f>
        <v>0</v>
      </c>
      <c r="AE89" s="238" t="s">
        <v>592</v>
      </c>
      <c r="AF89" s="41"/>
      <c r="AG89" s="41"/>
      <c r="AH89" s="41">
        <v>0</v>
      </c>
      <c r="AI89" s="459"/>
      <c r="AJ89" s="41"/>
      <c r="AK89" s="41"/>
      <c r="AL89" s="41"/>
      <c r="AM89" s="41">
        <f>SUM(AF89:AL89)+AT89+AV89+AX89</f>
        <v>0</v>
      </c>
      <c r="AN89" s="41"/>
      <c r="AO89" s="41"/>
      <c r="AP89" s="41"/>
      <c r="AQ89" s="41"/>
      <c r="AR89" s="41">
        <f>SUM(AN89:AQ89)</f>
        <v>0</v>
      </c>
      <c r="AS89" s="41"/>
      <c r="AT89" s="41"/>
      <c r="AU89" s="41"/>
      <c r="AV89" s="41"/>
      <c r="AW89" s="41"/>
      <c r="AX89" s="41"/>
      <c r="AY89" s="41"/>
      <c r="AZ89" s="41"/>
      <c r="BA89" s="41">
        <f>+AR89+AS89+AU89+AW89+AY89+AZ89</f>
        <v>0</v>
      </c>
      <c r="BB89" s="37"/>
      <c r="BC89" s="57"/>
      <c r="BD89" s="57"/>
      <c r="BE89" s="37"/>
      <c r="BF89" s="57"/>
    </row>
    <row r="90" spans="1:58" ht="12.95" customHeight="1">
      <c r="A90" s="343"/>
      <c r="B90" s="45" t="s">
        <v>231</v>
      </c>
      <c r="C90" s="450">
        <f>(M90*E90*O90*Q90)/100000000</f>
        <v>36.609656160000007</v>
      </c>
      <c r="D90" s="45" t="s">
        <v>608</v>
      </c>
      <c r="E90" s="46">
        <v>20</v>
      </c>
      <c r="F90" s="46">
        <v>1</v>
      </c>
      <c r="G90" s="463">
        <v>1030</v>
      </c>
      <c r="H90" s="48">
        <v>0</v>
      </c>
      <c r="I90" s="49">
        <v>0.88</v>
      </c>
      <c r="J90" s="88">
        <f>E90*G90*(1-H90)*1440/1000000*2.77</f>
        <v>82.169280000000001</v>
      </c>
      <c r="K90" s="88">
        <f>(IF(G90&lt;L90,L90,G90)*(1-IF(H90&lt;N90,H90,N90))*E90*O90*Q90)/100000000</f>
        <v>38.612639999999999</v>
      </c>
      <c r="L90" s="39">
        <v>980</v>
      </c>
      <c r="M90" s="39">
        <f t="shared" ref="M90" si="1">+L90-L90*0.0035</f>
        <v>976.57</v>
      </c>
      <c r="N90" s="50">
        <f>1-(M90/L90)</f>
        <v>3.4999999999999476E-3</v>
      </c>
      <c r="O90" s="51">
        <f>+'Trim Rwd'!H81</f>
        <v>264</v>
      </c>
      <c r="P90" s="52">
        <f>O90*(Q90-R90-S90)</f>
        <v>184800</v>
      </c>
      <c r="Q90" s="51">
        <v>710</v>
      </c>
      <c r="R90" s="419">
        <v>0</v>
      </c>
      <c r="S90" s="419">
        <v>10</v>
      </c>
      <c r="T90" s="41">
        <f>E90*M90*O90*Q90/100000000</f>
        <v>36.609656160000007</v>
      </c>
      <c r="U90" s="41">
        <f>E90*M90*O90*(Q90-R90-S90)/100000000</f>
        <v>36.094027200000006</v>
      </c>
      <c r="V90" s="41">
        <f>E90*G90*(1-N90)*O90/100*(R90+S90)/1000000</f>
        <v>0.54193656000000001</v>
      </c>
      <c r="W90" s="41">
        <f>+'20'!K20/1000</f>
        <v>30.718</v>
      </c>
      <c r="X90" s="416"/>
      <c r="Y90" s="220"/>
      <c r="Z90" s="41"/>
      <c r="AA90" s="53"/>
      <c r="AB90" s="53"/>
      <c r="AC90" s="41">
        <f t="shared" si="0"/>
        <v>2.0029838399999917</v>
      </c>
      <c r="AD90" s="41">
        <f>+AM90+BA90</f>
        <v>17</v>
      </c>
      <c r="AE90" s="238" t="s">
        <v>487</v>
      </c>
      <c r="AF90" s="41"/>
      <c r="AG90" s="41"/>
      <c r="AH90" s="41"/>
      <c r="AI90" s="459">
        <v>17</v>
      </c>
      <c r="AJ90" s="41"/>
      <c r="AK90" s="41"/>
      <c r="AL90" s="41"/>
      <c r="AM90" s="41">
        <f>SUM(AF90:AL90)+AT90+AV90+AX90</f>
        <v>17</v>
      </c>
      <c r="AN90" s="89"/>
      <c r="AO90" s="41"/>
      <c r="AP90" s="41"/>
      <c r="AQ90" s="41"/>
      <c r="AR90" s="41">
        <f>SUM(AN90:AQ90)</f>
        <v>0</v>
      </c>
      <c r="AS90" s="41"/>
      <c r="AT90" s="41"/>
      <c r="AU90" s="41"/>
      <c r="AV90" s="41"/>
      <c r="AW90" s="41"/>
      <c r="AX90" s="41"/>
      <c r="AY90" s="41"/>
      <c r="AZ90" s="41"/>
      <c r="BA90" s="41">
        <f>+AR90+AS90+AU90+AW90+AY90+AZ90</f>
        <v>0</v>
      </c>
      <c r="BB90" s="37"/>
      <c r="BC90" s="57"/>
      <c r="BD90" s="57"/>
      <c r="BE90" s="37"/>
      <c r="BF90" s="57"/>
    </row>
    <row r="91" spans="1:58" ht="12.95" customHeight="1">
      <c r="A91" s="44"/>
      <c r="B91" s="45" t="s">
        <v>231</v>
      </c>
      <c r="C91" s="450"/>
      <c r="D91" s="45"/>
      <c r="E91" s="46">
        <v>14</v>
      </c>
      <c r="F91" s="46"/>
      <c r="G91" s="47"/>
      <c r="H91" s="48"/>
      <c r="I91" s="49"/>
      <c r="J91" s="88"/>
      <c r="K91" s="88"/>
      <c r="L91" s="39"/>
      <c r="M91" s="39"/>
      <c r="N91" s="50"/>
      <c r="O91" s="51"/>
      <c r="P91" s="52"/>
      <c r="Q91" s="51"/>
      <c r="R91" s="419"/>
      <c r="S91" s="419"/>
      <c r="T91" s="41"/>
      <c r="U91" s="41"/>
      <c r="V91" s="41"/>
      <c r="W91" s="41">
        <f>+'20'!K15/1000</f>
        <v>5.1909999999999998</v>
      </c>
      <c r="X91" s="42"/>
      <c r="Y91" s="220"/>
      <c r="Z91" s="41"/>
      <c r="AA91" s="41"/>
      <c r="AB91" s="41"/>
      <c r="AC91" s="41"/>
      <c r="AD91" s="41"/>
      <c r="AE91" s="238"/>
      <c r="AF91" s="37"/>
      <c r="AG91" s="37"/>
      <c r="AH91" s="37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37"/>
      <c r="BC91" s="57"/>
      <c r="BD91" s="55"/>
      <c r="BE91" s="55"/>
      <c r="BF91" s="55"/>
    </row>
    <row r="92" spans="1:58" ht="12.95" customHeight="1">
      <c r="A92" s="343"/>
      <c r="B92" s="45"/>
      <c r="C92" s="450"/>
      <c r="D92" s="45"/>
      <c r="E92" s="46"/>
      <c r="F92" s="46"/>
      <c r="G92" s="463"/>
      <c r="H92" s="48"/>
      <c r="I92" s="49"/>
      <c r="J92" s="88"/>
      <c r="K92" s="88"/>
      <c r="L92" s="39"/>
      <c r="M92" s="39"/>
      <c r="N92" s="50"/>
      <c r="O92" s="51"/>
      <c r="P92" s="52"/>
      <c r="Q92" s="51"/>
      <c r="R92" s="419"/>
      <c r="S92" s="419"/>
      <c r="T92" s="41"/>
      <c r="U92" s="41"/>
      <c r="V92" s="41"/>
      <c r="W92" s="41"/>
      <c r="X92" s="416"/>
      <c r="Y92" s="220"/>
      <c r="Z92" s="41"/>
      <c r="AA92" s="53"/>
      <c r="AB92" s="53"/>
      <c r="AC92" s="41"/>
      <c r="AD92" s="41"/>
      <c r="AE92" s="238"/>
      <c r="AF92" s="41"/>
      <c r="AG92" s="41"/>
      <c r="AH92" s="41"/>
      <c r="AI92" s="459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37"/>
      <c r="BC92" s="55"/>
      <c r="BD92" s="55"/>
      <c r="BE92" s="55"/>
      <c r="BF92" s="55"/>
    </row>
    <row r="93" spans="1:58" ht="12.95" customHeight="1">
      <c r="A93" s="343">
        <v>46133</v>
      </c>
      <c r="B93" s="45" t="s">
        <v>231</v>
      </c>
      <c r="C93" s="450">
        <f>(M93*E93*O93*Q93)/100000000</f>
        <v>37.898728560000002</v>
      </c>
      <c r="D93" s="45" t="s">
        <v>608</v>
      </c>
      <c r="E93" s="46">
        <v>20</v>
      </c>
      <c r="F93" s="46">
        <v>1</v>
      </c>
      <c r="G93" s="463">
        <v>1030</v>
      </c>
      <c r="H93" s="48">
        <v>0</v>
      </c>
      <c r="I93" s="49">
        <v>0.88</v>
      </c>
      <c r="J93" s="88">
        <f>E93*G93*(1-H93)*1440/1000000*2.77</f>
        <v>82.169280000000001</v>
      </c>
      <c r="K93" s="88">
        <f>(IF(G93&lt;L93,L93,G93)*(1-IF(H93&lt;N93,H93,N93))*E93*O93*Q93)/100000000</f>
        <v>39.972239999999999</v>
      </c>
      <c r="L93" s="39">
        <v>980</v>
      </c>
      <c r="M93" s="39">
        <f>+L93-L93*0.0035</f>
        <v>976.57</v>
      </c>
      <c r="N93" s="50">
        <f>1-(M93/L93)</f>
        <v>3.4999999999999476E-3</v>
      </c>
      <c r="O93" s="51">
        <f>+'Trim Rwd'!H83</f>
        <v>264</v>
      </c>
      <c r="P93" s="52">
        <f>O93*(Q93-R93-S93)</f>
        <v>192192</v>
      </c>
      <c r="Q93" s="51">
        <v>735</v>
      </c>
      <c r="R93" s="419">
        <v>0</v>
      </c>
      <c r="S93" s="419">
        <v>7</v>
      </c>
      <c r="T93" s="41">
        <f>E93*M93*O93*Q93/100000000</f>
        <v>37.898728560000002</v>
      </c>
      <c r="U93" s="41">
        <f>E93*M93*O93*(Q93-R93-S93)/100000000</f>
        <v>37.537788288000002</v>
      </c>
      <c r="V93" s="41">
        <f>E93*G93*(1-N93)*O93/100*(R93+S93)/1000000</f>
        <v>0.37935559200000002</v>
      </c>
      <c r="W93" s="41">
        <f>+'21'!K20/1000</f>
        <v>39.872</v>
      </c>
      <c r="X93" s="42">
        <f>SUM(W93:W96)/SUM(K93:K96)</f>
        <v>0.86719302409777588</v>
      </c>
      <c r="Y93" s="220">
        <v>0</v>
      </c>
      <c r="Z93" s="41">
        <f>+'21'!D16/1000</f>
        <v>1.2030000000000001</v>
      </c>
      <c r="AA93" s="41">
        <f>SUM(U93:U96)-SUM(W93:W96)-SUM(Z93:Z96)-SUM(Y93:Y96)</f>
        <v>4.8179204480000051</v>
      </c>
      <c r="AB93" s="41">
        <f>(SUM(K93:K96)-SUM(W93:W96)-SUM(Y93:Y96)-SUM(Z93:Z96)-SUM(AC93:AC96)-SUM(V93:V96))-AA93</f>
        <v>-2.5054680000007323E-2</v>
      </c>
      <c r="AC93" s="41">
        <f>K93-T93</f>
        <v>2.0735114399999972</v>
      </c>
      <c r="AD93" s="41">
        <f>+AM93+BA93</f>
        <v>0</v>
      </c>
      <c r="AE93" s="238" t="s">
        <v>277</v>
      </c>
      <c r="AF93" s="41">
        <v>0</v>
      </c>
      <c r="AG93" s="41"/>
      <c r="AH93" s="41"/>
      <c r="AI93" s="459"/>
      <c r="AJ93" s="41"/>
      <c r="AK93" s="41"/>
      <c r="AL93" s="41"/>
      <c r="AM93" s="41">
        <f>SUM(AF93:AL93)+AT93+AV93+AX93</f>
        <v>0</v>
      </c>
      <c r="AN93" s="89"/>
      <c r="AO93" s="41"/>
      <c r="AP93" s="41"/>
      <c r="AQ93" s="41"/>
      <c r="AR93" s="41">
        <f>SUM(AN93:AQ93)</f>
        <v>0</v>
      </c>
      <c r="AS93" s="41"/>
      <c r="AT93" s="41"/>
      <c r="AU93" s="41"/>
      <c r="AV93" s="41"/>
      <c r="AW93" s="41"/>
      <c r="AX93" s="41"/>
      <c r="AY93" s="41"/>
      <c r="AZ93" s="41"/>
      <c r="BA93" s="41">
        <f>+AR93+AS93+AU93+AW93+AY93+AZ93</f>
        <v>0</v>
      </c>
      <c r="BB93" s="37">
        <v>0</v>
      </c>
      <c r="BC93" s="55"/>
      <c r="BD93" s="55"/>
      <c r="BE93" s="37"/>
      <c r="BF93" s="55"/>
    </row>
    <row r="94" spans="1:58" ht="12.95" customHeight="1">
      <c r="A94" s="44"/>
      <c r="B94" s="45" t="s">
        <v>523</v>
      </c>
      <c r="C94" s="450">
        <f>(M94*E94*O94*Q94)/100000000</f>
        <v>30.244838399999999</v>
      </c>
      <c r="D94" s="45" t="s">
        <v>408</v>
      </c>
      <c r="E94" s="46">
        <v>12</v>
      </c>
      <c r="F94" s="46">
        <v>1</v>
      </c>
      <c r="G94" s="463">
        <v>1700</v>
      </c>
      <c r="H94" s="48">
        <f>+N94</f>
        <v>0.19999999999999996</v>
      </c>
      <c r="I94" s="49">
        <v>0.88</v>
      </c>
      <c r="J94" s="88">
        <f>E94*G94*(1-H94)*1440/1000000*2.77</f>
        <v>65.097216000000003</v>
      </c>
      <c r="K94" s="88">
        <f>(IF(G94&lt;L94,L94,G94)*(1-IF(H94&lt;N94,H94,N94))*E94*O94*Q94)/100000000</f>
        <v>30.604896</v>
      </c>
      <c r="L94" s="39">
        <v>1680</v>
      </c>
      <c r="M94" s="39">
        <v>1344</v>
      </c>
      <c r="N94" s="50">
        <f>1-(M94/L94)</f>
        <v>0.19999999999999996</v>
      </c>
      <c r="O94" s="51">
        <f>+'Trim Rwd'!H84</f>
        <v>266</v>
      </c>
      <c r="P94" s="52">
        <f>O94*(Q94-R94-S94)</f>
        <v>184072</v>
      </c>
      <c r="Q94" s="51">
        <v>705</v>
      </c>
      <c r="R94" s="419">
        <v>0</v>
      </c>
      <c r="S94" s="419">
        <v>13</v>
      </c>
      <c r="T94" s="41">
        <f>E94*M94*O94*Q94/100000000</f>
        <v>30.244838399999999</v>
      </c>
      <c r="U94" s="41">
        <f>E94*M94*O94*(Q94-R94-S94)/100000000</f>
        <v>29.687132160000001</v>
      </c>
      <c r="V94" s="41">
        <f>E94*G94*(1-N94)*O94/100*(R94+S94)/1000000</f>
        <v>0.5643456</v>
      </c>
      <c r="W94" s="41">
        <f>+'21'!K11/1000</f>
        <v>21.332000000000001</v>
      </c>
      <c r="X94" s="416"/>
      <c r="Y94" s="220"/>
      <c r="Z94" s="41"/>
      <c r="AA94" s="41"/>
      <c r="AB94" s="41"/>
      <c r="AC94" s="41">
        <f>K94-T94</f>
        <v>0.36005760000000109</v>
      </c>
      <c r="AD94" s="41">
        <f>+AM94+BA94</f>
        <v>7</v>
      </c>
      <c r="AE94" s="238" t="s">
        <v>705</v>
      </c>
      <c r="AF94" s="37"/>
      <c r="AG94" s="37">
        <v>7</v>
      </c>
      <c r="AH94" s="37"/>
      <c r="AI94" s="459"/>
      <c r="AJ94" s="41"/>
      <c r="AK94" s="41"/>
      <c r="AL94" s="41"/>
      <c r="AM94" s="41">
        <f>SUM(AF94:AL94)+AT94+AV94+AX94</f>
        <v>7</v>
      </c>
      <c r="AN94" s="41"/>
      <c r="AO94" s="41"/>
      <c r="AP94" s="41"/>
      <c r="AQ94" s="41"/>
      <c r="AR94" s="41">
        <f>SUM(AN94:AQ94)</f>
        <v>0</v>
      </c>
      <c r="AS94" s="41"/>
      <c r="AT94" s="41"/>
      <c r="AU94" s="41"/>
      <c r="AV94" s="41"/>
      <c r="AW94" s="41"/>
      <c r="AX94" s="41"/>
      <c r="AY94" s="41"/>
      <c r="AZ94" s="41"/>
      <c r="BA94" s="41">
        <f>+AR94+AS94+AU94+AW94+AY94+AZ94</f>
        <v>0</v>
      </c>
      <c r="BB94" s="54"/>
      <c r="BC94" s="55">
        <v>9</v>
      </c>
      <c r="BD94" s="55"/>
      <c r="BE94" s="54"/>
      <c r="BF94" s="55"/>
    </row>
    <row r="95" spans="1:58" ht="12.95" customHeight="1">
      <c r="A95" s="44"/>
      <c r="B95" s="45"/>
      <c r="C95" s="450"/>
      <c r="D95" s="45"/>
      <c r="E95" s="46"/>
      <c r="F95" s="46"/>
      <c r="G95" s="47"/>
      <c r="H95" s="48"/>
      <c r="I95" s="49"/>
      <c r="J95" s="88"/>
      <c r="K95" s="88"/>
      <c r="L95" s="39"/>
      <c r="M95" s="39"/>
      <c r="N95" s="50"/>
      <c r="O95" s="51"/>
      <c r="P95" s="52"/>
      <c r="Q95" s="51"/>
      <c r="R95" s="419"/>
      <c r="S95" s="419"/>
      <c r="T95" s="41"/>
      <c r="U95" s="41"/>
      <c r="V95" s="41"/>
      <c r="W95" s="41"/>
      <c r="X95" s="416"/>
      <c r="Y95" s="220"/>
      <c r="Z95" s="41"/>
      <c r="AA95" s="53"/>
      <c r="AB95" s="53"/>
      <c r="AC95" s="41"/>
      <c r="AD95" s="41">
        <f>+AM95+BA95</f>
        <v>13</v>
      </c>
      <c r="AE95" s="238" t="s">
        <v>612</v>
      </c>
      <c r="AF95" s="37"/>
      <c r="AG95" s="37"/>
      <c r="AH95" s="37">
        <v>13</v>
      </c>
      <c r="AJ95" s="41"/>
      <c r="AK95" s="41"/>
      <c r="AL95" s="41"/>
      <c r="AM95" s="41">
        <f>SUM(AF95:AL95)+AT95+AV95+AX95</f>
        <v>13</v>
      </c>
      <c r="AN95" s="41"/>
      <c r="AO95" s="41"/>
      <c r="AP95" s="41"/>
      <c r="AQ95" s="41"/>
      <c r="AR95" s="41">
        <f>SUM(AN95:AQ95)</f>
        <v>0</v>
      </c>
      <c r="AS95" s="41"/>
      <c r="AT95" s="41"/>
      <c r="AU95" s="41"/>
      <c r="AV95" s="41"/>
      <c r="AW95" s="41"/>
      <c r="AX95" s="41"/>
      <c r="AY95" s="41"/>
      <c r="AZ95" s="41"/>
      <c r="BA95" s="41">
        <f>+AR95+AS95+AU95+AW95+AY95+AZ95</f>
        <v>0</v>
      </c>
      <c r="BB95" s="37"/>
      <c r="BC95" s="57"/>
      <c r="BD95" s="57"/>
      <c r="BE95" s="37"/>
      <c r="BF95" s="57"/>
    </row>
    <row r="96" spans="1:58" ht="12.95" customHeight="1">
      <c r="A96" s="44"/>
      <c r="B96" s="45"/>
      <c r="C96" s="450"/>
      <c r="D96" s="45"/>
      <c r="E96" s="46"/>
      <c r="F96" s="46"/>
      <c r="G96" s="463"/>
      <c r="H96" s="48"/>
      <c r="I96" s="49"/>
      <c r="J96" s="88"/>
      <c r="K96" s="88"/>
      <c r="L96" s="39"/>
      <c r="M96" s="39"/>
      <c r="N96" s="50"/>
      <c r="O96" s="51"/>
      <c r="P96" s="52"/>
      <c r="Q96" s="51"/>
      <c r="R96" s="419"/>
      <c r="S96" s="419"/>
      <c r="T96" s="41"/>
      <c r="U96" s="41"/>
      <c r="V96" s="41"/>
      <c r="W96" s="41"/>
      <c r="X96" s="42"/>
      <c r="Y96" s="220"/>
      <c r="Z96" s="41"/>
      <c r="AA96" s="41"/>
      <c r="AB96" s="41"/>
      <c r="AC96" s="41"/>
      <c r="AD96" s="41"/>
      <c r="AE96" s="238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37"/>
      <c r="BC96" s="57"/>
      <c r="BD96" s="55"/>
      <c r="BE96" s="55"/>
      <c r="BF96" s="55"/>
    </row>
    <row r="97" spans="1:58" ht="12.95" customHeight="1">
      <c r="A97" s="343">
        <v>46134</v>
      </c>
      <c r="B97" s="45" t="s">
        <v>523</v>
      </c>
      <c r="C97" s="450">
        <f>(M97*E97*O97*Q97)/100000000</f>
        <v>60.083722400000006</v>
      </c>
      <c r="D97" s="45" t="s">
        <v>408</v>
      </c>
      <c r="E97" s="46">
        <v>12</v>
      </c>
      <c r="F97" s="46">
        <v>1</v>
      </c>
      <c r="G97" s="47">
        <v>1700</v>
      </c>
      <c r="H97" s="48">
        <f>+N97</f>
        <v>0.19999999999999996</v>
      </c>
      <c r="I97" s="49">
        <v>0.88</v>
      </c>
      <c r="J97" s="88">
        <f>E97*G97*(1-H97)*1440/1000000*2.77</f>
        <v>65.097216000000003</v>
      </c>
      <c r="K97" s="88">
        <f>(IF(G97&lt;L97,L97,G97)*(1-IF(H97&lt;N97,H97,N97))*E97*O97*Q97)/100000000</f>
        <v>60.083722400000006</v>
      </c>
      <c r="L97" s="39">
        <v>1706.9064748201438</v>
      </c>
      <c r="M97" s="39">
        <v>1365.5251798561151</v>
      </c>
      <c r="N97" s="50">
        <f>1-(M97/L97)</f>
        <v>0.19999999999999996</v>
      </c>
      <c r="O97" s="51">
        <f>+'Trim Rwd'!H86</f>
        <v>263.79166666666669</v>
      </c>
      <c r="P97" s="52">
        <f>O97*(Q97-R97-S97)</f>
        <v>341874</v>
      </c>
      <c r="Q97" s="51">
        <v>1390</v>
      </c>
      <c r="R97" s="419">
        <v>0</v>
      </c>
      <c r="S97" s="419">
        <v>94</v>
      </c>
      <c r="T97" s="41">
        <f>E97*M97*O97*Q97/100000000</f>
        <v>60.083722400000006</v>
      </c>
      <c r="U97" s="41">
        <f>E97*M97*O97*(Q97-R97-S97)/100000000</f>
        <v>56.020506640575555</v>
      </c>
      <c r="V97" s="41">
        <f>E97*G97*(1-N97)*O97/100*(R97+S97)/1000000</f>
        <v>4.0467751999999999</v>
      </c>
      <c r="W97" s="41">
        <f>+'22'!K11/1000</f>
        <v>51.393999999999998</v>
      </c>
      <c r="X97" s="42">
        <f>SUM(W97:W100)/SUM(K97:K100)</f>
        <v>0.86359075307645083</v>
      </c>
      <c r="Y97" s="220">
        <v>0</v>
      </c>
      <c r="Z97" s="41">
        <f>+('22'!D7+'22'!D16+'22'!D25)/1000</f>
        <v>0.92100000000000004</v>
      </c>
      <c r="AA97" s="41">
        <f>SUM(U97:U100)-SUM(W97:W100)-SUM(Z97:Z100)-SUM(Y97:Y100)</f>
        <v>3.0717055705755572</v>
      </c>
      <c r="AB97" s="41">
        <f>(SUM(K97:K100)-SUM(W97:W100)-SUM(Y97:Y100)-SUM(Z97:Z100)-SUM(AC97:AC100)-SUM(V97:V100))-AA97</f>
        <v>1.6440559424445667E-2</v>
      </c>
      <c r="AC97" s="41">
        <f>K97-T97</f>
        <v>0</v>
      </c>
      <c r="AD97" s="41">
        <f>+AM97+BA97</f>
        <v>20</v>
      </c>
      <c r="AE97" s="238" t="s">
        <v>522</v>
      </c>
      <c r="AF97" s="41">
        <v>20</v>
      </c>
      <c r="AG97" s="41"/>
      <c r="AH97" s="41"/>
      <c r="AI97" s="459"/>
      <c r="AJ97" s="41"/>
      <c r="AK97" s="41"/>
      <c r="AL97" s="41"/>
      <c r="AM97" s="41">
        <f>SUM(AF97:AL97)+AT97+AV97+AX97</f>
        <v>20</v>
      </c>
      <c r="AN97" s="41"/>
      <c r="AO97" s="41"/>
      <c r="AP97" s="41"/>
      <c r="AQ97" s="41"/>
      <c r="AR97" s="41">
        <f>SUM(AN97:AQ97)</f>
        <v>0</v>
      </c>
      <c r="AS97" s="41"/>
      <c r="AT97" s="41"/>
      <c r="AU97" s="41"/>
      <c r="AV97" s="41"/>
      <c r="AW97" s="41"/>
      <c r="AX97" s="41"/>
      <c r="AY97" s="41"/>
      <c r="AZ97" s="41"/>
      <c r="BA97" s="41">
        <f>+AR97+AS97+AU97+AW97+AY97+AZ97</f>
        <v>0</v>
      </c>
      <c r="BB97" s="37">
        <v>4</v>
      </c>
      <c r="BC97" s="55"/>
      <c r="BD97" s="55"/>
      <c r="BE97" s="37"/>
      <c r="BF97" s="55"/>
    </row>
    <row r="98" spans="1:58" ht="12.95" customHeight="1">
      <c r="A98" s="343"/>
      <c r="B98" s="45" t="s">
        <v>231</v>
      </c>
      <c r="C98" s="450">
        <f>(M98*E98*O98*Q98)/100000000</f>
        <v>2.7961989300000001</v>
      </c>
      <c r="D98" s="45" t="s">
        <v>408</v>
      </c>
      <c r="E98" s="46">
        <v>17</v>
      </c>
      <c r="F98" s="46">
        <v>1</v>
      </c>
      <c r="G98" s="463">
        <v>1030</v>
      </c>
      <c r="H98" s="48">
        <v>0</v>
      </c>
      <c r="I98" s="49">
        <v>0.88</v>
      </c>
      <c r="J98" s="88">
        <f>E98*G98*(1-H98)*1440/1000000*2.77</f>
        <v>69.843888000000007</v>
      </c>
      <c r="K98" s="88">
        <f>(IF(G98&lt;L98,L98,G98)*(1-IF(H98&lt;N98,H98,N98))*E98*O98*Q98)/100000000</f>
        <v>2.8060200000000002</v>
      </c>
      <c r="L98" s="39">
        <v>1260</v>
      </c>
      <c r="M98" s="39">
        <v>1255.5899999999999</v>
      </c>
      <c r="N98" s="50">
        <f>1-(M98/L98)</f>
        <v>3.5000000000000586E-3</v>
      </c>
      <c r="O98" s="51">
        <f>+'Trim Rwd'!H88</f>
        <v>262</v>
      </c>
      <c r="P98" s="52">
        <f>O98*(Q98-R98-S98)</f>
        <v>13100</v>
      </c>
      <c r="Q98" s="51">
        <v>50</v>
      </c>
      <c r="R98" s="419">
        <v>0</v>
      </c>
      <c r="S98" s="419">
        <v>0</v>
      </c>
      <c r="T98" s="41">
        <f>E98*M98*O98*Q98/100000000</f>
        <v>2.7961989300000001</v>
      </c>
      <c r="U98" s="41">
        <f>E98*M98*O98*(Q98-R98-S98)/100000000</f>
        <v>2.7961989300000001</v>
      </c>
      <c r="V98" s="41">
        <f>E98*G98*(1-N98)*O98/100*(R98+S98)/1000000</f>
        <v>0</v>
      </c>
      <c r="W98" s="41">
        <f>+'22'!K16/1000</f>
        <v>2.9169999999999998</v>
      </c>
      <c r="X98" s="416"/>
      <c r="Y98" s="220"/>
      <c r="Z98" s="41">
        <f>+('22'!D8+'22'!D17+'22'!D26)/1000</f>
        <v>0.51300000000000001</v>
      </c>
      <c r="AA98" s="41"/>
      <c r="AB98" s="41"/>
      <c r="AC98" s="41">
        <f>K98-T98</f>
        <v>9.8210700000000983E-3</v>
      </c>
      <c r="AD98" s="41">
        <f>+AM98+BA98</f>
        <v>13</v>
      </c>
      <c r="AE98" s="238" t="s">
        <v>723</v>
      </c>
      <c r="AF98" s="41"/>
      <c r="AG98" s="41">
        <v>13</v>
      </c>
      <c r="AH98" s="41"/>
      <c r="AI98" s="459"/>
      <c r="AJ98" s="41"/>
      <c r="AK98" s="41"/>
      <c r="AL98" s="41"/>
      <c r="AM98" s="41">
        <f>SUM(AF98:AL98)+AT98+AV98+AX98</f>
        <v>13</v>
      </c>
      <c r="AN98" s="89"/>
      <c r="AO98" s="41"/>
      <c r="AP98" s="41"/>
      <c r="AQ98" s="41"/>
      <c r="AR98" s="41">
        <f>SUM(AN98:AQ98)</f>
        <v>0</v>
      </c>
      <c r="AS98" s="41"/>
      <c r="AT98" s="41"/>
      <c r="AU98" s="41"/>
      <c r="AV98" s="41"/>
      <c r="AW98" s="41"/>
      <c r="AX98" s="41"/>
      <c r="AY98" s="41"/>
      <c r="AZ98" s="41"/>
      <c r="BA98" s="41">
        <f>+AR98+AS98+AU98+AW98+AY98+AZ98</f>
        <v>0</v>
      </c>
      <c r="BB98" s="54"/>
      <c r="BC98" s="55">
        <v>8</v>
      </c>
      <c r="BD98" s="55"/>
      <c r="BE98" s="54"/>
      <c r="BF98" s="55"/>
    </row>
    <row r="99" spans="1:58" ht="12.95" customHeight="1">
      <c r="A99" s="343"/>
      <c r="B99" s="45"/>
      <c r="C99" s="450"/>
      <c r="D99" s="45"/>
      <c r="E99" s="46"/>
      <c r="F99" s="46"/>
      <c r="G99" s="463"/>
      <c r="H99" s="48"/>
      <c r="I99" s="49"/>
      <c r="J99" s="88"/>
      <c r="K99" s="88"/>
      <c r="L99" s="39"/>
      <c r="M99" s="39"/>
      <c r="N99" s="50"/>
      <c r="O99" s="51"/>
      <c r="P99" s="52"/>
      <c r="Q99" s="51"/>
      <c r="R99" s="419"/>
      <c r="S99" s="419"/>
      <c r="T99" s="41"/>
      <c r="U99" s="41"/>
      <c r="V99" s="41"/>
      <c r="W99" s="41"/>
      <c r="X99" s="416"/>
      <c r="Y99" s="220"/>
      <c r="Z99" s="41"/>
      <c r="AA99" s="53"/>
      <c r="AB99" s="53"/>
      <c r="AC99" s="41"/>
      <c r="AD99" s="41">
        <f>+AM99+BA99</f>
        <v>31</v>
      </c>
      <c r="AE99" s="238" t="s">
        <v>486</v>
      </c>
      <c r="AF99" s="41"/>
      <c r="AG99" s="41"/>
      <c r="AH99" s="41">
        <v>31</v>
      </c>
      <c r="AI99" s="459"/>
      <c r="AJ99" s="41"/>
      <c r="AK99" s="41"/>
      <c r="AL99" s="41"/>
      <c r="AM99" s="41">
        <f>SUM(AF99:AL99)+AT99+AV99+AX99</f>
        <v>31</v>
      </c>
      <c r="AN99" s="89"/>
      <c r="AO99" s="41"/>
      <c r="AP99" s="41"/>
      <c r="AQ99" s="41"/>
      <c r="AR99" s="41">
        <f>SUM(AN99:AQ99)</f>
        <v>0</v>
      </c>
      <c r="AS99" s="41"/>
      <c r="AT99" s="41"/>
      <c r="AU99" s="41"/>
      <c r="AV99" s="41"/>
      <c r="AW99" s="41"/>
      <c r="AX99" s="41"/>
      <c r="AY99" s="41"/>
      <c r="AZ99" s="41"/>
      <c r="BA99" s="41">
        <f>+AR99+AS99+AU99+AW99+AY99+AZ99</f>
        <v>0</v>
      </c>
      <c r="BB99" s="37"/>
      <c r="BC99" s="57"/>
      <c r="BD99" s="57"/>
      <c r="BE99" s="37"/>
      <c r="BF99" s="57"/>
    </row>
    <row r="100" spans="1:58" ht="12.95" customHeight="1">
      <c r="A100" s="44"/>
      <c r="B100" s="45"/>
      <c r="C100" s="450"/>
      <c r="D100" s="45"/>
      <c r="E100" s="46"/>
      <c r="F100" s="46"/>
      <c r="G100" s="463"/>
      <c r="H100" s="48"/>
      <c r="I100" s="49"/>
      <c r="J100" s="88"/>
      <c r="K100" s="88"/>
      <c r="L100" s="39"/>
      <c r="M100" s="39"/>
      <c r="N100" s="50"/>
      <c r="O100" s="51"/>
      <c r="P100" s="52"/>
      <c r="Q100" s="51"/>
      <c r="R100" s="419"/>
      <c r="S100" s="419"/>
      <c r="T100" s="41"/>
      <c r="U100" s="41"/>
      <c r="V100" s="41"/>
      <c r="W100" s="41"/>
      <c r="X100" s="42"/>
      <c r="Y100" s="220"/>
      <c r="Z100" s="41"/>
      <c r="AA100" s="41"/>
      <c r="AB100" s="41"/>
      <c r="AC100" s="41"/>
      <c r="AD100" s="41">
        <f>+AM100+BA100</f>
        <v>15</v>
      </c>
      <c r="AE100" s="238" t="s">
        <v>487</v>
      </c>
      <c r="AF100" s="37"/>
      <c r="AG100" s="37"/>
      <c r="AH100" s="37"/>
      <c r="AI100" s="33">
        <v>15</v>
      </c>
      <c r="AJ100" s="41"/>
      <c r="AK100" s="41"/>
      <c r="AL100" s="41"/>
      <c r="AM100" s="41">
        <f t="shared" ref="AM100:AM101" si="2">SUM(AF100:AL100)+AT100+AV100+AX100</f>
        <v>15</v>
      </c>
      <c r="AN100" s="41"/>
      <c r="AO100" s="41"/>
      <c r="AP100" s="41"/>
      <c r="AQ100" s="41"/>
      <c r="AR100" s="41">
        <f t="shared" ref="AR100:AR101" si="3">SUM(AN100:AQ100)</f>
        <v>0</v>
      </c>
      <c r="AS100" s="41"/>
      <c r="AT100" s="41"/>
      <c r="AU100" s="41"/>
      <c r="AV100" s="41"/>
      <c r="AW100" s="41"/>
      <c r="AX100" s="41"/>
      <c r="AY100" s="41"/>
      <c r="AZ100" s="41"/>
      <c r="BA100" s="41">
        <f t="shared" ref="BA100:BA101" si="4">+AR100+AS100+AU100+AW100+AY100+AZ100</f>
        <v>0</v>
      </c>
      <c r="BB100" s="37"/>
      <c r="BC100" s="57"/>
      <c r="BD100" s="57"/>
      <c r="BE100" s="37"/>
      <c r="BF100" s="57"/>
    </row>
    <row r="101" spans="1:58" ht="12.95" customHeight="1">
      <c r="A101" s="44"/>
      <c r="B101" s="45"/>
      <c r="C101" s="450"/>
      <c r="D101" s="45"/>
      <c r="E101" s="46"/>
      <c r="F101" s="46"/>
      <c r="G101" s="463"/>
      <c r="H101" s="48"/>
      <c r="I101" s="49"/>
      <c r="J101" s="88"/>
      <c r="K101" s="88"/>
      <c r="L101" s="39"/>
      <c r="M101" s="39"/>
      <c r="N101" s="50"/>
      <c r="O101" s="51"/>
      <c r="P101" s="52"/>
      <c r="Q101" s="51"/>
      <c r="R101" s="419"/>
      <c r="S101" s="419"/>
      <c r="T101" s="41"/>
      <c r="U101" s="41"/>
      <c r="V101" s="41"/>
      <c r="W101" s="41"/>
      <c r="X101" s="42"/>
      <c r="Y101" s="220"/>
      <c r="Z101" s="41"/>
      <c r="AA101" s="41"/>
      <c r="AB101" s="41"/>
      <c r="AC101" s="41"/>
      <c r="AD101" s="41">
        <f>+AM101+BA101</f>
        <v>15</v>
      </c>
      <c r="AE101" s="238" t="s">
        <v>711</v>
      </c>
      <c r="AF101" s="41"/>
      <c r="AG101" s="41"/>
      <c r="AH101" s="41"/>
      <c r="AI101" s="41"/>
      <c r="AJ101" s="41"/>
      <c r="AK101" s="41">
        <v>15</v>
      </c>
      <c r="AL101" s="41"/>
      <c r="AM101" s="41">
        <f t="shared" si="2"/>
        <v>15</v>
      </c>
      <c r="AN101" s="41"/>
      <c r="AO101" s="41"/>
      <c r="AP101" s="41"/>
      <c r="AQ101" s="41"/>
      <c r="AR101" s="41">
        <f t="shared" si="3"/>
        <v>0</v>
      </c>
      <c r="AS101" s="41"/>
      <c r="AT101" s="41"/>
      <c r="AU101" s="41"/>
      <c r="AV101" s="41"/>
      <c r="AW101" s="41"/>
      <c r="AX101" s="41"/>
      <c r="AY101" s="41"/>
      <c r="AZ101" s="41"/>
      <c r="BA101" s="41">
        <f t="shared" si="4"/>
        <v>0</v>
      </c>
      <c r="BB101" s="37"/>
      <c r="BC101" s="57"/>
      <c r="BD101" s="57"/>
      <c r="BE101" s="37"/>
      <c r="BF101" s="57"/>
    </row>
    <row r="102" spans="1:58" ht="12.95" customHeight="1">
      <c r="A102" s="343"/>
      <c r="B102" s="45"/>
      <c r="C102" s="450"/>
      <c r="D102" s="45"/>
      <c r="E102" s="46"/>
      <c r="F102" s="46"/>
      <c r="G102" s="47"/>
      <c r="H102" s="48"/>
      <c r="I102" s="49"/>
      <c r="J102" s="88"/>
      <c r="K102" s="88"/>
      <c r="L102" s="39"/>
      <c r="M102" s="39"/>
      <c r="N102" s="50"/>
      <c r="O102" s="51"/>
      <c r="P102" s="52"/>
      <c r="Q102" s="51"/>
      <c r="R102" s="419"/>
      <c r="S102" s="419"/>
      <c r="T102" s="41"/>
      <c r="U102" s="41"/>
      <c r="V102" s="41"/>
      <c r="W102" s="41"/>
      <c r="X102" s="416"/>
      <c r="Y102" s="220"/>
      <c r="Z102" s="41"/>
      <c r="AA102" s="53"/>
      <c r="AB102" s="53"/>
      <c r="AC102" s="41"/>
      <c r="AD102" s="41"/>
      <c r="AE102" s="2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37"/>
      <c r="BC102" s="55"/>
      <c r="BD102" s="55"/>
      <c r="BE102" s="55"/>
      <c r="BF102" s="55"/>
    </row>
    <row r="103" spans="1:58" ht="12.95" customHeight="1">
      <c r="A103" s="44">
        <v>46135</v>
      </c>
      <c r="B103" s="3" t="s">
        <v>523</v>
      </c>
      <c r="C103" s="450">
        <f>(M103*E103*O103*Q103)/100000000</f>
        <v>13.904260169491526</v>
      </c>
      <c r="D103" s="45" t="s">
        <v>408</v>
      </c>
      <c r="E103" s="46">
        <v>12</v>
      </c>
      <c r="F103" s="46">
        <v>1</v>
      </c>
      <c r="G103" s="47">
        <v>1700</v>
      </c>
      <c r="H103" s="48">
        <f>+N103</f>
        <v>0.22769719848996617</v>
      </c>
      <c r="I103" s="49">
        <v>0.88</v>
      </c>
      <c r="J103" s="88">
        <f>E103*G103*(1-H103)*1440/1000000*2.77</f>
        <v>62.843452859129755</v>
      </c>
      <c r="K103" s="88">
        <f>(IF(G103&lt;L103,L103,G103)*(1-IF(H103&lt;N103,H103,N103))*E103*O103*Q103)/100000000</f>
        <v>13.904260169491526</v>
      </c>
      <c r="L103" s="39">
        <v>1706.1016949152543</v>
      </c>
      <c r="M103" s="39">
        <v>1317.6271186440679</v>
      </c>
      <c r="N103" s="50">
        <f>1-(M103/L103)</f>
        <v>0.22769719848996617</v>
      </c>
      <c r="O103" s="51">
        <f>+'Trim Rwd'!H90</f>
        <v>262.5</v>
      </c>
      <c r="P103" s="52">
        <f>O103*(Q103-R103-S103)</f>
        <v>71400</v>
      </c>
      <c r="Q103" s="38">
        <f>295+40</f>
        <v>335</v>
      </c>
      <c r="R103" s="419">
        <v>40</v>
      </c>
      <c r="S103" s="419">
        <v>23</v>
      </c>
      <c r="T103" s="41">
        <f>E103*M103*O103*Q103/100000000</f>
        <v>13.904260169491526</v>
      </c>
      <c r="U103" s="41">
        <f>E103*M103*O103*(Q103-R103-S103)/100000000</f>
        <v>11.289429152542372</v>
      </c>
      <c r="V103" s="41">
        <f>E103*G103*(1-N103)*O103/100*(R103+S103)/1000000</f>
        <v>2.6054793463143255</v>
      </c>
      <c r="W103" s="41">
        <f>+'23'!K11/1000</f>
        <v>16.364999999999998</v>
      </c>
      <c r="X103" s="42">
        <f>SUM(W103:W106)/SUM(K103:K106)</f>
        <v>0.83601893191862287</v>
      </c>
      <c r="Y103" s="220">
        <v>0</v>
      </c>
      <c r="Z103" s="41">
        <f>+'23'!D16/1000</f>
        <v>0.312</v>
      </c>
      <c r="AA103" s="41">
        <f>SUM(U103:U106)-SUM(W103:W106)-SUM(Z103:Z106)-SUM(Y103:Y106)</f>
        <v>4.7611861474173454</v>
      </c>
      <c r="AB103" s="41">
        <f>(SUM(K103:K106)-SUM(W103:W106)-SUM(Y103:Y106)-SUM(Z103:Z106)-SUM(AC103:AC106)-SUM(V103:V106))-AA103</f>
        <v>-5.2275629503307108E-2</v>
      </c>
      <c r="AC103" s="41">
        <f>K103-T103</f>
        <v>0</v>
      </c>
      <c r="AD103" s="41">
        <f>+AM103+BA103</f>
        <v>0</v>
      </c>
      <c r="AE103" s="238" t="s">
        <v>277</v>
      </c>
      <c r="AF103" s="41">
        <v>0</v>
      </c>
      <c r="AG103" s="41"/>
      <c r="AH103" s="41"/>
      <c r="AI103" s="41"/>
      <c r="AJ103" s="41"/>
      <c r="AK103" s="41"/>
      <c r="AL103" s="41"/>
      <c r="AM103" s="41">
        <f>SUM(AF103:AL103)+AT103+AV103+AX103</f>
        <v>0</v>
      </c>
      <c r="AN103" s="41"/>
      <c r="AO103" s="41"/>
      <c r="AP103" s="41"/>
      <c r="AQ103" s="41"/>
      <c r="AR103" s="41">
        <f>SUM(AN103:AQ103)</f>
        <v>0</v>
      </c>
      <c r="AS103" s="41"/>
      <c r="AT103" s="41"/>
      <c r="AU103" s="41"/>
      <c r="AV103" s="41"/>
      <c r="AW103" s="41"/>
      <c r="AX103" s="41"/>
      <c r="AY103" s="41"/>
      <c r="AZ103" s="41"/>
      <c r="BA103" s="41">
        <f>+AR103+AS103+AU103+AW103+AY103+AZ103</f>
        <v>0</v>
      </c>
      <c r="BB103" s="37">
        <v>0</v>
      </c>
      <c r="BC103" s="55"/>
      <c r="BD103" s="55"/>
      <c r="BE103" s="37"/>
      <c r="BF103" s="55"/>
    </row>
    <row r="104" spans="1:58" ht="12.95" customHeight="1">
      <c r="A104" s="343"/>
      <c r="B104" s="45" t="s">
        <v>231</v>
      </c>
      <c r="C104" s="450">
        <f>(M104*E104*O104*Q104)/100000000</f>
        <v>57.816204128421056</v>
      </c>
      <c r="D104" s="45" t="s">
        <v>408</v>
      </c>
      <c r="E104" s="46">
        <v>20</v>
      </c>
      <c r="F104" s="46">
        <v>1</v>
      </c>
      <c r="G104" s="463">
        <v>1030</v>
      </c>
      <c r="H104" s="48">
        <v>0</v>
      </c>
      <c r="I104" s="49">
        <v>0.88</v>
      </c>
      <c r="J104" s="88">
        <f>E104*G104*(1-H104)*1440/1000000*2.77</f>
        <v>82.169280000000001</v>
      </c>
      <c r="K104" s="88">
        <f>(IF(G104&lt;L104,L104,G104)*(1-IF(H104&lt;N104,H104,N104))*E104*O104*Q104)/100000000</f>
        <v>61.43613894736842</v>
      </c>
      <c r="L104" s="39">
        <v>972.71493212669679</v>
      </c>
      <c r="M104" s="39">
        <v>969.31042986425336</v>
      </c>
      <c r="N104" s="50">
        <f>1-(M104/L104)</f>
        <v>3.4999999999999476E-3</v>
      </c>
      <c r="O104" s="51">
        <f>+'Trim Rwd'!H91</f>
        <v>269.89473684210526</v>
      </c>
      <c r="P104" s="52">
        <f>O104*(Q104-R104-S104)</f>
        <v>292835.78947368421</v>
      </c>
      <c r="Q104" s="51">
        <v>1105</v>
      </c>
      <c r="R104" s="419">
        <v>0</v>
      </c>
      <c r="S104" s="419">
        <v>20</v>
      </c>
      <c r="T104" s="41">
        <f>E104*M104*O104*Q104/100000000</f>
        <v>57.816204128421056</v>
      </c>
      <c r="U104" s="41">
        <f>E104*M104*O104*(Q104-R104-S104)/100000000</f>
        <v>56.769756994874975</v>
      </c>
      <c r="V104" s="41">
        <f>E104*G104*(1-N104)*O104/100*(R104+S104)/1000000</f>
        <v>1.1080744336842108</v>
      </c>
      <c r="W104" s="41">
        <f>+'23'!K20/1000</f>
        <v>46.621000000000002</v>
      </c>
      <c r="X104" s="416"/>
      <c r="Y104" s="220"/>
      <c r="Z104" s="41">
        <v>0</v>
      </c>
      <c r="AA104" s="53"/>
      <c r="AB104" s="53"/>
      <c r="AC104" s="41">
        <f>K104-T104</f>
        <v>3.6199348189473639</v>
      </c>
      <c r="AD104" s="41">
        <f>+AM104+BA104</f>
        <v>4</v>
      </c>
      <c r="AE104" s="238" t="s">
        <v>721</v>
      </c>
      <c r="AF104" s="41"/>
      <c r="AG104" s="41">
        <v>4</v>
      </c>
      <c r="AH104" s="41"/>
      <c r="AI104" s="459"/>
      <c r="AJ104" s="41"/>
      <c r="AK104" s="41"/>
      <c r="AL104" s="41"/>
      <c r="AM104" s="41">
        <f>SUM(AF104:AL104)+AT104+AV104+AX104</f>
        <v>4</v>
      </c>
      <c r="AN104" s="41"/>
      <c r="AO104" s="41"/>
      <c r="AP104" s="41"/>
      <c r="AQ104" s="41"/>
      <c r="AR104" s="41">
        <f>SUM(AN104:AQ104)</f>
        <v>0</v>
      </c>
      <c r="AS104" s="41"/>
      <c r="AT104" s="41"/>
      <c r="AU104" s="41"/>
      <c r="AV104" s="41"/>
      <c r="AW104" s="41"/>
      <c r="AX104" s="41"/>
      <c r="AY104" s="41"/>
      <c r="AZ104" s="41"/>
      <c r="BA104" s="41">
        <f>+AR104+AS104+AU104+AW104+AY104+AZ104</f>
        <v>0</v>
      </c>
      <c r="BB104" s="54"/>
      <c r="BC104" s="55">
        <v>2</v>
      </c>
      <c r="BD104" s="55"/>
      <c r="BE104" s="54"/>
      <c r="BF104" s="55"/>
    </row>
    <row r="105" spans="1:58" ht="12.95" customHeight="1">
      <c r="A105" s="343"/>
      <c r="B105" s="45"/>
      <c r="C105" s="450"/>
      <c r="D105" s="45"/>
      <c r="E105" s="46"/>
      <c r="F105" s="46"/>
      <c r="G105" s="463"/>
      <c r="H105" s="48"/>
      <c r="I105" s="49"/>
      <c r="J105" s="88"/>
      <c r="K105" s="88"/>
      <c r="L105" s="39"/>
      <c r="M105" s="39"/>
      <c r="N105" s="50"/>
      <c r="O105" s="51"/>
      <c r="P105" s="52"/>
      <c r="Q105" s="51"/>
      <c r="R105" s="419"/>
      <c r="S105" s="419"/>
      <c r="T105" s="41"/>
      <c r="U105" s="41"/>
      <c r="V105" s="41"/>
      <c r="W105" s="41"/>
      <c r="X105" s="416"/>
      <c r="Y105" s="220"/>
      <c r="Z105" s="41"/>
      <c r="AA105" s="53"/>
      <c r="AB105" s="53"/>
      <c r="AC105" s="41"/>
      <c r="AD105" s="41">
        <f>+AM105+BA105</f>
        <v>14</v>
      </c>
      <c r="AE105" s="238" t="s">
        <v>486</v>
      </c>
      <c r="AF105" s="41"/>
      <c r="AG105" s="41"/>
      <c r="AH105" s="41">
        <v>14</v>
      </c>
      <c r="AI105" s="459"/>
      <c r="AJ105" s="41"/>
      <c r="AK105" s="41"/>
      <c r="AL105" s="41"/>
      <c r="AM105" s="41">
        <f>SUM(AF105:AL105)+AT105+AV105+AX105</f>
        <v>14</v>
      </c>
      <c r="AN105" s="89"/>
      <c r="AO105" s="41"/>
      <c r="AP105" s="41"/>
      <c r="AQ105" s="41"/>
      <c r="AR105" s="41">
        <f>SUM(AN105:AQ105)</f>
        <v>0</v>
      </c>
      <c r="AS105" s="41"/>
      <c r="AT105" s="41"/>
      <c r="AU105" s="41"/>
      <c r="AV105" s="41"/>
      <c r="AW105" s="41"/>
      <c r="AX105" s="41"/>
      <c r="AY105" s="41"/>
      <c r="AZ105" s="41"/>
      <c r="BA105" s="41">
        <f>+AR105+AS105+AU105+AW105+AY105+AZ105</f>
        <v>0</v>
      </c>
      <c r="BB105" s="37"/>
      <c r="BC105" s="57"/>
      <c r="BD105" s="57"/>
      <c r="BE105" s="37"/>
      <c r="BF105" s="57"/>
    </row>
    <row r="106" spans="1:58" ht="12.95" customHeight="1">
      <c r="A106" s="44"/>
      <c r="B106" s="45"/>
      <c r="C106" s="450"/>
      <c r="D106" s="45"/>
      <c r="E106" s="46"/>
      <c r="F106" s="46"/>
      <c r="G106" s="463"/>
      <c r="H106" s="48"/>
      <c r="I106" s="49"/>
      <c r="J106" s="88"/>
      <c r="K106" s="88"/>
      <c r="L106" s="39"/>
      <c r="M106" s="39"/>
      <c r="N106" s="50"/>
      <c r="O106" s="51"/>
      <c r="P106" s="52"/>
      <c r="Q106" s="51"/>
      <c r="R106" s="419"/>
      <c r="S106" s="419"/>
      <c r="T106" s="41"/>
      <c r="U106" s="41"/>
      <c r="V106" s="41"/>
      <c r="W106" s="41"/>
      <c r="X106" s="42"/>
      <c r="Y106" s="220"/>
      <c r="Z106" s="41"/>
      <c r="AA106" s="41"/>
      <c r="AB106" s="41"/>
      <c r="AC106" s="41"/>
      <c r="AD106" s="41">
        <f>+AM106+BA106</f>
        <v>25</v>
      </c>
      <c r="AE106" s="238" t="s">
        <v>487</v>
      </c>
      <c r="AF106" s="37"/>
      <c r="AG106" s="37"/>
      <c r="AH106" s="37"/>
      <c r="AI106" s="33">
        <v>25</v>
      </c>
      <c r="AJ106" s="41"/>
      <c r="AK106" s="41"/>
      <c r="AL106" s="41"/>
      <c r="AM106" s="41">
        <f t="shared" ref="AM106:AM107" si="5">SUM(AF106:AL106)+AT106+AV106+AX106</f>
        <v>25</v>
      </c>
      <c r="AN106" s="41"/>
      <c r="AO106" s="41"/>
      <c r="AP106" s="41"/>
      <c r="AQ106" s="41"/>
      <c r="AR106" s="41">
        <f t="shared" ref="AR106:AR107" si="6">SUM(AN106:AQ106)</f>
        <v>0</v>
      </c>
      <c r="AS106" s="41"/>
      <c r="AT106" s="41"/>
      <c r="AU106" s="41"/>
      <c r="AV106" s="41"/>
      <c r="AW106" s="41"/>
      <c r="AX106" s="41"/>
      <c r="AY106" s="41"/>
      <c r="AZ106" s="41"/>
      <c r="BA106" s="41">
        <f t="shared" ref="BA106:BA107" si="7">+AR106+AS106+AU106+AW106+AY106+AZ106</f>
        <v>0</v>
      </c>
      <c r="BB106" s="37"/>
      <c r="BC106" s="57"/>
      <c r="BD106" s="57"/>
      <c r="BE106" s="37"/>
      <c r="BF106" s="57"/>
    </row>
    <row r="107" spans="1:58" ht="12.95" customHeight="1">
      <c r="A107" s="343"/>
      <c r="B107" s="45"/>
      <c r="C107" s="450"/>
      <c r="D107" s="45"/>
      <c r="E107" s="46"/>
      <c r="F107" s="46"/>
      <c r="G107" s="463"/>
      <c r="H107" s="48"/>
      <c r="I107" s="49"/>
      <c r="J107" s="88"/>
      <c r="K107" s="88"/>
      <c r="L107" s="39"/>
      <c r="M107" s="39"/>
      <c r="N107" s="50"/>
      <c r="O107" s="51"/>
      <c r="P107" s="52"/>
      <c r="Q107" s="51"/>
      <c r="R107" s="419"/>
      <c r="S107" s="419"/>
      <c r="T107" s="41"/>
      <c r="U107" s="41"/>
      <c r="V107" s="41"/>
      <c r="W107" s="41"/>
      <c r="X107" s="42"/>
      <c r="Y107" s="220"/>
      <c r="Z107" s="41"/>
      <c r="AA107" s="53"/>
      <c r="AB107" s="53"/>
      <c r="AC107" s="41"/>
      <c r="AD107" s="41">
        <f>+AM107+BA107</f>
        <v>40</v>
      </c>
      <c r="AE107" s="238" t="s">
        <v>734</v>
      </c>
      <c r="AF107" s="41"/>
      <c r="AG107" s="41"/>
      <c r="AH107" s="41"/>
      <c r="AI107" s="41"/>
      <c r="AJ107" s="41"/>
      <c r="AK107" s="41"/>
      <c r="AL107" s="41"/>
      <c r="AM107" s="41">
        <f t="shared" si="5"/>
        <v>0</v>
      </c>
      <c r="AN107" s="41"/>
      <c r="AO107" s="41"/>
      <c r="AP107" s="41">
        <v>40</v>
      </c>
      <c r="AQ107" s="41"/>
      <c r="AR107" s="41">
        <f t="shared" si="6"/>
        <v>40</v>
      </c>
      <c r="AS107" s="41"/>
      <c r="AT107" s="41"/>
      <c r="AU107" s="41"/>
      <c r="AV107" s="41"/>
      <c r="AW107" s="41"/>
      <c r="AX107" s="41"/>
      <c r="AY107" s="41"/>
      <c r="AZ107" s="41"/>
      <c r="BA107" s="41">
        <f t="shared" si="7"/>
        <v>40</v>
      </c>
      <c r="BB107" s="37"/>
      <c r="BC107" s="57"/>
      <c r="BD107" s="57"/>
      <c r="BE107" s="37"/>
      <c r="BF107" s="57"/>
    </row>
    <row r="108" spans="1:58" ht="12.95" customHeight="1">
      <c r="A108" s="343"/>
      <c r="B108" s="45"/>
      <c r="C108" s="450"/>
      <c r="D108" s="45"/>
      <c r="E108" s="46"/>
      <c r="F108" s="46"/>
      <c r="G108" s="463"/>
      <c r="H108" s="48"/>
      <c r="I108" s="49"/>
      <c r="J108" s="88"/>
      <c r="K108" s="88"/>
      <c r="L108" s="39"/>
      <c r="M108" s="39"/>
      <c r="N108" s="50"/>
      <c r="O108" s="51"/>
      <c r="P108" s="52"/>
      <c r="Q108" s="51"/>
      <c r="R108" s="419"/>
      <c r="S108" s="419"/>
      <c r="T108" s="41"/>
      <c r="U108" s="41"/>
      <c r="V108" s="41"/>
      <c r="W108" s="41"/>
      <c r="X108" s="416"/>
      <c r="Y108" s="220"/>
      <c r="Z108" s="41"/>
      <c r="AA108" s="53"/>
      <c r="AB108" s="53"/>
      <c r="AC108" s="41"/>
      <c r="AD108" s="41"/>
      <c r="AE108" s="238"/>
      <c r="AF108" s="41"/>
      <c r="AG108" s="41"/>
      <c r="AH108" s="41"/>
      <c r="AI108" s="459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37"/>
      <c r="BC108" s="55"/>
      <c r="BD108" s="55"/>
      <c r="BE108" s="55"/>
      <c r="BF108" s="55"/>
    </row>
    <row r="109" spans="1:58" ht="12.95" customHeight="1">
      <c r="A109" s="343">
        <v>46136</v>
      </c>
      <c r="B109" s="45" t="s">
        <v>231</v>
      </c>
      <c r="C109" s="450">
        <f>(M109*E109*O109*Q109)/100000000</f>
        <v>17.920592428199999</v>
      </c>
      <c r="D109" s="45" t="s">
        <v>408</v>
      </c>
      <c r="E109" s="46">
        <v>20.5</v>
      </c>
      <c r="F109" s="46">
        <v>1</v>
      </c>
      <c r="G109" s="463">
        <v>1010</v>
      </c>
      <c r="H109" s="48">
        <v>0</v>
      </c>
      <c r="I109" s="49">
        <v>0.88</v>
      </c>
      <c r="J109" s="88">
        <f>E109*G109*(1-H109)*1440/1000000*2.77</f>
        <v>82.588104000000001</v>
      </c>
      <c r="K109" s="88">
        <f>(IF(G109&lt;L109,L109,G109)*(1-IF(H109&lt;N109,H109,N109))*E109*O109*Q109)/100000000</f>
        <v>17.983534800000001</v>
      </c>
      <c r="L109" s="39">
        <v>1010</v>
      </c>
      <c r="M109" s="39">
        <f>+L109-L109*0.0035</f>
        <v>1006.465</v>
      </c>
      <c r="N109" s="50">
        <f>1-(M109/L109)</f>
        <v>3.4999999999999476E-3</v>
      </c>
      <c r="O109" s="51">
        <f>+'Trim Rwd'!H94</f>
        <v>264</v>
      </c>
      <c r="P109" s="52">
        <f>O109*(Q109-R109-S109)</f>
        <v>84216</v>
      </c>
      <c r="Q109" s="51">
        <v>329</v>
      </c>
      <c r="R109" s="419">
        <v>0</v>
      </c>
      <c r="S109" s="419">
        <v>10</v>
      </c>
      <c r="T109" s="41">
        <f>E109*M109*O109*Q109/100000000</f>
        <v>17.920592428199999</v>
      </c>
      <c r="U109" s="41">
        <f>E109*M109*O109*(Q109-R109-S109)/100000000</f>
        <v>17.375893570199999</v>
      </c>
      <c r="V109" s="41">
        <f>E109*G109*(1-N109)*O109/100*(R109+S109)/1000000</f>
        <v>0.54469885799999995</v>
      </c>
      <c r="W109" s="41">
        <f>+'24'!K21/1000</f>
        <v>19.381</v>
      </c>
      <c r="X109" s="416">
        <f>SUM(W109:W112)/SUM(K109:K112)</f>
        <v>0.96942085537937561</v>
      </c>
      <c r="Y109" s="220">
        <v>0</v>
      </c>
      <c r="Z109" s="41">
        <v>0</v>
      </c>
      <c r="AA109" s="53">
        <f>SUM(U109:U112)-SUM(W109:W112)-SUM(Z109:Z112)-SUM(Y109:Y112)</f>
        <v>-0.37574563931400462</v>
      </c>
      <c r="AB109" s="53">
        <f>(SUM(K109:K112)-SUM(W109:W112)-SUM(Y109:Y112)-SUM(Z109:Z112)-SUM(AC109:AC112)-SUM(V109:V112))-AA109</f>
        <v>7.9197807313992286E-2</v>
      </c>
      <c r="AC109" s="41">
        <f>K109-T109</f>
        <v>6.2942371800001951E-2</v>
      </c>
      <c r="AD109" s="41">
        <f>+AM109+BA109</f>
        <v>10</v>
      </c>
      <c r="AE109" s="238" t="s">
        <v>555</v>
      </c>
      <c r="AF109" s="41">
        <v>10</v>
      </c>
      <c r="AG109" s="41"/>
      <c r="AH109" s="41"/>
      <c r="AI109" s="459"/>
      <c r="AJ109" s="41"/>
      <c r="AK109" s="41"/>
      <c r="AL109" s="41"/>
      <c r="AM109" s="41">
        <f>SUM(AF109:AL109)+AT109+AV109+AX109</f>
        <v>10</v>
      </c>
      <c r="AN109" s="89"/>
      <c r="AO109" s="41"/>
      <c r="AP109" s="41"/>
      <c r="AQ109" s="41"/>
      <c r="AR109" s="41">
        <f>SUM(AN109:AQ109)</f>
        <v>0</v>
      </c>
      <c r="AS109" s="41"/>
      <c r="AT109" s="41"/>
      <c r="AU109" s="41"/>
      <c r="AV109" s="41"/>
      <c r="AW109" s="41"/>
      <c r="AX109" s="41"/>
      <c r="AY109" s="41"/>
      <c r="AZ109" s="41"/>
      <c r="BA109" s="41">
        <f>+AR109+AS109+AU109+AW109+AY109+AZ109</f>
        <v>0</v>
      </c>
      <c r="BB109" s="54">
        <v>2</v>
      </c>
      <c r="BC109" s="55"/>
      <c r="BD109" s="55"/>
      <c r="BE109" s="55"/>
      <c r="BF109" s="55"/>
    </row>
    <row r="110" spans="1:58" ht="12.95" customHeight="1">
      <c r="A110" s="44"/>
      <c r="B110" s="45" t="s">
        <v>231</v>
      </c>
      <c r="C110" s="450">
        <f>(M110*E110*O110*Q110)/100000000</f>
        <v>49.171890069973919</v>
      </c>
      <c r="D110" s="45" t="s">
        <v>408</v>
      </c>
      <c r="E110" s="46">
        <v>21.5</v>
      </c>
      <c r="F110" s="46">
        <v>1</v>
      </c>
      <c r="G110" s="463">
        <v>960</v>
      </c>
      <c r="H110" s="48">
        <v>0</v>
      </c>
      <c r="I110" s="49">
        <v>0.88</v>
      </c>
      <c r="J110" s="88">
        <f>E110*G110*(1-H110)*1440/1000000*2.77</f>
        <v>82.328831999999991</v>
      </c>
      <c r="K110" s="88">
        <f>(IF(G110&lt;L110,L110,G110)*(1-IF(H110&lt;N110,H110,N110))*E110*O110*Q110)/100000000</f>
        <v>49.344596156521739</v>
      </c>
      <c r="L110" s="39">
        <v>1014.9940546967896</v>
      </c>
      <c r="M110" s="39">
        <v>1011.4415755053508</v>
      </c>
      <c r="N110" s="50">
        <f>1-(M110/L110)</f>
        <v>3.5000000000000586E-3</v>
      </c>
      <c r="O110" s="51">
        <f>+'Trim Rwd'!H95</f>
        <v>268.86956521739131</v>
      </c>
      <c r="P110" s="52">
        <f>O110*(Q110-R110-S110)</f>
        <v>219397.5652173913</v>
      </c>
      <c r="Q110" s="51">
        <v>841</v>
      </c>
      <c r="R110" s="419">
        <v>0</v>
      </c>
      <c r="S110" s="419">
        <f>10+15</f>
        <v>25</v>
      </c>
      <c r="T110" s="41">
        <f>E110*M110*O110*Q110/100000000</f>
        <v>49.171890069973919</v>
      </c>
      <c r="U110" s="41">
        <f>E110*M110*O110*(Q110-R110-S110)/100000000</f>
        <v>47.710181090485996</v>
      </c>
      <c r="V110" s="41">
        <f>E110*G110*(1-N110)*O110/100*(R110+S110)/1000000</f>
        <v>1.382511172173913</v>
      </c>
      <c r="W110" s="41">
        <f>+'24'!K22/1000</f>
        <v>51.832999999999998</v>
      </c>
      <c r="X110" s="42"/>
      <c r="Y110" s="220"/>
      <c r="Z110" s="41"/>
      <c r="AA110" s="41"/>
      <c r="AB110" s="41"/>
      <c r="AC110" s="41">
        <f>K110-T110</f>
        <v>0.17270608654781938</v>
      </c>
      <c r="AD110" s="41">
        <f>+AM110+BA110</f>
        <v>3</v>
      </c>
      <c r="AE110" s="238" t="s">
        <v>721</v>
      </c>
      <c r="AF110" s="37"/>
      <c r="AG110" s="37">
        <v>3</v>
      </c>
      <c r="AH110" s="37"/>
      <c r="AJ110" s="41"/>
      <c r="AK110" s="41"/>
      <c r="AL110" s="41"/>
      <c r="AM110" s="41">
        <f>SUM(AF110:AL110)+AT110+AV110+AX110</f>
        <v>3</v>
      </c>
      <c r="AN110" s="41"/>
      <c r="AO110" s="41"/>
      <c r="AP110" s="41"/>
      <c r="AQ110" s="41"/>
      <c r="AR110" s="41">
        <f>SUM(AN110:AQ110)</f>
        <v>0</v>
      </c>
      <c r="AS110" s="41"/>
      <c r="AT110" s="41"/>
      <c r="AU110" s="41"/>
      <c r="AV110" s="41"/>
      <c r="AW110" s="41"/>
      <c r="AX110" s="41"/>
      <c r="AY110" s="41"/>
      <c r="AZ110" s="41"/>
      <c r="BA110" s="41">
        <f>+AR110+AS110+AU110+AW110+AY110+AZ110</f>
        <v>0</v>
      </c>
      <c r="BB110" s="37"/>
      <c r="BC110" s="55">
        <v>2</v>
      </c>
      <c r="BD110" s="55"/>
      <c r="BE110" s="55"/>
      <c r="BF110" s="55"/>
    </row>
    <row r="111" spans="1:58" ht="12.95" customHeight="1">
      <c r="A111" s="343"/>
      <c r="B111" s="45" t="s">
        <v>231</v>
      </c>
      <c r="C111" s="450">
        <f>(M111*E111*O111*Q111)/100000000</f>
        <v>3.4241733000000001</v>
      </c>
      <c r="D111" s="45" t="s">
        <v>408</v>
      </c>
      <c r="E111" s="46">
        <v>25</v>
      </c>
      <c r="F111" s="46">
        <v>1</v>
      </c>
      <c r="G111" s="47">
        <v>830</v>
      </c>
      <c r="H111" s="48">
        <v>0</v>
      </c>
      <c r="I111" s="49">
        <v>0.88</v>
      </c>
      <c r="J111" s="88">
        <f>E111*G111*(1-H111)*1440/1000000*2.77</f>
        <v>82.767600000000002</v>
      </c>
      <c r="K111" s="88">
        <f>(IF(G111&lt;L111,L111,G111)*(1-IF(H111&lt;N111,H111,N111))*E111*O111*Q111)/100000000</f>
        <v>3.4361999999999999</v>
      </c>
      <c r="L111" s="39">
        <v>830</v>
      </c>
      <c r="M111" s="39">
        <f>+L111-L111*0.0035</f>
        <v>827.09500000000003</v>
      </c>
      <c r="N111" s="50">
        <f>1-(M111/L111)</f>
        <v>3.4999999999999476E-3</v>
      </c>
      <c r="O111" s="51">
        <f>+'Trim Rwd'!H97</f>
        <v>276</v>
      </c>
      <c r="P111" s="52">
        <f>O111*(Q111-R111-S111)</f>
        <v>16560</v>
      </c>
      <c r="Q111" s="51">
        <v>60</v>
      </c>
      <c r="R111" s="419">
        <v>0</v>
      </c>
      <c r="S111" s="419">
        <v>0</v>
      </c>
      <c r="T111" s="41">
        <f>E111*M111*O111*Q111/100000000</f>
        <v>3.4241733000000001</v>
      </c>
      <c r="U111" s="41">
        <f>E111*M111*O111*(Q111-R111-S111)/100000000</f>
        <v>3.4241733000000001</v>
      </c>
      <c r="V111" s="41">
        <f>E111*G111*(1-N111)*O111/100*(R111+S111)/1000000</f>
        <v>0</v>
      </c>
      <c r="W111" s="41">
        <f>+'24'!K23/1000</f>
        <v>0</v>
      </c>
      <c r="X111" s="416"/>
      <c r="Y111" s="220"/>
      <c r="Z111" s="41"/>
      <c r="AA111" s="53"/>
      <c r="AB111" s="53"/>
      <c r="AC111" s="41">
        <f>K111-T111</f>
        <v>1.2026699999999835E-2</v>
      </c>
      <c r="AD111" s="41">
        <f>+AM111+BA111</f>
        <v>20</v>
      </c>
      <c r="AE111" s="238" t="s">
        <v>592</v>
      </c>
      <c r="AF111" s="41"/>
      <c r="AG111" s="41"/>
      <c r="AH111" s="41">
        <v>20</v>
      </c>
      <c r="AI111" s="41"/>
      <c r="AJ111" s="41"/>
      <c r="AK111" s="41"/>
      <c r="AL111" s="41"/>
      <c r="AM111" s="41">
        <f>SUM(AF111:AL111)+AT111+AV111+AX111</f>
        <v>20</v>
      </c>
      <c r="AN111" s="41"/>
      <c r="AO111" s="41"/>
      <c r="AP111" s="41"/>
      <c r="AQ111" s="41"/>
      <c r="AR111" s="41">
        <f>SUM(AN111:AQ111)</f>
        <v>0</v>
      </c>
      <c r="AS111" s="41"/>
      <c r="AT111" s="41"/>
      <c r="AU111" s="41"/>
      <c r="AV111" s="41"/>
      <c r="AW111" s="41"/>
      <c r="AX111" s="41"/>
      <c r="AY111" s="41"/>
      <c r="AZ111" s="41"/>
      <c r="BA111" s="41">
        <f>+AR111+AS111+AU111+AW111+AY111+AZ111</f>
        <v>0</v>
      </c>
      <c r="BB111" s="37"/>
      <c r="BC111" s="55"/>
      <c r="BD111" s="55"/>
      <c r="BE111" s="55"/>
      <c r="BF111" s="55"/>
    </row>
    <row r="112" spans="1:58" ht="12.95" customHeight="1">
      <c r="A112" s="343"/>
      <c r="B112" s="45" t="s">
        <v>523</v>
      </c>
      <c r="C112" s="450">
        <f>(M112*E112*O112*Q112)/100000000</f>
        <v>9.1163519999999991</v>
      </c>
      <c r="D112" s="45" t="s">
        <v>408</v>
      </c>
      <c r="E112" s="46">
        <v>12</v>
      </c>
      <c r="F112" s="46">
        <v>1</v>
      </c>
      <c r="G112" s="47">
        <v>1700</v>
      </c>
      <c r="H112" s="48">
        <f>+N112</f>
        <v>0.19999999999999996</v>
      </c>
      <c r="I112" s="49">
        <v>0.88</v>
      </c>
      <c r="J112" s="88">
        <f>E112*G112*(1-H112)*1440/1000000*2.77</f>
        <v>65.097216000000003</v>
      </c>
      <c r="K112" s="88">
        <f>(IF(G112&lt;L112,L112,G112)*(1-IF(H112&lt;N112,H112,N112))*E112*O112*Q112)/100000000</f>
        <v>9.1163519999999991</v>
      </c>
      <c r="L112" s="39">
        <v>1700</v>
      </c>
      <c r="M112" s="39">
        <f>+L112-L112*0.2</f>
        <v>1360</v>
      </c>
      <c r="N112" s="50">
        <f>1-(M112/L112)</f>
        <v>0.19999999999999996</v>
      </c>
      <c r="O112" s="51">
        <f>+'Trim Rwd'!H98</f>
        <v>266</v>
      </c>
      <c r="P112" s="52">
        <f>O112*(Q112-R112-S112)</f>
        <v>52402</v>
      </c>
      <c r="Q112" s="51">
        <v>210</v>
      </c>
      <c r="R112" s="419">
        <v>0</v>
      </c>
      <c r="S112" s="419">
        <v>13</v>
      </c>
      <c r="T112" s="41">
        <f>E112*M112*O112*Q112/100000000</f>
        <v>9.1163519999999991</v>
      </c>
      <c r="U112" s="41">
        <f>E112*M112*O112*(Q112-R112-S112)/100000000</f>
        <v>8.5520063999999998</v>
      </c>
      <c r="V112" s="41">
        <f>E112*G112*(1-N112)*O112/100*(R112+S112)/1000000</f>
        <v>0.5643456</v>
      </c>
      <c r="W112" s="41">
        <f>+'24'!K11/1000</f>
        <v>6.2240000000000002</v>
      </c>
      <c r="X112" s="416"/>
      <c r="Y112" s="220"/>
      <c r="Z112" s="41"/>
      <c r="AA112" s="53"/>
      <c r="AB112" s="53"/>
      <c r="AC112" s="41">
        <f>K112-T112</f>
        <v>0</v>
      </c>
      <c r="AD112" s="41">
        <f>+AM112+BA112</f>
        <v>15</v>
      </c>
      <c r="AE112" s="238" t="s">
        <v>487</v>
      </c>
      <c r="AF112" s="41"/>
      <c r="AG112" s="41"/>
      <c r="AH112" s="41"/>
      <c r="AI112" s="459">
        <v>15</v>
      </c>
      <c r="AJ112" s="41"/>
      <c r="AK112" s="41"/>
      <c r="AL112" s="41"/>
      <c r="AM112" s="41">
        <f t="shared" ref="AM112" si="8">SUM(AF112:AL112)+AT112+AV112+AX112</f>
        <v>15</v>
      </c>
      <c r="AN112" s="41"/>
      <c r="AO112" s="41"/>
      <c r="AP112" s="41"/>
      <c r="AQ112" s="41"/>
      <c r="AR112" s="41">
        <f t="shared" ref="AR112" si="9">SUM(AN112:AQ112)</f>
        <v>0</v>
      </c>
      <c r="AS112" s="41"/>
      <c r="AT112" s="41"/>
      <c r="AU112" s="41"/>
      <c r="AV112" s="41"/>
      <c r="AW112" s="41"/>
      <c r="AX112" s="41"/>
      <c r="AY112" s="41"/>
      <c r="AZ112" s="41"/>
      <c r="BA112" s="41">
        <f t="shared" ref="BA112" si="10">+AR112+AS112+AU112+AW112+AY112+AZ112</f>
        <v>0</v>
      </c>
      <c r="BB112" s="37"/>
      <c r="BC112" s="55"/>
      <c r="BD112" s="55"/>
      <c r="BE112" s="55"/>
      <c r="BF112" s="55"/>
    </row>
    <row r="113" spans="1:58" ht="12.95" customHeight="1">
      <c r="A113" s="343"/>
      <c r="B113" s="45"/>
      <c r="C113" s="450"/>
      <c r="D113" s="45"/>
      <c r="E113" s="46"/>
      <c r="F113" s="46"/>
      <c r="G113" s="463"/>
      <c r="H113" s="48"/>
      <c r="I113" s="49"/>
      <c r="J113" s="88"/>
      <c r="K113" s="88"/>
      <c r="L113" s="39"/>
      <c r="M113" s="39"/>
      <c r="N113" s="50"/>
      <c r="O113" s="51"/>
      <c r="P113" s="52"/>
      <c r="Q113" s="51"/>
      <c r="R113" s="419"/>
      <c r="S113" s="419"/>
      <c r="T113" s="41"/>
      <c r="U113" s="41"/>
      <c r="V113" s="41"/>
      <c r="W113" s="41"/>
      <c r="X113" s="416"/>
      <c r="Y113" s="220"/>
      <c r="Z113" s="41"/>
      <c r="AA113" s="53"/>
      <c r="AB113" s="53"/>
      <c r="AC113" s="41"/>
      <c r="AD113" s="41"/>
      <c r="AE113" s="238"/>
      <c r="AF113" s="41"/>
      <c r="AG113" s="41"/>
      <c r="AH113" s="41"/>
      <c r="AI113" s="459"/>
      <c r="AJ113" s="41"/>
      <c r="AK113" s="41"/>
      <c r="AL113" s="41"/>
      <c r="AM113" s="41"/>
      <c r="AN113" s="89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54"/>
      <c r="BC113" s="55"/>
      <c r="BD113" s="55"/>
      <c r="BE113" s="55"/>
      <c r="BF113" s="55"/>
    </row>
    <row r="114" spans="1:58" ht="12.95" customHeight="1">
      <c r="A114" s="44">
        <v>46137</v>
      </c>
      <c r="B114" s="45" t="s">
        <v>523</v>
      </c>
      <c r="C114" s="450">
        <f>(M114*E114*O114*Q114)/100000000</f>
        <v>20.388194111999997</v>
      </c>
      <c r="D114" s="45" t="s">
        <v>408</v>
      </c>
      <c r="E114" s="46">
        <v>12</v>
      </c>
      <c r="F114" s="46">
        <v>1</v>
      </c>
      <c r="G114" s="463">
        <v>1700</v>
      </c>
      <c r="H114" s="48">
        <f>+N114</f>
        <v>0.22429752066115693</v>
      </c>
      <c r="I114" s="49">
        <v>0.88</v>
      </c>
      <c r="J114" s="88">
        <f>E114*G114*(1-H114)*1440/1000000*2.77</f>
        <v>63.120089811570253</v>
      </c>
      <c r="K114" s="88">
        <f>(IF(G114&lt;L114,L114,G114)*(1-IF(H114&lt;N114,H114,N114))*E114*O114*Q114)/100000000</f>
        <v>20.388194111999997</v>
      </c>
      <c r="L114" s="39">
        <v>1700</v>
      </c>
      <c r="M114" s="39">
        <v>1318.6942148760331</v>
      </c>
      <c r="N114" s="50">
        <f>1-(M114/L114)</f>
        <v>0.22429752066115693</v>
      </c>
      <c r="O114" s="51">
        <f>+'Trim Rwd'!H100</f>
        <v>266.2</v>
      </c>
      <c r="P114" s="52">
        <f>O114*(Q114-R114-S114)</f>
        <v>125912.59999999999</v>
      </c>
      <c r="Q114" s="51">
        <v>484</v>
      </c>
      <c r="R114" s="419">
        <v>0</v>
      </c>
      <c r="S114" s="419">
        <v>11</v>
      </c>
      <c r="T114" s="41">
        <f>E114*M114*O114*Q114/100000000</f>
        <v>20.388194111999997</v>
      </c>
      <c r="U114" s="41">
        <f>E114*M114*O114*(Q114-R114-S114)/100000000</f>
        <v>19.924826063999998</v>
      </c>
      <c r="V114" s="41">
        <f>E114*G114*(1-N114)*O114/100*(R114+S114)/1000000</f>
        <v>0.46336804800000014</v>
      </c>
      <c r="W114" s="41">
        <f>+'25'!K11/1000</f>
        <v>24.565000000000001</v>
      </c>
      <c r="X114" s="416">
        <f>SUM(W114:W118)/SUM(K114:K118)</f>
        <v>0.93639340526767023</v>
      </c>
      <c r="Y114" s="220">
        <v>0</v>
      </c>
      <c r="Z114" s="41">
        <v>0</v>
      </c>
      <c r="AA114" s="53">
        <f>SUM(U114:U118)-SUM(W114:W118)-SUM(Z114:Z118)-SUM(Y114:Y118)</f>
        <v>2.0946150840000044</v>
      </c>
      <c r="AB114" s="41">
        <f>(SUM(K114:K118)-SUM(W114:W118)-SUM(Y114:Y118)-SUM(Z114:Z118)-SUM(AC114:AC118)-SUM(V114:V118))-AA114</f>
        <v>2.0627549999909789E-3</v>
      </c>
      <c r="AC114" s="41">
        <f>K114-T114</f>
        <v>0</v>
      </c>
      <c r="AD114" s="41">
        <f>+AM114+BA114</f>
        <v>0</v>
      </c>
      <c r="AE114" s="238" t="s">
        <v>277</v>
      </c>
      <c r="AF114" s="37">
        <v>0</v>
      </c>
      <c r="AG114" s="37"/>
      <c r="AH114" s="37"/>
      <c r="AJ114" s="41"/>
      <c r="AK114" s="41"/>
      <c r="AL114" s="41"/>
      <c r="AM114" s="41">
        <f>SUM(AF114:AL114)+AT114+AV114+AX114</f>
        <v>0</v>
      </c>
      <c r="AN114" s="41"/>
      <c r="AO114" s="41"/>
      <c r="AP114" s="41"/>
      <c r="AQ114" s="41"/>
      <c r="AR114" s="41">
        <f>SUM(AN114:AQ114)</f>
        <v>0</v>
      </c>
      <c r="AS114" s="41"/>
      <c r="AT114" s="41"/>
      <c r="AU114" s="41"/>
      <c r="AV114" s="41"/>
      <c r="AW114" s="41"/>
      <c r="AX114" s="41"/>
      <c r="AY114" s="41"/>
      <c r="AZ114" s="41"/>
      <c r="BA114" s="41">
        <f>+AR114+AS114+AU114+AW114+AY114+AZ114</f>
        <v>0</v>
      </c>
      <c r="BB114" s="54">
        <v>0</v>
      </c>
      <c r="BC114" s="55"/>
      <c r="BD114" s="55"/>
      <c r="BE114" s="55"/>
      <c r="BF114" s="55"/>
    </row>
    <row r="115" spans="1:58" ht="12.95" customHeight="1">
      <c r="A115" s="343"/>
      <c r="B115" s="45" t="s">
        <v>231</v>
      </c>
      <c r="C115" s="450">
        <f>(M115*E115*O115*Q115)/100000000</f>
        <v>3.8119712400000001</v>
      </c>
      <c r="D115" s="45" t="s">
        <v>408</v>
      </c>
      <c r="E115" s="46">
        <v>25</v>
      </c>
      <c r="F115" s="46">
        <v>1</v>
      </c>
      <c r="G115" s="47">
        <v>830</v>
      </c>
      <c r="H115" s="48">
        <v>0</v>
      </c>
      <c r="I115" s="49">
        <v>0.88</v>
      </c>
      <c r="J115" s="88">
        <f>E115*G115*(1-H115)*1440/1000000*2.77</f>
        <v>82.767600000000002</v>
      </c>
      <c r="K115" s="88">
        <f>(IF(G115&lt;L115,L115,G115)*(1-IF(H115&lt;N115,H115,N115))*E115*O115*Q115)/100000000</f>
        <v>3.8253599999999999</v>
      </c>
      <c r="L115" s="39">
        <v>840</v>
      </c>
      <c r="M115" s="39">
        <f>+L115-L115*0.0035</f>
        <v>837.06</v>
      </c>
      <c r="N115" s="50">
        <f>1-(M115/L115)</f>
        <v>3.5000000000000586E-3</v>
      </c>
      <c r="O115" s="51">
        <f>+'Trim Rwd'!H102</f>
        <v>276</v>
      </c>
      <c r="P115" s="52">
        <f>O115*(Q115-R115-S115)</f>
        <v>17388</v>
      </c>
      <c r="Q115" s="51">
        <v>66</v>
      </c>
      <c r="R115" s="419">
        <v>0</v>
      </c>
      <c r="S115" s="419">
        <v>3</v>
      </c>
      <c r="T115" s="41">
        <f>E115*M115*O115*Q115/100000000</f>
        <v>3.8119712400000001</v>
      </c>
      <c r="U115" s="41">
        <f>E115*M115*O115*(Q115-R115-S115)/100000000</f>
        <v>3.6386998199999998</v>
      </c>
      <c r="V115" s="41">
        <f>E115*G115*(1-N115)*O115/100*(R115+S115)/1000000</f>
        <v>0.17120866500000001</v>
      </c>
      <c r="W115" s="41">
        <f>+'25'!K23/1000</f>
        <v>0</v>
      </c>
      <c r="X115" s="42"/>
      <c r="Y115" s="220"/>
      <c r="Z115" s="41"/>
      <c r="AA115" s="41"/>
      <c r="AB115" s="53"/>
      <c r="AC115" s="41">
        <f>K115-T115</f>
        <v>1.3388759999999778E-2</v>
      </c>
      <c r="AD115" s="41">
        <f>+AM115+BA115</f>
        <v>11</v>
      </c>
      <c r="AE115" s="238" t="s">
        <v>705</v>
      </c>
      <c r="AF115" s="41"/>
      <c r="AG115" s="41">
        <v>11</v>
      </c>
      <c r="AH115" s="41"/>
      <c r="AI115" s="41"/>
      <c r="AJ115" s="41"/>
      <c r="AK115" s="41"/>
      <c r="AL115" s="41"/>
      <c r="AM115" s="41">
        <f>SUM(AF115:AL115)+AT115+AV115+AX115</f>
        <v>11</v>
      </c>
      <c r="AN115" s="41"/>
      <c r="AO115" s="41"/>
      <c r="AP115" s="41"/>
      <c r="AQ115" s="41"/>
      <c r="AR115" s="41">
        <f>SUM(AN115:AQ115)</f>
        <v>0</v>
      </c>
      <c r="AS115" s="41"/>
      <c r="AT115" s="41"/>
      <c r="AU115" s="41"/>
      <c r="AV115" s="41"/>
      <c r="AW115" s="41"/>
      <c r="AX115" s="41"/>
      <c r="AY115" s="41"/>
      <c r="AZ115" s="41"/>
      <c r="BA115" s="41">
        <f>+AR115+AS115+AU115+AW115+AY115+AZ115</f>
        <v>0</v>
      </c>
      <c r="BB115" s="37"/>
      <c r="BC115" s="55">
        <v>9</v>
      </c>
      <c r="BD115" s="55"/>
      <c r="BE115" s="55"/>
      <c r="BF115" s="55"/>
    </row>
    <row r="116" spans="1:58" ht="12.95" customHeight="1">
      <c r="A116" s="343"/>
      <c r="B116" s="45" t="s">
        <v>523</v>
      </c>
      <c r="C116" s="450">
        <f>(M116*E116*O116*Q116)/100000000</f>
        <v>40.286045799999997</v>
      </c>
      <c r="D116" s="45" t="s">
        <v>408</v>
      </c>
      <c r="E116" s="46">
        <v>13</v>
      </c>
      <c r="F116" s="46">
        <v>1</v>
      </c>
      <c r="G116" s="463">
        <v>1700</v>
      </c>
      <c r="H116" s="48">
        <f>+N116</f>
        <v>0.24</v>
      </c>
      <c r="I116" s="49">
        <v>0.88</v>
      </c>
      <c r="J116" s="88">
        <f>E116*G116*(1-H116)*1440/1000000*2.77</f>
        <v>66.995884799999999</v>
      </c>
      <c r="K116" s="88">
        <f>(IF(G116&lt;L116,L116,G116)*(1-IF(H116&lt;N116,H116,N116))*E116*O116*Q116)/100000000</f>
        <v>40.286045799999997</v>
      </c>
      <c r="L116" s="39">
        <v>1700</v>
      </c>
      <c r="M116" s="39">
        <f>+L116-L116*0.24</f>
        <v>1292</v>
      </c>
      <c r="N116" s="50">
        <f>1-(M116/L116)</f>
        <v>0.24</v>
      </c>
      <c r="O116" s="51">
        <f>+'Trim Rwd'!H103</f>
        <v>269.5</v>
      </c>
      <c r="P116" s="52">
        <f>O116*(Q116-R116-S116)</f>
        <v>231770</v>
      </c>
      <c r="Q116" s="51">
        <v>890</v>
      </c>
      <c r="R116" s="419">
        <v>0</v>
      </c>
      <c r="S116" s="419">
        <v>30</v>
      </c>
      <c r="T116" s="41">
        <f>E116*M116*O116*Q116/100000000</f>
        <v>40.286045799999997</v>
      </c>
      <c r="U116" s="41">
        <f>E116*M116*O116*(Q116-R116-S116)/100000000</f>
        <v>38.928089200000002</v>
      </c>
      <c r="V116" s="41">
        <f>E116*G116*(1-N116)*O116/100*(R116+S116)/1000000</f>
        <v>1.3579566000000001</v>
      </c>
      <c r="W116" s="41">
        <f>+'25'!K12/1000</f>
        <v>33.212000000000003</v>
      </c>
      <c r="X116" s="416"/>
      <c r="Y116" s="220"/>
      <c r="Z116" s="41"/>
      <c r="AA116" s="53"/>
      <c r="AB116" s="53"/>
      <c r="AC116" s="41">
        <f>K116-T116</f>
        <v>0</v>
      </c>
      <c r="AD116" s="41">
        <f>+AM116+BA116</f>
        <v>33</v>
      </c>
      <c r="AE116" s="238" t="s">
        <v>546</v>
      </c>
      <c r="AF116" s="41"/>
      <c r="AG116" s="41"/>
      <c r="AH116" s="41">
        <v>33</v>
      </c>
      <c r="AI116" s="459"/>
      <c r="AJ116" s="41"/>
      <c r="AK116" s="41"/>
      <c r="AL116" s="41"/>
      <c r="AM116" s="41">
        <f>SUM(AF116:AL116)+AT116+AV116+AX116</f>
        <v>33</v>
      </c>
      <c r="AN116" s="41"/>
      <c r="AO116" s="41"/>
      <c r="AP116" s="41"/>
      <c r="AQ116" s="41"/>
      <c r="AR116" s="41">
        <f>SUM(AN116:AQ116)</f>
        <v>0</v>
      </c>
      <c r="AS116" s="41"/>
      <c r="AT116" s="41"/>
      <c r="AU116" s="41"/>
      <c r="AV116" s="41"/>
      <c r="AW116" s="41"/>
      <c r="AX116" s="41"/>
      <c r="AY116" s="41"/>
      <c r="AZ116" s="41"/>
      <c r="BA116" s="41">
        <f>+AR116+AS116+AU116+AW116+AY116+AZ116</f>
        <v>0</v>
      </c>
      <c r="BB116" s="37"/>
      <c r="BC116" s="55"/>
      <c r="BD116" s="55"/>
      <c r="BE116" s="55"/>
      <c r="BF116" s="55"/>
    </row>
    <row r="117" spans="1:58" ht="12.95" customHeight="1">
      <c r="A117" s="343"/>
      <c r="B117" s="45" t="s">
        <v>231</v>
      </c>
      <c r="C117" s="450"/>
      <c r="D117" s="45"/>
      <c r="E117" s="46">
        <v>21.5</v>
      </c>
      <c r="F117" s="46"/>
      <c r="G117" s="47"/>
      <c r="H117" s="48"/>
      <c r="I117" s="49"/>
      <c r="J117" s="88"/>
      <c r="K117" s="88"/>
      <c r="L117" s="39"/>
      <c r="M117" s="39"/>
      <c r="N117" s="50"/>
      <c r="O117" s="51"/>
      <c r="P117" s="52"/>
      <c r="Q117" s="51"/>
      <c r="R117" s="419"/>
      <c r="S117" s="419"/>
      <c r="T117" s="41"/>
      <c r="U117" s="41"/>
      <c r="V117" s="41"/>
      <c r="W117" s="41">
        <f>+'25'!K22/1000</f>
        <v>2.62</v>
      </c>
      <c r="X117" s="416"/>
      <c r="Y117" s="220"/>
      <c r="Z117" s="41"/>
      <c r="AA117" s="53"/>
      <c r="AB117" s="53"/>
      <c r="AC117" s="41"/>
      <c r="AD117" s="41"/>
      <c r="AE117" s="238"/>
      <c r="AF117" s="41"/>
      <c r="AG117" s="41"/>
      <c r="AH117" s="41"/>
      <c r="AI117" s="625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37"/>
      <c r="BC117" s="55"/>
      <c r="BD117" s="55"/>
      <c r="BE117" s="55"/>
      <c r="BF117" s="55"/>
    </row>
    <row r="118" spans="1:58" ht="12.95" customHeight="1">
      <c r="A118" s="343"/>
      <c r="B118" s="45"/>
      <c r="C118" s="450"/>
      <c r="D118" s="45"/>
      <c r="E118" s="46"/>
      <c r="F118" s="46"/>
      <c r="G118" s="463"/>
      <c r="H118" s="48"/>
      <c r="I118" s="49"/>
      <c r="J118" s="88"/>
      <c r="K118" s="88"/>
      <c r="L118" s="39"/>
      <c r="M118" s="39"/>
      <c r="N118" s="50"/>
      <c r="O118" s="51"/>
      <c r="P118" s="52"/>
      <c r="Q118" s="51"/>
      <c r="R118" s="419"/>
      <c r="S118" s="419"/>
      <c r="T118" s="41"/>
      <c r="U118" s="41"/>
      <c r="V118" s="41"/>
      <c r="W118" s="41"/>
      <c r="X118" s="416"/>
      <c r="Y118" s="220"/>
      <c r="Z118" s="41"/>
      <c r="AA118" s="53"/>
      <c r="AB118" s="53"/>
      <c r="AC118" s="41"/>
      <c r="AD118" s="41"/>
      <c r="AE118" s="238"/>
      <c r="AF118" s="41"/>
      <c r="AG118" s="41"/>
      <c r="AH118" s="41"/>
      <c r="AI118" s="459"/>
      <c r="AJ118" s="41"/>
      <c r="AK118" s="41"/>
      <c r="AL118" s="41"/>
      <c r="AM118" s="41"/>
      <c r="AN118" s="89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37"/>
      <c r="BC118" s="55"/>
      <c r="BD118" s="55"/>
      <c r="BE118" s="55"/>
      <c r="BF118" s="55"/>
    </row>
    <row r="119" spans="1:58" ht="12.95" customHeight="1">
      <c r="A119" s="44">
        <v>46138</v>
      </c>
      <c r="B119" s="45" t="s">
        <v>523</v>
      </c>
      <c r="C119" s="450">
        <f>(M119*E119*O119*Q119)/100000000</f>
        <v>56.128872800000003</v>
      </c>
      <c r="D119" s="45" t="s">
        <v>408</v>
      </c>
      <c r="E119" s="46">
        <v>13</v>
      </c>
      <c r="F119" s="46">
        <v>1</v>
      </c>
      <c r="G119" s="463">
        <v>1700</v>
      </c>
      <c r="H119" s="48">
        <f>+N119</f>
        <v>0.24</v>
      </c>
      <c r="I119" s="49">
        <v>0.88</v>
      </c>
      <c r="J119" s="88">
        <f>E119*G119*(1-H119)*1440/1000000*2.77</f>
        <v>66.995884799999999</v>
      </c>
      <c r="K119" s="88">
        <f>(IF(G119&lt;L119,L119,G119)*(1-IF(H119&lt;N119,H119,N119))*E119*O119*Q119)/100000000</f>
        <v>56.128872800000003</v>
      </c>
      <c r="L119" s="39">
        <v>1700</v>
      </c>
      <c r="M119" s="39">
        <f t="shared" ref="M119" si="11">+L119-L119*0.24</f>
        <v>1292</v>
      </c>
      <c r="N119" s="50">
        <f>1-(M119/L119)</f>
        <v>0.24</v>
      </c>
      <c r="O119" s="51">
        <f>+'Trim Rwd'!H106</f>
        <v>269.5</v>
      </c>
      <c r="P119" s="52">
        <f>O119*(Q119-R119-S119)</f>
        <v>324747.5</v>
      </c>
      <c r="Q119" s="51">
        <v>1240</v>
      </c>
      <c r="R119" s="419">
        <v>0</v>
      </c>
      <c r="S119" s="419">
        <v>35</v>
      </c>
      <c r="T119" s="41">
        <f>E119*M119*O119*Q119/100000000</f>
        <v>56.128872800000003</v>
      </c>
      <c r="U119" s="41">
        <f>E119*M119*O119*(Q119-R119-S119)/100000000</f>
        <v>54.544590100000001</v>
      </c>
      <c r="V119" s="41">
        <f>E119*G119*(1-N119)*O119/100*(R119+S119)/1000000</f>
        <v>1.5842826999999999</v>
      </c>
      <c r="W119" s="41">
        <f>+'26'!K12/1000</f>
        <v>62.58</v>
      </c>
      <c r="X119" s="416">
        <f>SUM(W119:W122)/SUM(K119:K122)</f>
        <v>1.0042279582866636</v>
      </c>
      <c r="Y119" s="220">
        <v>0</v>
      </c>
      <c r="Z119" s="41">
        <v>0</v>
      </c>
      <c r="AA119" s="53">
        <f>SUM(U119:U122)-SUM(W119:W122)-SUM(Z119:Z122)-SUM(Y119:Y122)</f>
        <v>-2.1070778999999931</v>
      </c>
      <c r="AB119" s="41">
        <f>(SUM(K119:K122)-SUM(W119:W122)-SUM(Y119:Y122)-SUM(Z119:Z122)-SUM(AC119:AC122)-SUM(V119:V122))-AA119</f>
        <v>0</v>
      </c>
      <c r="AC119" s="41">
        <f>K119-T119</f>
        <v>0</v>
      </c>
      <c r="AD119" s="41">
        <f>+AM119+BA119</f>
        <v>0</v>
      </c>
      <c r="AE119" s="238" t="s">
        <v>277</v>
      </c>
      <c r="AF119" s="37">
        <v>0</v>
      </c>
      <c r="AG119" s="37"/>
      <c r="AH119" s="37"/>
      <c r="AJ119" s="41"/>
      <c r="AK119" s="41"/>
      <c r="AL119" s="41"/>
      <c r="AM119" s="41">
        <f>SUM(AF119:AL119)+AT119+AV119+AX119</f>
        <v>0</v>
      </c>
      <c r="AN119" s="41"/>
      <c r="AO119" s="41"/>
      <c r="AP119" s="41"/>
      <c r="AQ119" s="41"/>
      <c r="AR119" s="41">
        <f>SUM(AN119:AQ119)</f>
        <v>0</v>
      </c>
      <c r="AS119" s="41"/>
      <c r="AT119" s="41"/>
      <c r="AU119" s="41"/>
      <c r="AV119" s="41"/>
      <c r="AW119" s="41"/>
      <c r="AX119" s="41"/>
      <c r="AY119" s="41"/>
      <c r="AZ119" s="41"/>
      <c r="BA119" s="41">
        <f>+AR119+AS119+AU119+AW119+AY119+AZ119</f>
        <v>0</v>
      </c>
      <c r="BB119" s="54">
        <v>0</v>
      </c>
      <c r="BC119" s="55"/>
      <c r="BD119" s="55"/>
      <c r="BE119" s="55"/>
      <c r="BF119" s="55"/>
    </row>
    <row r="120" spans="1:58" ht="12.95" customHeight="1">
      <c r="A120" s="343"/>
      <c r="B120" s="45" t="s">
        <v>523</v>
      </c>
      <c r="C120" s="450">
        <f>(M120*E120*O120*Q120)/100000000</f>
        <v>9.7675199999999993</v>
      </c>
      <c r="D120" s="45" t="s">
        <v>408</v>
      </c>
      <c r="E120" s="46">
        <v>13.5</v>
      </c>
      <c r="F120" s="46">
        <v>1</v>
      </c>
      <c r="G120" s="463">
        <v>1700</v>
      </c>
      <c r="H120" s="48">
        <f>+N120</f>
        <v>0.19999999999999996</v>
      </c>
      <c r="I120" s="49">
        <v>0.88</v>
      </c>
      <c r="J120" s="88">
        <f>E120*G120*(1-H120)*1440/1000000*2.77</f>
        <v>73.234368000000003</v>
      </c>
      <c r="K120" s="88">
        <f>(IF(G120&lt;L120,L120,G120)*(1-IF(H120&lt;N120,H120,N120))*E120*O120*Q120)/100000000</f>
        <v>9.7675199999999993</v>
      </c>
      <c r="L120" s="39">
        <v>1700</v>
      </c>
      <c r="M120" s="39">
        <f>+L120-L120*0.2</f>
        <v>1360</v>
      </c>
      <c r="N120" s="50">
        <f>1-(M120/L120)</f>
        <v>0.19999999999999996</v>
      </c>
      <c r="O120" s="51">
        <f>+'Trim Rwd'!H107</f>
        <v>266</v>
      </c>
      <c r="P120" s="52">
        <f>O120*(Q120-R120-S120)</f>
        <v>51870</v>
      </c>
      <c r="Q120" s="51">
        <v>200</v>
      </c>
      <c r="R120" s="419">
        <v>0</v>
      </c>
      <c r="S120" s="419">
        <v>5</v>
      </c>
      <c r="T120" s="41">
        <f>E120*M120*O120*Q120/100000000</f>
        <v>9.7675199999999993</v>
      </c>
      <c r="U120" s="41">
        <f>E120*M120*O120*(Q120-R120-S120)/100000000</f>
        <v>9.5233319999999999</v>
      </c>
      <c r="V120" s="41">
        <f>E120*G120*(1-N120)*O120/100*(R120+S120)/1000000</f>
        <v>0.24418799999999999</v>
      </c>
      <c r="W120" s="41">
        <f>+'26'!K13/1000</f>
        <v>3.5950000000000002</v>
      </c>
      <c r="X120" s="42"/>
      <c r="Y120" s="220"/>
      <c r="Z120" s="41"/>
      <c r="AA120" s="41"/>
      <c r="AB120" s="53"/>
      <c r="AC120" s="41">
        <f>K120-T120</f>
        <v>0</v>
      </c>
      <c r="AD120" s="41">
        <f>+AM120+BA120</f>
        <v>11</v>
      </c>
      <c r="AE120" s="238" t="s">
        <v>558</v>
      </c>
      <c r="AF120" s="41"/>
      <c r="AG120" s="41">
        <v>11</v>
      </c>
      <c r="AH120" s="41"/>
      <c r="AI120" s="41"/>
      <c r="AJ120" s="41"/>
      <c r="AK120" s="41"/>
      <c r="AL120" s="41"/>
      <c r="AM120" s="41">
        <f>SUM(AF120:AL120)+AT120+AV120+AX120</f>
        <v>11</v>
      </c>
      <c r="AN120" s="41"/>
      <c r="AO120" s="41"/>
      <c r="AP120" s="41"/>
      <c r="AQ120" s="41"/>
      <c r="AR120" s="41">
        <f>SUM(AN120:AQ120)</f>
        <v>0</v>
      </c>
      <c r="AS120" s="41"/>
      <c r="AT120" s="41"/>
      <c r="AU120" s="41"/>
      <c r="AV120" s="41"/>
      <c r="AW120" s="41"/>
      <c r="AX120" s="41"/>
      <c r="AY120" s="41"/>
      <c r="AZ120" s="41"/>
      <c r="BA120" s="41">
        <f>+AR120+AS120+AU120+AW120+AY120+AZ120</f>
        <v>0</v>
      </c>
      <c r="BB120" s="37"/>
      <c r="BC120" s="55">
        <v>11</v>
      </c>
      <c r="BD120" s="55"/>
      <c r="BE120" s="55"/>
      <c r="BF120" s="55"/>
    </row>
    <row r="121" spans="1:58" ht="12.95" customHeight="1">
      <c r="A121" s="343"/>
      <c r="B121" s="45"/>
      <c r="C121" s="450"/>
      <c r="D121" s="45"/>
      <c r="E121" s="46"/>
      <c r="F121" s="46"/>
      <c r="G121" s="463"/>
      <c r="H121" s="48"/>
      <c r="I121" s="49"/>
      <c r="J121" s="88"/>
      <c r="K121" s="88"/>
      <c r="L121" s="39"/>
      <c r="M121" s="39"/>
      <c r="N121" s="50"/>
      <c r="O121" s="51"/>
      <c r="P121" s="52"/>
      <c r="Q121" s="51"/>
      <c r="R121" s="419"/>
      <c r="S121" s="419"/>
      <c r="T121" s="41"/>
      <c r="U121" s="41"/>
      <c r="V121" s="41"/>
      <c r="W121" s="41"/>
      <c r="X121" s="416"/>
      <c r="Y121" s="220"/>
      <c r="Z121" s="41"/>
      <c r="AA121" s="53"/>
      <c r="AB121" s="53"/>
      <c r="AC121" s="41"/>
      <c r="AD121" s="41">
        <f>+AM121+BA121</f>
        <v>23</v>
      </c>
      <c r="AE121" s="238" t="s">
        <v>486</v>
      </c>
      <c r="AF121" s="41"/>
      <c r="AG121" s="41"/>
      <c r="AH121" s="41">
        <v>23</v>
      </c>
      <c r="AI121" s="459"/>
      <c r="AJ121" s="41"/>
      <c r="AK121" s="41"/>
      <c r="AL121" s="41"/>
      <c r="AM121" s="41">
        <f>SUM(AF121:AL121)+AT121+AV121+AX121</f>
        <v>23</v>
      </c>
      <c r="AN121" s="41"/>
      <c r="AO121" s="41"/>
      <c r="AP121" s="41"/>
      <c r="AQ121" s="41"/>
      <c r="AR121" s="41">
        <f>SUM(AN121:AQ121)</f>
        <v>0</v>
      </c>
      <c r="AS121" s="41"/>
      <c r="AT121" s="41"/>
      <c r="AU121" s="41"/>
      <c r="AV121" s="41"/>
      <c r="AW121" s="41"/>
      <c r="AX121" s="41"/>
      <c r="AY121" s="41"/>
      <c r="AZ121" s="41"/>
      <c r="BA121" s="41">
        <f>+AR121+AS121+AU121+AW121+AY121+AZ121</f>
        <v>0</v>
      </c>
      <c r="BB121" s="37"/>
      <c r="BC121" s="55"/>
      <c r="BD121" s="55"/>
      <c r="BE121" s="55"/>
      <c r="BF121" s="55"/>
    </row>
    <row r="122" spans="1:58" ht="12.95" customHeight="1">
      <c r="A122" s="343"/>
      <c r="B122" s="45"/>
      <c r="C122" s="450"/>
      <c r="D122" s="45"/>
      <c r="E122" s="46"/>
      <c r="F122" s="46"/>
      <c r="G122" s="463"/>
      <c r="H122" s="48"/>
      <c r="I122" s="49"/>
      <c r="J122" s="88"/>
      <c r="K122" s="88"/>
      <c r="L122" s="39"/>
      <c r="M122" s="39"/>
      <c r="N122" s="50"/>
      <c r="O122" s="51"/>
      <c r="P122" s="52"/>
      <c r="Q122" s="51"/>
      <c r="R122" s="419"/>
      <c r="S122" s="419"/>
      <c r="T122" s="41"/>
      <c r="U122" s="41"/>
      <c r="V122" s="41"/>
      <c r="W122" s="41"/>
      <c r="X122" s="416"/>
      <c r="Y122" s="220"/>
      <c r="Z122" s="41"/>
      <c r="AA122" s="53"/>
      <c r="AB122" s="53"/>
      <c r="AC122" s="41"/>
      <c r="AD122" s="41">
        <f>+AM122+BA122</f>
        <v>6</v>
      </c>
      <c r="AE122" s="238" t="s">
        <v>487</v>
      </c>
      <c r="AF122" s="41"/>
      <c r="AG122" s="41"/>
      <c r="AH122" s="41"/>
      <c r="AI122" s="459">
        <v>6</v>
      </c>
      <c r="AJ122" s="41"/>
      <c r="AK122" s="41"/>
      <c r="AL122" s="41"/>
      <c r="AM122" s="41">
        <f>SUM(AF122:AL122)+AT122+AV122+AX122</f>
        <v>6</v>
      </c>
      <c r="AN122" s="89"/>
      <c r="AO122" s="41"/>
      <c r="AP122" s="41"/>
      <c r="AQ122" s="41"/>
      <c r="AR122" s="41">
        <f>SUM(AN122:AQ122)</f>
        <v>0</v>
      </c>
      <c r="AS122" s="41"/>
      <c r="AT122" s="41"/>
      <c r="AU122" s="41"/>
      <c r="AV122" s="41"/>
      <c r="AW122" s="41"/>
      <c r="AX122" s="41"/>
      <c r="AY122" s="41"/>
      <c r="AZ122" s="41"/>
      <c r="BA122" s="41">
        <f>+AR122+AS122+AU122+AW122+AY122+AZ122</f>
        <v>0</v>
      </c>
      <c r="BB122" s="37"/>
      <c r="BC122" s="55"/>
      <c r="BD122" s="55"/>
      <c r="BE122" s="55"/>
      <c r="BF122" s="55"/>
    </row>
    <row r="123" spans="1:58" ht="12.95" customHeight="1">
      <c r="A123" s="44"/>
      <c r="B123" s="45"/>
      <c r="C123" s="450"/>
      <c r="D123" s="45"/>
      <c r="E123" s="46"/>
      <c r="F123" s="46"/>
      <c r="G123" s="463"/>
      <c r="H123" s="48"/>
      <c r="I123" s="49"/>
      <c r="J123" s="88"/>
      <c r="K123" s="88"/>
      <c r="L123" s="39"/>
      <c r="M123" s="39"/>
      <c r="N123" s="50"/>
      <c r="O123" s="51"/>
      <c r="P123" s="52"/>
      <c r="Q123" s="51"/>
      <c r="R123" s="419"/>
      <c r="S123" s="419"/>
      <c r="T123" s="41"/>
      <c r="U123" s="41"/>
      <c r="V123" s="41"/>
      <c r="W123" s="41"/>
      <c r="X123" s="42"/>
      <c r="Y123" s="220"/>
      <c r="Z123" s="41"/>
      <c r="AA123" s="41"/>
      <c r="AB123" s="41"/>
      <c r="AC123" s="41"/>
      <c r="AD123" s="41"/>
      <c r="AE123" s="238"/>
      <c r="AF123" s="37"/>
      <c r="AG123" s="37"/>
      <c r="AH123" s="37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37"/>
      <c r="BC123" s="57"/>
      <c r="BD123" s="55"/>
      <c r="BE123" s="55"/>
      <c r="BF123" s="55"/>
    </row>
    <row r="124" spans="1:58" ht="12.95" customHeight="1">
      <c r="A124" s="44">
        <v>46139</v>
      </c>
      <c r="B124" s="3" t="s">
        <v>523</v>
      </c>
      <c r="C124" s="450">
        <f>(M124*E124*O124*Q124)/100000000</f>
        <v>0.97675199999999995</v>
      </c>
      <c r="D124" s="45" t="s">
        <v>408</v>
      </c>
      <c r="E124" s="46">
        <v>13.5</v>
      </c>
      <c r="F124" s="46">
        <v>1</v>
      </c>
      <c r="G124" s="47">
        <v>1700</v>
      </c>
      <c r="H124" s="48">
        <v>0.2</v>
      </c>
      <c r="I124" s="49">
        <v>0.88</v>
      </c>
      <c r="J124" s="88">
        <f>E124*G124*(1-H124)*1440/1000000*2.77</f>
        <v>73.234368000000003</v>
      </c>
      <c r="K124" s="88">
        <f>(IF(G124&lt;L124,L124,G124)*(1-IF(H124&lt;N124,H124,N124))*E124*O124*Q124)/100000000</f>
        <v>0.97675199999999995</v>
      </c>
      <c r="L124" s="39">
        <v>1700</v>
      </c>
      <c r="M124" s="39">
        <f>+L124-L124*0.2</f>
        <v>1360</v>
      </c>
      <c r="N124" s="50">
        <f>1-(M124/L124)</f>
        <v>0.19999999999999996</v>
      </c>
      <c r="O124" s="51">
        <f>+'Trim Rwd'!H109</f>
        <v>266</v>
      </c>
      <c r="P124" s="52">
        <f>O124*(Q124-R124-S124)</f>
        <v>5320</v>
      </c>
      <c r="Q124" s="38">
        <v>20</v>
      </c>
      <c r="R124" s="419">
        <v>0</v>
      </c>
      <c r="S124" s="419">
        <v>0</v>
      </c>
      <c r="T124" s="41">
        <f>E124*M124*O124*Q124/100000000</f>
        <v>0.97675199999999995</v>
      </c>
      <c r="U124" s="41">
        <f>E124*M124*O124*(Q124-R124-S124)/100000000</f>
        <v>0.97675199999999995</v>
      </c>
      <c r="V124" s="41">
        <f>E124*G124*(1-N124)*O124/100*(R124+S124)/1000000</f>
        <v>0</v>
      </c>
      <c r="W124" s="41">
        <f>+'27'!K13/1000</f>
        <v>6.992</v>
      </c>
      <c r="X124" s="416">
        <f>SUM(W124:W127)/SUM(K124:K127)</f>
        <v>0.92521364439820597</v>
      </c>
      <c r="Y124" s="220">
        <v>0</v>
      </c>
      <c r="Z124" s="41">
        <v>0</v>
      </c>
      <c r="AA124" s="53">
        <f>SUM(U124:U127)-SUM(W124:W127)-SUM(Z124:Z127)-SUM(Y124:Y127)</f>
        <v>1.829844032000006</v>
      </c>
      <c r="AB124" s="53">
        <f>(SUM(K124:K127)-SUM(W124:W127)-SUM(Y124:Y127)-SUM(Z124:Z127)-SUM(AC124:AC127)-SUM(V124:V127))-AA124</f>
        <v>-8.2156503822261584E-15</v>
      </c>
      <c r="AC124" s="41">
        <f>K124-T124</f>
        <v>0</v>
      </c>
      <c r="AD124" s="41">
        <f>+AM124+BA124</f>
        <v>0</v>
      </c>
      <c r="AE124" s="241" t="s">
        <v>277</v>
      </c>
      <c r="AF124" s="41">
        <v>0</v>
      </c>
      <c r="AG124" s="41"/>
      <c r="AH124" s="41"/>
      <c r="AI124" s="41"/>
      <c r="AJ124" s="41"/>
      <c r="AK124" s="41"/>
      <c r="AL124" s="41"/>
      <c r="AM124" s="41">
        <f>SUM(AF124:AL124)+AT124+AV124+AX124</f>
        <v>0</v>
      </c>
      <c r="AN124" s="41"/>
      <c r="AO124" s="41"/>
      <c r="AP124" s="41"/>
      <c r="AQ124" s="41"/>
      <c r="AR124" s="41">
        <f>SUM(AN124:AQ124)</f>
        <v>0</v>
      </c>
      <c r="AS124" s="41"/>
      <c r="AT124" s="41"/>
      <c r="AU124" s="41"/>
      <c r="AV124" s="41"/>
      <c r="AW124" s="41"/>
      <c r="AX124" s="41"/>
      <c r="AY124" s="41"/>
      <c r="AZ124" s="41"/>
      <c r="BA124" s="41">
        <f>+AR124+AS124+AU124+AW124+AY124+AZ124</f>
        <v>0</v>
      </c>
      <c r="BB124" s="54">
        <v>0</v>
      </c>
      <c r="BC124" s="55"/>
      <c r="BD124" s="55"/>
      <c r="BE124" s="55"/>
      <c r="BF124" s="55"/>
    </row>
    <row r="125" spans="1:58" ht="12.95" customHeight="1">
      <c r="A125" s="343"/>
      <c r="B125" s="45" t="s">
        <v>523</v>
      </c>
      <c r="C125" s="450">
        <f>(M125*E125*O125*Q125)/100000000</f>
        <v>24.558336000000001</v>
      </c>
      <c r="D125" s="45" t="s">
        <v>408</v>
      </c>
      <c r="E125" s="46">
        <v>12</v>
      </c>
      <c r="F125" s="46">
        <v>1</v>
      </c>
      <c r="G125" s="463">
        <v>1700</v>
      </c>
      <c r="H125" s="48">
        <v>0.2</v>
      </c>
      <c r="I125" s="49">
        <v>0.88</v>
      </c>
      <c r="J125" s="88">
        <f>E125*G125*(1-H125)*1440/1000000*2.77</f>
        <v>65.097216000000003</v>
      </c>
      <c r="K125" s="88">
        <f>(IF(G125&lt;L125,L125,G125)*(1-IF(H125&lt;N125,H125,N125))*E125*O125*Q125)/100000000</f>
        <v>24.558336000000001</v>
      </c>
      <c r="L125" s="39">
        <v>1700</v>
      </c>
      <c r="M125" s="39">
        <f>+L125-L125*0.2</f>
        <v>1360</v>
      </c>
      <c r="N125" s="50">
        <f>1-(M125/L125)</f>
        <v>0.19999999999999996</v>
      </c>
      <c r="O125" s="51">
        <f>+'Trim Rwd'!H110</f>
        <v>264</v>
      </c>
      <c r="P125" s="52">
        <f>O125*(Q125-R125-S125)</f>
        <v>146256</v>
      </c>
      <c r="Q125" s="51">
        <v>570</v>
      </c>
      <c r="R125" s="419">
        <v>0</v>
      </c>
      <c r="S125" s="419">
        <v>16</v>
      </c>
      <c r="T125" s="41">
        <f>E125*M125*O125*Q125/100000000</f>
        <v>24.558336000000001</v>
      </c>
      <c r="U125" s="41">
        <f>E125*M125*O125*(Q125-R125-S125)/100000000</f>
        <v>23.868979199999998</v>
      </c>
      <c r="V125" s="41">
        <f>E125*G125*(1-N125)*O125/100*(R125+S125)/1000000</f>
        <v>0.68935679999999999</v>
      </c>
      <c r="W125" s="41">
        <f>+'27'!K11/1000</f>
        <v>22.747</v>
      </c>
      <c r="X125" s="42"/>
      <c r="Y125" s="220"/>
      <c r="Z125" s="41">
        <f>+'27'!D34/1000</f>
        <v>1.24</v>
      </c>
      <c r="AA125" s="53"/>
      <c r="AB125" s="53"/>
      <c r="AC125" s="41">
        <f>K125-T125</f>
        <v>0</v>
      </c>
      <c r="AD125" s="41">
        <f>+AM125+BA125</f>
        <v>13</v>
      </c>
      <c r="AE125" s="464" t="s">
        <v>572</v>
      </c>
      <c r="AF125" s="41"/>
      <c r="AG125" s="41">
        <v>13</v>
      </c>
      <c r="AH125" s="41"/>
      <c r="AI125" s="41"/>
      <c r="AJ125" s="41"/>
      <c r="AK125" s="41"/>
      <c r="AL125" s="41"/>
      <c r="AM125" s="41">
        <f>SUM(AF125:AL125)+AT125+AV125+AX125</f>
        <v>13</v>
      </c>
      <c r="AN125" s="41"/>
      <c r="AO125" s="41"/>
      <c r="AP125" s="41"/>
      <c r="AQ125" s="41"/>
      <c r="AR125" s="41">
        <f>SUM(AN125:AQ125)</f>
        <v>0</v>
      </c>
      <c r="AS125" s="41"/>
      <c r="AT125" s="41"/>
      <c r="AU125" s="41"/>
      <c r="AV125" s="41"/>
      <c r="AW125" s="41"/>
      <c r="AX125" s="41"/>
      <c r="AY125" s="41"/>
      <c r="AZ125" s="41"/>
      <c r="BA125" s="41">
        <f>+AR125+AS125+AU125+AW125+AY125+AZ125</f>
        <v>0</v>
      </c>
      <c r="BB125" s="37"/>
      <c r="BC125" s="55">
        <v>16</v>
      </c>
      <c r="BD125" s="55"/>
      <c r="BE125" s="55"/>
      <c r="BF125" s="55"/>
    </row>
    <row r="126" spans="1:58" ht="12.95" customHeight="1">
      <c r="A126" s="343"/>
      <c r="B126" s="45" t="s">
        <v>523</v>
      </c>
      <c r="C126" s="450">
        <f>(M126*E126*O126*Q126)/100000000</f>
        <v>34.499694599999998</v>
      </c>
      <c r="D126" s="45" t="s">
        <v>408</v>
      </c>
      <c r="E126" s="46">
        <v>10.5</v>
      </c>
      <c r="F126" s="46">
        <v>1</v>
      </c>
      <c r="G126" s="47">
        <v>1730</v>
      </c>
      <c r="H126" s="48">
        <v>0.16</v>
      </c>
      <c r="I126" s="49">
        <v>0.88</v>
      </c>
      <c r="J126" s="88">
        <f>E126*G126*(1-H126)*1440/1000000*2.77</f>
        <v>60.863503679999987</v>
      </c>
      <c r="K126" s="88">
        <f>(IF(G126&lt;L126,L126,G126)*(1-IF(H126&lt;N126,H126,N126))*E126*O126*Q126)/100000000</f>
        <v>34.499694599999998</v>
      </c>
      <c r="L126" s="39">
        <v>1730</v>
      </c>
      <c r="M126" s="39">
        <f>+L126-L126*0.16</f>
        <v>1453.2</v>
      </c>
      <c r="N126" s="50">
        <f>1-(M126/L126)</f>
        <v>0.15999999999999992</v>
      </c>
      <c r="O126" s="51">
        <f>+'Trim Rwd'!H111</f>
        <v>266</v>
      </c>
      <c r="P126" s="52">
        <f>O126*(Q126-R126-S126)</f>
        <v>221312</v>
      </c>
      <c r="Q126" s="51">
        <v>850</v>
      </c>
      <c r="R126" s="419">
        <v>0</v>
      </c>
      <c r="S126" s="419">
        <v>18</v>
      </c>
      <c r="T126" s="41">
        <f>E126*M126*O126*Q126/100000000</f>
        <v>34.499694599999998</v>
      </c>
      <c r="U126" s="41">
        <f>E126*M126*O126*(Q126-R126-S126)/100000000</f>
        <v>33.769112832000005</v>
      </c>
      <c r="V126" s="41">
        <f>E126*G126*(1-N126)*O126/100*(R126+S126)/1000000</f>
        <v>0.73058176800000008</v>
      </c>
      <c r="W126" s="41">
        <f>+'27'!K24/1000</f>
        <v>25.806000000000001</v>
      </c>
      <c r="X126" s="416"/>
      <c r="Y126" s="220"/>
      <c r="Z126" s="41"/>
      <c r="AA126" s="53"/>
      <c r="AB126" s="53"/>
      <c r="AC126" s="41">
        <f>K126-T126</f>
        <v>0</v>
      </c>
      <c r="AD126" s="41">
        <f>+AM126+BA126</f>
        <v>16</v>
      </c>
      <c r="AE126" s="238" t="s">
        <v>666</v>
      </c>
      <c r="AF126" s="41"/>
      <c r="AG126" s="41"/>
      <c r="AH126" s="41">
        <v>16</v>
      </c>
      <c r="AI126" s="41"/>
      <c r="AJ126" s="41"/>
      <c r="AK126" s="41"/>
      <c r="AL126" s="41"/>
      <c r="AM126" s="41">
        <f>SUM(AF126:AL126)+AT126+AV126+AX126</f>
        <v>16</v>
      </c>
      <c r="AN126" s="41"/>
      <c r="AO126" s="41"/>
      <c r="AP126" s="41"/>
      <c r="AQ126" s="41"/>
      <c r="AR126" s="41">
        <f>SUM(AN126:AQ126)</f>
        <v>0</v>
      </c>
      <c r="AS126" s="41"/>
      <c r="AT126" s="41"/>
      <c r="AU126" s="41"/>
      <c r="AV126" s="41"/>
      <c r="AW126" s="41"/>
      <c r="AX126" s="41"/>
      <c r="AY126" s="41"/>
      <c r="AZ126" s="41"/>
      <c r="BA126" s="41">
        <f>+AR126+AS126+AU126+AW126+AY126+AZ126</f>
        <v>0</v>
      </c>
      <c r="BB126" s="37"/>
      <c r="BC126" s="55"/>
      <c r="BD126" s="55"/>
      <c r="BE126" s="55"/>
      <c r="BF126" s="55"/>
    </row>
    <row r="127" spans="1:58" ht="12.95" customHeight="1">
      <c r="A127" s="343"/>
      <c r="B127" s="45"/>
      <c r="C127" s="450"/>
      <c r="D127" s="45"/>
      <c r="E127" s="46"/>
      <c r="F127" s="46"/>
      <c r="G127" s="463"/>
      <c r="H127" s="48"/>
      <c r="I127" s="49"/>
      <c r="J127" s="88"/>
      <c r="K127" s="88"/>
      <c r="L127" s="39"/>
      <c r="M127" s="39"/>
      <c r="N127" s="50"/>
      <c r="O127" s="51"/>
      <c r="P127" s="52"/>
      <c r="Q127" s="51"/>
      <c r="R127" s="419"/>
      <c r="S127" s="419"/>
      <c r="T127" s="41"/>
      <c r="U127" s="41"/>
      <c r="V127" s="41"/>
      <c r="W127" s="41"/>
      <c r="X127" s="416"/>
      <c r="Y127" s="220"/>
      <c r="Z127" s="41"/>
      <c r="AA127" s="53"/>
      <c r="AB127" s="53"/>
      <c r="AC127" s="41"/>
      <c r="AD127" s="41">
        <f>+AM127+BA127</f>
        <v>5</v>
      </c>
      <c r="AE127" s="238" t="s">
        <v>487</v>
      </c>
      <c r="AF127" s="41"/>
      <c r="AG127" s="41"/>
      <c r="AH127" s="41"/>
      <c r="AI127" s="459">
        <v>5</v>
      </c>
      <c r="AJ127" s="41"/>
      <c r="AK127" s="41"/>
      <c r="AL127" s="41"/>
      <c r="AM127" s="41">
        <f>SUM(AF127:AL127)+AT127+AV127+AX127</f>
        <v>5</v>
      </c>
      <c r="AN127" s="41"/>
      <c r="AO127" s="41"/>
      <c r="AP127" s="41"/>
      <c r="AQ127" s="41"/>
      <c r="AR127" s="41">
        <f>SUM(AN127:AQ127)</f>
        <v>0</v>
      </c>
      <c r="AS127" s="41"/>
      <c r="AT127" s="41"/>
      <c r="AU127" s="41"/>
      <c r="AV127" s="41"/>
      <c r="AW127" s="41"/>
      <c r="AX127" s="41"/>
      <c r="AY127" s="41"/>
      <c r="AZ127" s="41"/>
      <c r="BA127" s="41">
        <f>+AR127+AS127+AU127+AW127+AY127+AZ127</f>
        <v>0</v>
      </c>
      <c r="BB127" s="37"/>
      <c r="BC127" s="55"/>
      <c r="BD127" s="55"/>
      <c r="BE127" s="55"/>
      <c r="BF127" s="55"/>
    </row>
    <row r="128" spans="1:58" ht="12.95" customHeight="1">
      <c r="A128" s="343"/>
      <c r="B128" s="45"/>
      <c r="C128" s="450"/>
      <c r="D128" s="45"/>
      <c r="E128" s="46"/>
      <c r="F128" s="46"/>
      <c r="G128" s="463"/>
      <c r="H128" s="48"/>
      <c r="I128" s="49"/>
      <c r="J128" s="88"/>
      <c r="K128" s="88"/>
      <c r="L128" s="39"/>
      <c r="M128" s="39"/>
      <c r="N128" s="50"/>
      <c r="O128" s="51"/>
      <c r="P128" s="52"/>
      <c r="Q128" s="51"/>
      <c r="R128" s="419"/>
      <c r="S128" s="419"/>
      <c r="T128" s="41"/>
      <c r="U128" s="41"/>
      <c r="V128" s="41"/>
      <c r="W128" s="41"/>
      <c r="X128" s="42"/>
      <c r="Y128" s="220"/>
      <c r="Z128" s="41"/>
      <c r="AA128" s="53"/>
      <c r="AB128" s="53"/>
      <c r="AC128" s="41"/>
      <c r="AD128" s="41"/>
      <c r="AE128" s="238"/>
      <c r="AF128" s="41"/>
      <c r="AG128" s="41"/>
      <c r="AH128" s="41"/>
      <c r="AI128" s="459"/>
      <c r="AJ128" s="41"/>
      <c r="AK128" s="41"/>
      <c r="AL128" s="41"/>
      <c r="AM128" s="41"/>
      <c r="AN128" s="89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37"/>
      <c r="BC128" s="57"/>
      <c r="BD128" s="55"/>
      <c r="BE128" s="55"/>
      <c r="BF128" s="55"/>
    </row>
    <row r="129" spans="1:58" ht="12.95" customHeight="1">
      <c r="A129" s="44">
        <v>46140</v>
      </c>
      <c r="B129" s="45" t="s">
        <v>523</v>
      </c>
      <c r="C129" s="450">
        <f>(M129*E129*O129*Q129)/100000000</f>
        <v>3.24703008</v>
      </c>
      <c r="D129" s="45" t="s">
        <v>408</v>
      </c>
      <c r="E129" s="46">
        <v>10.5</v>
      </c>
      <c r="F129" s="46">
        <v>1</v>
      </c>
      <c r="G129" s="463">
        <v>1730</v>
      </c>
      <c r="H129" s="48">
        <v>0.16</v>
      </c>
      <c r="I129" s="49">
        <v>0.88</v>
      </c>
      <c r="J129" s="88">
        <f>E129*G129*(1-H129)*1440/1000000*2.77</f>
        <v>60.863503679999987</v>
      </c>
      <c r="K129" s="88">
        <f>(IF(G129&lt;L129,L129,G129)*(1-IF(H129&lt;N129,H129,N129))*E129*O129*Q129)/100000000</f>
        <v>3.24703008</v>
      </c>
      <c r="L129" s="39">
        <v>1730</v>
      </c>
      <c r="M129" s="39">
        <v>1453.2</v>
      </c>
      <c r="N129" s="50">
        <f>1-(M129/L129)</f>
        <v>0.15999999999999992</v>
      </c>
      <c r="O129" s="51">
        <f>+'Trim Rwd'!H113</f>
        <v>266</v>
      </c>
      <c r="P129" s="52">
        <f>O129*(Q129-R129-S129)</f>
        <v>20216</v>
      </c>
      <c r="Q129" s="51">
        <v>80</v>
      </c>
      <c r="R129" s="419">
        <v>0</v>
      </c>
      <c r="S129" s="419">
        <v>4</v>
      </c>
      <c r="T129" s="41">
        <f>E129*M129*O129*Q129/100000000</f>
        <v>3.24703008</v>
      </c>
      <c r="U129" s="41">
        <f>E129*M129*O129*(Q129-R129-S129)/100000000</f>
        <v>3.0846785760000004</v>
      </c>
      <c r="V129" s="41">
        <f>E129*G129*(1-N129)*O129/100*(R129+S129)/1000000</f>
        <v>0.16235150400000001</v>
      </c>
      <c r="W129" s="41">
        <f>+'28'!K24/1000</f>
        <v>10.07</v>
      </c>
      <c r="X129" s="416">
        <f>SUM(W129:W132)/SUM(K129:K132)</f>
        <v>0.8897517921061967</v>
      </c>
      <c r="Y129" s="220">
        <v>0</v>
      </c>
      <c r="Z129" s="41">
        <v>0</v>
      </c>
      <c r="AA129" s="41">
        <f>SUM(U129:U132)-SUM(W129:W132)-SUM(Z129:Z132)-SUM(Y129:Y132)</f>
        <v>1.5520661728992242</v>
      </c>
      <c r="AB129" s="41">
        <f>(SUM(K129:K132)-SUM(W129:W132)-SUM(Y129:Y132)-SUM(Z129:Z132)-SUM(AC129:AC132)-SUM(V129:V132))-AA129</f>
        <v>-6.0787596899217977E-2</v>
      </c>
      <c r="AC129" s="41">
        <f>K129-T129</f>
        <v>0</v>
      </c>
      <c r="AD129" s="41">
        <f>+AM129+BA129</f>
        <v>0</v>
      </c>
      <c r="AE129" s="238" t="s">
        <v>277</v>
      </c>
      <c r="AF129" s="37">
        <v>0</v>
      </c>
      <c r="AG129" s="37"/>
      <c r="AH129" s="37"/>
      <c r="AJ129" s="41"/>
      <c r="AK129" s="41"/>
      <c r="AL129" s="41"/>
      <c r="AM129" s="41">
        <f>SUM(AF129:AL129)+AT129+AV129+AX129</f>
        <v>0</v>
      </c>
      <c r="AN129" s="41"/>
      <c r="AO129" s="41"/>
      <c r="AP129" s="41"/>
      <c r="AQ129" s="41"/>
      <c r="AR129" s="41">
        <f>SUM(AN129:AQ129)</f>
        <v>0</v>
      </c>
      <c r="AS129" s="41"/>
      <c r="AT129" s="41"/>
      <c r="AU129" s="41"/>
      <c r="AV129" s="41"/>
      <c r="AW129" s="41"/>
      <c r="AX129" s="41"/>
      <c r="AY129" s="41"/>
      <c r="AZ129" s="41"/>
      <c r="BA129" s="41">
        <f>+AR129+AS129+AU129+AW129+AY129+AZ129</f>
        <v>0</v>
      </c>
      <c r="BB129" s="54">
        <v>0</v>
      </c>
      <c r="BC129" s="55"/>
      <c r="BD129" s="55"/>
      <c r="BE129" s="55"/>
      <c r="BF129" s="55"/>
    </row>
    <row r="130" spans="1:58" ht="12.95" customHeight="1">
      <c r="A130" s="44"/>
      <c r="B130" s="45" t="s">
        <v>798</v>
      </c>
      <c r="C130" s="450">
        <f>(M130*E130*O130*Q130)/100000000</f>
        <v>50.362000000000002</v>
      </c>
      <c r="D130" s="45" t="s">
        <v>408</v>
      </c>
      <c r="E130" s="46">
        <v>13</v>
      </c>
      <c r="F130" s="46">
        <v>1</v>
      </c>
      <c r="G130" s="47">
        <v>1500</v>
      </c>
      <c r="H130" s="48">
        <v>0.2</v>
      </c>
      <c r="I130" s="49">
        <v>0.88</v>
      </c>
      <c r="J130" s="88">
        <f>E130*G130*(1-H130)*1440/1000000*2.77</f>
        <v>62.225279999999998</v>
      </c>
      <c r="K130" s="88">
        <f>(IF(G130&lt;L130,L130,G130)*(1-IF(H130&lt;N130,H130,N130))*E130*O130*Q130)/100000000</f>
        <v>52.322400000000002</v>
      </c>
      <c r="L130" s="39">
        <v>1443.7984496124031</v>
      </c>
      <c r="M130" s="39">
        <v>1155.0387596899225</v>
      </c>
      <c r="N130" s="50">
        <f>1-(M130/L130)</f>
        <v>0.20000000000000007</v>
      </c>
      <c r="O130" s="51">
        <f>+'Trim Rwd'!H114</f>
        <v>260</v>
      </c>
      <c r="P130" s="52">
        <f>O130*(Q130-R130-S130)</f>
        <v>325000</v>
      </c>
      <c r="Q130" s="51">
        <f>1360-70</f>
        <v>1290</v>
      </c>
      <c r="R130" s="419">
        <f>70-70</f>
        <v>0</v>
      </c>
      <c r="S130" s="419">
        <v>40</v>
      </c>
      <c r="T130" s="41">
        <f>E130*M130*O130*Q130/100000000</f>
        <v>50.362000000000002</v>
      </c>
      <c r="U130" s="41">
        <f>E130*M130*O130*(Q130-R130-S130)/100000000</f>
        <v>48.80038759689922</v>
      </c>
      <c r="V130" s="41">
        <f>E130*G130*(1-N130)*O130/100*(R130+S130)/1000000</f>
        <v>1.6223999999999998</v>
      </c>
      <c r="W130" s="41">
        <f>+'28'!K25/1000</f>
        <v>39.372999999999998</v>
      </c>
      <c r="X130" s="42"/>
      <c r="Y130" s="220"/>
      <c r="Z130" s="41">
        <f>+'28'!D34/1000</f>
        <v>0.89</v>
      </c>
      <c r="AA130" s="53"/>
      <c r="AB130" s="53"/>
      <c r="AC130" s="41">
        <f>K130-T130</f>
        <v>1.9603999999999999</v>
      </c>
      <c r="AD130" s="41">
        <f>+AM130+BA130</f>
        <v>8</v>
      </c>
      <c r="AE130" s="238" t="s">
        <v>558</v>
      </c>
      <c r="AF130" s="41"/>
      <c r="AG130" s="41">
        <v>8</v>
      </c>
      <c r="AH130" s="41"/>
      <c r="AI130" s="41"/>
      <c r="AJ130" s="41"/>
      <c r="AK130" s="41"/>
      <c r="AL130" s="41"/>
      <c r="AM130" s="41">
        <f>SUM(AF130:AL130)+AT130+AV130+AX130</f>
        <v>8</v>
      </c>
      <c r="AN130" s="41"/>
      <c r="AO130" s="41"/>
      <c r="AP130" s="41"/>
      <c r="AQ130" s="41"/>
      <c r="AR130" s="41">
        <f>SUM(AN130:AQ130)</f>
        <v>0</v>
      </c>
      <c r="AS130" s="41"/>
      <c r="AT130" s="41"/>
      <c r="AU130" s="41"/>
      <c r="AV130" s="41"/>
      <c r="AW130" s="41"/>
      <c r="AX130" s="41"/>
      <c r="AY130" s="41"/>
      <c r="AZ130" s="41"/>
      <c r="BA130" s="41">
        <f>+AR130+AS130+AU130+AW130+AY130+AZ130</f>
        <v>0</v>
      </c>
      <c r="BB130" s="37"/>
      <c r="BC130" s="55">
        <v>11</v>
      </c>
      <c r="BD130" s="55"/>
      <c r="BE130" s="55"/>
      <c r="BF130" s="55"/>
    </row>
    <row r="131" spans="1:58" ht="12.95" customHeight="1">
      <c r="A131" s="343"/>
      <c r="B131" s="45"/>
      <c r="C131" s="450"/>
      <c r="D131" s="45"/>
      <c r="E131" s="46"/>
      <c r="F131" s="46"/>
      <c r="G131" s="47"/>
      <c r="H131" s="48"/>
      <c r="I131" s="49"/>
      <c r="J131" s="88"/>
      <c r="K131" s="88"/>
      <c r="L131" s="39"/>
      <c r="M131" s="39"/>
      <c r="N131" s="50"/>
      <c r="O131" s="51"/>
      <c r="P131" s="52"/>
      <c r="Q131" s="51"/>
      <c r="R131" s="419"/>
      <c r="S131" s="419"/>
      <c r="T131" s="41"/>
      <c r="U131" s="41"/>
      <c r="V131" s="41"/>
      <c r="W131" s="41"/>
      <c r="X131" s="416"/>
      <c r="Y131" s="220"/>
      <c r="Z131" s="41"/>
      <c r="AA131" s="41"/>
      <c r="AB131" s="41"/>
      <c r="AC131" s="41"/>
      <c r="AD131" s="41">
        <f>+AM131+BA131</f>
        <v>11</v>
      </c>
      <c r="AE131" s="573" t="s">
        <v>800</v>
      </c>
      <c r="AF131" s="41"/>
      <c r="AG131" s="41"/>
      <c r="AH131" s="41">
        <v>11</v>
      </c>
      <c r="AI131" s="41"/>
      <c r="AJ131" s="41"/>
      <c r="AK131" s="41"/>
      <c r="AL131" s="41"/>
      <c r="AM131" s="41">
        <f>SUM(AF131:AL131)+AT131+AV131+AX131</f>
        <v>11</v>
      </c>
      <c r="AN131" s="41"/>
      <c r="AO131" s="41"/>
      <c r="AP131" s="41"/>
      <c r="AQ131" s="41"/>
      <c r="AR131" s="41">
        <f>SUM(AN131:AQ131)</f>
        <v>0</v>
      </c>
      <c r="AS131" s="41"/>
      <c r="AT131" s="41"/>
      <c r="AU131" s="41"/>
      <c r="AV131" s="41"/>
      <c r="AW131" s="41"/>
      <c r="AX131" s="41"/>
      <c r="AY131" s="41"/>
      <c r="AZ131" s="41"/>
      <c r="BA131" s="41">
        <f>+AR131+AS131+AU131+AW131+AY131+AZ131</f>
        <v>0</v>
      </c>
      <c r="BB131" s="37"/>
      <c r="BC131" s="55"/>
      <c r="BD131" s="55"/>
      <c r="BE131" s="55"/>
      <c r="BF131" s="55"/>
    </row>
    <row r="132" spans="1:58" ht="12.95" customHeight="1">
      <c r="A132" s="44"/>
      <c r="B132" s="45"/>
      <c r="C132" s="450"/>
      <c r="D132" s="45"/>
      <c r="E132" s="46"/>
      <c r="F132" s="46"/>
      <c r="G132" s="47"/>
      <c r="H132" s="48"/>
      <c r="I132" s="49"/>
      <c r="J132" s="88"/>
      <c r="K132" s="88"/>
      <c r="L132" s="39"/>
      <c r="M132" s="39"/>
      <c r="N132" s="50"/>
      <c r="O132" s="51"/>
      <c r="P132" s="52"/>
      <c r="Q132" s="51"/>
      <c r="R132" s="419"/>
      <c r="S132" s="419"/>
      <c r="T132" s="41"/>
      <c r="U132" s="41"/>
      <c r="V132" s="41"/>
      <c r="W132" s="41"/>
      <c r="X132" s="416"/>
      <c r="Y132" s="220"/>
      <c r="Z132" s="41"/>
      <c r="AA132" s="41"/>
      <c r="AB132" s="41"/>
      <c r="AC132" s="41"/>
      <c r="AD132" s="41">
        <f>+AM132+BA132</f>
        <v>25</v>
      </c>
      <c r="AE132" s="574" t="s">
        <v>487</v>
      </c>
      <c r="AF132" s="41"/>
      <c r="AG132" s="41"/>
      <c r="AH132" s="41"/>
      <c r="AI132" s="41">
        <v>25</v>
      </c>
      <c r="AJ132" s="41"/>
      <c r="AK132" s="41"/>
      <c r="AL132" s="41"/>
      <c r="AM132" s="41">
        <f>SUM(AF132:AL132)+AT132+AV132+AX132</f>
        <v>25</v>
      </c>
      <c r="AN132" s="41"/>
      <c r="AO132" s="41"/>
      <c r="AP132" s="41"/>
      <c r="AQ132" s="41"/>
      <c r="AR132" s="41">
        <f>SUM(AN132:AQ132)</f>
        <v>0</v>
      </c>
      <c r="AS132" s="41"/>
      <c r="AT132" s="41"/>
      <c r="AU132" s="41"/>
      <c r="AV132" s="41"/>
      <c r="AW132" s="41"/>
      <c r="AX132" s="41"/>
      <c r="AY132" s="41"/>
      <c r="AZ132" s="41"/>
      <c r="BA132" s="41">
        <f>+AR132+AS132+AU132+AW132+AY132+AZ132</f>
        <v>0</v>
      </c>
      <c r="BB132" s="37"/>
      <c r="BC132" s="55"/>
      <c r="BD132" s="55"/>
      <c r="BE132" s="55"/>
      <c r="BF132" s="55"/>
    </row>
    <row r="133" spans="1:58" ht="12.95" customHeight="1">
      <c r="A133" s="343"/>
      <c r="B133" s="45"/>
      <c r="C133" s="450"/>
      <c r="D133" s="45"/>
      <c r="E133" s="46"/>
      <c r="F133" s="46"/>
      <c r="G133" s="463"/>
      <c r="H133" s="48"/>
      <c r="I133" s="49"/>
      <c r="J133" s="88"/>
      <c r="K133" s="88"/>
      <c r="L133" s="39"/>
      <c r="M133" s="39"/>
      <c r="N133" s="50"/>
      <c r="O133" s="51"/>
      <c r="P133" s="52"/>
      <c r="Q133" s="51"/>
      <c r="R133" s="419"/>
      <c r="S133" s="419"/>
      <c r="T133" s="41"/>
      <c r="U133" s="41"/>
      <c r="V133" s="41"/>
      <c r="W133" s="41"/>
      <c r="X133" s="42"/>
      <c r="Y133" s="220"/>
      <c r="Z133" s="41"/>
      <c r="AA133" s="53"/>
      <c r="AB133" s="53"/>
      <c r="AC133" s="41"/>
      <c r="AD133" s="41">
        <f>+AM133+BA133</f>
        <v>0</v>
      </c>
      <c r="AE133" s="238" t="s">
        <v>792</v>
      </c>
      <c r="AF133" s="41"/>
      <c r="AG133" s="41"/>
      <c r="AH133" s="41"/>
      <c r="AI133" s="459"/>
      <c r="AJ133" s="41"/>
      <c r="AK133" s="41"/>
      <c r="AL133" s="41"/>
      <c r="AM133" s="41">
        <f>SUM(AF133:AL133)+AT133+AV133+AX133</f>
        <v>0</v>
      </c>
      <c r="AN133" s="41"/>
      <c r="AO133" s="41"/>
      <c r="AP133" s="41"/>
      <c r="AQ133" s="41"/>
      <c r="AR133" s="41">
        <f>SUM(AN133:AQ133)</f>
        <v>0</v>
      </c>
      <c r="AS133" s="41"/>
      <c r="AT133" s="41"/>
      <c r="AU133" s="41"/>
      <c r="AV133" s="41"/>
      <c r="AW133" s="41">
        <f>70-70</f>
        <v>0</v>
      </c>
      <c r="AX133" s="41"/>
      <c r="AY133" s="41"/>
      <c r="AZ133" s="41"/>
      <c r="BA133" s="41">
        <f>+AR133+AS133+AU133+AW133+AY133+AZ133</f>
        <v>0</v>
      </c>
      <c r="BB133" s="37"/>
      <c r="BC133" s="55"/>
      <c r="BD133" s="55">
        <v>1</v>
      </c>
      <c r="BE133" s="55"/>
      <c r="BF133" s="55"/>
    </row>
    <row r="134" spans="1:58" ht="12.95" customHeight="1">
      <c r="A134" s="343"/>
      <c r="B134" s="45"/>
      <c r="C134" s="450"/>
      <c r="D134" s="45"/>
      <c r="E134" s="46"/>
      <c r="F134" s="46"/>
      <c r="G134" s="463"/>
      <c r="H134" s="48"/>
      <c r="I134" s="49"/>
      <c r="J134" s="88"/>
      <c r="K134" s="88"/>
      <c r="L134" s="39"/>
      <c r="M134" s="39"/>
      <c r="N134" s="50"/>
      <c r="O134" s="51"/>
      <c r="P134" s="52"/>
      <c r="Q134" s="51"/>
      <c r="R134" s="419"/>
      <c r="S134" s="419"/>
      <c r="T134" s="41"/>
      <c r="U134" s="41"/>
      <c r="V134" s="41"/>
      <c r="W134" s="41"/>
      <c r="X134" s="42"/>
      <c r="Y134" s="220"/>
      <c r="Z134" s="41"/>
      <c r="AA134" s="53"/>
      <c r="AB134" s="53"/>
      <c r="AC134" s="41"/>
      <c r="AD134" s="41"/>
      <c r="AE134" s="238"/>
      <c r="AF134" s="41"/>
      <c r="AG134" s="41"/>
      <c r="AH134" s="41"/>
      <c r="AI134" s="459"/>
      <c r="AJ134" s="41"/>
      <c r="AK134" s="41"/>
      <c r="AL134" s="41"/>
      <c r="AM134" s="41"/>
      <c r="AN134" s="89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37"/>
      <c r="BC134" s="57"/>
      <c r="BD134" s="55"/>
      <c r="BE134" s="55"/>
      <c r="BF134" s="55"/>
    </row>
    <row r="135" spans="1:58" ht="12.95" customHeight="1">
      <c r="A135" s="44">
        <v>46141</v>
      </c>
      <c r="B135" s="45" t="s">
        <v>798</v>
      </c>
      <c r="C135" s="450">
        <f>(M135*E135*O135*Q135)/100000000</f>
        <v>46.461480000000002</v>
      </c>
      <c r="D135" s="45" t="s">
        <v>408</v>
      </c>
      <c r="E135" s="46">
        <v>13</v>
      </c>
      <c r="F135" s="46">
        <v>1</v>
      </c>
      <c r="G135" s="47">
        <v>1500</v>
      </c>
      <c r="H135" s="48">
        <v>0.2</v>
      </c>
      <c r="I135" s="49">
        <v>0.88</v>
      </c>
      <c r="J135" s="88">
        <f>E135*G135*(1-H135)*1440/1000000*2.77</f>
        <v>62.225279999999998</v>
      </c>
      <c r="K135" s="88">
        <f>(IF(G135&lt;L135,L135,G135)*(1-IF(H135&lt;N135,H135,N135))*E135*O135*Q135)/100000000</f>
        <v>48.063600000000001</v>
      </c>
      <c r="L135" s="39">
        <v>1450</v>
      </c>
      <c r="M135" s="39">
        <v>1160</v>
      </c>
      <c r="N135" s="50">
        <f>1-(M135/L135)</f>
        <v>0.19999999999999996</v>
      </c>
      <c r="O135" s="51">
        <f>+'Trim Rwd'!H116</f>
        <v>260</v>
      </c>
      <c r="P135" s="52">
        <f>O135*(Q135-R135-S135)</f>
        <v>305240</v>
      </c>
      <c r="Q135" s="51">
        <f>1440-255</f>
        <v>1185</v>
      </c>
      <c r="R135" s="419">
        <f>255-255</f>
        <v>0</v>
      </c>
      <c r="S135" s="419">
        <v>11</v>
      </c>
      <c r="T135" s="41">
        <f>E135*M135*O135*Q135/100000000</f>
        <v>46.461480000000002</v>
      </c>
      <c r="U135" s="41">
        <f>E135*M135*O135*(Q135-R135-S135)/100000000</f>
        <v>46.030192</v>
      </c>
      <c r="V135" s="41">
        <f>E135*G135*(1-N135)*O135/100*(R135+S135)/1000000</f>
        <v>0.44616</v>
      </c>
      <c r="W135" s="41">
        <f>+'29'!K34/1000</f>
        <v>49.027999999999999</v>
      </c>
      <c r="X135" s="416">
        <f>SUM(W135:W138)/SUM(K135:K138)</f>
        <v>1.0200650804350901</v>
      </c>
      <c r="Y135" s="220">
        <v>0</v>
      </c>
      <c r="Z135" s="41">
        <f>+'29'!D34/1000</f>
        <v>1.1439999999999999</v>
      </c>
      <c r="AA135" s="53">
        <f>SUM(U135:U138)-SUM(W135:W138)-SUM(Z135:Z138)-SUM(Y135:Y138)</f>
        <v>-4.1418079999999993</v>
      </c>
      <c r="AB135" s="53">
        <f>(SUM(K135:K138)-SUM(W135:W138)-SUM(Y135:Y138)-SUM(Z135:Z138)-SUM(AC135:AC138)-SUM(V135:V138))-AA135</f>
        <v>-1.4871999999997776E-2</v>
      </c>
      <c r="AC135" s="41">
        <f>K135-T135</f>
        <v>1.6021199999999993</v>
      </c>
      <c r="AD135" s="41">
        <f>+AM135+BA135</f>
        <v>0</v>
      </c>
      <c r="AE135" s="238" t="s">
        <v>277</v>
      </c>
      <c r="AF135" s="41">
        <v>0</v>
      </c>
      <c r="AG135" s="41"/>
      <c r="AH135" s="41"/>
      <c r="AI135" s="459"/>
      <c r="AJ135" s="41"/>
      <c r="AK135" s="41"/>
      <c r="AL135" s="41"/>
      <c r="AM135" s="41">
        <f>SUM(AF135:AL135)+AT135+AV135+AX135</f>
        <v>0</v>
      </c>
      <c r="AN135" s="89"/>
      <c r="AO135" s="41"/>
      <c r="AP135" s="41"/>
      <c r="AQ135" s="41"/>
      <c r="AR135" s="41">
        <f>SUM(AN135:AQ135)</f>
        <v>0</v>
      </c>
      <c r="AS135" s="41"/>
      <c r="AT135" s="41"/>
      <c r="AU135" s="41"/>
      <c r="AV135" s="41"/>
      <c r="AW135" s="41"/>
      <c r="AX135" s="41"/>
      <c r="AY135" s="41"/>
      <c r="AZ135" s="41"/>
      <c r="BA135" s="41">
        <f>+AR135+AS135+AU135+AW135+AY135+AZ135</f>
        <v>0</v>
      </c>
      <c r="BB135" s="54">
        <v>0</v>
      </c>
      <c r="BC135" s="55"/>
      <c r="BD135" s="55"/>
      <c r="BE135" s="55"/>
      <c r="BF135" s="55"/>
    </row>
    <row r="136" spans="1:58" ht="12.95" customHeight="1">
      <c r="A136" s="44"/>
      <c r="B136" s="45"/>
      <c r="C136" s="450"/>
      <c r="D136" s="45"/>
      <c r="E136" s="46"/>
      <c r="F136" s="46"/>
      <c r="G136" s="47"/>
      <c r="H136" s="48"/>
      <c r="I136" s="49"/>
      <c r="J136" s="88"/>
      <c r="K136" s="88"/>
      <c r="L136" s="39"/>
      <c r="M136" s="39"/>
      <c r="N136" s="50"/>
      <c r="O136" s="51"/>
      <c r="P136" s="52"/>
      <c r="Q136" s="51"/>
      <c r="R136" s="419"/>
      <c r="S136" s="419"/>
      <c r="T136" s="41"/>
      <c r="U136" s="41"/>
      <c r="V136" s="41"/>
      <c r="W136" s="41"/>
      <c r="X136" s="42"/>
      <c r="Y136" s="220"/>
      <c r="Z136" s="41"/>
      <c r="AA136" s="41"/>
      <c r="AB136" s="41"/>
      <c r="AC136" s="41"/>
      <c r="AD136" s="41">
        <f>+AM136+BA136</f>
        <v>4</v>
      </c>
      <c r="AE136" s="238" t="s">
        <v>450</v>
      </c>
      <c r="AF136" s="37"/>
      <c r="AG136" s="37">
        <v>4</v>
      </c>
      <c r="AH136" s="37"/>
      <c r="AJ136" s="41"/>
      <c r="AK136" s="41"/>
      <c r="AL136" s="41"/>
      <c r="AM136" s="41">
        <f>SUM(AF136:AL136)+AT136+AV136+AX136</f>
        <v>4</v>
      </c>
      <c r="AN136" s="41"/>
      <c r="AO136" s="41"/>
      <c r="AP136" s="41"/>
      <c r="AQ136" s="41"/>
      <c r="AR136" s="41">
        <f>SUM(AN136:AQ136)</f>
        <v>0</v>
      </c>
      <c r="AS136" s="41"/>
      <c r="AT136" s="41"/>
      <c r="AU136" s="41"/>
      <c r="AV136" s="41"/>
      <c r="AW136" s="41"/>
      <c r="AX136" s="41"/>
      <c r="AY136" s="41"/>
      <c r="AZ136" s="41"/>
      <c r="BA136" s="41">
        <f>+AR136+AS136+AU136+AW136+AY136+AZ136</f>
        <v>0</v>
      </c>
      <c r="BB136" s="37"/>
      <c r="BC136" s="55">
        <v>11</v>
      </c>
      <c r="BD136" s="55"/>
      <c r="BE136" s="55"/>
      <c r="BF136" s="55"/>
    </row>
    <row r="137" spans="1:58" ht="12.95" customHeight="1">
      <c r="A137" s="343"/>
      <c r="B137" s="45"/>
      <c r="C137" s="450"/>
      <c r="D137" s="45"/>
      <c r="E137" s="46"/>
      <c r="F137" s="46"/>
      <c r="G137" s="47"/>
      <c r="H137" s="48"/>
      <c r="I137" s="49"/>
      <c r="J137" s="88"/>
      <c r="K137" s="88"/>
      <c r="L137" s="39"/>
      <c r="M137" s="39"/>
      <c r="N137" s="50"/>
      <c r="O137" s="51"/>
      <c r="P137" s="52"/>
      <c r="Q137" s="51"/>
      <c r="R137" s="419"/>
      <c r="S137" s="419"/>
      <c r="T137" s="41"/>
      <c r="U137" s="41"/>
      <c r="V137" s="41"/>
      <c r="W137" s="41"/>
      <c r="X137" s="416"/>
      <c r="Y137" s="220"/>
      <c r="Z137" s="41"/>
      <c r="AA137" s="53"/>
      <c r="AB137" s="53"/>
      <c r="AC137" s="41"/>
      <c r="AD137" s="41">
        <f>+AM137+BA137</f>
        <v>7</v>
      </c>
      <c r="AE137" s="238" t="s">
        <v>810</v>
      </c>
      <c r="AF137" s="41"/>
      <c r="AG137" s="41"/>
      <c r="AH137" s="41">
        <v>7</v>
      </c>
      <c r="AI137" s="41"/>
      <c r="AJ137" s="41"/>
      <c r="AK137" s="41"/>
      <c r="AL137" s="41"/>
      <c r="AM137" s="41">
        <f>SUM(AF137:AL137)+AT137+AV137+AX137</f>
        <v>7</v>
      </c>
      <c r="AN137" s="41"/>
      <c r="AO137" s="41"/>
      <c r="AP137" s="41"/>
      <c r="AQ137" s="41"/>
      <c r="AR137" s="41">
        <f>SUM(AN137:AQ137)</f>
        <v>0</v>
      </c>
      <c r="AS137" s="41"/>
      <c r="AT137" s="41"/>
      <c r="AU137" s="41"/>
      <c r="AV137" s="41"/>
      <c r="AW137" s="41"/>
      <c r="AX137" s="41"/>
      <c r="AY137" s="41"/>
      <c r="AZ137" s="41"/>
      <c r="BA137" s="41">
        <f>+AR137+AS137+AU137+AW137+AY137+AZ137</f>
        <v>0</v>
      </c>
      <c r="BB137" s="37"/>
      <c r="BC137" s="55"/>
      <c r="BD137" s="55"/>
      <c r="BE137" s="55"/>
      <c r="BF137" s="55"/>
    </row>
    <row r="138" spans="1:58" ht="12.95" customHeight="1">
      <c r="A138" s="44"/>
      <c r="B138" s="45"/>
      <c r="C138" s="450"/>
      <c r="D138" s="45"/>
      <c r="E138" s="46"/>
      <c r="F138" s="46"/>
      <c r="G138" s="463"/>
      <c r="H138" s="48"/>
      <c r="I138" s="49"/>
      <c r="J138" s="88"/>
      <c r="K138" s="88"/>
      <c r="L138" s="39"/>
      <c r="M138" s="39"/>
      <c r="N138" s="50"/>
      <c r="O138" s="51"/>
      <c r="P138" s="52"/>
      <c r="Q138" s="51"/>
      <c r="R138" s="419"/>
      <c r="S138" s="419"/>
      <c r="T138" s="41"/>
      <c r="U138" s="41"/>
      <c r="V138" s="41"/>
      <c r="W138" s="41"/>
      <c r="X138" s="42"/>
      <c r="Y138" s="220"/>
      <c r="Z138" s="41"/>
      <c r="AA138" s="41"/>
      <c r="AB138" s="41"/>
      <c r="AC138" s="41"/>
      <c r="AD138" s="41">
        <f>+AM138+BA138</f>
        <v>0</v>
      </c>
      <c r="AE138" s="241" t="s">
        <v>807</v>
      </c>
      <c r="AF138" s="37"/>
      <c r="AG138" s="37"/>
      <c r="AH138" s="37"/>
      <c r="AI138" s="459"/>
      <c r="AJ138" s="41"/>
      <c r="AK138" s="41"/>
      <c r="AL138" s="41"/>
      <c r="AM138" s="41">
        <f>SUM(AF138:AL138)+AT138+AV138+AX138</f>
        <v>0</v>
      </c>
      <c r="AN138" s="41"/>
      <c r="AO138" s="41"/>
      <c r="AP138" s="41"/>
      <c r="AQ138" s="41"/>
      <c r="AR138" s="41">
        <f>SUM(AN138:AQ138)</f>
        <v>0</v>
      </c>
      <c r="AS138" s="41"/>
      <c r="AT138" s="41"/>
      <c r="AU138" s="41"/>
      <c r="AV138" s="41"/>
      <c r="AW138" s="41">
        <f>255-255</f>
        <v>0</v>
      </c>
      <c r="AX138" s="41"/>
      <c r="AY138" s="41"/>
      <c r="AZ138" s="41"/>
      <c r="BA138" s="41">
        <f>+AR138+AS138+AU138+AW138+AY138+AZ138</f>
        <v>0</v>
      </c>
      <c r="BB138" s="37"/>
      <c r="BC138" s="55"/>
      <c r="BD138" s="55">
        <v>1</v>
      </c>
      <c r="BE138" s="55"/>
      <c r="BF138" s="55"/>
    </row>
    <row r="139" spans="1:58" ht="12.95" customHeight="1">
      <c r="A139" s="44"/>
      <c r="B139" s="3"/>
      <c r="C139" s="450"/>
      <c r="D139" s="45"/>
      <c r="E139" s="255"/>
      <c r="F139" s="46"/>
      <c r="G139" s="47"/>
      <c r="H139" s="48"/>
      <c r="I139" s="49"/>
      <c r="J139" s="88"/>
      <c r="K139" s="88"/>
      <c r="L139" s="39"/>
      <c r="M139" s="39"/>
      <c r="N139" s="50"/>
      <c r="O139" s="51"/>
      <c r="P139" s="52"/>
      <c r="Q139" s="348"/>
      <c r="R139" s="54"/>
      <c r="S139" s="54"/>
      <c r="T139" s="41"/>
      <c r="U139" s="41"/>
      <c r="V139" s="41"/>
      <c r="W139" s="37"/>
      <c r="X139" s="42"/>
      <c r="Y139" s="42"/>
      <c r="Z139" s="37"/>
      <c r="AA139" s="53"/>
      <c r="AB139" s="53"/>
      <c r="AC139" s="41"/>
      <c r="AD139" s="41"/>
      <c r="AE139" s="22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37"/>
      <c r="BC139" s="55"/>
      <c r="BD139" s="55"/>
      <c r="BE139" s="55"/>
      <c r="BF139" s="55"/>
    </row>
    <row r="140" spans="1:58" ht="12.95" customHeight="1">
      <c r="A140" s="44">
        <v>46142</v>
      </c>
      <c r="B140" s="45" t="s">
        <v>798</v>
      </c>
      <c r="C140" s="450">
        <f>(M140*E140*O140*Q140)/100000000</f>
        <v>49.333939200000003</v>
      </c>
      <c r="D140" s="45" t="s">
        <v>408</v>
      </c>
      <c r="E140" s="46">
        <v>13</v>
      </c>
      <c r="F140" s="46">
        <v>1</v>
      </c>
      <c r="G140" s="47">
        <v>1500</v>
      </c>
      <c r="H140" s="48">
        <v>0.2</v>
      </c>
      <c r="I140" s="49">
        <v>0.88</v>
      </c>
      <c r="J140" s="88">
        <f>E140*G140*(1-H140)*1440/1000000*2.77</f>
        <v>62.225279999999998</v>
      </c>
      <c r="K140" s="88">
        <f>(IF(G140&lt;L140,L140,G140)*(1-IF(H140&lt;N140,H140,N140))*E140*O140*Q140)/100000000</f>
        <v>51.26784</v>
      </c>
      <c r="L140" s="39">
        <v>1443.4177215189873</v>
      </c>
      <c r="M140" s="39">
        <v>1154.7341772151899</v>
      </c>
      <c r="N140" s="50">
        <f>1-(M140/L140)</f>
        <v>0.19999999999999996</v>
      </c>
      <c r="O140" s="51">
        <f>+'Trim Rwd'!H119</f>
        <v>260</v>
      </c>
      <c r="P140" s="52">
        <f>O140*(Q140-R140-S140)</f>
        <v>323700</v>
      </c>
      <c r="Q140" s="51">
        <f>1440-176</f>
        <v>1264</v>
      </c>
      <c r="R140" s="419">
        <f>176-176</f>
        <v>0</v>
      </c>
      <c r="S140" s="419">
        <v>19</v>
      </c>
      <c r="T140" s="41">
        <f>E140*M140*O140*Q140/100000000</f>
        <v>49.333939200000003</v>
      </c>
      <c r="U140" s="41">
        <f>E140*M140*O140*(Q140-R140-S140)/100000000</f>
        <v>48.592368911392406</v>
      </c>
      <c r="V140" s="41">
        <f>E140*G140*(1-N140)*O140/100*(R140+S140)/1000000</f>
        <v>0.77063999999999999</v>
      </c>
      <c r="W140" s="41">
        <f>+'30'!K34/1000</f>
        <v>51.228000000000002</v>
      </c>
      <c r="X140" s="416">
        <f>SUM(W140:W143)/SUM(K140:K143)</f>
        <v>0.99922290465133701</v>
      </c>
      <c r="Y140" s="626">
        <f>+SUM(RBP!$AG$3:$AG$4)</f>
        <v>6.9</v>
      </c>
      <c r="Z140" s="41">
        <f>+'30'!D34/1000</f>
        <v>0.627</v>
      </c>
      <c r="AA140" s="53">
        <f>SUM(U140:U143)-SUM(W140:W143)-SUM(Z140:Z143)-SUM(Y140:Y143)</f>
        <v>-10.162631088607597</v>
      </c>
      <c r="AB140" s="53">
        <f>(SUM(K140:K143)-SUM(W140:W143)-SUM(Y140:Y143)-SUM(Z140:Z143)-SUM(AC140:AC143)-SUM(V140:V143))-AA140</f>
        <v>-2.9069711392402553E-2</v>
      </c>
      <c r="AC140" s="41">
        <f>K140-T140</f>
        <v>1.9339007999999964</v>
      </c>
      <c r="AD140" s="41">
        <f>+AM140+BA140</f>
        <v>0</v>
      </c>
      <c r="AE140" s="238" t="s">
        <v>277</v>
      </c>
      <c r="AF140" s="41">
        <v>0</v>
      </c>
      <c r="AG140" s="41"/>
      <c r="AH140" s="41"/>
      <c r="AI140" s="459"/>
      <c r="AJ140" s="41"/>
      <c r="AK140" s="41"/>
      <c r="AL140" s="41"/>
      <c r="AM140" s="41">
        <f>SUM(AF140:AL140)+AT140+AV140+AX140</f>
        <v>0</v>
      </c>
      <c r="AN140" s="89"/>
      <c r="AO140" s="41"/>
      <c r="AP140" s="41"/>
      <c r="AQ140" s="41"/>
      <c r="AR140" s="41">
        <f>SUM(AN140:AQ140)</f>
        <v>0</v>
      </c>
      <c r="AS140" s="41"/>
      <c r="AT140" s="41"/>
      <c r="AU140" s="41"/>
      <c r="AV140" s="41"/>
      <c r="AW140" s="41"/>
      <c r="AX140" s="41"/>
      <c r="AY140" s="41"/>
      <c r="AZ140" s="41"/>
      <c r="BA140" s="41">
        <f>+AR140+AS140+AU140+AW140+AY140+AZ140</f>
        <v>0</v>
      </c>
      <c r="BB140" s="54">
        <v>0</v>
      </c>
      <c r="BC140" s="55"/>
      <c r="BD140" s="55"/>
      <c r="BE140" s="55"/>
      <c r="BF140" s="55"/>
    </row>
    <row r="141" spans="1:58" ht="12.95" customHeight="1">
      <c r="A141" s="44"/>
      <c r="B141" s="45"/>
      <c r="C141" s="450"/>
      <c r="D141" s="45"/>
      <c r="E141" s="46"/>
      <c r="F141" s="46"/>
      <c r="G141" s="47"/>
      <c r="H141" s="48"/>
      <c r="I141" s="49"/>
      <c r="J141" s="88"/>
      <c r="K141" s="88"/>
      <c r="L141" s="39"/>
      <c r="M141" s="39"/>
      <c r="N141" s="50"/>
      <c r="O141" s="51"/>
      <c r="P141" s="52"/>
      <c r="Q141" s="51"/>
      <c r="R141" s="419"/>
      <c r="S141" s="419"/>
      <c r="T141" s="41"/>
      <c r="U141" s="41"/>
      <c r="V141" s="41"/>
      <c r="W141" s="41"/>
      <c r="X141" s="42"/>
      <c r="Y141" s="220"/>
      <c r="Z141" s="41"/>
      <c r="AA141" s="41"/>
      <c r="AB141" s="41"/>
      <c r="AC141" s="41"/>
      <c r="AD141" s="41">
        <f>+AM141+BA141</f>
        <v>8</v>
      </c>
      <c r="AE141" s="238" t="s">
        <v>723</v>
      </c>
      <c r="AF141" s="37"/>
      <c r="AG141" s="37">
        <v>8</v>
      </c>
      <c r="AH141" s="37"/>
      <c r="AJ141" s="41"/>
      <c r="AK141" s="41"/>
      <c r="AL141" s="41"/>
      <c r="AM141" s="41">
        <f>SUM(AF141:AL141)+AT141+AV141+AX141</f>
        <v>8</v>
      </c>
      <c r="AN141" s="41"/>
      <c r="AO141" s="41"/>
      <c r="AP141" s="41"/>
      <c r="AQ141" s="41"/>
      <c r="AR141" s="41">
        <f>SUM(AN141:AQ141)</f>
        <v>0</v>
      </c>
      <c r="AS141" s="41"/>
      <c r="AT141" s="41"/>
      <c r="AU141" s="41"/>
      <c r="AV141" s="41"/>
      <c r="AW141" s="41"/>
      <c r="AX141" s="41"/>
      <c r="AY141" s="41"/>
      <c r="AZ141" s="41"/>
      <c r="BA141" s="41">
        <f>+AR141+AS141+AU141+AW141+AY141+AZ141</f>
        <v>0</v>
      </c>
      <c r="BB141" s="37"/>
      <c r="BC141" s="55">
        <v>8</v>
      </c>
      <c r="BD141" s="55"/>
      <c r="BE141" s="55"/>
      <c r="BF141" s="55"/>
    </row>
    <row r="142" spans="1:58" ht="12.95" customHeight="1">
      <c r="A142" s="343"/>
      <c r="B142" s="45"/>
      <c r="C142" s="450"/>
      <c r="D142" s="45"/>
      <c r="E142" s="46"/>
      <c r="F142" s="46"/>
      <c r="G142" s="47"/>
      <c r="H142" s="48"/>
      <c r="I142" s="49"/>
      <c r="J142" s="88"/>
      <c r="K142" s="88"/>
      <c r="L142" s="39"/>
      <c r="M142" s="39"/>
      <c r="N142" s="50"/>
      <c r="O142" s="51"/>
      <c r="P142" s="52"/>
      <c r="Q142" s="51"/>
      <c r="R142" s="419"/>
      <c r="S142" s="419"/>
      <c r="T142" s="41"/>
      <c r="U142" s="41"/>
      <c r="V142" s="41"/>
      <c r="W142" s="41"/>
      <c r="X142" s="416"/>
      <c r="Y142" s="220"/>
      <c r="Z142" s="41"/>
      <c r="AA142" s="53"/>
      <c r="AB142" s="53"/>
      <c r="AC142" s="41"/>
      <c r="AD142" s="41">
        <f>+AM142+BA142</f>
        <v>11</v>
      </c>
      <c r="AE142" s="238" t="s">
        <v>819</v>
      </c>
      <c r="AF142" s="41"/>
      <c r="AG142" s="41"/>
      <c r="AH142" s="41">
        <v>11</v>
      </c>
      <c r="AI142" s="41"/>
      <c r="AJ142" s="41"/>
      <c r="AK142" s="41"/>
      <c r="AL142" s="41"/>
      <c r="AM142" s="41">
        <f>SUM(AF142:AL142)+AT142+AV142+AX142</f>
        <v>11</v>
      </c>
      <c r="AN142" s="41"/>
      <c r="AO142" s="41"/>
      <c r="AP142" s="41"/>
      <c r="AQ142" s="41"/>
      <c r="AR142" s="41">
        <f>SUM(AN142:AQ142)</f>
        <v>0</v>
      </c>
      <c r="AS142" s="41"/>
      <c r="AT142" s="41"/>
      <c r="AU142" s="41"/>
      <c r="AV142" s="41"/>
      <c r="AW142" s="41"/>
      <c r="AX142" s="41"/>
      <c r="AY142" s="41"/>
      <c r="AZ142" s="41"/>
      <c r="BA142" s="41">
        <f>+AR142+AS142+AU142+AW142+AY142+AZ142</f>
        <v>0</v>
      </c>
      <c r="BB142" s="37"/>
      <c r="BC142" s="55"/>
      <c r="BD142" s="55"/>
      <c r="BE142" s="55"/>
      <c r="BF142" s="55"/>
    </row>
    <row r="143" spans="1:58" ht="12.95" customHeight="1">
      <c r="A143" s="44"/>
      <c r="B143" s="45"/>
      <c r="C143" s="450"/>
      <c r="D143" s="45"/>
      <c r="E143" s="46"/>
      <c r="F143" s="46"/>
      <c r="G143" s="463"/>
      <c r="H143" s="48"/>
      <c r="I143" s="49"/>
      <c r="J143" s="88"/>
      <c r="K143" s="88"/>
      <c r="L143" s="39"/>
      <c r="M143" s="39"/>
      <c r="N143" s="50"/>
      <c r="O143" s="51"/>
      <c r="P143" s="52"/>
      <c r="Q143" s="51"/>
      <c r="R143" s="419"/>
      <c r="S143" s="419"/>
      <c r="T143" s="41"/>
      <c r="U143" s="41"/>
      <c r="V143" s="41"/>
      <c r="W143" s="41"/>
      <c r="X143" s="42"/>
      <c r="Y143" s="220"/>
      <c r="Z143" s="41"/>
      <c r="AA143" s="41"/>
      <c r="AB143" s="41"/>
      <c r="AC143" s="41"/>
      <c r="AD143" s="41">
        <f>+AM143+BA143</f>
        <v>0</v>
      </c>
      <c r="AE143" s="238" t="s">
        <v>812</v>
      </c>
      <c r="AF143" s="37"/>
      <c r="AG143" s="37"/>
      <c r="AH143" s="37"/>
      <c r="AI143" s="459"/>
      <c r="AJ143" s="41"/>
      <c r="AK143" s="41"/>
      <c r="AL143" s="41"/>
      <c r="AM143" s="41">
        <f>SUM(AF143:AL143)+AT143+AV143+AX143</f>
        <v>0</v>
      </c>
      <c r="AN143" s="41"/>
      <c r="AO143" s="41"/>
      <c r="AP143" s="41"/>
      <c r="AQ143" s="41"/>
      <c r="AR143" s="41">
        <f>SUM(AN143:AQ143)</f>
        <v>0</v>
      </c>
      <c r="AS143" s="41"/>
      <c r="AT143" s="41"/>
      <c r="AU143" s="41"/>
      <c r="AV143" s="41"/>
      <c r="AW143" s="41">
        <f>176-176</f>
        <v>0</v>
      </c>
      <c r="AX143" s="41"/>
      <c r="AY143" s="41"/>
      <c r="AZ143" s="41"/>
      <c r="BA143" s="41">
        <f>+AR143+AS143+AU143+AW143+AY143+AZ143</f>
        <v>0</v>
      </c>
      <c r="BB143" s="37"/>
      <c r="BC143" s="55"/>
      <c r="BD143" s="55">
        <v>1</v>
      </c>
      <c r="BE143" s="55"/>
      <c r="BF143" s="55"/>
    </row>
    <row r="144" spans="1:58" ht="12.95" customHeight="1">
      <c r="A144" s="44"/>
      <c r="B144" s="45"/>
      <c r="C144" s="450"/>
      <c r="D144" s="45"/>
      <c r="E144" s="46"/>
      <c r="F144" s="46"/>
      <c r="G144" s="463"/>
      <c r="H144" s="48"/>
      <c r="I144" s="49"/>
      <c r="J144" s="88"/>
      <c r="K144" s="88"/>
      <c r="L144" s="39"/>
      <c r="M144" s="39"/>
      <c r="N144" s="50"/>
      <c r="O144" s="51"/>
      <c r="P144" s="52"/>
      <c r="Q144" s="51"/>
      <c r="R144" s="419"/>
      <c r="S144" s="419"/>
      <c r="T144" s="41"/>
      <c r="U144" s="41"/>
      <c r="V144" s="41"/>
      <c r="W144" s="37"/>
      <c r="X144" s="42"/>
      <c r="Y144" s="42"/>
      <c r="Z144" s="37"/>
      <c r="AA144" s="41"/>
      <c r="AB144" s="41"/>
      <c r="AC144" s="41"/>
      <c r="AD144" s="41"/>
      <c r="AE144" s="238"/>
      <c r="AF144" s="37"/>
      <c r="AG144" s="37"/>
      <c r="AH144" s="37"/>
      <c r="AI144" s="625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37"/>
      <c r="BC144" s="55"/>
      <c r="BD144" s="55"/>
      <c r="BE144" s="55"/>
      <c r="BF144" s="55"/>
    </row>
    <row r="145" spans="1:58" ht="12" customHeight="1">
      <c r="A145" s="37"/>
      <c r="B145" s="37"/>
      <c r="C145" s="37"/>
      <c r="D145" s="37"/>
      <c r="E145" s="37"/>
      <c r="F145" s="627"/>
      <c r="G145" s="37"/>
      <c r="H145" s="37"/>
      <c r="I145" s="37"/>
      <c r="J145" s="628"/>
      <c r="K145" s="628"/>
      <c r="L145" s="39"/>
      <c r="M145" s="39"/>
      <c r="N145" s="37"/>
      <c r="O145" s="37"/>
      <c r="P145" s="37"/>
      <c r="Q145" s="348"/>
      <c r="R145" s="54"/>
      <c r="S145" s="54"/>
      <c r="T145" s="37"/>
      <c r="U145" s="37"/>
      <c r="V145" s="37"/>
      <c r="AA145" s="53">
        <f>U145-W145-Z145</f>
        <v>0</v>
      </c>
      <c r="AB145" s="53"/>
      <c r="AC145" s="41">
        <f>K145-T145</f>
        <v>0</v>
      </c>
      <c r="AD145" s="41"/>
      <c r="AE145" s="37"/>
      <c r="AF145" s="56"/>
      <c r="AG145" s="56"/>
      <c r="AH145" s="56"/>
      <c r="AI145" s="56"/>
      <c r="AJ145" s="56"/>
      <c r="AK145" s="56"/>
      <c r="AL145" s="56"/>
      <c r="AM145" s="41">
        <f t="shared" ref="AM145" si="12">SUM(AF145:AL145)</f>
        <v>0</v>
      </c>
      <c r="AN145" s="56"/>
      <c r="AO145" s="56"/>
      <c r="AP145" s="56"/>
      <c r="AQ145" s="56"/>
      <c r="AR145" s="41">
        <f t="shared" ref="AR145" si="13">SUM(AN145:AQ145)</f>
        <v>0</v>
      </c>
      <c r="AS145" s="56"/>
      <c r="AT145" s="56"/>
      <c r="AU145" s="56"/>
      <c r="AV145" s="56"/>
      <c r="AW145" s="56"/>
      <c r="AX145" s="56"/>
      <c r="AY145" s="56"/>
      <c r="AZ145" s="56"/>
      <c r="BA145" s="41"/>
      <c r="BB145" s="37"/>
      <c r="BC145" s="55"/>
      <c r="BD145" s="55"/>
      <c r="BE145" s="55"/>
      <c r="BF145" s="55"/>
    </row>
    <row r="146" spans="1:58" s="29" customFormat="1" ht="12.95" customHeight="1">
      <c r="A146" s="62"/>
      <c r="B146" s="63"/>
      <c r="C146" s="451">
        <f>SUM(C6:C143)</f>
        <v>2035.6370104413929</v>
      </c>
      <c r="D146" s="63"/>
      <c r="E146" s="64"/>
      <c r="F146" s="64"/>
      <c r="G146" s="65"/>
      <c r="H146" s="65"/>
      <c r="I146" s="66">
        <v>0.85</v>
      </c>
      <c r="J146" s="88"/>
      <c r="K146" s="90">
        <f>SUM(K6:K143)</f>
        <v>2074.4140493610266</v>
      </c>
      <c r="L146" s="68"/>
      <c r="M146" s="68"/>
      <c r="N146" s="69"/>
      <c r="O146" s="70">
        <f>P146/(Q146-R146-S146)</f>
        <v>267.57245591035064</v>
      </c>
      <c r="P146" s="67">
        <f>SUM(P6:P143)</f>
        <v>11019168.87930006</v>
      </c>
      <c r="Q146" s="350">
        <f>SUM(Q6:Q145)</f>
        <v>42400</v>
      </c>
      <c r="R146" s="67">
        <f t="shared" ref="R146:V146" si="14">SUM(R6:R143)</f>
        <v>256</v>
      </c>
      <c r="S146" s="67">
        <f t="shared" si="14"/>
        <v>962</v>
      </c>
      <c r="T146" s="67">
        <f t="shared" si="14"/>
        <v>2035.6370104413929</v>
      </c>
      <c r="U146" s="67">
        <f t="shared" si="14"/>
        <v>1981.3961855067078</v>
      </c>
      <c r="V146" s="375">
        <f t="shared" si="14"/>
        <v>55.897688837469182</v>
      </c>
      <c r="W146" s="462">
        <f t="shared" ref="W146" si="15">SUM(W6:W144)</f>
        <v>1962.1950000000006</v>
      </c>
      <c r="X146" s="379">
        <f>W146/K146</f>
        <v>0.94590325427289101</v>
      </c>
      <c r="Y146" s="376">
        <f>SUM(Y6:Y144)</f>
        <v>6.9</v>
      </c>
      <c r="Z146" s="462">
        <f>SUM(Z6:Z144)</f>
        <v>15.998999999999997</v>
      </c>
      <c r="AA146" s="67">
        <f>SUM(AA6:AA143)</f>
        <v>-3.6978144932921939</v>
      </c>
      <c r="AB146" s="67">
        <f>SUM(AB6:AB143)</f>
        <v>-1.6568639027845211</v>
      </c>
      <c r="AC146" s="67">
        <f>SUM(AC6:AC143)</f>
        <v>38.777038919633561</v>
      </c>
      <c r="AD146" s="41">
        <f>SUM(AD6:AD145)</f>
        <v>1218</v>
      </c>
      <c r="AE146" s="71"/>
      <c r="AF146" s="67">
        <f t="shared" ref="AF146:BA146" si="16">SUM(AF6:AF145)</f>
        <v>65</v>
      </c>
      <c r="AG146" s="67">
        <f t="shared" si="16"/>
        <v>220</v>
      </c>
      <c r="AH146" s="67">
        <f t="shared" si="16"/>
        <v>521</v>
      </c>
      <c r="AI146" s="67">
        <f t="shared" si="16"/>
        <v>141</v>
      </c>
      <c r="AJ146" s="67">
        <f t="shared" si="16"/>
        <v>0</v>
      </c>
      <c r="AK146" s="67">
        <f t="shared" si="16"/>
        <v>15</v>
      </c>
      <c r="AL146" s="67">
        <f t="shared" si="16"/>
        <v>0</v>
      </c>
      <c r="AM146" s="67">
        <f t="shared" si="16"/>
        <v>962</v>
      </c>
      <c r="AN146" s="56">
        <f t="shared" si="16"/>
        <v>0</v>
      </c>
      <c r="AO146" s="56">
        <f t="shared" si="16"/>
        <v>0</v>
      </c>
      <c r="AP146" s="56">
        <f t="shared" si="16"/>
        <v>40</v>
      </c>
      <c r="AQ146" s="56">
        <f t="shared" si="16"/>
        <v>0</v>
      </c>
      <c r="AR146" s="67">
        <f t="shared" si="16"/>
        <v>40</v>
      </c>
      <c r="AS146" s="67">
        <f t="shared" si="16"/>
        <v>0</v>
      </c>
      <c r="AT146" s="67">
        <f t="shared" si="16"/>
        <v>0</v>
      </c>
      <c r="AU146" s="67">
        <f t="shared" si="16"/>
        <v>0</v>
      </c>
      <c r="AV146" s="67">
        <f t="shared" si="16"/>
        <v>0</v>
      </c>
      <c r="AW146" s="67">
        <f t="shared" si="16"/>
        <v>0</v>
      </c>
      <c r="AX146" s="67">
        <f t="shared" si="16"/>
        <v>0</v>
      </c>
      <c r="AY146" s="67">
        <f t="shared" si="16"/>
        <v>216</v>
      </c>
      <c r="AZ146" s="67">
        <f t="shared" si="16"/>
        <v>0</v>
      </c>
      <c r="BA146" s="67">
        <f t="shared" si="16"/>
        <v>256</v>
      </c>
      <c r="BB146" s="37"/>
      <c r="BC146" s="55"/>
      <c r="BD146" s="55"/>
      <c r="BE146" s="55"/>
      <c r="BF146" s="55"/>
    </row>
    <row r="147" spans="1:58" s="29" customFormat="1" ht="12.95" customHeight="1">
      <c r="A147" s="62"/>
      <c r="B147" s="63"/>
      <c r="C147" s="63"/>
      <c r="D147" s="63"/>
      <c r="E147" s="64"/>
      <c r="F147" s="64"/>
      <c r="G147" s="65"/>
      <c r="H147" s="65"/>
      <c r="I147" s="65"/>
      <c r="J147" s="91"/>
      <c r="K147" s="91"/>
      <c r="L147" s="68"/>
      <c r="M147" s="68"/>
      <c r="N147" s="69"/>
      <c r="O147" s="918"/>
      <c r="P147" s="919"/>
      <c r="Q147" s="65">
        <f>30*1440-Q146</f>
        <v>800</v>
      </c>
      <c r="R147" s="72">
        <f>R146/Q146</f>
        <v>6.0377358490566035E-3</v>
      </c>
      <c r="S147" s="72">
        <f>S146/Q146</f>
        <v>2.2688679245283019E-2</v>
      </c>
      <c r="T147" s="361"/>
      <c r="U147" s="361"/>
      <c r="V147" s="363">
        <f>V146/K146</f>
        <v>2.6946254463850707E-2</v>
      </c>
      <c r="W147" s="380" t="s">
        <v>174</v>
      </c>
      <c r="X147" s="381">
        <v>0.85</v>
      </c>
      <c r="Y147" s="377">
        <f>Y146/K146</f>
        <v>3.3262404880671625E-3</v>
      </c>
      <c r="Z147" s="73">
        <f>Z146/K146</f>
        <v>7.7125393577661622E-3</v>
      </c>
      <c r="AA147" s="73">
        <f>AA146/K146</f>
        <v>-1.7825826499927614E-3</v>
      </c>
      <c r="AB147" s="73">
        <f>AB146/K146</f>
        <v>-7.9871417342881868E-4</v>
      </c>
      <c r="AC147" s="96">
        <f>AC146/K146</f>
        <v>1.8693008240846565E-2</v>
      </c>
      <c r="AD147" s="364"/>
      <c r="AE147" s="43"/>
      <c r="AF147" s="73">
        <f>AF146/$AD$146*$V$147</f>
        <v>1.438018505870522E-3</v>
      </c>
      <c r="AG147" s="73">
        <f>AG146/$AD$146*$V$147</f>
        <v>4.8671395583309981E-3</v>
      </c>
      <c r="AH147" s="73">
        <f>AH146/$AD$146*$V$147</f>
        <v>1.1526271408592954E-2</v>
      </c>
      <c r="AI147" s="73">
        <f>AI146/$AD$146*$V$147</f>
        <v>3.119393989657594E-3</v>
      </c>
      <c r="AJ147" s="73">
        <f t="shared" ref="AJ147:BA147" si="17">AJ146/$AD$146*$V$147</f>
        <v>0</v>
      </c>
      <c r="AK147" s="73">
        <f t="shared" si="17"/>
        <v>3.31850424431659E-4</v>
      </c>
      <c r="AL147" s="73">
        <f t="shared" si="17"/>
        <v>0</v>
      </c>
      <c r="AM147" s="73">
        <f t="shared" si="17"/>
        <v>2.1282673886883728E-2</v>
      </c>
      <c r="AN147" s="73">
        <f t="shared" si="17"/>
        <v>0</v>
      </c>
      <c r="AO147" s="73">
        <f t="shared" si="17"/>
        <v>0</v>
      </c>
      <c r="AP147" s="73">
        <f t="shared" si="17"/>
        <v>8.8493446515109059E-4</v>
      </c>
      <c r="AQ147" s="73">
        <f t="shared" si="17"/>
        <v>0</v>
      </c>
      <c r="AR147" s="73">
        <f t="shared" si="17"/>
        <v>8.8493446515109059E-4</v>
      </c>
      <c r="AS147" s="73">
        <f t="shared" si="17"/>
        <v>0</v>
      </c>
      <c r="AT147" s="73">
        <f t="shared" si="17"/>
        <v>0</v>
      </c>
      <c r="AU147" s="73">
        <f t="shared" si="17"/>
        <v>0</v>
      </c>
      <c r="AV147" s="73">
        <f>AV146/$AD$146*$V$147</f>
        <v>0</v>
      </c>
      <c r="AW147" s="73">
        <f>AW146/$AD$146*$V$147</f>
        <v>0</v>
      </c>
      <c r="AX147" s="73">
        <f>AX146/$AD$146*$V$147</f>
        <v>0</v>
      </c>
      <c r="AY147" s="73">
        <f>AY146/$AD$146*$V$147</f>
        <v>4.7786461118158891E-3</v>
      </c>
      <c r="AZ147" s="73">
        <f>AZ146/$AD$146*$V$147</f>
        <v>0</v>
      </c>
      <c r="BA147" s="73">
        <f t="shared" si="17"/>
        <v>5.6635805769669791E-3</v>
      </c>
      <c r="BB147" s="37"/>
      <c r="BC147" s="55"/>
      <c r="BD147" s="55"/>
      <c r="BE147" s="55"/>
      <c r="BF147" s="55"/>
    </row>
    <row r="148" spans="1:58" ht="12.95" customHeight="1">
      <c r="A148" s="62"/>
      <c r="B148" s="63"/>
      <c r="C148" s="63"/>
      <c r="D148" s="63"/>
      <c r="E148" s="64"/>
      <c r="F148" s="64"/>
      <c r="G148" s="38"/>
      <c r="H148" s="38"/>
      <c r="I148" s="38"/>
      <c r="J148" s="88"/>
      <c r="K148" s="88"/>
      <c r="L148" s="39"/>
      <c r="M148" s="39"/>
      <c r="N148" s="37"/>
      <c r="O148" s="40"/>
      <c r="P148" s="32"/>
      <c r="Q148" s="38"/>
      <c r="R148" s="95">
        <f>R146-(BA146)</f>
        <v>0</v>
      </c>
      <c r="S148" s="95">
        <f>+S146-AM146</f>
        <v>0</v>
      </c>
      <c r="T148" s="37"/>
      <c r="U148" s="37"/>
      <c r="V148" s="37"/>
      <c r="W148" s="41">
        <f>+W146-'31'!$M$34/1000</f>
        <v>0</v>
      </c>
      <c r="X148" s="378"/>
      <c r="Y148" s="74">
        <f>+Y146-SUM(RBP!AG3:AG4)</f>
        <v>0</v>
      </c>
      <c r="Z148" s="41">
        <f>+Z146-'31'!J56/1000</f>
        <v>0</v>
      </c>
      <c r="AA148" s="37"/>
      <c r="AB148" s="37"/>
      <c r="AC148" s="37"/>
      <c r="AD148" s="37"/>
      <c r="AE148" s="43"/>
      <c r="AF148" s="351"/>
      <c r="AG148" s="351"/>
      <c r="AH148" s="351"/>
      <c r="AI148" s="351"/>
      <c r="AJ148" s="83"/>
      <c r="AK148" s="83"/>
      <c r="AL148" s="83"/>
      <c r="AM148" s="83"/>
      <c r="AN148" s="83"/>
      <c r="AO148" s="83"/>
      <c r="AP148" s="83"/>
      <c r="AQ148" s="83"/>
      <c r="AR148" s="83"/>
      <c r="AS148" s="83"/>
      <c r="AT148" s="571">
        <v>0</v>
      </c>
      <c r="AU148" s="571">
        <v>0</v>
      </c>
      <c r="AV148" s="571">
        <v>0</v>
      </c>
      <c r="AW148" s="571">
        <v>501</v>
      </c>
      <c r="AX148" s="571">
        <v>0</v>
      </c>
      <c r="AY148" s="571">
        <v>515</v>
      </c>
      <c r="AZ148" s="571">
        <v>0</v>
      </c>
      <c r="BA148" s="83"/>
    </row>
    <row r="149" spans="1:58" ht="12" customHeight="1">
      <c r="A149" s="75"/>
      <c r="B149" s="76"/>
      <c r="C149" s="76"/>
      <c r="D149" s="76"/>
      <c r="E149" s="77"/>
      <c r="F149" s="77"/>
      <c r="G149" s="78"/>
      <c r="H149" s="78"/>
      <c r="I149" s="78"/>
      <c r="J149" s="92"/>
      <c r="K149" s="92"/>
      <c r="O149" s="79"/>
      <c r="P149" s="80"/>
      <c r="Q149" s="78"/>
      <c r="R149" s="59"/>
      <c r="S149" s="59"/>
      <c r="U149" s="81"/>
      <c r="V149" s="81"/>
      <c r="W149" s="82" t="s">
        <v>120</v>
      </c>
      <c r="X149" s="94">
        <f>W146/U146</f>
        <v>0.99030926492785354</v>
      </c>
      <c r="Y149" s="94"/>
      <c r="Z149" s="59"/>
      <c r="AD149" s="89"/>
      <c r="AE149" s="84"/>
      <c r="AF149" s="85"/>
      <c r="AG149" s="85"/>
      <c r="AH149" s="85"/>
      <c r="AI149" s="85"/>
      <c r="AJ149" s="85"/>
      <c r="AK149" s="85"/>
      <c r="AL149" s="85"/>
      <c r="AM149" s="85"/>
      <c r="AN149" s="83"/>
      <c r="AO149" s="83"/>
      <c r="AP149" s="83"/>
      <c r="AQ149" s="83"/>
      <c r="AR149" s="83"/>
      <c r="AS149" s="85"/>
      <c r="AT149" s="85"/>
      <c r="AU149" s="85"/>
      <c r="AV149" s="85"/>
      <c r="AW149" s="85"/>
      <c r="AX149" s="571">
        <f>0.5%*1440*30</f>
        <v>216</v>
      </c>
      <c r="AY149" s="571">
        <f>+AV148+AW148+AX148+AY148-Q147-AX149</f>
        <v>0</v>
      </c>
      <c r="AZ149" s="85"/>
      <c r="BA149" s="83"/>
    </row>
    <row r="150" spans="1:58" ht="12" customHeight="1">
      <c r="A150" s="75"/>
      <c r="B150" s="76"/>
      <c r="C150" s="76"/>
      <c r="D150" s="76"/>
      <c r="E150" s="77"/>
      <c r="F150" s="77"/>
      <c r="G150" s="78"/>
      <c r="H150" s="78"/>
      <c r="I150" s="78"/>
      <c r="J150" s="92"/>
      <c r="K150" s="92"/>
      <c r="O150" s="79"/>
      <c r="P150" s="80"/>
      <c r="Q150" s="78"/>
      <c r="R150" s="59"/>
      <c r="S150" s="59"/>
      <c r="U150" s="81"/>
      <c r="V150" s="81"/>
      <c r="W150" s="82"/>
      <c r="X150" s="83"/>
      <c r="Y150" s="83"/>
      <c r="Z150" s="59"/>
      <c r="AA150" s="99"/>
      <c r="AB150" s="99"/>
      <c r="AD150" s="89"/>
      <c r="AE150" s="84"/>
      <c r="AF150" s="85"/>
      <c r="AG150" s="85"/>
      <c r="AH150" s="85"/>
      <c r="AI150" s="85"/>
      <c r="AJ150" s="85"/>
      <c r="AK150" s="85"/>
      <c r="AL150" s="85"/>
      <c r="AM150" s="85"/>
      <c r="AN150" s="85"/>
      <c r="AO150" s="83"/>
      <c r="AP150" s="83"/>
      <c r="AQ150" s="83"/>
      <c r="AR150" s="85"/>
      <c r="AS150" s="83"/>
      <c r="AT150" s="83"/>
      <c r="AU150" s="83"/>
      <c r="AV150" s="83"/>
      <c r="AW150" s="83"/>
      <c r="AX150" s="83"/>
      <c r="AY150" s="83"/>
      <c r="AZ150" s="83"/>
      <c r="BA150" s="83"/>
    </row>
    <row r="151" spans="1:58" ht="12" customHeight="1">
      <c r="A151" s="75"/>
      <c r="B151" s="76"/>
      <c r="C151" s="76"/>
      <c r="D151" s="76"/>
      <c r="E151" s="77"/>
      <c r="F151" s="77"/>
      <c r="G151" s="78"/>
      <c r="H151" s="78"/>
      <c r="I151" s="78"/>
      <c r="J151" s="92"/>
      <c r="K151" s="92"/>
      <c r="O151" s="79"/>
      <c r="P151" s="80"/>
      <c r="Q151" s="78"/>
      <c r="R151" s="362"/>
      <c r="S151" s="59"/>
      <c r="U151" s="81"/>
      <c r="V151" s="81"/>
      <c r="W151" s="82" t="s">
        <v>143</v>
      </c>
      <c r="X151" s="351">
        <f>+W146+Y146</f>
        <v>1969.0950000000007</v>
      </c>
      <c r="Y151" s="83"/>
      <c r="Z151" s="59"/>
      <c r="AD151" s="89"/>
      <c r="AE151" s="84"/>
      <c r="AF151" s="89"/>
      <c r="AG151" s="89"/>
      <c r="AH151" s="89"/>
      <c r="AI151" s="89"/>
      <c r="AJ151" s="83"/>
      <c r="AK151" s="83"/>
      <c r="AL151" s="83"/>
      <c r="AM151" s="85"/>
      <c r="AN151" s="83"/>
      <c r="AO151" s="83"/>
      <c r="AP151" s="83"/>
      <c r="AQ151" s="83"/>
      <c r="AR151" s="85"/>
      <c r="AS151" s="83"/>
      <c r="AT151" s="83"/>
      <c r="AU151" s="83"/>
      <c r="AV151" s="83"/>
      <c r="AW151" s="83"/>
      <c r="AX151" s="83"/>
      <c r="AY151" s="83"/>
      <c r="AZ151" s="83"/>
      <c r="BA151" s="83"/>
    </row>
    <row r="152" spans="1:58" ht="12" customHeight="1">
      <c r="A152" s="75"/>
      <c r="C152" s="76" t="s">
        <v>232</v>
      </c>
      <c r="D152" s="76"/>
      <c r="E152" s="77"/>
      <c r="F152" s="77"/>
      <c r="G152" s="78"/>
      <c r="H152" s="78"/>
      <c r="I152" s="78"/>
      <c r="J152" s="92"/>
      <c r="K152" s="92"/>
      <c r="O152" s="79"/>
      <c r="P152" s="80"/>
      <c r="Q152" s="78"/>
      <c r="R152" s="362"/>
      <c r="S152" s="59"/>
      <c r="U152" s="81"/>
      <c r="V152" s="373"/>
      <c r="W152" s="374"/>
      <c r="X152" s="367"/>
      <c r="Y152" s="374"/>
      <c r="Z152" s="367"/>
      <c r="AD152" s="360"/>
      <c r="AE152" s="84"/>
      <c r="AF152" s="360"/>
      <c r="AG152" s="360"/>
      <c r="AH152" s="360"/>
      <c r="AI152" s="360"/>
      <c r="AJ152" s="83"/>
      <c r="AK152" s="83"/>
      <c r="AL152" s="83"/>
      <c r="AM152" s="83"/>
      <c r="AN152" s="83"/>
      <c r="AO152" s="83"/>
      <c r="AP152" s="83"/>
      <c r="AQ152" s="83"/>
      <c r="AR152" s="83"/>
      <c r="AS152" s="83"/>
      <c r="AT152" s="83"/>
      <c r="AU152" s="83"/>
      <c r="AV152" s="83"/>
      <c r="AW152" s="83"/>
      <c r="AX152" s="83"/>
      <c r="AY152" s="83"/>
      <c r="AZ152" s="83"/>
      <c r="BA152" s="83"/>
    </row>
    <row r="153" spans="1:58" ht="12" customHeight="1">
      <c r="A153" s="75"/>
      <c r="B153" s="76"/>
      <c r="C153" s="76" t="s">
        <v>235</v>
      </c>
      <c r="D153" s="76"/>
      <c r="E153" s="77"/>
      <c r="F153" s="77"/>
      <c r="G153" s="78"/>
      <c r="H153" s="78"/>
      <c r="I153" s="78"/>
      <c r="J153" s="92"/>
      <c r="K153" s="92"/>
      <c r="O153" s="79"/>
      <c r="P153" s="80"/>
      <c r="Q153" s="78"/>
      <c r="R153" s="362"/>
      <c r="S153" s="59"/>
      <c r="V153" s="365"/>
      <c r="W153" s="366" t="s">
        <v>230</v>
      </c>
      <c r="X153" s="365"/>
      <c r="Y153" s="365"/>
      <c r="Z153" s="367"/>
      <c r="AE153" s="84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S153" s="59"/>
      <c r="AT153" s="59"/>
      <c r="AU153" s="59"/>
      <c r="AV153" s="59"/>
      <c r="AW153" s="59"/>
      <c r="AX153" s="59"/>
      <c r="AY153" s="59"/>
      <c r="AZ153" s="59"/>
      <c r="BA153" s="59"/>
    </row>
    <row r="154" spans="1:58" ht="12" customHeight="1">
      <c r="A154" s="75"/>
      <c r="B154" s="76"/>
      <c r="C154" s="76"/>
      <c r="D154" s="76"/>
      <c r="E154" s="77"/>
      <c r="F154" s="77"/>
      <c r="G154" s="78"/>
      <c r="H154" s="78"/>
      <c r="I154" s="78"/>
      <c r="J154" s="92"/>
      <c r="K154" s="92"/>
      <c r="O154" s="79"/>
      <c r="P154" s="80"/>
      <c r="Q154" s="78"/>
      <c r="R154" s="362"/>
      <c r="S154" s="59"/>
      <c r="V154" s="365"/>
      <c r="W154" s="368" t="s">
        <v>329</v>
      </c>
      <c r="X154" s="372">
        <f>Y147</f>
        <v>3.3262404880671625E-3</v>
      </c>
      <c r="Y154" s="369"/>
      <c r="Z154" s="367"/>
      <c r="AE154" s="84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S154" s="59"/>
      <c r="AT154" s="59"/>
      <c r="AU154" s="59"/>
      <c r="AV154" s="59"/>
      <c r="AW154" s="59"/>
      <c r="AX154" s="59"/>
      <c r="AY154" s="59"/>
      <c r="AZ154" s="59"/>
      <c r="BA154" s="59"/>
    </row>
    <row r="155" spans="1:58" ht="12" customHeight="1">
      <c r="R155" s="99"/>
      <c r="V155" s="365"/>
      <c r="W155" s="368" t="s">
        <v>153</v>
      </c>
      <c r="X155" s="371">
        <f>Z147</f>
        <v>7.7125393577661622E-3</v>
      </c>
      <c r="Y155" s="370"/>
      <c r="Z155" s="365"/>
    </row>
    <row r="156" spans="1:58" ht="12" customHeight="1">
      <c r="R156" s="99"/>
      <c r="V156" s="365"/>
      <c r="W156" s="368" t="s">
        <v>154</v>
      </c>
      <c r="X156" s="371">
        <f>AC147</f>
        <v>1.8693008240846565E-2</v>
      </c>
      <c r="Y156" s="371"/>
      <c r="Z156" s="365"/>
    </row>
    <row r="157" spans="1:58" ht="12" customHeight="1">
      <c r="R157" s="99"/>
      <c r="V157" s="365"/>
      <c r="W157" s="368" t="s">
        <v>155</v>
      </c>
      <c r="X157" s="371">
        <f>AA147</f>
        <v>-1.7825826499927614E-3</v>
      </c>
      <c r="Y157" s="370"/>
      <c r="Z157" s="365"/>
    </row>
    <row r="158" spans="1:58" ht="12" customHeight="1">
      <c r="V158" s="365"/>
      <c r="W158" s="368" t="s">
        <v>171</v>
      </c>
      <c r="X158" s="371">
        <f>AB147</f>
        <v>-7.9871417342881868E-4</v>
      </c>
      <c r="Y158" s="370" t="s">
        <v>169</v>
      </c>
      <c r="Z158" s="365"/>
    </row>
    <row r="159" spans="1:58" ht="12" customHeight="1">
      <c r="V159" s="365"/>
      <c r="W159" s="368" t="s">
        <v>207</v>
      </c>
      <c r="X159" s="371">
        <f>AF147</f>
        <v>1.438018505870522E-3</v>
      </c>
      <c r="Y159" s="370"/>
      <c r="Z159" s="365"/>
    </row>
    <row r="160" spans="1:58" ht="12" customHeight="1">
      <c r="V160" s="365"/>
      <c r="W160" s="368" t="s">
        <v>208</v>
      </c>
      <c r="X160" s="371">
        <f>+AG147</f>
        <v>4.8671395583309981E-3</v>
      </c>
      <c r="Y160" s="370"/>
      <c r="Z160" s="365"/>
    </row>
    <row r="161" spans="6:26" ht="12" customHeight="1">
      <c r="V161" s="365"/>
      <c r="W161" s="368" t="s">
        <v>209</v>
      </c>
      <c r="X161" s="371">
        <f>+AH147</f>
        <v>1.1526271408592954E-2</v>
      </c>
      <c r="Y161" s="370"/>
      <c r="Z161" s="365"/>
    </row>
    <row r="162" spans="6:26" ht="12" customHeight="1">
      <c r="F162" s="33"/>
      <c r="J162" s="33"/>
      <c r="K162" s="33"/>
      <c r="L162" s="33"/>
      <c r="M162" s="33"/>
      <c r="Q162" s="33"/>
      <c r="V162" s="365"/>
      <c r="W162" s="368" t="s">
        <v>210</v>
      </c>
      <c r="X162" s="371">
        <f>+AI147</f>
        <v>3.119393989657594E-3</v>
      </c>
      <c r="Y162" s="370"/>
      <c r="Z162" s="365"/>
    </row>
    <row r="163" spans="6:26" ht="12" customHeight="1">
      <c r="F163" s="33"/>
      <c r="J163" s="33"/>
      <c r="K163" s="33"/>
      <c r="L163" s="33"/>
      <c r="M163" s="33"/>
      <c r="Q163" s="33"/>
      <c r="V163" s="365"/>
      <c r="W163" s="368" t="s">
        <v>162</v>
      </c>
      <c r="X163" s="371">
        <f>+AJ147</f>
        <v>0</v>
      </c>
      <c r="Y163" s="370"/>
      <c r="Z163" s="365"/>
    </row>
    <row r="164" spans="6:26" ht="12" customHeight="1">
      <c r="F164" s="33"/>
      <c r="J164" s="33"/>
      <c r="K164" s="33"/>
      <c r="L164" s="33"/>
      <c r="M164" s="33"/>
      <c r="Q164" s="33"/>
      <c r="V164" s="365"/>
      <c r="W164" s="368" t="s">
        <v>164</v>
      </c>
      <c r="X164" s="371">
        <f>+AK147</f>
        <v>3.31850424431659E-4</v>
      </c>
      <c r="Y164" s="370"/>
      <c r="Z164" s="365"/>
    </row>
    <row r="165" spans="6:26" ht="12" customHeight="1">
      <c r="F165" s="33"/>
      <c r="J165" s="33"/>
      <c r="K165" s="33"/>
      <c r="L165" s="33"/>
      <c r="M165" s="33"/>
      <c r="Q165" s="33"/>
      <c r="V165" s="365"/>
      <c r="W165" s="368" t="s">
        <v>163</v>
      </c>
      <c r="X165" s="371">
        <f>+AL147</f>
        <v>0</v>
      </c>
      <c r="Y165" s="370"/>
      <c r="Z165" s="365"/>
    </row>
    <row r="166" spans="6:26" ht="12" customHeight="1">
      <c r="F166" s="33"/>
      <c r="J166" s="33"/>
      <c r="K166" s="33"/>
      <c r="L166" s="33"/>
      <c r="M166" s="33"/>
      <c r="Q166" s="33"/>
      <c r="V166" s="365"/>
      <c r="W166" s="368" t="s">
        <v>156</v>
      </c>
      <c r="X166" s="371">
        <f>+AN147</f>
        <v>0</v>
      </c>
      <c r="Y166" s="370"/>
      <c r="Z166" s="365"/>
    </row>
    <row r="167" spans="6:26" ht="12" customHeight="1">
      <c r="F167" s="33"/>
      <c r="J167" s="33"/>
      <c r="K167" s="33"/>
      <c r="L167" s="33"/>
      <c r="M167" s="33"/>
      <c r="Q167" s="33"/>
      <c r="V167" s="365"/>
      <c r="W167" s="368" t="s">
        <v>166</v>
      </c>
      <c r="X167" s="371">
        <f>+AO147</f>
        <v>0</v>
      </c>
      <c r="Y167" s="370"/>
      <c r="Z167" s="365"/>
    </row>
    <row r="168" spans="6:26" ht="12" customHeight="1">
      <c r="F168" s="33"/>
      <c r="J168" s="33"/>
      <c r="K168" s="33"/>
      <c r="L168" s="33"/>
      <c r="M168" s="33"/>
      <c r="Q168" s="33"/>
      <c r="V168" s="365"/>
      <c r="W168" s="368" t="s">
        <v>157</v>
      </c>
      <c r="X168" s="371">
        <f>+AP147</f>
        <v>8.8493446515109059E-4</v>
      </c>
      <c r="Y168" s="370"/>
      <c r="Z168" s="365"/>
    </row>
    <row r="169" spans="6:26" ht="12" customHeight="1">
      <c r="F169" s="33"/>
      <c r="J169" s="33"/>
      <c r="K169" s="33"/>
      <c r="L169" s="33"/>
      <c r="M169" s="33"/>
      <c r="Q169" s="33"/>
      <c r="V169" s="365"/>
      <c r="W169" s="368" t="s">
        <v>165</v>
      </c>
      <c r="X169" s="371">
        <f>+AQ147</f>
        <v>0</v>
      </c>
      <c r="Y169" s="370"/>
      <c r="Z169" s="365"/>
    </row>
    <row r="170" spans="6:26" ht="12" customHeight="1">
      <c r="F170" s="33"/>
      <c r="J170" s="33"/>
      <c r="K170" s="33"/>
      <c r="L170" s="33"/>
      <c r="M170" s="33"/>
      <c r="Q170" s="33"/>
      <c r="V170" s="365"/>
      <c r="W170" s="368" t="s">
        <v>168</v>
      </c>
      <c r="X170" s="371">
        <f>+AS147</f>
        <v>0</v>
      </c>
      <c r="Y170" s="370"/>
      <c r="Z170" s="365"/>
    </row>
    <row r="171" spans="6:26" ht="12" customHeight="1">
      <c r="F171" s="33"/>
      <c r="J171" s="33"/>
      <c r="K171" s="33"/>
      <c r="L171" s="33"/>
      <c r="M171" s="33"/>
      <c r="Q171" s="33"/>
      <c r="V171" s="365"/>
      <c r="W171" s="368" t="s">
        <v>330</v>
      </c>
      <c r="X171" s="371">
        <f>+AT147</f>
        <v>0</v>
      </c>
      <c r="Y171" s="370"/>
      <c r="Z171" s="365"/>
    </row>
    <row r="172" spans="6:26" ht="12" customHeight="1">
      <c r="F172" s="33"/>
      <c r="J172" s="33"/>
      <c r="K172" s="33"/>
      <c r="L172" s="33"/>
      <c r="M172" s="33"/>
      <c r="Q172" s="33"/>
      <c r="V172" s="365"/>
      <c r="W172" s="368" t="s">
        <v>247</v>
      </c>
      <c r="X172" s="371">
        <f>+AU147</f>
        <v>0</v>
      </c>
      <c r="Y172" s="370"/>
      <c r="Z172" s="365"/>
    </row>
    <row r="173" spans="6:26" ht="12" customHeight="1">
      <c r="F173" s="33"/>
      <c r="J173" s="33"/>
      <c r="K173" s="33"/>
      <c r="L173" s="33"/>
      <c r="M173" s="33"/>
      <c r="Q173" s="33"/>
      <c r="V173" s="365"/>
      <c r="W173" s="368" t="s">
        <v>336</v>
      </c>
      <c r="X173" s="371">
        <f>AV147</f>
        <v>0</v>
      </c>
      <c r="Y173" s="370"/>
      <c r="Z173" s="365"/>
    </row>
    <row r="174" spans="6:26" ht="12" customHeight="1">
      <c r="F174" s="33"/>
      <c r="J174" s="33"/>
      <c r="K174" s="33"/>
      <c r="L174" s="33"/>
      <c r="M174" s="33"/>
      <c r="Q174" s="33"/>
      <c r="V174" s="365"/>
      <c r="W174" s="368" t="s">
        <v>337</v>
      </c>
      <c r="X174" s="371">
        <f>AW147</f>
        <v>0</v>
      </c>
      <c r="Y174" s="370"/>
      <c r="Z174" s="365"/>
    </row>
    <row r="175" spans="6:26" ht="12" customHeight="1">
      <c r="F175" s="33"/>
      <c r="J175" s="33"/>
      <c r="K175" s="33"/>
      <c r="L175" s="33"/>
      <c r="M175" s="33"/>
      <c r="Q175" s="33"/>
      <c r="V175" s="365"/>
      <c r="W175" s="365" t="s">
        <v>167</v>
      </c>
      <c r="X175" s="371">
        <f>AX147+AY147</f>
        <v>4.7786461118158891E-3</v>
      </c>
      <c r="Y175" s="371"/>
      <c r="Z175" s="365"/>
    </row>
    <row r="176" spans="6:26" ht="12" customHeight="1">
      <c r="F176" s="33"/>
      <c r="J176" s="33"/>
      <c r="K176" s="33"/>
      <c r="L176" s="33"/>
      <c r="M176" s="33"/>
      <c r="Q176" s="33"/>
      <c r="V176" s="365"/>
      <c r="W176" s="365" t="s">
        <v>335</v>
      </c>
      <c r="X176" s="371">
        <f>AZ147</f>
        <v>0</v>
      </c>
      <c r="Y176" s="365"/>
      <c r="Z176" s="365"/>
    </row>
    <row r="177" spans="6:26" ht="12" customHeight="1">
      <c r="F177" s="33"/>
      <c r="J177" s="33"/>
      <c r="K177" s="33"/>
      <c r="L177" s="33"/>
      <c r="M177" s="33"/>
      <c r="Q177" s="33"/>
      <c r="V177" s="365"/>
      <c r="W177" s="365"/>
      <c r="X177" s="531">
        <f>SUM(X154:X176)</f>
        <v>5.4096745727109014E-2</v>
      </c>
      <c r="Y177" s="365"/>
      <c r="Z177" s="365"/>
    </row>
    <row r="178" spans="6:26">
      <c r="F178" s="33"/>
      <c r="J178" s="33"/>
      <c r="K178" s="33"/>
      <c r="L178" s="33"/>
      <c r="M178" s="33"/>
      <c r="Q178" s="33"/>
    </row>
    <row r="179" spans="6:26">
      <c r="F179" s="33"/>
      <c r="J179" s="33"/>
      <c r="K179" s="33"/>
      <c r="L179" s="33"/>
      <c r="M179" s="33"/>
      <c r="Q179" s="33"/>
      <c r="X179" s="99">
        <f>+X177+X146</f>
        <v>1</v>
      </c>
    </row>
    <row r="180" spans="6:26">
      <c r="F180" s="33"/>
      <c r="J180" s="33"/>
      <c r="K180" s="33"/>
      <c r="L180" s="33"/>
      <c r="M180" s="33"/>
      <c r="Q180" s="33"/>
    </row>
    <row r="181" spans="6:26">
      <c r="F181" s="33"/>
      <c r="J181" s="33"/>
      <c r="K181" s="33"/>
      <c r="L181" s="33"/>
      <c r="M181" s="33"/>
      <c r="Q181" s="33"/>
    </row>
    <row r="182" spans="6:26">
      <c r="F182" s="33"/>
      <c r="J182" s="33"/>
      <c r="K182" s="33"/>
      <c r="L182" s="33"/>
      <c r="M182" s="33"/>
      <c r="Q182" s="33"/>
    </row>
    <row r="183" spans="6:26">
      <c r="F183" s="33"/>
      <c r="J183" s="33"/>
      <c r="K183" s="33"/>
      <c r="L183" s="33"/>
      <c r="M183" s="33"/>
      <c r="Q183" s="33"/>
    </row>
    <row r="184" spans="6:26">
      <c r="F184" s="33"/>
      <c r="J184" s="33"/>
      <c r="K184" s="33"/>
      <c r="L184" s="33"/>
      <c r="M184" s="33"/>
      <c r="Q184" s="33"/>
    </row>
    <row r="185" spans="6:26">
      <c r="F185" s="33"/>
      <c r="J185" s="33"/>
      <c r="K185" s="33"/>
      <c r="L185" s="33"/>
      <c r="M185" s="33"/>
      <c r="Q185" s="33"/>
    </row>
    <row r="186" spans="6:26">
      <c r="F186" s="33"/>
      <c r="J186" s="33"/>
      <c r="K186" s="33"/>
      <c r="L186" s="33"/>
      <c r="M186" s="33"/>
      <c r="Q186" s="33"/>
    </row>
    <row r="187" spans="6:26">
      <c r="F187" s="33"/>
      <c r="J187" s="33"/>
      <c r="K187" s="33"/>
      <c r="L187" s="33"/>
      <c r="M187" s="33"/>
      <c r="Q187" s="33"/>
    </row>
    <row r="188" spans="6:26">
      <c r="F188" s="33"/>
      <c r="J188" s="33"/>
      <c r="K188" s="33"/>
      <c r="L188" s="33"/>
      <c r="M188" s="33"/>
      <c r="Q188" s="33"/>
    </row>
    <row r="189" spans="6:26">
      <c r="F189" s="33"/>
      <c r="J189" s="33"/>
      <c r="K189" s="33"/>
      <c r="L189" s="33"/>
      <c r="M189" s="33"/>
      <c r="Q189" s="33"/>
    </row>
    <row r="190" spans="6:26">
      <c r="F190" s="33"/>
      <c r="J190" s="33"/>
      <c r="K190" s="33"/>
      <c r="L190" s="33"/>
      <c r="M190" s="33"/>
      <c r="Q190" s="33"/>
    </row>
    <row r="191" spans="6:26">
      <c r="F191" s="33"/>
      <c r="J191" s="33"/>
      <c r="K191" s="33"/>
      <c r="L191" s="33"/>
      <c r="M191" s="33"/>
      <c r="Q191" s="33"/>
    </row>
    <row r="192" spans="6:26">
      <c r="F192" s="33"/>
      <c r="J192" s="33"/>
      <c r="K192" s="33"/>
      <c r="L192" s="33"/>
      <c r="M192" s="33"/>
      <c r="Q192" s="33"/>
    </row>
    <row r="193" spans="6:17">
      <c r="F193" s="33"/>
      <c r="J193" s="33"/>
      <c r="K193" s="33"/>
      <c r="L193" s="33"/>
      <c r="M193" s="33"/>
      <c r="Q193" s="33"/>
    </row>
    <row r="194" spans="6:17">
      <c r="F194" s="33"/>
      <c r="J194" s="33"/>
      <c r="K194" s="33"/>
      <c r="L194" s="33"/>
      <c r="M194" s="33"/>
      <c r="Q194" s="33"/>
    </row>
    <row r="195" spans="6:17">
      <c r="F195" s="33"/>
      <c r="J195" s="33"/>
      <c r="K195" s="33"/>
      <c r="L195" s="33"/>
      <c r="M195" s="33"/>
      <c r="Q195" s="33"/>
    </row>
    <row r="196" spans="6:17">
      <c r="F196" s="33"/>
      <c r="J196" s="33"/>
      <c r="K196" s="33"/>
      <c r="L196" s="33"/>
      <c r="M196" s="33"/>
      <c r="Q196" s="33"/>
    </row>
    <row r="197" spans="6:17">
      <c r="F197" s="33"/>
      <c r="J197" s="33"/>
      <c r="K197" s="33"/>
      <c r="L197" s="33"/>
      <c r="M197" s="33"/>
      <c r="Q197" s="33"/>
    </row>
    <row r="198" spans="6:17">
      <c r="F198" s="33"/>
      <c r="J198" s="33"/>
      <c r="K198" s="33"/>
      <c r="L198" s="33"/>
      <c r="M198" s="33"/>
      <c r="Q198" s="33"/>
    </row>
    <row r="199" spans="6:17">
      <c r="F199" s="33"/>
      <c r="J199" s="33"/>
      <c r="K199" s="33"/>
      <c r="L199" s="33"/>
      <c r="M199" s="33"/>
      <c r="Q199" s="33"/>
    </row>
    <row r="200" spans="6:17">
      <c r="F200" s="33"/>
      <c r="J200" s="33"/>
      <c r="K200" s="33"/>
      <c r="L200" s="33"/>
      <c r="M200" s="33"/>
      <c r="Q200" s="33"/>
    </row>
    <row r="201" spans="6:17">
      <c r="F201" s="33"/>
      <c r="J201" s="33"/>
      <c r="K201" s="33"/>
      <c r="L201" s="33"/>
      <c r="M201" s="33"/>
      <c r="Q201" s="33"/>
    </row>
    <row r="202" spans="6:17">
      <c r="F202" s="33"/>
      <c r="J202" s="33"/>
      <c r="K202" s="33"/>
      <c r="L202" s="33"/>
      <c r="M202" s="33"/>
      <c r="Q202" s="33"/>
    </row>
    <row r="203" spans="6:17">
      <c r="F203" s="33"/>
      <c r="J203" s="33"/>
      <c r="K203" s="33"/>
      <c r="L203" s="33"/>
      <c r="M203" s="33"/>
      <c r="Q203" s="33"/>
    </row>
    <row r="204" spans="6:17">
      <c r="F204" s="33"/>
      <c r="J204" s="33"/>
      <c r="K204" s="33"/>
      <c r="L204" s="33"/>
      <c r="M204" s="33"/>
      <c r="Q204" s="33"/>
    </row>
    <row r="205" spans="6:17">
      <c r="F205" s="33"/>
      <c r="J205" s="33"/>
      <c r="K205" s="33"/>
      <c r="L205" s="33"/>
      <c r="M205" s="33"/>
      <c r="Q205" s="33"/>
    </row>
    <row r="206" spans="6:17">
      <c r="F206" s="33"/>
      <c r="J206" s="33"/>
      <c r="K206" s="33"/>
      <c r="L206" s="33"/>
      <c r="M206" s="33"/>
      <c r="Q206" s="33"/>
    </row>
    <row r="207" spans="6:17">
      <c r="F207" s="33"/>
      <c r="J207" s="33"/>
      <c r="K207" s="33"/>
      <c r="L207" s="33"/>
      <c r="M207" s="33"/>
      <c r="Q207" s="33"/>
    </row>
    <row r="208" spans="6:17">
      <c r="F208" s="33"/>
      <c r="J208" s="33"/>
      <c r="K208" s="33"/>
      <c r="L208" s="33"/>
      <c r="M208" s="33"/>
      <c r="Q208" s="33"/>
    </row>
    <row r="209" spans="6:17">
      <c r="F209" s="33"/>
      <c r="J209" s="33"/>
      <c r="K209" s="33"/>
      <c r="L209" s="33"/>
      <c r="M209" s="33"/>
      <c r="Q209" s="33"/>
    </row>
    <row r="210" spans="6:17">
      <c r="F210" s="33"/>
      <c r="J210" s="33"/>
      <c r="K210" s="33"/>
      <c r="L210" s="33"/>
      <c r="M210" s="33"/>
      <c r="Q210" s="33"/>
    </row>
    <row r="211" spans="6:17">
      <c r="F211" s="33"/>
      <c r="J211" s="33"/>
      <c r="K211" s="33"/>
      <c r="L211" s="33"/>
      <c r="M211" s="33"/>
      <c r="Q211" s="33"/>
    </row>
    <row r="212" spans="6:17">
      <c r="F212" s="33"/>
      <c r="J212" s="33"/>
      <c r="K212" s="33"/>
      <c r="L212" s="33"/>
      <c r="M212" s="33"/>
      <c r="Q212" s="33"/>
    </row>
    <row r="213" spans="6:17">
      <c r="F213" s="33"/>
      <c r="J213" s="33"/>
      <c r="K213" s="33"/>
      <c r="L213" s="33"/>
      <c r="M213" s="33"/>
      <c r="Q213" s="33"/>
    </row>
    <row r="214" spans="6:17">
      <c r="F214" s="33"/>
      <c r="J214" s="33"/>
      <c r="K214" s="33"/>
      <c r="L214" s="33"/>
      <c r="M214" s="33"/>
      <c r="Q214" s="33"/>
    </row>
    <row r="215" spans="6:17">
      <c r="F215" s="33"/>
      <c r="J215" s="33"/>
      <c r="K215" s="33"/>
      <c r="L215" s="33"/>
      <c r="M215" s="33"/>
      <c r="Q215" s="33"/>
    </row>
    <row r="216" spans="6:17">
      <c r="F216" s="33"/>
      <c r="J216" s="33"/>
      <c r="K216" s="33"/>
      <c r="L216" s="33"/>
      <c r="M216" s="33"/>
      <c r="Q216" s="33"/>
    </row>
    <row r="217" spans="6:17">
      <c r="F217" s="33"/>
      <c r="J217" s="33"/>
      <c r="K217" s="33"/>
      <c r="L217" s="33"/>
      <c r="M217" s="33"/>
      <c r="Q217" s="33"/>
    </row>
    <row r="218" spans="6:17">
      <c r="F218" s="33"/>
      <c r="J218" s="33"/>
      <c r="K218" s="33"/>
      <c r="L218" s="33"/>
      <c r="M218" s="33"/>
      <c r="Q218" s="33"/>
    </row>
    <row r="219" spans="6:17">
      <c r="F219" s="33"/>
      <c r="J219" s="33"/>
      <c r="K219" s="33"/>
      <c r="L219" s="33"/>
      <c r="M219" s="33"/>
      <c r="Q219" s="33"/>
    </row>
    <row r="220" spans="6:17">
      <c r="F220" s="33"/>
      <c r="J220" s="33"/>
      <c r="K220" s="33"/>
      <c r="L220" s="33"/>
      <c r="M220" s="33"/>
      <c r="Q220" s="33"/>
    </row>
    <row r="221" spans="6:17">
      <c r="F221" s="33"/>
      <c r="J221" s="33"/>
      <c r="K221" s="33"/>
      <c r="L221" s="33"/>
      <c r="M221" s="33"/>
      <c r="Q221" s="33"/>
    </row>
    <row r="222" spans="6:17">
      <c r="F222" s="33"/>
      <c r="J222" s="33"/>
      <c r="K222" s="33"/>
      <c r="L222" s="33"/>
      <c r="M222" s="33"/>
      <c r="Q222" s="33"/>
    </row>
    <row r="223" spans="6:17">
      <c r="F223" s="33"/>
      <c r="J223" s="33"/>
      <c r="K223" s="33"/>
      <c r="L223" s="33"/>
      <c r="M223" s="33"/>
      <c r="Q223" s="33"/>
    </row>
    <row r="224" spans="6:17">
      <c r="F224" s="33"/>
      <c r="J224" s="33"/>
      <c r="K224" s="33"/>
      <c r="L224" s="33"/>
      <c r="M224" s="33"/>
      <c r="Q224" s="33"/>
    </row>
    <row r="225" spans="6:17">
      <c r="F225" s="33"/>
      <c r="J225" s="33"/>
      <c r="K225" s="33"/>
      <c r="L225" s="33"/>
      <c r="M225" s="33"/>
      <c r="Q225" s="33"/>
    </row>
    <row r="226" spans="6:17">
      <c r="F226" s="33"/>
      <c r="J226" s="33"/>
      <c r="K226" s="33"/>
      <c r="L226" s="33"/>
      <c r="M226" s="33"/>
      <c r="Q226" s="33"/>
    </row>
    <row r="227" spans="6:17">
      <c r="F227" s="33"/>
      <c r="J227" s="33"/>
      <c r="K227" s="33"/>
      <c r="L227" s="33"/>
      <c r="M227" s="33"/>
      <c r="Q227" s="33"/>
    </row>
    <row r="228" spans="6:17">
      <c r="F228" s="33"/>
      <c r="J228" s="33"/>
      <c r="K228" s="33"/>
      <c r="L228" s="33"/>
      <c r="M228" s="33"/>
      <c r="Q228" s="33"/>
    </row>
    <row r="229" spans="6:17">
      <c r="F229" s="33"/>
      <c r="J229" s="33"/>
      <c r="K229" s="33"/>
      <c r="L229" s="33"/>
      <c r="M229" s="33"/>
      <c r="Q229" s="33"/>
    </row>
    <row r="230" spans="6:17">
      <c r="F230" s="33"/>
      <c r="J230" s="33"/>
      <c r="K230" s="33"/>
      <c r="L230" s="33"/>
      <c r="M230" s="33"/>
      <c r="Q230" s="33"/>
    </row>
    <row r="231" spans="6:17">
      <c r="F231" s="33"/>
      <c r="J231" s="33"/>
      <c r="K231" s="33"/>
      <c r="L231" s="33"/>
      <c r="M231" s="33"/>
      <c r="Q231" s="33"/>
    </row>
    <row r="232" spans="6:17">
      <c r="F232" s="33"/>
      <c r="J232" s="33"/>
      <c r="K232" s="33"/>
      <c r="L232" s="33"/>
      <c r="M232" s="33"/>
      <c r="Q232" s="33"/>
    </row>
    <row r="233" spans="6:17">
      <c r="F233" s="33"/>
      <c r="J233" s="33"/>
      <c r="K233" s="33"/>
      <c r="L233" s="33"/>
      <c r="M233" s="33"/>
      <c r="Q233" s="33"/>
    </row>
    <row r="234" spans="6:17">
      <c r="F234" s="33"/>
      <c r="J234" s="33"/>
      <c r="K234" s="33"/>
      <c r="L234" s="33"/>
      <c r="M234" s="33"/>
      <c r="Q234" s="33"/>
    </row>
    <row r="235" spans="6:17">
      <c r="F235" s="33"/>
      <c r="J235" s="33"/>
      <c r="K235" s="33"/>
      <c r="L235" s="33"/>
      <c r="M235" s="33"/>
      <c r="Q235" s="33"/>
    </row>
    <row r="236" spans="6:17">
      <c r="F236" s="33"/>
      <c r="J236" s="33"/>
      <c r="K236" s="33"/>
      <c r="L236" s="33"/>
      <c r="M236" s="33"/>
      <c r="Q236" s="33"/>
    </row>
    <row r="237" spans="6:17">
      <c r="F237" s="33"/>
      <c r="J237" s="33"/>
      <c r="K237" s="33"/>
      <c r="L237" s="33"/>
      <c r="M237" s="33"/>
      <c r="Q237" s="33"/>
    </row>
    <row r="238" spans="6:17">
      <c r="F238" s="33"/>
      <c r="J238" s="33"/>
      <c r="K238" s="33"/>
      <c r="L238" s="33"/>
      <c r="M238" s="33"/>
      <c r="Q238" s="33"/>
    </row>
    <row r="239" spans="6:17">
      <c r="F239" s="33"/>
      <c r="J239" s="33"/>
      <c r="K239" s="33"/>
      <c r="L239" s="33"/>
      <c r="M239" s="33"/>
      <c r="Q239" s="33"/>
    </row>
    <row r="240" spans="6:17">
      <c r="F240" s="33"/>
      <c r="J240" s="33"/>
      <c r="K240" s="33"/>
      <c r="L240" s="33"/>
      <c r="M240" s="33"/>
      <c r="Q240" s="33"/>
    </row>
    <row r="241" spans="6:17">
      <c r="F241" s="33"/>
      <c r="J241" s="33"/>
      <c r="K241" s="33"/>
      <c r="L241" s="33"/>
      <c r="M241" s="33"/>
      <c r="Q241" s="33"/>
    </row>
    <row r="242" spans="6:17">
      <c r="F242" s="33"/>
      <c r="J242" s="33"/>
      <c r="K242" s="33"/>
      <c r="L242" s="33"/>
      <c r="M242" s="33"/>
      <c r="Q242" s="33"/>
    </row>
    <row r="243" spans="6:17">
      <c r="F243" s="33"/>
      <c r="J243" s="33"/>
      <c r="K243" s="33"/>
      <c r="L243" s="33"/>
      <c r="M243" s="33"/>
      <c r="Q243" s="33"/>
    </row>
    <row r="244" spans="6:17">
      <c r="F244" s="33"/>
      <c r="J244" s="33"/>
      <c r="K244" s="33"/>
      <c r="L244" s="33"/>
      <c r="M244" s="33"/>
      <c r="Q244" s="33"/>
    </row>
    <row r="245" spans="6:17">
      <c r="F245" s="33"/>
      <c r="J245" s="33"/>
      <c r="K245" s="33"/>
      <c r="L245" s="33"/>
      <c r="M245" s="33"/>
      <c r="Q245" s="33"/>
    </row>
    <row r="246" spans="6:17">
      <c r="F246" s="33"/>
      <c r="J246" s="33"/>
      <c r="K246" s="33"/>
      <c r="L246" s="33"/>
      <c r="M246" s="33"/>
      <c r="Q246" s="33"/>
    </row>
    <row r="247" spans="6:17">
      <c r="F247" s="33"/>
      <c r="J247" s="33"/>
      <c r="K247" s="33"/>
      <c r="L247" s="33"/>
      <c r="M247" s="33"/>
      <c r="Q247" s="33"/>
    </row>
    <row r="248" spans="6:17">
      <c r="F248" s="33"/>
      <c r="J248" s="33"/>
      <c r="K248" s="33"/>
      <c r="L248" s="33"/>
      <c r="M248" s="33"/>
      <c r="Q248" s="33"/>
    </row>
    <row r="249" spans="6:17">
      <c r="F249" s="33"/>
      <c r="J249" s="33"/>
      <c r="K249" s="33"/>
      <c r="L249" s="33"/>
      <c r="M249" s="33"/>
      <c r="Q249" s="33"/>
    </row>
    <row r="250" spans="6:17">
      <c r="F250" s="33"/>
      <c r="J250" s="33"/>
      <c r="K250" s="33"/>
      <c r="L250" s="33"/>
      <c r="M250" s="33"/>
      <c r="Q250" s="33"/>
    </row>
    <row r="251" spans="6:17">
      <c r="F251" s="33"/>
      <c r="J251" s="33"/>
      <c r="K251" s="33"/>
      <c r="L251" s="33"/>
      <c r="M251" s="33"/>
      <c r="Q251" s="33"/>
    </row>
    <row r="252" spans="6:17">
      <c r="F252" s="33"/>
      <c r="J252" s="33"/>
      <c r="K252" s="33"/>
      <c r="L252" s="33"/>
      <c r="M252" s="33"/>
      <c r="Q252" s="33"/>
    </row>
    <row r="253" spans="6:17">
      <c r="F253" s="33"/>
      <c r="J253" s="33"/>
      <c r="K253" s="33"/>
      <c r="L253" s="33"/>
      <c r="M253" s="33"/>
      <c r="Q253" s="33"/>
    </row>
    <row r="254" spans="6:17">
      <c r="F254" s="33"/>
      <c r="J254" s="33"/>
      <c r="K254" s="33"/>
      <c r="L254" s="33"/>
      <c r="M254" s="33"/>
      <c r="Q254" s="33"/>
    </row>
    <row r="255" spans="6:17">
      <c r="F255" s="33"/>
      <c r="J255" s="33"/>
      <c r="K255" s="33"/>
      <c r="L255" s="33"/>
      <c r="M255" s="33"/>
      <c r="Q255" s="33"/>
    </row>
    <row r="256" spans="6:17">
      <c r="F256" s="33"/>
      <c r="J256" s="33"/>
      <c r="K256" s="33"/>
      <c r="L256" s="33"/>
      <c r="M256" s="33"/>
      <c r="Q256" s="33"/>
    </row>
    <row r="257" spans="6:17">
      <c r="F257" s="33"/>
      <c r="J257" s="33"/>
      <c r="K257" s="33"/>
      <c r="L257" s="33"/>
      <c r="M257" s="33"/>
      <c r="Q257" s="33"/>
    </row>
    <row r="258" spans="6:17">
      <c r="F258" s="33"/>
      <c r="J258" s="33"/>
      <c r="K258" s="33"/>
      <c r="L258" s="33"/>
      <c r="M258" s="33"/>
      <c r="Q258" s="33"/>
    </row>
    <row r="259" spans="6:17">
      <c r="F259" s="33"/>
      <c r="J259" s="33"/>
      <c r="K259" s="33"/>
      <c r="L259" s="33"/>
      <c r="M259" s="33"/>
      <c r="Q259" s="33"/>
    </row>
    <row r="260" spans="6:17">
      <c r="F260" s="33"/>
      <c r="J260" s="33"/>
      <c r="K260" s="33"/>
      <c r="L260" s="33"/>
      <c r="M260" s="33"/>
      <c r="Q260" s="33"/>
    </row>
    <row r="261" spans="6:17">
      <c r="F261" s="33"/>
      <c r="J261" s="33"/>
      <c r="K261" s="33"/>
      <c r="L261" s="33"/>
      <c r="M261" s="33"/>
      <c r="Q261" s="33"/>
    </row>
    <row r="262" spans="6:17">
      <c r="F262" s="33"/>
      <c r="J262" s="33"/>
      <c r="K262" s="33"/>
      <c r="L262" s="33"/>
      <c r="M262" s="33"/>
      <c r="Q262" s="33"/>
    </row>
    <row r="263" spans="6:17">
      <c r="F263" s="33"/>
      <c r="J263" s="33"/>
      <c r="K263" s="33"/>
      <c r="L263" s="33"/>
      <c r="M263" s="33"/>
      <c r="Q263" s="33"/>
    </row>
    <row r="264" spans="6:17">
      <c r="F264" s="33"/>
      <c r="J264" s="33"/>
      <c r="K264" s="33"/>
      <c r="L264" s="33"/>
      <c r="M264" s="33"/>
      <c r="Q264" s="33"/>
    </row>
    <row r="265" spans="6:17">
      <c r="F265" s="33"/>
      <c r="J265" s="33"/>
      <c r="K265" s="33"/>
      <c r="L265" s="33"/>
      <c r="M265" s="33"/>
      <c r="Q265" s="33"/>
    </row>
    <row r="266" spans="6:17">
      <c r="F266" s="33"/>
      <c r="J266" s="33"/>
      <c r="K266" s="33"/>
      <c r="L266" s="33"/>
      <c r="M266" s="33"/>
      <c r="Q266" s="33"/>
    </row>
    <row r="267" spans="6:17">
      <c r="F267" s="33"/>
      <c r="J267" s="33"/>
      <c r="K267" s="33"/>
      <c r="L267" s="33"/>
      <c r="M267" s="33"/>
      <c r="Q267" s="33"/>
    </row>
    <row r="268" spans="6:17">
      <c r="F268" s="33"/>
      <c r="J268" s="33"/>
      <c r="K268" s="33"/>
      <c r="L268" s="33"/>
      <c r="M268" s="33"/>
      <c r="Q268" s="33"/>
    </row>
    <row r="269" spans="6:17">
      <c r="F269" s="33"/>
      <c r="J269" s="33"/>
      <c r="K269" s="33"/>
      <c r="L269" s="33"/>
      <c r="M269" s="33"/>
      <c r="Q269" s="33"/>
    </row>
    <row r="270" spans="6:17">
      <c r="F270" s="33"/>
      <c r="J270" s="33"/>
      <c r="K270" s="33"/>
      <c r="L270" s="33"/>
      <c r="M270" s="33"/>
      <c r="Q270" s="33"/>
    </row>
    <row r="271" spans="6:17">
      <c r="F271" s="33"/>
      <c r="J271" s="33"/>
      <c r="K271" s="33"/>
      <c r="L271" s="33"/>
      <c r="M271" s="33"/>
      <c r="Q271" s="33"/>
    </row>
    <row r="272" spans="6:17">
      <c r="F272" s="33"/>
      <c r="J272" s="33"/>
      <c r="K272" s="33"/>
      <c r="L272" s="33"/>
      <c r="M272" s="33"/>
      <c r="Q272" s="33"/>
    </row>
    <row r="273" spans="6:17">
      <c r="F273" s="33"/>
      <c r="J273" s="33"/>
      <c r="K273" s="33"/>
      <c r="L273" s="33"/>
      <c r="M273" s="33"/>
      <c r="Q273" s="33"/>
    </row>
    <row r="274" spans="6:17">
      <c r="F274" s="33"/>
      <c r="J274" s="33"/>
      <c r="K274" s="33"/>
      <c r="L274" s="33"/>
      <c r="M274" s="33"/>
      <c r="Q274" s="33"/>
    </row>
    <row r="275" spans="6:17">
      <c r="F275" s="33"/>
      <c r="J275" s="33"/>
      <c r="K275" s="33"/>
      <c r="L275" s="33"/>
      <c r="M275" s="33"/>
      <c r="Q275" s="33"/>
    </row>
    <row r="276" spans="6:17">
      <c r="F276" s="33"/>
      <c r="J276" s="33"/>
      <c r="K276" s="33"/>
      <c r="L276" s="33"/>
      <c r="M276" s="33"/>
      <c r="Q276" s="33"/>
    </row>
    <row r="277" spans="6:17">
      <c r="F277" s="33"/>
      <c r="J277" s="33"/>
      <c r="K277" s="33"/>
      <c r="L277" s="33"/>
      <c r="M277" s="33"/>
      <c r="Q277" s="33"/>
    </row>
    <row r="278" spans="6:17">
      <c r="F278" s="33"/>
      <c r="J278" s="33"/>
      <c r="K278" s="33"/>
      <c r="L278" s="33"/>
      <c r="M278" s="33"/>
      <c r="Q278" s="33"/>
    </row>
    <row r="279" spans="6:17">
      <c r="F279" s="33"/>
      <c r="J279" s="33"/>
      <c r="K279" s="33"/>
      <c r="L279" s="33"/>
      <c r="M279" s="33"/>
      <c r="Q279" s="33"/>
    </row>
    <row r="280" spans="6:17">
      <c r="F280" s="33"/>
      <c r="J280" s="33"/>
      <c r="K280" s="33"/>
      <c r="L280" s="33"/>
      <c r="M280" s="33"/>
      <c r="Q280" s="33"/>
    </row>
    <row r="281" spans="6:17">
      <c r="F281" s="33"/>
      <c r="J281" s="33"/>
      <c r="K281" s="33"/>
      <c r="L281" s="33"/>
      <c r="M281" s="33"/>
      <c r="Q281" s="33"/>
    </row>
    <row r="282" spans="6:17">
      <c r="F282" s="33"/>
      <c r="J282" s="33"/>
      <c r="K282" s="33"/>
      <c r="L282" s="33"/>
      <c r="M282" s="33"/>
      <c r="Q282" s="33"/>
    </row>
    <row r="283" spans="6:17">
      <c r="F283" s="33"/>
      <c r="J283" s="33"/>
      <c r="K283" s="33"/>
      <c r="L283" s="33"/>
      <c r="M283" s="33"/>
      <c r="Q283" s="33"/>
    </row>
    <row r="284" spans="6:17">
      <c r="F284" s="33"/>
      <c r="J284" s="33"/>
      <c r="K284" s="33"/>
      <c r="L284" s="33"/>
      <c r="M284" s="33"/>
      <c r="Q284" s="33"/>
    </row>
    <row r="285" spans="6:17">
      <c r="F285" s="33"/>
      <c r="J285" s="33"/>
      <c r="K285" s="33"/>
      <c r="L285" s="33"/>
      <c r="M285" s="33"/>
      <c r="Q285" s="33"/>
    </row>
    <row r="286" spans="6:17">
      <c r="F286" s="33"/>
      <c r="J286" s="33"/>
      <c r="K286" s="33"/>
      <c r="L286" s="33"/>
      <c r="M286" s="33"/>
      <c r="Q286" s="33"/>
    </row>
    <row r="287" spans="6:17">
      <c r="F287" s="33"/>
      <c r="J287" s="33"/>
      <c r="K287" s="33"/>
      <c r="L287" s="33"/>
      <c r="M287" s="33"/>
      <c r="Q287" s="33"/>
    </row>
    <row r="288" spans="6:17">
      <c r="F288" s="33"/>
      <c r="J288" s="33"/>
      <c r="K288" s="33"/>
      <c r="L288" s="33"/>
      <c r="M288" s="33"/>
      <c r="Q288" s="33"/>
    </row>
    <row r="289" spans="6:17">
      <c r="F289" s="33"/>
      <c r="J289" s="33"/>
      <c r="K289" s="33"/>
      <c r="L289" s="33"/>
      <c r="M289" s="33"/>
      <c r="Q289" s="33"/>
    </row>
  </sheetData>
  <mergeCells count="50">
    <mergeCell ref="X3:X5"/>
    <mergeCell ref="G3:K4"/>
    <mergeCell ref="L3:N4"/>
    <mergeCell ref="O3:O5"/>
    <mergeCell ref="P3:P5"/>
    <mergeCell ref="Q3:Q5"/>
    <mergeCell ref="R3:R5"/>
    <mergeCell ref="T3:T5"/>
    <mergeCell ref="U3:U5"/>
    <mergeCell ref="F3:F5"/>
    <mergeCell ref="A3:A5"/>
    <mergeCell ref="B3:B5"/>
    <mergeCell ref="C3:C5"/>
    <mergeCell ref="D3:D5"/>
    <mergeCell ref="E3:E5"/>
    <mergeCell ref="AZ3:AZ5"/>
    <mergeCell ref="AR4:AR5"/>
    <mergeCell ref="BD3:BD5"/>
    <mergeCell ref="BE3:BE5"/>
    <mergeCell ref="BF3:BF5"/>
    <mergeCell ref="BA3:BA5"/>
    <mergeCell ref="BB3:BB5"/>
    <mergeCell ref="BC3:BC5"/>
    <mergeCell ref="AT3:AU4"/>
    <mergeCell ref="AV3:AW3"/>
    <mergeCell ref="AX3:AY3"/>
    <mergeCell ref="AM3:AM5"/>
    <mergeCell ref="AN3:AR3"/>
    <mergeCell ref="AS3:AS5"/>
    <mergeCell ref="AF4:AH4"/>
    <mergeCell ref="AI4:AI5"/>
    <mergeCell ref="AJ4:AJ5"/>
    <mergeCell ref="AK4:AK5"/>
    <mergeCell ref="AQ4:AQ5"/>
    <mergeCell ref="O147:P147"/>
    <mergeCell ref="AL4:AL5"/>
    <mergeCell ref="AN4:AN5"/>
    <mergeCell ref="AO4:AO5"/>
    <mergeCell ref="AP4:AP5"/>
    <mergeCell ref="Y3:Y5"/>
    <mergeCell ref="Z3:Z5"/>
    <mergeCell ref="AA3:AA5"/>
    <mergeCell ref="AB3:AB5"/>
    <mergeCell ref="AC3:AC5"/>
    <mergeCell ref="AD3:AD5"/>
    <mergeCell ref="S3:S5"/>
    <mergeCell ref="V3:V5"/>
    <mergeCell ref="W3:W5"/>
    <mergeCell ref="AE3:AE5"/>
    <mergeCell ref="AF3:AL3"/>
  </mergeCells>
  <conditionalFormatting sqref="B16:C16 C145 B145:B147">
    <cfRule type="cellIs" dxfId="12481" priority="15181" stopIfTrue="1" operator="equal">
      <formula>"Towel"</formula>
    </cfRule>
    <cfRule type="cellIs" dxfId="12480" priority="15182" stopIfTrue="1" operator="equal">
      <formula>"Napkin Hs"</formula>
    </cfRule>
  </conditionalFormatting>
  <conditionalFormatting sqref="B17:C17">
    <cfRule type="cellIs" dxfId="12479" priority="15079" stopIfTrue="1" operator="equal">
      <formula>"Towel"</formula>
    </cfRule>
    <cfRule type="cellIs" dxfId="12478" priority="15080" stopIfTrue="1" operator="equal">
      <formula>"Napkin Hs"</formula>
    </cfRule>
  </conditionalFormatting>
  <conditionalFormatting sqref="B18:C18">
    <cfRule type="cellIs" dxfId="12477" priority="15085" stopIfTrue="1" operator="equal">
      <formula>"Towel"</formula>
    </cfRule>
    <cfRule type="cellIs" dxfId="12476" priority="15086" stopIfTrue="1" operator="equal">
      <formula>"Napkin Hs"</formula>
    </cfRule>
  </conditionalFormatting>
  <conditionalFormatting sqref="C147">
    <cfRule type="cellIs" dxfId="12475" priority="19657" stopIfTrue="1" operator="equal">
      <formula>"Towel"</formula>
    </cfRule>
    <cfRule type="cellIs" dxfId="12474" priority="19658" stopIfTrue="1" operator="equal">
      <formula>"Napkin Hs"</formula>
    </cfRule>
  </conditionalFormatting>
  <conditionalFormatting sqref="B83:C83">
    <cfRule type="cellIs" dxfId="12473" priority="17367" stopIfTrue="1" operator="equal">
      <formula>"Towel"</formula>
    </cfRule>
    <cfRule type="cellIs" dxfId="12472" priority="17368" stopIfTrue="1" operator="equal">
      <formula>"Napkin Hs"</formula>
    </cfRule>
  </conditionalFormatting>
  <conditionalFormatting sqref="B84:C84 B85">
    <cfRule type="cellIs" dxfId="12471" priority="17091" stopIfTrue="1" operator="equal">
      <formula>"Towel"</formula>
    </cfRule>
    <cfRule type="cellIs" dxfId="12470" priority="17092" stopIfTrue="1" operator="equal">
      <formula>"Napkin Hs"</formula>
    </cfRule>
    <cfRule type="cellIs" dxfId="12469" priority="17097" stopIfTrue="1" operator="equal">
      <formula>"Towel"</formula>
    </cfRule>
    <cfRule type="cellIs" dxfId="12468" priority="17098" stopIfTrue="1" operator="equal">
      <formula>"Napkin Hs"</formula>
    </cfRule>
    <cfRule type="cellIs" dxfId="12467" priority="17103" stopIfTrue="1" operator="equal">
      <formula>"Towel"</formula>
    </cfRule>
    <cfRule type="cellIs" dxfId="12466" priority="17104" stopIfTrue="1" operator="equal">
      <formula>"Napkin Hs"</formula>
    </cfRule>
    <cfRule type="cellIs" dxfId="12465" priority="17109" stopIfTrue="1" operator="equal">
      <formula>"Towel"</formula>
    </cfRule>
    <cfRule type="cellIs" dxfId="12464" priority="17110" stopIfTrue="1" operator="equal">
      <formula>"Napkin Hs"</formula>
    </cfRule>
    <cfRule type="cellIs" dxfId="12463" priority="17115" stopIfTrue="1" operator="equal">
      <formula>"Towel"</formula>
    </cfRule>
    <cfRule type="cellIs" dxfId="12462" priority="17116" stopIfTrue="1" operator="equal">
      <formula>"Napkin Hs"</formula>
    </cfRule>
    <cfRule type="cellIs" dxfId="12461" priority="17121" stopIfTrue="1" operator="equal">
      <formula>"Towel"</formula>
    </cfRule>
    <cfRule type="cellIs" dxfId="12460" priority="17122" stopIfTrue="1" operator="equal">
      <formula>"Napkin Hs"</formula>
    </cfRule>
    <cfRule type="cellIs" dxfId="12459" priority="17127" stopIfTrue="1" operator="equal">
      <formula>"Towel"</formula>
    </cfRule>
    <cfRule type="cellIs" dxfId="12458" priority="17128" stopIfTrue="1" operator="equal">
      <formula>"Napkin Hs"</formula>
    </cfRule>
    <cfRule type="cellIs" dxfId="12457" priority="17133" stopIfTrue="1" operator="equal">
      <formula>"Towel"</formula>
    </cfRule>
    <cfRule type="cellIs" dxfId="12456" priority="17134" stopIfTrue="1" operator="equal">
      <formula>"Napkin Hs"</formula>
    </cfRule>
  </conditionalFormatting>
  <conditionalFormatting sqref="C85">
    <cfRule type="cellIs" dxfId="12455" priority="16809" stopIfTrue="1" operator="equal">
      <formula>"Towel"</formula>
    </cfRule>
    <cfRule type="cellIs" dxfId="12454" priority="16810" stopIfTrue="1" operator="equal">
      <formula>"Napkin Hs"</formula>
    </cfRule>
    <cfRule type="cellIs" dxfId="12453" priority="16815" stopIfTrue="1" operator="equal">
      <formula>"Towel"</formula>
    </cfRule>
    <cfRule type="cellIs" dxfId="12452" priority="16816" stopIfTrue="1" operator="equal">
      <formula>"Napkin Hs"</formula>
    </cfRule>
    <cfRule type="cellIs" dxfId="12451" priority="16821" stopIfTrue="1" operator="equal">
      <formula>"Towel"</formula>
    </cfRule>
    <cfRule type="cellIs" dxfId="12450" priority="16822" stopIfTrue="1" operator="equal">
      <formula>"Napkin Hs"</formula>
    </cfRule>
    <cfRule type="cellIs" dxfId="12449" priority="16827" stopIfTrue="1" operator="equal">
      <formula>"Towel"</formula>
    </cfRule>
    <cfRule type="cellIs" dxfId="12448" priority="16828" stopIfTrue="1" operator="equal">
      <formula>"Napkin Hs"</formula>
    </cfRule>
    <cfRule type="cellIs" dxfId="12447" priority="16833" stopIfTrue="1" operator="equal">
      <formula>"Towel"</formula>
    </cfRule>
    <cfRule type="cellIs" dxfId="12446" priority="16834" stopIfTrue="1" operator="equal">
      <formula>"Napkin Hs"</formula>
    </cfRule>
    <cfRule type="cellIs" dxfId="12445" priority="16839" stopIfTrue="1" operator="equal">
      <formula>"Towel"</formula>
    </cfRule>
    <cfRule type="cellIs" dxfId="12444" priority="16840" stopIfTrue="1" operator="equal">
      <formula>"Napkin Hs"</formula>
    </cfRule>
    <cfRule type="cellIs" dxfId="12443" priority="16845" stopIfTrue="1" operator="equal">
      <formula>"Towel"</formula>
    </cfRule>
    <cfRule type="cellIs" dxfId="12442" priority="16846" stopIfTrue="1" operator="equal">
      <formula>"Napkin Hs"</formula>
    </cfRule>
    <cfRule type="cellIs" dxfId="12441" priority="16851" stopIfTrue="1" operator="equal">
      <formula>"Towel"</formula>
    </cfRule>
    <cfRule type="cellIs" dxfId="12440" priority="16852" stopIfTrue="1" operator="equal">
      <formula>"Napkin Hs"</formula>
    </cfRule>
    <cfRule type="cellIs" dxfId="12439" priority="17139" stopIfTrue="1" operator="equal">
      <formula>"Towel"</formula>
    </cfRule>
    <cfRule type="cellIs" dxfId="12438" priority="17140" stopIfTrue="1" operator="equal">
      <formula>"Napkin Hs"</formula>
    </cfRule>
    <cfRule type="cellIs" dxfId="12437" priority="17145" stopIfTrue="1" operator="equal">
      <formula>"Towel"</formula>
    </cfRule>
    <cfRule type="cellIs" dxfId="12436" priority="17146" stopIfTrue="1" operator="equal">
      <formula>"Napkin Hs"</formula>
    </cfRule>
    <cfRule type="cellIs" dxfId="12435" priority="17151" stopIfTrue="1" operator="equal">
      <formula>"Towel"</formula>
    </cfRule>
    <cfRule type="cellIs" dxfId="12434" priority="17152" stopIfTrue="1" operator="equal">
      <formula>"Napkin Hs"</formula>
    </cfRule>
    <cfRule type="cellIs" dxfId="12433" priority="17157" stopIfTrue="1" operator="equal">
      <formula>"Towel"</formula>
    </cfRule>
    <cfRule type="cellIs" dxfId="12432" priority="17158" stopIfTrue="1" operator="equal">
      <formula>"Napkin Hs"</formula>
    </cfRule>
    <cfRule type="cellIs" dxfId="12431" priority="17163" stopIfTrue="1" operator="equal">
      <formula>"Towel"</formula>
    </cfRule>
    <cfRule type="cellIs" dxfId="12430" priority="17164" stopIfTrue="1" operator="equal">
      <formula>"Napkin Hs"</formula>
    </cfRule>
    <cfRule type="cellIs" dxfId="12429" priority="17169" stopIfTrue="1" operator="equal">
      <formula>"Towel"</formula>
    </cfRule>
    <cfRule type="cellIs" dxfId="12428" priority="17170" stopIfTrue="1" operator="equal">
      <formula>"Napkin Hs"</formula>
    </cfRule>
    <cfRule type="cellIs" dxfId="12427" priority="17175" stopIfTrue="1" operator="equal">
      <formula>"Towel"</formula>
    </cfRule>
    <cfRule type="cellIs" dxfId="12426" priority="17176" stopIfTrue="1" operator="equal">
      <formula>"Napkin Hs"</formula>
    </cfRule>
    <cfRule type="cellIs" dxfId="12425" priority="17181" stopIfTrue="1" operator="equal">
      <formula>"Towel"</formula>
    </cfRule>
    <cfRule type="cellIs" dxfId="12424" priority="17182" stopIfTrue="1" operator="equal">
      <formula>"Napkin Hs"</formula>
    </cfRule>
  </conditionalFormatting>
  <conditionalFormatting sqref="B86:C86">
    <cfRule type="cellIs" dxfId="12423" priority="16857" stopIfTrue="1" operator="equal">
      <formula>"Towel"</formula>
    </cfRule>
    <cfRule type="cellIs" dxfId="12422" priority="16858" stopIfTrue="1" operator="equal">
      <formula>"Napkin Hs"</formula>
    </cfRule>
    <cfRule type="cellIs" dxfId="12421" priority="16863" stopIfTrue="1" operator="equal">
      <formula>"Towel"</formula>
    </cfRule>
    <cfRule type="cellIs" dxfId="12420" priority="16864" stopIfTrue="1" operator="equal">
      <formula>"Napkin Hs"</formula>
    </cfRule>
    <cfRule type="cellIs" dxfId="12419" priority="16869" stopIfTrue="1" operator="equal">
      <formula>"Towel"</formula>
    </cfRule>
    <cfRule type="cellIs" dxfId="12418" priority="16870" stopIfTrue="1" operator="equal">
      <formula>"Napkin Hs"</formula>
    </cfRule>
    <cfRule type="cellIs" dxfId="12417" priority="16875" stopIfTrue="1" operator="equal">
      <formula>"Towel"</formula>
    </cfRule>
    <cfRule type="cellIs" dxfId="12416" priority="16876" stopIfTrue="1" operator="equal">
      <formula>"Napkin Hs"</formula>
    </cfRule>
    <cfRule type="cellIs" dxfId="12415" priority="16881" stopIfTrue="1" operator="equal">
      <formula>"Towel"</formula>
    </cfRule>
    <cfRule type="cellIs" dxfId="12414" priority="16882" stopIfTrue="1" operator="equal">
      <formula>"Napkin Hs"</formula>
    </cfRule>
    <cfRule type="cellIs" dxfId="12413" priority="16887" stopIfTrue="1" operator="equal">
      <formula>"Towel"</formula>
    </cfRule>
    <cfRule type="cellIs" dxfId="12412" priority="16888" stopIfTrue="1" operator="equal">
      <formula>"Napkin Hs"</formula>
    </cfRule>
    <cfRule type="cellIs" dxfId="12411" priority="16893" stopIfTrue="1" operator="equal">
      <formula>"Towel"</formula>
    </cfRule>
    <cfRule type="cellIs" dxfId="12410" priority="16894" stopIfTrue="1" operator="equal">
      <formula>"Napkin Hs"</formula>
    </cfRule>
    <cfRule type="cellIs" dxfId="12409" priority="16899" stopIfTrue="1" operator="equal">
      <formula>"Towel"</formula>
    </cfRule>
    <cfRule type="cellIs" dxfId="12408" priority="16900" stopIfTrue="1" operator="equal">
      <formula>"Napkin Hs"</formula>
    </cfRule>
    <cfRule type="cellIs" dxfId="12407" priority="17187" stopIfTrue="1" operator="equal">
      <formula>"Towel"</formula>
    </cfRule>
    <cfRule type="cellIs" dxfId="12406" priority="17188" stopIfTrue="1" operator="equal">
      <formula>"Napkin Hs"</formula>
    </cfRule>
    <cfRule type="cellIs" dxfId="12405" priority="17193" stopIfTrue="1" operator="equal">
      <formula>"Towel"</formula>
    </cfRule>
    <cfRule type="cellIs" dxfId="12404" priority="17194" stopIfTrue="1" operator="equal">
      <formula>"Napkin Hs"</formula>
    </cfRule>
    <cfRule type="cellIs" dxfId="12403" priority="17199" stopIfTrue="1" operator="equal">
      <formula>"Towel"</formula>
    </cfRule>
    <cfRule type="cellIs" dxfId="12402" priority="17200" stopIfTrue="1" operator="equal">
      <formula>"Napkin Hs"</formula>
    </cfRule>
    <cfRule type="cellIs" dxfId="12401" priority="17205" stopIfTrue="1" operator="equal">
      <formula>"Towel"</formula>
    </cfRule>
    <cfRule type="cellIs" dxfId="12400" priority="17206" stopIfTrue="1" operator="equal">
      <formula>"Napkin Hs"</formula>
    </cfRule>
    <cfRule type="cellIs" dxfId="12399" priority="17211" stopIfTrue="1" operator="equal">
      <formula>"Towel"</formula>
    </cfRule>
    <cfRule type="cellIs" dxfId="12398" priority="17212" stopIfTrue="1" operator="equal">
      <formula>"Napkin Hs"</formula>
    </cfRule>
    <cfRule type="cellIs" dxfId="12397" priority="17217" stopIfTrue="1" operator="equal">
      <formula>"Towel"</formula>
    </cfRule>
    <cfRule type="cellIs" dxfId="12396" priority="17218" stopIfTrue="1" operator="equal">
      <formula>"Napkin Hs"</formula>
    </cfRule>
  </conditionalFormatting>
  <conditionalFormatting sqref="B87:C87">
    <cfRule type="cellIs" dxfId="12395" priority="16905" stopIfTrue="1" operator="equal">
      <formula>"Towel"</formula>
    </cfRule>
    <cfRule type="cellIs" dxfId="12394" priority="16906" stopIfTrue="1" operator="equal">
      <formula>"Napkin Hs"</formula>
    </cfRule>
    <cfRule type="cellIs" dxfId="12393" priority="16911" stopIfTrue="1" operator="equal">
      <formula>"Towel"</formula>
    </cfRule>
    <cfRule type="cellIs" dxfId="12392" priority="16912" stopIfTrue="1" operator="equal">
      <formula>"Napkin Hs"</formula>
    </cfRule>
    <cfRule type="cellIs" dxfId="12391" priority="16917" stopIfTrue="1" operator="equal">
      <formula>"Towel"</formula>
    </cfRule>
    <cfRule type="cellIs" dxfId="12390" priority="16918" stopIfTrue="1" operator="equal">
      <formula>"Napkin Hs"</formula>
    </cfRule>
    <cfRule type="cellIs" dxfId="12389" priority="16923" stopIfTrue="1" operator="equal">
      <formula>"Towel"</formula>
    </cfRule>
    <cfRule type="cellIs" dxfId="12388" priority="16924" stopIfTrue="1" operator="equal">
      <formula>"Napkin Hs"</formula>
    </cfRule>
    <cfRule type="cellIs" dxfId="12387" priority="16929" stopIfTrue="1" operator="equal">
      <formula>"Towel"</formula>
    </cfRule>
    <cfRule type="cellIs" dxfId="12386" priority="16930" stopIfTrue="1" operator="equal">
      <formula>"Napkin Hs"</formula>
    </cfRule>
    <cfRule type="cellIs" dxfId="12385" priority="16935" stopIfTrue="1" operator="equal">
      <formula>"Towel"</formula>
    </cfRule>
    <cfRule type="cellIs" dxfId="12384" priority="16936" stopIfTrue="1" operator="equal">
      <formula>"Napkin Hs"</formula>
    </cfRule>
    <cfRule type="cellIs" dxfId="12383" priority="17223" stopIfTrue="1" operator="equal">
      <formula>"Towel"</formula>
    </cfRule>
    <cfRule type="cellIs" dxfId="12382" priority="17224" stopIfTrue="1" operator="equal">
      <formula>"Napkin Hs"</formula>
    </cfRule>
  </conditionalFormatting>
  <conditionalFormatting sqref="B88:C88">
    <cfRule type="cellIs" dxfId="12381" priority="16941" stopIfTrue="1" operator="equal">
      <formula>"Towel"</formula>
    </cfRule>
    <cfRule type="cellIs" dxfId="12380" priority="16942" stopIfTrue="1" operator="equal">
      <formula>"Napkin Hs"</formula>
    </cfRule>
    <cfRule type="cellIs" dxfId="12379" priority="17001" stopIfTrue="1" operator="equal">
      <formula>"Towel"</formula>
    </cfRule>
    <cfRule type="cellIs" dxfId="12378" priority="17002" stopIfTrue="1" operator="equal">
      <formula>"Napkin Hs"</formula>
    </cfRule>
    <cfRule type="cellIs" dxfId="12377" priority="17007" stopIfTrue="1" operator="equal">
      <formula>"Towel"</formula>
    </cfRule>
    <cfRule type="cellIs" dxfId="12376" priority="17008" stopIfTrue="1" operator="equal">
      <formula>"Napkin Hs"</formula>
    </cfRule>
    <cfRule type="cellIs" dxfId="12375" priority="17013" stopIfTrue="1" operator="equal">
      <formula>"Towel"</formula>
    </cfRule>
    <cfRule type="cellIs" dxfId="12374" priority="17014" stopIfTrue="1" operator="equal">
      <formula>"Napkin Hs"</formula>
    </cfRule>
    <cfRule type="cellIs" dxfId="12373" priority="17019" stopIfTrue="1" operator="equal">
      <formula>"Towel"</formula>
    </cfRule>
    <cfRule type="cellIs" dxfId="12372" priority="17020" stopIfTrue="1" operator="equal">
      <formula>"Napkin Hs"</formula>
    </cfRule>
    <cfRule type="cellIs" dxfId="12371" priority="17025" stopIfTrue="1" operator="equal">
      <formula>"Towel"</formula>
    </cfRule>
    <cfRule type="cellIs" dxfId="12370" priority="17026" stopIfTrue="1" operator="equal">
      <formula>"Napkin Hs"</formula>
    </cfRule>
    <cfRule type="cellIs" dxfId="12369" priority="17031" stopIfTrue="1" operator="equal">
      <formula>"Towel"</formula>
    </cfRule>
    <cfRule type="cellIs" dxfId="12368" priority="17032" stopIfTrue="1" operator="equal">
      <formula>"Napkin Hs"</formula>
    </cfRule>
    <cfRule type="cellIs" dxfId="12367" priority="17037" stopIfTrue="1" operator="equal">
      <formula>"Towel"</formula>
    </cfRule>
    <cfRule type="cellIs" dxfId="12366" priority="17038" stopIfTrue="1" operator="equal">
      <formula>"Napkin Hs"</formula>
    </cfRule>
    <cfRule type="cellIs" dxfId="12365" priority="17043" stopIfTrue="1" operator="equal">
      <formula>"Towel"</formula>
    </cfRule>
    <cfRule type="cellIs" dxfId="12364" priority="17044" stopIfTrue="1" operator="equal">
      <formula>"Napkin Hs"</formula>
    </cfRule>
  </conditionalFormatting>
  <conditionalFormatting sqref="B89:C89">
    <cfRule type="cellIs" dxfId="12363" priority="16719" stopIfTrue="1" operator="equal">
      <formula>"Towel"</formula>
    </cfRule>
    <cfRule type="cellIs" dxfId="12362" priority="16720" stopIfTrue="1" operator="equal">
      <formula>"Napkin Hs"</formula>
    </cfRule>
    <cfRule type="cellIs" dxfId="12361" priority="16725" stopIfTrue="1" operator="equal">
      <formula>"Towel"</formula>
    </cfRule>
    <cfRule type="cellIs" dxfId="12360" priority="16726" stopIfTrue="1" operator="equal">
      <formula>"Napkin Hs"</formula>
    </cfRule>
    <cfRule type="cellIs" dxfId="12359" priority="16731" stopIfTrue="1" operator="equal">
      <formula>"Towel"</formula>
    </cfRule>
    <cfRule type="cellIs" dxfId="12358" priority="16732" stopIfTrue="1" operator="equal">
      <formula>"Napkin Hs"</formula>
    </cfRule>
    <cfRule type="cellIs" dxfId="12357" priority="16737" stopIfTrue="1" operator="equal">
      <formula>"Towel"</formula>
    </cfRule>
    <cfRule type="cellIs" dxfId="12356" priority="16738" stopIfTrue="1" operator="equal">
      <formula>"Napkin Hs"</formula>
    </cfRule>
    <cfRule type="cellIs" dxfId="12355" priority="16743" stopIfTrue="1" operator="equal">
      <formula>"Towel"</formula>
    </cfRule>
    <cfRule type="cellIs" dxfId="12354" priority="16744" stopIfTrue="1" operator="equal">
      <formula>"Napkin Hs"</formula>
    </cfRule>
    <cfRule type="cellIs" dxfId="12353" priority="16749" stopIfTrue="1" operator="equal">
      <formula>"Towel"</formula>
    </cfRule>
    <cfRule type="cellIs" dxfId="12352" priority="16750" stopIfTrue="1" operator="equal">
      <formula>"Napkin Hs"</formula>
    </cfRule>
    <cfRule type="cellIs" dxfId="12351" priority="16755" stopIfTrue="1" operator="equal">
      <formula>"Towel"</formula>
    </cfRule>
    <cfRule type="cellIs" dxfId="12350" priority="16756" stopIfTrue="1" operator="equal">
      <formula>"Napkin Hs"</formula>
    </cfRule>
    <cfRule type="cellIs" dxfId="12349" priority="16761" stopIfTrue="1" operator="equal">
      <formula>"Towel"</formula>
    </cfRule>
    <cfRule type="cellIs" dxfId="12348" priority="16762" stopIfTrue="1" operator="equal">
      <formula>"Napkin Hs"</formula>
    </cfRule>
    <cfRule type="cellIs" dxfId="12347" priority="16953" stopIfTrue="1" operator="equal">
      <formula>"Towel"</formula>
    </cfRule>
    <cfRule type="cellIs" dxfId="12346" priority="16954" stopIfTrue="1" operator="equal">
      <formula>"Napkin Hs"</formula>
    </cfRule>
    <cfRule type="cellIs" dxfId="12345" priority="16959" stopIfTrue="1" operator="equal">
      <formula>"Towel"</formula>
    </cfRule>
    <cfRule type="cellIs" dxfId="12344" priority="16960" stopIfTrue="1" operator="equal">
      <formula>"Napkin Hs"</formula>
    </cfRule>
    <cfRule type="cellIs" dxfId="12343" priority="16965" stopIfTrue="1" operator="equal">
      <formula>"Towel"</formula>
    </cfRule>
    <cfRule type="cellIs" dxfId="12342" priority="16966" stopIfTrue="1" operator="equal">
      <formula>"Napkin Hs"</formula>
    </cfRule>
    <cfRule type="cellIs" dxfId="12341" priority="16971" stopIfTrue="1" operator="equal">
      <formula>"Towel"</formula>
    </cfRule>
    <cfRule type="cellIs" dxfId="12340" priority="16972" stopIfTrue="1" operator="equal">
      <formula>"Napkin Hs"</formula>
    </cfRule>
    <cfRule type="cellIs" dxfId="12339" priority="16977" stopIfTrue="1" operator="equal">
      <formula>"Towel"</formula>
    </cfRule>
    <cfRule type="cellIs" dxfId="12338" priority="16978" stopIfTrue="1" operator="equal">
      <formula>"Napkin Hs"</formula>
    </cfRule>
    <cfRule type="cellIs" dxfId="12337" priority="16983" stopIfTrue="1" operator="equal">
      <formula>"Towel"</formula>
    </cfRule>
    <cfRule type="cellIs" dxfId="12336" priority="16984" stopIfTrue="1" operator="equal">
      <formula>"Napkin Hs"</formula>
    </cfRule>
    <cfRule type="cellIs" dxfId="12335" priority="16989" stopIfTrue="1" operator="equal">
      <formula>"Towel"</formula>
    </cfRule>
    <cfRule type="cellIs" dxfId="12334" priority="16990" stopIfTrue="1" operator="equal">
      <formula>"Napkin Hs"</formula>
    </cfRule>
    <cfRule type="cellIs" dxfId="12333" priority="16995" stopIfTrue="1" operator="equal">
      <formula>"Towel"</formula>
    </cfRule>
    <cfRule type="cellIs" dxfId="12332" priority="16996" stopIfTrue="1" operator="equal">
      <formula>"Napkin Hs"</formula>
    </cfRule>
  </conditionalFormatting>
  <conditionalFormatting sqref="B90:C90">
    <cfRule type="cellIs" dxfId="12331" priority="16671" stopIfTrue="1" operator="equal">
      <formula>"Towel"</formula>
    </cfRule>
    <cfRule type="cellIs" dxfId="12330" priority="16672" stopIfTrue="1" operator="equal">
      <formula>"Napkin Hs"</formula>
    </cfRule>
    <cfRule type="cellIs" dxfId="12329" priority="16677" stopIfTrue="1" operator="equal">
      <formula>"Towel"</formula>
    </cfRule>
    <cfRule type="cellIs" dxfId="12328" priority="16678" stopIfTrue="1" operator="equal">
      <formula>"Napkin Hs"</formula>
    </cfRule>
    <cfRule type="cellIs" dxfId="12327" priority="16683" stopIfTrue="1" operator="equal">
      <formula>"Towel"</formula>
    </cfRule>
    <cfRule type="cellIs" dxfId="12326" priority="16684" stopIfTrue="1" operator="equal">
      <formula>"Napkin Hs"</formula>
    </cfRule>
    <cfRule type="cellIs" dxfId="12325" priority="16689" stopIfTrue="1" operator="equal">
      <formula>"Towel"</formula>
    </cfRule>
    <cfRule type="cellIs" dxfId="12324" priority="16690" stopIfTrue="1" operator="equal">
      <formula>"Napkin Hs"</formula>
    </cfRule>
    <cfRule type="cellIs" dxfId="12323" priority="16695" stopIfTrue="1" operator="equal">
      <formula>"Towel"</formula>
    </cfRule>
    <cfRule type="cellIs" dxfId="12322" priority="16696" stopIfTrue="1" operator="equal">
      <formula>"Napkin Hs"</formula>
    </cfRule>
    <cfRule type="cellIs" dxfId="12321" priority="16701" stopIfTrue="1" operator="equal">
      <formula>"Towel"</formula>
    </cfRule>
    <cfRule type="cellIs" dxfId="12320" priority="16702" stopIfTrue="1" operator="equal">
      <formula>"Napkin Hs"</formula>
    </cfRule>
    <cfRule type="cellIs" dxfId="12319" priority="16707" stopIfTrue="1" operator="equal">
      <formula>"Towel"</formula>
    </cfRule>
    <cfRule type="cellIs" dxfId="12318" priority="16708" stopIfTrue="1" operator="equal">
      <formula>"Napkin Hs"</formula>
    </cfRule>
    <cfRule type="cellIs" dxfId="12317" priority="16713" stopIfTrue="1" operator="equal">
      <formula>"Towel"</formula>
    </cfRule>
    <cfRule type="cellIs" dxfId="12316" priority="16714" stopIfTrue="1" operator="equal">
      <formula>"Napkin Hs"</formula>
    </cfRule>
    <cfRule type="cellIs" dxfId="12315" priority="17049" stopIfTrue="1" operator="equal">
      <formula>"Towel"</formula>
    </cfRule>
    <cfRule type="cellIs" dxfId="12314" priority="17050" stopIfTrue="1" operator="equal">
      <formula>"Napkin Hs"</formula>
    </cfRule>
    <cfRule type="cellIs" dxfId="12313" priority="17055" stopIfTrue="1" operator="equal">
      <formula>"Towel"</formula>
    </cfRule>
    <cfRule type="cellIs" dxfId="12312" priority="17056" stopIfTrue="1" operator="equal">
      <formula>"Napkin Hs"</formula>
    </cfRule>
    <cfRule type="cellIs" dxfId="12311" priority="17061" stopIfTrue="1" operator="equal">
      <formula>"Towel"</formula>
    </cfRule>
    <cfRule type="cellIs" dxfId="12310" priority="17062" stopIfTrue="1" operator="equal">
      <formula>"Napkin Hs"</formula>
    </cfRule>
    <cfRule type="cellIs" dxfId="12309" priority="17067" stopIfTrue="1" operator="equal">
      <formula>"Towel"</formula>
    </cfRule>
    <cfRule type="cellIs" dxfId="12308" priority="17068" stopIfTrue="1" operator="equal">
      <formula>"Napkin Hs"</formula>
    </cfRule>
    <cfRule type="cellIs" dxfId="12307" priority="17073" stopIfTrue="1" operator="equal">
      <formula>"Towel"</formula>
    </cfRule>
    <cfRule type="cellIs" dxfId="12306" priority="17074" stopIfTrue="1" operator="equal">
      <formula>"Napkin Hs"</formula>
    </cfRule>
    <cfRule type="cellIs" dxfId="12305" priority="17079" stopIfTrue="1" operator="equal">
      <formula>"Towel"</formula>
    </cfRule>
    <cfRule type="cellIs" dxfId="12304" priority="17080" stopIfTrue="1" operator="equal">
      <formula>"Napkin Hs"</formula>
    </cfRule>
  </conditionalFormatting>
  <conditionalFormatting sqref="B91:C91">
    <cfRule type="cellIs" dxfId="12303" priority="16767" stopIfTrue="1" operator="equal">
      <formula>"Towel"</formula>
    </cfRule>
    <cfRule type="cellIs" dxfId="12302" priority="16768" stopIfTrue="1" operator="equal">
      <formula>"Napkin Hs"</formula>
    </cfRule>
    <cfRule type="cellIs" dxfId="12301" priority="16773" stopIfTrue="1" operator="equal">
      <formula>"Towel"</formula>
    </cfRule>
    <cfRule type="cellIs" dxfId="12300" priority="16774" stopIfTrue="1" operator="equal">
      <formula>"Napkin Hs"</formula>
    </cfRule>
    <cfRule type="cellIs" dxfId="12299" priority="16779" stopIfTrue="1" operator="equal">
      <formula>"Towel"</formula>
    </cfRule>
    <cfRule type="cellIs" dxfId="12298" priority="16780" stopIfTrue="1" operator="equal">
      <formula>"Napkin Hs"</formula>
    </cfRule>
    <cfRule type="cellIs" dxfId="12297" priority="16785" stopIfTrue="1" operator="equal">
      <formula>"Towel"</formula>
    </cfRule>
    <cfRule type="cellIs" dxfId="12296" priority="16786" stopIfTrue="1" operator="equal">
      <formula>"Napkin Hs"</formula>
    </cfRule>
    <cfRule type="cellIs" dxfId="12295" priority="16791" stopIfTrue="1" operator="equal">
      <formula>"Towel"</formula>
    </cfRule>
    <cfRule type="cellIs" dxfId="12294" priority="16792" stopIfTrue="1" operator="equal">
      <formula>"Napkin Hs"</formula>
    </cfRule>
    <cfRule type="cellIs" dxfId="12293" priority="16797" stopIfTrue="1" operator="equal">
      <formula>"Towel"</formula>
    </cfRule>
    <cfRule type="cellIs" dxfId="12292" priority="16798" stopIfTrue="1" operator="equal">
      <formula>"Napkin Hs"</formula>
    </cfRule>
    <cfRule type="cellIs" dxfId="12291" priority="17085" stopIfTrue="1" operator="equal">
      <formula>"Towel"</formula>
    </cfRule>
    <cfRule type="cellIs" dxfId="12290" priority="17086" stopIfTrue="1" operator="equal">
      <formula>"Napkin Hs"</formula>
    </cfRule>
  </conditionalFormatting>
  <conditionalFormatting sqref="B99:C100">
    <cfRule type="cellIs" dxfId="12289" priority="16401" stopIfTrue="1" operator="equal">
      <formula>"Towel"</formula>
    </cfRule>
    <cfRule type="cellIs" dxfId="12288" priority="16402" stopIfTrue="1" operator="equal">
      <formula>"Napkin Hs"</formula>
    </cfRule>
    <cfRule type="cellIs" dxfId="12287" priority="16407" stopIfTrue="1" operator="equal">
      <formula>"Towel"</formula>
    </cfRule>
    <cfRule type="cellIs" dxfId="12286" priority="16408" stopIfTrue="1" operator="equal">
      <formula>"Napkin Hs"</formula>
    </cfRule>
    <cfRule type="cellIs" dxfId="12285" priority="16413" stopIfTrue="1" operator="equal">
      <formula>"Towel"</formula>
    </cfRule>
    <cfRule type="cellIs" dxfId="12284" priority="16414" stopIfTrue="1" operator="equal">
      <formula>"Napkin Hs"</formula>
    </cfRule>
    <cfRule type="cellIs" dxfId="12283" priority="16419" stopIfTrue="1" operator="equal">
      <formula>"Towel"</formula>
    </cfRule>
    <cfRule type="cellIs" dxfId="12282" priority="16420" stopIfTrue="1" operator="equal">
      <formula>"Napkin Hs"</formula>
    </cfRule>
    <cfRule type="cellIs" dxfId="12281" priority="16425" stopIfTrue="1" operator="equal">
      <formula>"Towel"</formula>
    </cfRule>
    <cfRule type="cellIs" dxfId="12280" priority="16426" stopIfTrue="1" operator="equal">
      <formula>"Napkin Hs"</formula>
    </cfRule>
    <cfRule type="cellIs" dxfId="12279" priority="16431" stopIfTrue="1" operator="equal">
      <formula>"Towel"</formula>
    </cfRule>
    <cfRule type="cellIs" dxfId="12278" priority="16432" stopIfTrue="1" operator="equal">
      <formula>"Napkin Hs"</formula>
    </cfRule>
    <cfRule type="cellIs" dxfId="12277" priority="16437" stopIfTrue="1" operator="equal">
      <formula>"Towel"</formula>
    </cfRule>
    <cfRule type="cellIs" dxfId="12276" priority="16438" stopIfTrue="1" operator="equal">
      <formula>"Napkin Hs"</formula>
    </cfRule>
    <cfRule type="cellIs" dxfId="12275" priority="16443" stopIfTrue="1" operator="equal">
      <formula>"Towel"</formula>
    </cfRule>
    <cfRule type="cellIs" dxfId="12274" priority="16444" stopIfTrue="1" operator="equal">
      <formula>"Napkin Hs"</formula>
    </cfRule>
    <cfRule type="cellIs" dxfId="12273" priority="16449" stopIfTrue="1" operator="equal">
      <formula>"Towel"</formula>
    </cfRule>
    <cfRule type="cellIs" dxfId="12272" priority="16450" stopIfTrue="1" operator="equal">
      <formula>"Napkin Hs"</formula>
    </cfRule>
  </conditionalFormatting>
  <conditionalFormatting sqref="B101:C101">
    <cfRule type="cellIs" dxfId="12271" priority="16501" stopIfTrue="1" operator="equal">
      <formula>"Towel"</formula>
    </cfRule>
    <cfRule type="cellIs" dxfId="12270" priority="16502" stopIfTrue="1" operator="equal">
      <formula>"Napkin Hs"</formula>
    </cfRule>
    <cfRule type="cellIs" dxfId="12269" priority="16521" stopIfTrue="1" operator="equal">
      <formula>"Towel"</formula>
    </cfRule>
    <cfRule type="cellIs" dxfId="12268" priority="16522" stopIfTrue="1" operator="equal">
      <formula>"Napkin Hs"</formula>
    </cfRule>
  </conditionalFormatting>
  <conditionalFormatting sqref="B102:C102">
    <cfRule type="cellIs" dxfId="12267" priority="16515" stopIfTrue="1" operator="equal">
      <formula>"Towel"</formula>
    </cfRule>
    <cfRule type="cellIs" dxfId="12266" priority="16516" stopIfTrue="1" operator="equal">
      <formula>"Napkin Hs"</formula>
    </cfRule>
  </conditionalFormatting>
  <conditionalFormatting sqref="B102:C103">
    <cfRule type="cellIs" dxfId="12265" priority="16507" stopIfTrue="1" operator="equal">
      <formula>"Towel"</formula>
    </cfRule>
    <cfRule type="cellIs" dxfId="12264" priority="16508" stopIfTrue="1" operator="equal">
      <formula>"Napkin Hs"</formula>
    </cfRule>
  </conditionalFormatting>
  <conditionalFormatting sqref="B103:C103">
    <cfRule type="cellIs" dxfId="12263" priority="16511" stopIfTrue="1" operator="equal">
      <formula>"Towel"</formula>
    </cfRule>
    <cfRule type="cellIs" dxfId="12262" priority="16512" stopIfTrue="1" operator="equal">
      <formula>"Napkin Hs"</formula>
    </cfRule>
  </conditionalFormatting>
  <conditionalFormatting sqref="B104:C104 B105">
    <cfRule type="cellIs" dxfId="12261" priority="16332" stopIfTrue="1" operator="equal">
      <formula>"Napkin Hs"</formula>
    </cfRule>
    <cfRule type="cellIs" dxfId="12260" priority="16337" stopIfTrue="1" operator="equal">
      <formula>"Towel"</formula>
    </cfRule>
    <cfRule type="cellIs" dxfId="12259" priority="16338" stopIfTrue="1" operator="equal">
      <formula>"Napkin Hs"</formula>
    </cfRule>
    <cfRule type="cellIs" dxfId="12258" priority="16343" stopIfTrue="1" operator="equal">
      <formula>"Towel"</formula>
    </cfRule>
    <cfRule type="cellIs" dxfId="12257" priority="16344" stopIfTrue="1" operator="equal">
      <formula>"Napkin Hs"</formula>
    </cfRule>
    <cfRule type="cellIs" dxfId="12256" priority="16349" stopIfTrue="1" operator="equal">
      <formula>"Towel"</formula>
    </cfRule>
    <cfRule type="cellIs" dxfId="12255" priority="16350" stopIfTrue="1" operator="equal">
      <formula>"Napkin Hs"</formula>
    </cfRule>
    <cfRule type="cellIs" dxfId="12254" priority="16355" stopIfTrue="1" operator="equal">
      <formula>"Towel"</formula>
    </cfRule>
    <cfRule type="cellIs" dxfId="12253" priority="16356" stopIfTrue="1" operator="equal">
      <formula>"Napkin Hs"</formula>
    </cfRule>
    <cfRule type="cellIs" dxfId="12252" priority="16361" stopIfTrue="1" operator="equal">
      <formula>"Towel"</formula>
    </cfRule>
    <cfRule type="cellIs" dxfId="12251" priority="16362" stopIfTrue="1" operator="equal">
      <formula>"Napkin Hs"</formula>
    </cfRule>
    <cfRule type="cellIs" dxfId="12250" priority="16367" stopIfTrue="1" operator="equal">
      <formula>"Towel"</formula>
    </cfRule>
    <cfRule type="cellIs" dxfId="12249" priority="16368" stopIfTrue="1" operator="equal">
      <formula>"Napkin Hs"</formula>
    </cfRule>
    <cfRule type="cellIs" dxfId="12248" priority="16373" stopIfTrue="1" operator="equal">
      <formula>"Towel"</formula>
    </cfRule>
    <cfRule type="cellIs" dxfId="12247" priority="16374" stopIfTrue="1" operator="equal">
      <formula>"Napkin Hs"</formula>
    </cfRule>
    <cfRule type="cellIs" dxfId="12246" priority="16379" stopIfTrue="1" operator="equal">
      <formula>"Towel"</formula>
    </cfRule>
    <cfRule type="cellIs" dxfId="12245" priority="16380" stopIfTrue="1" operator="equal">
      <formula>"Napkin Hs"</formula>
    </cfRule>
  </conditionalFormatting>
  <conditionalFormatting sqref="B104:C104">
    <cfRule type="cellIs" dxfId="12244" priority="16331" stopIfTrue="1" operator="equal">
      <formula>"Towel"</formula>
    </cfRule>
  </conditionalFormatting>
  <conditionalFormatting sqref="B105:C106">
    <cfRule type="cellIs" dxfId="12243" priority="16319" stopIfTrue="1" operator="equal">
      <formula>"Towel"</formula>
    </cfRule>
  </conditionalFormatting>
  <conditionalFormatting sqref="B106:C106 C105">
    <cfRule type="cellIs" dxfId="12242" priority="16278" stopIfTrue="1" operator="equal">
      <formula>"Napkin Hs"</formula>
    </cfRule>
    <cfRule type="cellIs" dxfId="12241" priority="16284" stopIfTrue="1" operator="equal">
      <formula>"Napkin Hs"</formula>
    </cfRule>
    <cfRule type="cellIs" dxfId="12240" priority="16290" stopIfTrue="1" operator="equal">
      <formula>"Napkin Hs"</formula>
    </cfRule>
    <cfRule type="cellIs" dxfId="12239" priority="16296" stopIfTrue="1" operator="equal">
      <formula>"Napkin Hs"</formula>
    </cfRule>
    <cfRule type="cellIs" dxfId="12238" priority="16302" stopIfTrue="1" operator="equal">
      <formula>"Napkin Hs"</formula>
    </cfRule>
    <cfRule type="cellIs" dxfId="12237" priority="16308" stopIfTrue="1" operator="equal">
      <formula>"Napkin Hs"</formula>
    </cfRule>
    <cfRule type="cellIs" dxfId="12236" priority="16314" stopIfTrue="1" operator="equal">
      <formula>"Napkin Hs"</formula>
    </cfRule>
    <cfRule type="cellIs" dxfId="12235" priority="16320" stopIfTrue="1" operator="equal">
      <formula>"Napkin Hs"</formula>
    </cfRule>
    <cfRule type="cellIs" dxfId="12234" priority="16326" stopIfTrue="1" operator="equal">
      <formula>"Napkin Hs"</formula>
    </cfRule>
  </conditionalFormatting>
  <conditionalFormatting sqref="B107:C107">
    <cfRule type="cellIs" dxfId="12233" priority="16393" stopIfTrue="1" operator="equal">
      <formula>"Towel"</formula>
    </cfRule>
    <cfRule type="cellIs" dxfId="12232" priority="16394" stopIfTrue="1" operator="equal">
      <formula>"Napkin Hs"</formula>
    </cfRule>
  </conditionalFormatting>
  <conditionalFormatting sqref="B108:C108">
    <cfRule type="cellIs" dxfId="12231" priority="16223" stopIfTrue="1" operator="equal">
      <formula>"Towel"</formula>
    </cfRule>
    <cfRule type="cellIs" dxfId="12230" priority="16224" stopIfTrue="1" operator="equal">
      <formula>"Napkin Hs"</formula>
    </cfRule>
    <cfRule type="cellIs" dxfId="12229" priority="16229" stopIfTrue="1" operator="equal">
      <formula>"Towel"</formula>
    </cfRule>
    <cfRule type="cellIs" dxfId="12228" priority="16230" stopIfTrue="1" operator="equal">
      <formula>"Napkin Hs"</formula>
    </cfRule>
    <cfRule type="cellIs" dxfId="12227" priority="16235" stopIfTrue="1" operator="equal">
      <formula>"Towel"</formula>
    </cfRule>
    <cfRule type="cellIs" dxfId="12226" priority="16236" stopIfTrue="1" operator="equal">
      <formula>"Napkin Hs"</formula>
    </cfRule>
    <cfRule type="cellIs" dxfId="12225" priority="16241" stopIfTrue="1" operator="equal">
      <formula>"Towel"</formula>
    </cfRule>
    <cfRule type="cellIs" dxfId="12224" priority="16242" stopIfTrue="1" operator="equal">
      <formula>"Napkin Hs"</formula>
    </cfRule>
    <cfRule type="cellIs" dxfId="12223" priority="16247" stopIfTrue="1" operator="equal">
      <formula>"Towel"</formula>
    </cfRule>
    <cfRule type="cellIs" dxfId="12222" priority="16248" stopIfTrue="1" operator="equal">
      <formula>"Napkin Hs"</formula>
    </cfRule>
    <cfRule type="cellIs" dxfId="12221" priority="16253" stopIfTrue="1" operator="equal">
      <formula>"Towel"</formula>
    </cfRule>
    <cfRule type="cellIs" dxfId="12220" priority="16254" stopIfTrue="1" operator="equal">
      <formula>"Napkin Hs"</formula>
    </cfRule>
    <cfRule type="cellIs" dxfId="12219" priority="16259" stopIfTrue="1" operator="equal">
      <formula>"Towel"</formula>
    </cfRule>
    <cfRule type="cellIs" dxfId="12218" priority="16260" stopIfTrue="1" operator="equal">
      <formula>"Napkin Hs"</formula>
    </cfRule>
    <cfRule type="cellIs" dxfId="12217" priority="16265" stopIfTrue="1" operator="equal">
      <formula>"Towel"</formula>
    </cfRule>
    <cfRule type="cellIs" dxfId="12216" priority="16266" stopIfTrue="1" operator="equal">
      <formula>"Napkin Hs"</formula>
    </cfRule>
    <cfRule type="cellIs" dxfId="12215" priority="16271" stopIfTrue="1" operator="equal">
      <formula>"Towel"</formula>
    </cfRule>
    <cfRule type="cellIs" dxfId="12214" priority="16272" stopIfTrue="1" operator="equal">
      <formula>"Napkin Hs"</formula>
    </cfRule>
  </conditionalFormatting>
  <conditionalFormatting sqref="B120:C120">
    <cfRule type="cellIs" dxfId="12213" priority="16023" stopIfTrue="1" operator="equal">
      <formula>"Towel"</formula>
    </cfRule>
    <cfRule type="cellIs" dxfId="12212" priority="16024" stopIfTrue="1" operator="equal">
      <formula>"Napkin Hs"</formula>
    </cfRule>
  </conditionalFormatting>
  <conditionalFormatting sqref="B121:C121">
    <cfRule type="cellIs" dxfId="12211" priority="15769" stopIfTrue="1" operator="equal">
      <formula>"Towel"</formula>
    </cfRule>
    <cfRule type="cellIs" dxfId="12210" priority="15770" stopIfTrue="1" operator="equal">
      <formula>"Napkin Hs"</formula>
    </cfRule>
    <cfRule type="cellIs" dxfId="12209" priority="15775" stopIfTrue="1" operator="equal">
      <formula>"Towel"</formula>
    </cfRule>
    <cfRule type="cellIs" dxfId="12208" priority="15776" stopIfTrue="1" operator="equal">
      <formula>"Napkin Hs"</formula>
    </cfRule>
    <cfRule type="cellIs" dxfId="12207" priority="15781" stopIfTrue="1" operator="equal">
      <formula>"Towel"</formula>
    </cfRule>
    <cfRule type="cellIs" dxfId="12206" priority="15782" stopIfTrue="1" operator="equal">
      <formula>"Napkin Hs"</formula>
    </cfRule>
    <cfRule type="cellIs" dxfId="12205" priority="15787" stopIfTrue="1" operator="equal">
      <formula>"Towel"</formula>
    </cfRule>
    <cfRule type="cellIs" dxfId="12204" priority="15788" stopIfTrue="1" operator="equal">
      <formula>"Napkin Hs"</formula>
    </cfRule>
    <cfRule type="cellIs" dxfId="12203" priority="15793" stopIfTrue="1" operator="equal">
      <formula>"Towel"</formula>
    </cfRule>
    <cfRule type="cellIs" dxfId="12202" priority="15794" stopIfTrue="1" operator="equal">
      <formula>"Napkin Hs"</formula>
    </cfRule>
    <cfRule type="cellIs" dxfId="12201" priority="15799" stopIfTrue="1" operator="equal">
      <formula>"Towel"</formula>
    </cfRule>
    <cfRule type="cellIs" dxfId="12200" priority="15800" stopIfTrue="1" operator="equal">
      <formula>"Napkin Hs"</formula>
    </cfRule>
    <cfRule type="cellIs" dxfId="12199" priority="15805" stopIfTrue="1" operator="equal">
      <formula>"Towel"</formula>
    </cfRule>
    <cfRule type="cellIs" dxfId="12198" priority="15806" stopIfTrue="1" operator="equal">
      <formula>"Napkin Hs"</formula>
    </cfRule>
    <cfRule type="cellIs" dxfId="12197" priority="15811" stopIfTrue="1" operator="equal">
      <formula>"Towel"</formula>
    </cfRule>
    <cfRule type="cellIs" dxfId="12196" priority="15812" stopIfTrue="1" operator="equal">
      <formula>"Napkin Hs"</formula>
    </cfRule>
    <cfRule type="cellIs" dxfId="12195" priority="15817" stopIfTrue="1" operator="equal">
      <formula>"Towel"</formula>
    </cfRule>
    <cfRule type="cellIs" dxfId="12194" priority="15818" stopIfTrue="1" operator="equal">
      <formula>"Napkin Hs"</formula>
    </cfRule>
    <cfRule type="cellIs" dxfId="12193" priority="15823" stopIfTrue="1" operator="equal">
      <formula>"Towel"</formula>
    </cfRule>
    <cfRule type="cellIs" dxfId="12192" priority="15824" stopIfTrue="1" operator="equal">
      <formula>"Napkin Hs"</formula>
    </cfRule>
  </conditionalFormatting>
  <conditionalFormatting sqref="B122:C122">
    <cfRule type="cellIs" dxfId="12191" priority="15709" stopIfTrue="1" operator="equal">
      <formula>"Towel"</formula>
    </cfRule>
    <cfRule type="cellIs" dxfId="12190" priority="15710" stopIfTrue="1" operator="equal">
      <formula>"Napkin Hs"</formula>
    </cfRule>
    <cfRule type="cellIs" dxfId="12189" priority="15715" stopIfTrue="1" operator="equal">
      <formula>"Towel"</formula>
    </cfRule>
    <cfRule type="cellIs" dxfId="12188" priority="15716" stopIfTrue="1" operator="equal">
      <formula>"Napkin Hs"</formula>
    </cfRule>
    <cfRule type="cellIs" dxfId="12187" priority="15721" stopIfTrue="1" operator="equal">
      <formula>"Towel"</formula>
    </cfRule>
    <cfRule type="cellIs" dxfId="12186" priority="15722" stopIfTrue="1" operator="equal">
      <formula>"Napkin Hs"</formula>
    </cfRule>
    <cfRule type="cellIs" dxfId="12185" priority="15727" stopIfTrue="1" operator="equal">
      <formula>"Towel"</formula>
    </cfRule>
    <cfRule type="cellIs" dxfId="12184" priority="15728" stopIfTrue="1" operator="equal">
      <formula>"Napkin Hs"</formula>
    </cfRule>
    <cfRule type="cellIs" dxfId="12183" priority="15733" stopIfTrue="1" operator="equal">
      <formula>"Towel"</formula>
    </cfRule>
    <cfRule type="cellIs" dxfId="12182" priority="15734" stopIfTrue="1" operator="equal">
      <formula>"Napkin Hs"</formula>
    </cfRule>
    <cfRule type="cellIs" dxfId="12181" priority="15739" stopIfTrue="1" operator="equal">
      <formula>"Towel"</formula>
    </cfRule>
    <cfRule type="cellIs" dxfId="12180" priority="15740" stopIfTrue="1" operator="equal">
      <formula>"Napkin Hs"</formula>
    </cfRule>
    <cfRule type="cellIs" dxfId="12179" priority="15745" stopIfTrue="1" operator="equal">
      <formula>"Towel"</formula>
    </cfRule>
    <cfRule type="cellIs" dxfId="12178" priority="15746" stopIfTrue="1" operator="equal">
      <formula>"Napkin Hs"</formula>
    </cfRule>
    <cfRule type="cellIs" dxfId="12177" priority="15751" stopIfTrue="1" operator="equal">
      <formula>"Towel"</formula>
    </cfRule>
    <cfRule type="cellIs" dxfId="12176" priority="15752" stopIfTrue="1" operator="equal">
      <formula>"Napkin Hs"</formula>
    </cfRule>
    <cfRule type="cellIs" dxfId="12175" priority="15757" stopIfTrue="1" operator="equal">
      <formula>"Towel"</formula>
    </cfRule>
    <cfRule type="cellIs" dxfId="12174" priority="15758" stopIfTrue="1" operator="equal">
      <formula>"Napkin Hs"</formula>
    </cfRule>
    <cfRule type="cellIs" dxfId="12173" priority="15763" stopIfTrue="1" operator="equal">
      <formula>"Towel"</formula>
    </cfRule>
    <cfRule type="cellIs" dxfId="12172" priority="15764" stopIfTrue="1" operator="equal">
      <formula>"Napkin Hs"</formula>
    </cfRule>
  </conditionalFormatting>
  <conditionalFormatting sqref="B123:C123">
    <cfRule type="cellIs" dxfId="12171" priority="15829" stopIfTrue="1" operator="equal">
      <formula>"Towel"</formula>
    </cfRule>
    <cfRule type="cellIs" dxfId="12170" priority="15830" stopIfTrue="1" operator="equal">
      <formula>"Napkin Hs"</formula>
    </cfRule>
    <cfRule type="cellIs" dxfId="12169" priority="15835" stopIfTrue="1" operator="equal">
      <formula>"Towel"</formula>
    </cfRule>
    <cfRule type="cellIs" dxfId="12168" priority="15836" stopIfTrue="1" operator="equal">
      <formula>"Napkin Hs"</formula>
    </cfRule>
    <cfRule type="cellIs" dxfId="12167" priority="15841" stopIfTrue="1" operator="equal">
      <formula>"Towel"</formula>
    </cfRule>
    <cfRule type="cellIs" dxfId="12166" priority="15842" stopIfTrue="1" operator="equal">
      <formula>"Napkin Hs"</formula>
    </cfRule>
    <cfRule type="cellIs" dxfId="12165" priority="15847" stopIfTrue="1" operator="equal">
      <formula>"Towel"</formula>
    </cfRule>
    <cfRule type="cellIs" dxfId="12164" priority="15848" stopIfTrue="1" operator="equal">
      <formula>"Napkin Hs"</formula>
    </cfRule>
    <cfRule type="cellIs" dxfId="12163" priority="15853" stopIfTrue="1" operator="equal">
      <formula>"Towel"</formula>
    </cfRule>
    <cfRule type="cellIs" dxfId="12162" priority="15854" stopIfTrue="1" operator="equal">
      <formula>"Napkin Hs"</formula>
    </cfRule>
    <cfRule type="cellIs" dxfId="12161" priority="15859" stopIfTrue="1" operator="equal">
      <formula>"Towel"</formula>
    </cfRule>
    <cfRule type="cellIs" dxfId="12160" priority="15860" stopIfTrue="1" operator="equal">
      <formula>"Napkin Hs"</formula>
    </cfRule>
    <cfRule type="cellIs" dxfId="12159" priority="15865" stopIfTrue="1" operator="equal">
      <formula>"Towel"</formula>
    </cfRule>
    <cfRule type="cellIs" dxfId="12158" priority="15866" stopIfTrue="1" operator="equal">
      <formula>"Napkin Hs"</formula>
    </cfRule>
    <cfRule type="cellIs" dxfId="12157" priority="15871" stopIfTrue="1" operator="equal">
      <formula>"Towel"</formula>
    </cfRule>
    <cfRule type="cellIs" dxfId="12156" priority="15872" stopIfTrue="1" operator="equal">
      <formula>"Napkin Hs"</formula>
    </cfRule>
    <cfRule type="cellIs" dxfId="12155" priority="15877" stopIfTrue="1" operator="equal">
      <formula>"Towel"</formula>
    </cfRule>
    <cfRule type="cellIs" dxfId="12154" priority="15878" stopIfTrue="1" operator="equal">
      <formula>"Napkin Hs"</formula>
    </cfRule>
    <cfRule type="cellIs" dxfId="12153" priority="15883" stopIfTrue="1" operator="equal">
      <formula>"Towel"</formula>
    </cfRule>
    <cfRule type="cellIs" dxfId="12152" priority="15884" stopIfTrue="1" operator="equal">
      <formula>"Napkin Hs"</formula>
    </cfRule>
  </conditionalFormatting>
  <conditionalFormatting sqref="B124:C124">
    <cfRule type="cellIs" dxfId="12151" priority="16027" stopIfTrue="1" operator="equal">
      <formula>"Towel"</formula>
    </cfRule>
    <cfRule type="cellIs" dxfId="12150" priority="16028" stopIfTrue="1" operator="equal">
      <formula>"Napkin Hs"</formula>
    </cfRule>
  </conditionalFormatting>
  <conditionalFormatting sqref="B125:C125">
    <cfRule type="cellIs" dxfId="12149" priority="16015" stopIfTrue="1" operator="equal">
      <formula>"Towel"</formula>
    </cfRule>
    <cfRule type="cellIs" dxfId="12148" priority="16016" stopIfTrue="1" operator="equal">
      <formula>"Napkin Hs"</formula>
    </cfRule>
  </conditionalFormatting>
  <conditionalFormatting sqref="B126:C126">
    <cfRule type="cellIs" dxfId="12147" priority="19345" stopIfTrue="1" operator="equal">
      <formula>"Towel"</formula>
    </cfRule>
    <cfRule type="cellIs" dxfId="12146" priority="19346" stopIfTrue="1" operator="equal">
      <formula>"Napkin Hs"</formula>
    </cfRule>
  </conditionalFormatting>
  <conditionalFormatting sqref="B127:C127">
    <cfRule type="cellIs" dxfId="12145" priority="15451" stopIfTrue="1" operator="equal">
      <formula>"Towel"</formula>
    </cfRule>
    <cfRule type="cellIs" dxfId="12144" priority="15452" stopIfTrue="1" operator="equal">
      <formula>"Napkin Hs"</formula>
    </cfRule>
    <cfRule type="cellIs" dxfId="12143" priority="15457" stopIfTrue="1" operator="equal">
      <formula>"Towel"</formula>
    </cfRule>
    <cfRule type="cellIs" dxfId="12142" priority="15458" stopIfTrue="1" operator="equal">
      <formula>"Napkin Hs"</formula>
    </cfRule>
    <cfRule type="cellIs" dxfId="12141" priority="15463" stopIfTrue="1" operator="equal">
      <formula>"Towel"</formula>
    </cfRule>
    <cfRule type="cellIs" dxfId="12140" priority="15464" stopIfTrue="1" operator="equal">
      <formula>"Napkin Hs"</formula>
    </cfRule>
    <cfRule type="cellIs" dxfId="12139" priority="15469" stopIfTrue="1" operator="equal">
      <formula>"Towel"</formula>
    </cfRule>
    <cfRule type="cellIs" dxfId="12138" priority="15470" stopIfTrue="1" operator="equal">
      <formula>"Napkin Hs"</formula>
    </cfRule>
    <cfRule type="cellIs" dxfId="12137" priority="15475" stopIfTrue="1" operator="equal">
      <formula>"Towel"</formula>
    </cfRule>
    <cfRule type="cellIs" dxfId="12136" priority="15476" stopIfTrue="1" operator="equal">
      <formula>"Napkin Hs"</formula>
    </cfRule>
    <cfRule type="cellIs" dxfId="12135" priority="15481" stopIfTrue="1" operator="equal">
      <formula>"Towel"</formula>
    </cfRule>
    <cfRule type="cellIs" dxfId="12134" priority="15482" stopIfTrue="1" operator="equal">
      <formula>"Napkin Hs"</formula>
    </cfRule>
    <cfRule type="cellIs" dxfId="12133" priority="15487" stopIfTrue="1" operator="equal">
      <formula>"Towel"</formula>
    </cfRule>
    <cfRule type="cellIs" dxfId="12132" priority="15488" stopIfTrue="1" operator="equal">
      <formula>"Napkin Hs"</formula>
    </cfRule>
    <cfRule type="cellIs" dxfId="12131" priority="15493" stopIfTrue="1" operator="equal">
      <formula>"Towel"</formula>
    </cfRule>
    <cfRule type="cellIs" dxfId="12130" priority="15494" stopIfTrue="1" operator="equal">
      <formula>"Napkin Hs"</formula>
    </cfRule>
    <cfRule type="cellIs" dxfId="12129" priority="15499" stopIfTrue="1" operator="equal">
      <formula>"Towel"</formula>
    </cfRule>
    <cfRule type="cellIs" dxfId="12128" priority="15500" stopIfTrue="1" operator="equal">
      <formula>"Napkin Hs"</formula>
    </cfRule>
    <cfRule type="cellIs" dxfId="12127" priority="15505" stopIfTrue="1" operator="equal">
      <formula>"Towel"</formula>
    </cfRule>
    <cfRule type="cellIs" dxfId="12126" priority="15506" stopIfTrue="1" operator="equal">
      <formula>"Napkin Hs"</formula>
    </cfRule>
  </conditionalFormatting>
  <conditionalFormatting sqref="B128:C128">
    <cfRule type="cellIs" dxfId="12125" priority="15445" stopIfTrue="1" operator="equal">
      <formula>"Towel"</formula>
    </cfRule>
    <cfRule type="cellIs" dxfId="12124" priority="15446" stopIfTrue="1" operator="equal">
      <formula>"Napkin Hs"</formula>
    </cfRule>
  </conditionalFormatting>
  <conditionalFormatting sqref="B129:C129">
    <cfRule type="cellIs" dxfId="12123" priority="15511" stopIfTrue="1" operator="equal">
      <formula>"Towel"</formula>
    </cfRule>
    <cfRule type="cellIs" dxfId="12122" priority="15512" stopIfTrue="1" operator="equal">
      <formula>"Napkin Hs"</formula>
    </cfRule>
    <cfRule type="cellIs" dxfId="12121" priority="15517" stopIfTrue="1" operator="equal">
      <formula>"Towel"</formula>
    </cfRule>
    <cfRule type="cellIs" dxfId="12120" priority="15518" stopIfTrue="1" operator="equal">
      <formula>"Napkin Hs"</formula>
    </cfRule>
    <cfRule type="cellIs" dxfId="12119" priority="15523" stopIfTrue="1" operator="equal">
      <formula>"Towel"</formula>
    </cfRule>
    <cfRule type="cellIs" dxfId="12118" priority="15524" stopIfTrue="1" operator="equal">
      <formula>"Napkin Hs"</formula>
    </cfRule>
    <cfRule type="cellIs" dxfId="12117" priority="15529" stopIfTrue="1" operator="equal">
      <formula>"Towel"</formula>
    </cfRule>
    <cfRule type="cellIs" dxfId="12116" priority="15530" stopIfTrue="1" operator="equal">
      <formula>"Napkin Hs"</formula>
    </cfRule>
    <cfRule type="cellIs" dxfId="12115" priority="15535" stopIfTrue="1" operator="equal">
      <formula>"Towel"</formula>
    </cfRule>
    <cfRule type="cellIs" dxfId="12114" priority="15536" stopIfTrue="1" operator="equal">
      <formula>"Napkin Hs"</formula>
    </cfRule>
    <cfRule type="cellIs" dxfId="12113" priority="15541" stopIfTrue="1" operator="equal">
      <formula>"Towel"</formula>
    </cfRule>
    <cfRule type="cellIs" dxfId="12112" priority="15542" stopIfTrue="1" operator="equal">
      <formula>"Napkin Hs"</formula>
    </cfRule>
    <cfRule type="cellIs" dxfId="12111" priority="15547" stopIfTrue="1" operator="equal">
      <formula>"Towel"</formula>
    </cfRule>
    <cfRule type="cellIs" dxfId="12110" priority="15548" stopIfTrue="1" operator="equal">
      <formula>"Napkin Hs"</formula>
    </cfRule>
    <cfRule type="cellIs" dxfId="12109" priority="15553" stopIfTrue="1" operator="equal">
      <formula>"Towel"</formula>
    </cfRule>
    <cfRule type="cellIs" dxfId="12108" priority="15554" stopIfTrue="1" operator="equal">
      <formula>"Napkin Hs"</formula>
    </cfRule>
    <cfRule type="cellIs" dxfId="12107" priority="15559" stopIfTrue="1" operator="equal">
      <formula>"Towel"</formula>
    </cfRule>
    <cfRule type="cellIs" dxfId="12106" priority="15560" stopIfTrue="1" operator="equal">
      <formula>"Napkin Hs"</formula>
    </cfRule>
    <cfRule type="cellIs" dxfId="12105" priority="15565" stopIfTrue="1" operator="equal">
      <formula>"Towel"</formula>
    </cfRule>
    <cfRule type="cellIs" dxfId="12104" priority="15566" stopIfTrue="1" operator="equal">
      <formula>"Napkin Hs"</formula>
    </cfRule>
  </conditionalFormatting>
  <conditionalFormatting sqref="B130:C132">
    <cfRule type="cellIs" dxfId="12103" priority="15571" stopIfTrue="1" operator="equal">
      <formula>"Towel"</formula>
    </cfRule>
    <cfRule type="cellIs" dxfId="12102" priority="15572" stopIfTrue="1" operator="equal">
      <formula>"Napkin Hs"</formula>
    </cfRule>
  </conditionalFormatting>
  <conditionalFormatting sqref="B133:C133">
    <cfRule type="cellIs" dxfId="12101" priority="15367" stopIfTrue="1" operator="equal">
      <formula>"Towel"</formula>
    </cfRule>
    <cfRule type="cellIs" dxfId="12100" priority="15368" stopIfTrue="1" operator="equal">
      <formula>"Napkin Hs"</formula>
    </cfRule>
  </conditionalFormatting>
  <conditionalFormatting sqref="B134:C134">
    <cfRule type="cellIs" dxfId="12099" priority="15373" stopIfTrue="1" operator="equal">
      <formula>"Towel"</formula>
    </cfRule>
    <cfRule type="cellIs" dxfId="12098" priority="15374" stopIfTrue="1" operator="equal">
      <formula>"Napkin Hs"</formula>
    </cfRule>
  </conditionalFormatting>
  <conditionalFormatting sqref="C16">
    <cfRule type="cellIs" dxfId="12097" priority="15179" stopIfTrue="1" operator="equal">
      <formula>"Towel"</formula>
    </cfRule>
  </conditionalFormatting>
  <conditionalFormatting sqref="C16">
    <cfRule type="cellIs" dxfId="12096" priority="15178" stopIfTrue="1" operator="equal">
      <formula>"Napkin Hs"</formula>
    </cfRule>
    <cfRule type="cellIs" dxfId="12095" priority="15180" stopIfTrue="1" operator="equal">
      <formula>"Napkin Hs"</formula>
    </cfRule>
  </conditionalFormatting>
  <conditionalFormatting sqref="C16:C18">
    <cfRule type="cellIs" dxfId="12094" priority="15077" stopIfTrue="1" operator="equal">
      <formula>"Towel"</formula>
    </cfRule>
  </conditionalFormatting>
  <conditionalFormatting sqref="C17">
    <cfRule type="cellIs" dxfId="12093" priority="15075" stopIfTrue="1" operator="equal">
      <formula>"Towel"</formula>
    </cfRule>
    <cfRule type="cellIs" dxfId="12092" priority="15076" stopIfTrue="1" operator="equal">
      <formula>"Napkin Hs"</formula>
    </cfRule>
    <cfRule type="cellIs" dxfId="12091" priority="15078" stopIfTrue="1" operator="equal">
      <formula>"Napkin Hs"</formula>
    </cfRule>
  </conditionalFormatting>
  <conditionalFormatting sqref="C18">
    <cfRule type="cellIs" dxfId="12090" priority="15082" stopIfTrue="1" operator="equal">
      <formula>"Napkin Hs"</formula>
    </cfRule>
    <cfRule type="cellIs" dxfId="12089" priority="15084" stopIfTrue="1" operator="equal">
      <formula>"Napkin Hs"</formula>
    </cfRule>
  </conditionalFormatting>
  <conditionalFormatting sqref="C18">
    <cfRule type="cellIs" dxfId="12088" priority="15083" stopIfTrue="1" operator="equal">
      <formula>"Towel"</formula>
    </cfRule>
  </conditionalFormatting>
  <conditionalFormatting sqref="C83">
    <cfRule type="cellIs" dxfId="12087" priority="17359" stopIfTrue="1" operator="equal">
      <formula>"Towel"</formula>
    </cfRule>
    <cfRule type="cellIs" dxfId="12086" priority="17360" stopIfTrue="1" operator="equal">
      <formula>"Napkin Hs"</formula>
    </cfRule>
  </conditionalFormatting>
  <conditionalFormatting sqref="C83">
    <cfRule type="cellIs" dxfId="12085" priority="17365" stopIfTrue="1" operator="equal">
      <formula>"Towel"</formula>
    </cfRule>
    <cfRule type="cellIs" dxfId="12084" priority="17366" stopIfTrue="1" operator="equal">
      <formula>"Napkin Hs"</formula>
    </cfRule>
  </conditionalFormatting>
  <conditionalFormatting sqref="C84">
    <cfRule type="cellIs" dxfId="12083" priority="17089" stopIfTrue="1" operator="equal">
      <formula>"Towel"</formula>
    </cfRule>
    <cfRule type="cellIs" dxfId="12082" priority="17090" stopIfTrue="1" operator="equal">
      <formula>"Napkin Hs"</formula>
    </cfRule>
    <cfRule type="cellIs" dxfId="12081" priority="17093" stopIfTrue="1" operator="equal">
      <formula>"Towel"</formula>
    </cfRule>
    <cfRule type="cellIs" dxfId="12080" priority="17094" stopIfTrue="1" operator="equal">
      <formula>"Napkin Hs"</formula>
    </cfRule>
    <cfRule type="cellIs" dxfId="12079" priority="17095" stopIfTrue="1" operator="equal">
      <formula>"Towel"</formula>
    </cfRule>
    <cfRule type="cellIs" dxfId="12078" priority="17096" stopIfTrue="1" operator="equal">
      <formula>"Napkin Hs"</formula>
    </cfRule>
    <cfRule type="cellIs" dxfId="12077" priority="17099" stopIfTrue="1" operator="equal">
      <formula>"Towel"</formula>
    </cfRule>
    <cfRule type="cellIs" dxfId="12076" priority="17100" stopIfTrue="1" operator="equal">
      <formula>"Napkin Hs"</formula>
    </cfRule>
    <cfRule type="cellIs" dxfId="12075" priority="17101" stopIfTrue="1" operator="equal">
      <formula>"Towel"</formula>
    </cfRule>
    <cfRule type="cellIs" dxfId="12074" priority="17102" stopIfTrue="1" operator="equal">
      <formula>"Napkin Hs"</formula>
    </cfRule>
    <cfRule type="cellIs" dxfId="12073" priority="17105" stopIfTrue="1" operator="equal">
      <formula>"Towel"</formula>
    </cfRule>
    <cfRule type="cellIs" dxfId="12072" priority="17106" stopIfTrue="1" operator="equal">
      <formula>"Napkin Hs"</formula>
    </cfRule>
    <cfRule type="cellIs" dxfId="12071" priority="17107" stopIfTrue="1" operator="equal">
      <formula>"Towel"</formula>
    </cfRule>
    <cfRule type="cellIs" dxfId="12070" priority="17108" stopIfTrue="1" operator="equal">
      <formula>"Napkin Hs"</formula>
    </cfRule>
    <cfRule type="cellIs" dxfId="12069" priority="17111" stopIfTrue="1" operator="equal">
      <formula>"Towel"</formula>
    </cfRule>
    <cfRule type="cellIs" dxfId="12068" priority="17112" stopIfTrue="1" operator="equal">
      <formula>"Napkin Hs"</formula>
    </cfRule>
    <cfRule type="cellIs" dxfId="12067" priority="17113" stopIfTrue="1" operator="equal">
      <formula>"Towel"</formula>
    </cfRule>
    <cfRule type="cellIs" dxfId="12066" priority="17114" stopIfTrue="1" operator="equal">
      <formula>"Napkin Hs"</formula>
    </cfRule>
    <cfRule type="cellIs" dxfId="12065" priority="17117" stopIfTrue="1" operator="equal">
      <formula>"Towel"</formula>
    </cfRule>
    <cfRule type="cellIs" dxfId="12064" priority="17118" stopIfTrue="1" operator="equal">
      <formula>"Napkin Hs"</formula>
    </cfRule>
    <cfRule type="cellIs" dxfId="12063" priority="17119" stopIfTrue="1" operator="equal">
      <formula>"Towel"</formula>
    </cfRule>
    <cfRule type="cellIs" dxfId="12062" priority="17120" stopIfTrue="1" operator="equal">
      <formula>"Napkin Hs"</formula>
    </cfRule>
    <cfRule type="cellIs" dxfId="12061" priority="17123" stopIfTrue="1" operator="equal">
      <formula>"Towel"</formula>
    </cfRule>
    <cfRule type="cellIs" dxfId="12060" priority="17124" stopIfTrue="1" operator="equal">
      <formula>"Napkin Hs"</formula>
    </cfRule>
    <cfRule type="cellIs" dxfId="12059" priority="17125" stopIfTrue="1" operator="equal">
      <formula>"Towel"</formula>
    </cfRule>
    <cfRule type="cellIs" dxfId="12058" priority="17126" stopIfTrue="1" operator="equal">
      <formula>"Napkin Hs"</formula>
    </cfRule>
    <cfRule type="cellIs" dxfId="12057" priority="17129" stopIfTrue="1" operator="equal">
      <formula>"Towel"</formula>
    </cfRule>
    <cfRule type="cellIs" dxfId="12056" priority="17130" stopIfTrue="1" operator="equal">
      <formula>"Napkin Hs"</formula>
    </cfRule>
  </conditionalFormatting>
  <conditionalFormatting sqref="C84:C85">
    <cfRule type="cellIs" dxfId="12055" priority="17131" stopIfTrue="1" operator="equal">
      <formula>"Towel"</formula>
    </cfRule>
    <cfRule type="cellIs" dxfId="12054" priority="17132" stopIfTrue="1" operator="equal">
      <formula>"Napkin Hs"</formula>
    </cfRule>
  </conditionalFormatting>
  <conditionalFormatting sqref="C84:C86">
    <cfRule type="cellIs" dxfId="12053" priority="16849" stopIfTrue="1" operator="equal">
      <formula>"Towel"</formula>
    </cfRule>
    <cfRule type="cellIs" dxfId="12052" priority="16850" stopIfTrue="1" operator="equal">
      <formula>"Napkin Hs"</formula>
    </cfRule>
  </conditionalFormatting>
  <conditionalFormatting sqref="C85">
    <cfRule type="cellIs" dxfId="12051" priority="16805" stopIfTrue="1" operator="equal">
      <formula>"Towel"</formula>
    </cfRule>
    <cfRule type="cellIs" dxfId="12050" priority="16806" stopIfTrue="1" operator="equal">
      <formula>"Napkin Hs"</formula>
    </cfRule>
    <cfRule type="cellIs" dxfId="12049" priority="16807" stopIfTrue="1" operator="equal">
      <formula>"Towel"</formula>
    </cfRule>
    <cfRule type="cellIs" dxfId="12048" priority="16808" stopIfTrue="1" operator="equal">
      <formula>"Napkin Hs"</formula>
    </cfRule>
    <cfRule type="cellIs" dxfId="12047" priority="16811" stopIfTrue="1" operator="equal">
      <formula>"Towel"</formula>
    </cfRule>
    <cfRule type="cellIs" dxfId="12046" priority="16812" stopIfTrue="1" operator="equal">
      <formula>"Napkin Hs"</formula>
    </cfRule>
    <cfRule type="cellIs" dxfId="12045" priority="16813" stopIfTrue="1" operator="equal">
      <formula>"Towel"</formula>
    </cfRule>
    <cfRule type="cellIs" dxfId="12044" priority="16814" stopIfTrue="1" operator="equal">
      <formula>"Napkin Hs"</formula>
    </cfRule>
    <cfRule type="cellIs" dxfId="12043" priority="16817" stopIfTrue="1" operator="equal">
      <formula>"Towel"</formula>
    </cfRule>
    <cfRule type="cellIs" dxfId="12042" priority="16818" stopIfTrue="1" operator="equal">
      <formula>"Napkin Hs"</formula>
    </cfRule>
    <cfRule type="cellIs" dxfId="12041" priority="16819" stopIfTrue="1" operator="equal">
      <formula>"Towel"</formula>
    </cfRule>
    <cfRule type="cellIs" dxfId="12040" priority="16820" stopIfTrue="1" operator="equal">
      <formula>"Napkin Hs"</formula>
    </cfRule>
    <cfRule type="cellIs" dxfId="12039" priority="16823" stopIfTrue="1" operator="equal">
      <formula>"Towel"</formula>
    </cfRule>
    <cfRule type="cellIs" dxfId="12038" priority="16824" stopIfTrue="1" operator="equal">
      <formula>"Napkin Hs"</formula>
    </cfRule>
    <cfRule type="cellIs" dxfId="12037" priority="16825" stopIfTrue="1" operator="equal">
      <formula>"Towel"</formula>
    </cfRule>
    <cfRule type="cellIs" dxfId="12036" priority="16826" stopIfTrue="1" operator="equal">
      <formula>"Napkin Hs"</formula>
    </cfRule>
    <cfRule type="cellIs" dxfId="12035" priority="16829" stopIfTrue="1" operator="equal">
      <formula>"Towel"</formula>
    </cfRule>
    <cfRule type="cellIs" dxfId="12034" priority="16830" stopIfTrue="1" operator="equal">
      <formula>"Napkin Hs"</formula>
    </cfRule>
    <cfRule type="cellIs" dxfId="12033" priority="16831" stopIfTrue="1" operator="equal">
      <formula>"Towel"</formula>
    </cfRule>
    <cfRule type="cellIs" dxfId="12032" priority="16832" stopIfTrue="1" operator="equal">
      <formula>"Napkin Hs"</formula>
    </cfRule>
    <cfRule type="cellIs" dxfId="12031" priority="16835" stopIfTrue="1" operator="equal">
      <formula>"Towel"</formula>
    </cfRule>
    <cfRule type="cellIs" dxfId="12030" priority="16836" stopIfTrue="1" operator="equal">
      <formula>"Napkin Hs"</formula>
    </cfRule>
    <cfRule type="cellIs" dxfId="12029" priority="16837" stopIfTrue="1" operator="equal">
      <formula>"Towel"</formula>
    </cfRule>
    <cfRule type="cellIs" dxfId="12028" priority="16838" stopIfTrue="1" operator="equal">
      <formula>"Napkin Hs"</formula>
    </cfRule>
    <cfRule type="cellIs" dxfId="12027" priority="16841" stopIfTrue="1" operator="equal">
      <formula>"Towel"</formula>
    </cfRule>
    <cfRule type="cellIs" dxfId="12026" priority="16842" stopIfTrue="1" operator="equal">
      <formula>"Napkin Hs"</formula>
    </cfRule>
    <cfRule type="cellIs" dxfId="12025" priority="16843" stopIfTrue="1" operator="equal">
      <formula>"Towel"</formula>
    </cfRule>
    <cfRule type="cellIs" dxfId="12024" priority="16844" stopIfTrue="1" operator="equal">
      <formula>"Napkin Hs"</formula>
    </cfRule>
    <cfRule type="cellIs" dxfId="12023" priority="16847" stopIfTrue="1" operator="equal">
      <formula>"Towel"</formula>
    </cfRule>
    <cfRule type="cellIs" dxfId="12022" priority="16848" stopIfTrue="1" operator="equal">
      <formula>"Napkin Hs"</formula>
    </cfRule>
    <cfRule type="cellIs" dxfId="12021" priority="17137" stopIfTrue="1" operator="equal">
      <formula>"Towel"</formula>
    </cfRule>
    <cfRule type="cellIs" dxfId="12020" priority="17138" stopIfTrue="1" operator="equal">
      <formula>"Napkin Hs"</formula>
    </cfRule>
    <cfRule type="cellIs" dxfId="12019" priority="17141" stopIfTrue="1" operator="equal">
      <formula>"Towel"</formula>
    </cfRule>
    <cfRule type="cellIs" dxfId="12018" priority="17142" stopIfTrue="1" operator="equal">
      <formula>"Napkin Hs"</formula>
    </cfRule>
    <cfRule type="cellIs" dxfId="12017" priority="17143" stopIfTrue="1" operator="equal">
      <formula>"Towel"</formula>
    </cfRule>
    <cfRule type="cellIs" dxfId="12016" priority="17144" stopIfTrue="1" operator="equal">
      <formula>"Napkin Hs"</formula>
    </cfRule>
    <cfRule type="cellIs" dxfId="12015" priority="17147" stopIfTrue="1" operator="equal">
      <formula>"Towel"</formula>
    </cfRule>
    <cfRule type="cellIs" dxfId="12014" priority="17148" stopIfTrue="1" operator="equal">
      <formula>"Napkin Hs"</formula>
    </cfRule>
    <cfRule type="cellIs" dxfId="12013" priority="17149" stopIfTrue="1" operator="equal">
      <formula>"Towel"</formula>
    </cfRule>
    <cfRule type="cellIs" dxfId="12012" priority="17150" stopIfTrue="1" operator="equal">
      <formula>"Napkin Hs"</formula>
    </cfRule>
    <cfRule type="cellIs" dxfId="12011" priority="17153" stopIfTrue="1" operator="equal">
      <formula>"Towel"</formula>
    </cfRule>
    <cfRule type="cellIs" dxfId="12010" priority="17154" stopIfTrue="1" operator="equal">
      <formula>"Napkin Hs"</formula>
    </cfRule>
    <cfRule type="cellIs" dxfId="12009" priority="17155" stopIfTrue="1" operator="equal">
      <formula>"Towel"</formula>
    </cfRule>
    <cfRule type="cellIs" dxfId="12008" priority="17156" stopIfTrue="1" operator="equal">
      <formula>"Napkin Hs"</formula>
    </cfRule>
    <cfRule type="cellIs" dxfId="12007" priority="17159" stopIfTrue="1" operator="equal">
      <formula>"Towel"</formula>
    </cfRule>
    <cfRule type="cellIs" dxfId="12006" priority="17160" stopIfTrue="1" operator="equal">
      <formula>"Napkin Hs"</formula>
    </cfRule>
    <cfRule type="cellIs" dxfId="12005" priority="17161" stopIfTrue="1" operator="equal">
      <formula>"Towel"</formula>
    </cfRule>
    <cfRule type="cellIs" dxfId="12004" priority="17162" stopIfTrue="1" operator="equal">
      <formula>"Napkin Hs"</formula>
    </cfRule>
    <cfRule type="cellIs" dxfId="12003" priority="17165" stopIfTrue="1" operator="equal">
      <formula>"Towel"</formula>
    </cfRule>
    <cfRule type="cellIs" dxfId="12002" priority="17166" stopIfTrue="1" operator="equal">
      <formula>"Napkin Hs"</formula>
    </cfRule>
    <cfRule type="cellIs" dxfId="12001" priority="17167" stopIfTrue="1" operator="equal">
      <formula>"Towel"</formula>
    </cfRule>
    <cfRule type="cellIs" dxfId="12000" priority="17168" stopIfTrue="1" operator="equal">
      <formula>"Napkin Hs"</formula>
    </cfRule>
    <cfRule type="cellIs" dxfId="11999" priority="17171" stopIfTrue="1" operator="equal">
      <formula>"Towel"</formula>
    </cfRule>
    <cfRule type="cellIs" dxfId="11998" priority="17172" stopIfTrue="1" operator="equal">
      <formula>"Napkin Hs"</formula>
    </cfRule>
    <cfRule type="cellIs" dxfId="11997" priority="17173" stopIfTrue="1" operator="equal">
      <formula>"Towel"</formula>
    </cfRule>
    <cfRule type="cellIs" dxfId="11996" priority="17174" stopIfTrue="1" operator="equal">
      <formula>"Napkin Hs"</formula>
    </cfRule>
    <cfRule type="cellIs" dxfId="11995" priority="17177" stopIfTrue="1" operator="equal">
      <formula>"Towel"</formula>
    </cfRule>
    <cfRule type="cellIs" dxfId="11994" priority="17178" stopIfTrue="1" operator="equal">
      <formula>"Napkin Hs"</formula>
    </cfRule>
  </conditionalFormatting>
  <conditionalFormatting sqref="C85:C86">
    <cfRule type="cellIs" dxfId="11993" priority="17179" stopIfTrue="1" operator="equal">
      <formula>"Towel"</formula>
    </cfRule>
    <cfRule type="cellIs" dxfId="11992" priority="17180" stopIfTrue="1" operator="equal">
      <formula>"Napkin Hs"</formula>
    </cfRule>
  </conditionalFormatting>
  <conditionalFormatting sqref="C86">
    <cfRule type="cellIs" dxfId="11991" priority="16855" stopIfTrue="1" operator="equal">
      <formula>"Towel"</formula>
    </cfRule>
    <cfRule type="cellIs" dxfId="11990" priority="16856" stopIfTrue="1" operator="equal">
      <formula>"Napkin Hs"</formula>
    </cfRule>
    <cfRule type="cellIs" dxfId="11989" priority="16859" stopIfTrue="1" operator="equal">
      <formula>"Towel"</formula>
    </cfRule>
    <cfRule type="cellIs" dxfId="11988" priority="16860" stopIfTrue="1" operator="equal">
      <formula>"Napkin Hs"</formula>
    </cfRule>
    <cfRule type="cellIs" dxfId="11987" priority="16861" stopIfTrue="1" operator="equal">
      <formula>"Towel"</formula>
    </cfRule>
    <cfRule type="cellIs" dxfId="11986" priority="16862" stopIfTrue="1" operator="equal">
      <formula>"Napkin Hs"</formula>
    </cfRule>
    <cfRule type="cellIs" dxfId="11985" priority="16865" stopIfTrue="1" operator="equal">
      <formula>"Towel"</formula>
    </cfRule>
    <cfRule type="cellIs" dxfId="11984" priority="16866" stopIfTrue="1" operator="equal">
      <formula>"Napkin Hs"</formula>
    </cfRule>
    <cfRule type="cellIs" dxfId="11983" priority="16867" stopIfTrue="1" operator="equal">
      <formula>"Towel"</formula>
    </cfRule>
    <cfRule type="cellIs" dxfId="11982" priority="16868" stopIfTrue="1" operator="equal">
      <formula>"Napkin Hs"</formula>
    </cfRule>
    <cfRule type="cellIs" dxfId="11981" priority="16871" stopIfTrue="1" operator="equal">
      <formula>"Towel"</formula>
    </cfRule>
    <cfRule type="cellIs" dxfId="11980" priority="16872" stopIfTrue="1" operator="equal">
      <formula>"Napkin Hs"</formula>
    </cfRule>
    <cfRule type="cellIs" dxfId="11979" priority="16873" stopIfTrue="1" operator="equal">
      <formula>"Towel"</formula>
    </cfRule>
    <cfRule type="cellIs" dxfId="11978" priority="16874" stopIfTrue="1" operator="equal">
      <formula>"Napkin Hs"</formula>
    </cfRule>
    <cfRule type="cellIs" dxfId="11977" priority="16877" stopIfTrue="1" operator="equal">
      <formula>"Towel"</formula>
    </cfRule>
    <cfRule type="cellIs" dxfId="11976" priority="16878" stopIfTrue="1" operator="equal">
      <formula>"Napkin Hs"</formula>
    </cfRule>
    <cfRule type="cellIs" dxfId="11975" priority="16879" stopIfTrue="1" operator="equal">
      <formula>"Towel"</formula>
    </cfRule>
    <cfRule type="cellIs" dxfId="11974" priority="16880" stopIfTrue="1" operator="equal">
      <formula>"Napkin Hs"</formula>
    </cfRule>
    <cfRule type="cellIs" dxfId="11973" priority="16883" stopIfTrue="1" operator="equal">
      <formula>"Towel"</formula>
    </cfRule>
    <cfRule type="cellIs" dxfId="11972" priority="16884" stopIfTrue="1" operator="equal">
      <formula>"Napkin Hs"</formula>
    </cfRule>
    <cfRule type="cellIs" dxfId="11971" priority="16885" stopIfTrue="1" operator="equal">
      <formula>"Towel"</formula>
    </cfRule>
    <cfRule type="cellIs" dxfId="11970" priority="16886" stopIfTrue="1" operator="equal">
      <formula>"Napkin Hs"</formula>
    </cfRule>
    <cfRule type="cellIs" dxfId="11969" priority="16889" stopIfTrue="1" operator="equal">
      <formula>"Towel"</formula>
    </cfRule>
    <cfRule type="cellIs" dxfId="11968" priority="16890" stopIfTrue="1" operator="equal">
      <formula>"Napkin Hs"</formula>
    </cfRule>
    <cfRule type="cellIs" dxfId="11967" priority="16891" stopIfTrue="1" operator="equal">
      <formula>"Towel"</formula>
    </cfRule>
    <cfRule type="cellIs" dxfId="11966" priority="16892" stopIfTrue="1" operator="equal">
      <formula>"Napkin Hs"</formula>
    </cfRule>
    <cfRule type="cellIs" dxfId="11965" priority="16895" stopIfTrue="1" operator="equal">
      <formula>"Towel"</formula>
    </cfRule>
    <cfRule type="cellIs" dxfId="11964" priority="16896" stopIfTrue="1" operator="equal">
      <formula>"Napkin Hs"</formula>
    </cfRule>
    <cfRule type="cellIs" dxfId="11963" priority="17185" stopIfTrue="1" operator="equal">
      <formula>"Towel"</formula>
    </cfRule>
    <cfRule type="cellIs" dxfId="11962" priority="17186" stopIfTrue="1" operator="equal">
      <formula>"Napkin Hs"</formula>
    </cfRule>
    <cfRule type="cellIs" dxfId="11961" priority="17189" stopIfTrue="1" operator="equal">
      <formula>"Towel"</formula>
    </cfRule>
    <cfRule type="cellIs" dxfId="11960" priority="17190" stopIfTrue="1" operator="equal">
      <formula>"Napkin Hs"</formula>
    </cfRule>
    <cfRule type="cellIs" dxfId="11959" priority="17191" stopIfTrue="1" operator="equal">
      <formula>"Towel"</formula>
    </cfRule>
    <cfRule type="cellIs" dxfId="11958" priority="17192" stopIfTrue="1" operator="equal">
      <formula>"Napkin Hs"</formula>
    </cfRule>
    <cfRule type="cellIs" dxfId="11957" priority="17195" stopIfTrue="1" operator="equal">
      <formula>"Towel"</formula>
    </cfRule>
    <cfRule type="cellIs" dxfId="11956" priority="17196" stopIfTrue="1" operator="equal">
      <formula>"Napkin Hs"</formula>
    </cfRule>
    <cfRule type="cellIs" dxfId="11955" priority="17197" stopIfTrue="1" operator="equal">
      <formula>"Towel"</formula>
    </cfRule>
    <cfRule type="cellIs" dxfId="11954" priority="17198" stopIfTrue="1" operator="equal">
      <formula>"Napkin Hs"</formula>
    </cfRule>
    <cfRule type="cellIs" dxfId="11953" priority="17201" stopIfTrue="1" operator="equal">
      <formula>"Towel"</formula>
    </cfRule>
    <cfRule type="cellIs" dxfId="11952" priority="17202" stopIfTrue="1" operator="equal">
      <formula>"Napkin Hs"</formula>
    </cfRule>
    <cfRule type="cellIs" dxfId="11951" priority="17203" stopIfTrue="1" operator="equal">
      <formula>"Towel"</formula>
    </cfRule>
    <cfRule type="cellIs" dxfId="11950" priority="17204" stopIfTrue="1" operator="equal">
      <formula>"Napkin Hs"</formula>
    </cfRule>
    <cfRule type="cellIs" dxfId="11949" priority="17207" stopIfTrue="1" operator="equal">
      <formula>"Towel"</formula>
    </cfRule>
    <cfRule type="cellIs" dxfId="11948" priority="17208" stopIfTrue="1" operator="equal">
      <formula>"Napkin Hs"</formula>
    </cfRule>
    <cfRule type="cellIs" dxfId="11947" priority="17209" stopIfTrue="1" operator="equal">
      <formula>"Towel"</formula>
    </cfRule>
    <cfRule type="cellIs" dxfId="11946" priority="17210" stopIfTrue="1" operator="equal">
      <formula>"Napkin Hs"</formula>
    </cfRule>
    <cfRule type="cellIs" dxfId="11945" priority="17213" stopIfTrue="1" operator="equal">
      <formula>"Towel"</formula>
    </cfRule>
    <cfRule type="cellIs" dxfId="11944" priority="17214" stopIfTrue="1" operator="equal">
      <formula>"Napkin Hs"</formula>
    </cfRule>
  </conditionalFormatting>
  <conditionalFormatting sqref="C86:C87">
    <cfRule type="cellIs" dxfId="11943" priority="16897" stopIfTrue="1" operator="equal">
      <formula>"Towel"</formula>
    </cfRule>
    <cfRule type="cellIs" dxfId="11942" priority="16898" stopIfTrue="1" operator="equal">
      <formula>"Napkin Hs"</formula>
    </cfRule>
    <cfRule type="cellIs" dxfId="11941" priority="17215" stopIfTrue="1" operator="equal">
      <formula>"Towel"</formula>
    </cfRule>
    <cfRule type="cellIs" dxfId="11940" priority="17216" stopIfTrue="1" operator="equal">
      <formula>"Napkin Hs"</formula>
    </cfRule>
  </conditionalFormatting>
  <conditionalFormatting sqref="C87">
    <cfRule type="cellIs" dxfId="11939" priority="16903" stopIfTrue="1" operator="equal">
      <formula>"Towel"</formula>
    </cfRule>
    <cfRule type="cellIs" dxfId="11938" priority="16904" stopIfTrue="1" operator="equal">
      <formula>"Napkin Hs"</formula>
    </cfRule>
    <cfRule type="cellIs" dxfId="11937" priority="16907" stopIfTrue="1" operator="equal">
      <formula>"Towel"</formula>
    </cfRule>
    <cfRule type="cellIs" dxfId="11936" priority="16908" stopIfTrue="1" operator="equal">
      <formula>"Napkin Hs"</formula>
    </cfRule>
    <cfRule type="cellIs" dxfId="11935" priority="16909" stopIfTrue="1" operator="equal">
      <formula>"Towel"</formula>
    </cfRule>
    <cfRule type="cellIs" dxfId="11934" priority="16910" stopIfTrue="1" operator="equal">
      <formula>"Napkin Hs"</formula>
    </cfRule>
    <cfRule type="cellIs" dxfId="11933" priority="16913" stopIfTrue="1" operator="equal">
      <formula>"Towel"</formula>
    </cfRule>
    <cfRule type="cellIs" dxfId="11932" priority="16914" stopIfTrue="1" operator="equal">
      <formula>"Napkin Hs"</formula>
    </cfRule>
    <cfRule type="cellIs" dxfId="11931" priority="16915" stopIfTrue="1" operator="equal">
      <formula>"Towel"</formula>
    </cfRule>
    <cfRule type="cellIs" dxfId="11930" priority="16916" stopIfTrue="1" operator="equal">
      <formula>"Napkin Hs"</formula>
    </cfRule>
    <cfRule type="cellIs" dxfId="11929" priority="16919" stopIfTrue="1" operator="equal">
      <formula>"Towel"</formula>
    </cfRule>
    <cfRule type="cellIs" dxfId="11928" priority="16920" stopIfTrue="1" operator="equal">
      <formula>"Napkin Hs"</formula>
    </cfRule>
    <cfRule type="cellIs" dxfId="11927" priority="16921" stopIfTrue="1" operator="equal">
      <formula>"Towel"</formula>
    </cfRule>
    <cfRule type="cellIs" dxfId="11926" priority="16922" stopIfTrue="1" operator="equal">
      <formula>"Napkin Hs"</formula>
    </cfRule>
    <cfRule type="cellIs" dxfId="11925" priority="16925" stopIfTrue="1" operator="equal">
      <formula>"Towel"</formula>
    </cfRule>
    <cfRule type="cellIs" dxfId="11924" priority="16926" stopIfTrue="1" operator="equal">
      <formula>"Napkin Hs"</formula>
    </cfRule>
    <cfRule type="cellIs" dxfId="11923" priority="16927" stopIfTrue="1" operator="equal">
      <formula>"Towel"</formula>
    </cfRule>
    <cfRule type="cellIs" dxfId="11922" priority="16928" stopIfTrue="1" operator="equal">
      <formula>"Napkin Hs"</formula>
    </cfRule>
    <cfRule type="cellIs" dxfId="11921" priority="16931" stopIfTrue="1" operator="equal">
      <formula>"Towel"</formula>
    </cfRule>
    <cfRule type="cellIs" dxfId="11920" priority="16932" stopIfTrue="1" operator="equal">
      <formula>"Napkin Hs"</formula>
    </cfRule>
    <cfRule type="cellIs" dxfId="11919" priority="17221" stopIfTrue="1" operator="equal">
      <formula>"Towel"</formula>
    </cfRule>
    <cfRule type="cellIs" dxfId="11918" priority="17222" stopIfTrue="1" operator="equal">
      <formula>"Napkin Hs"</formula>
    </cfRule>
  </conditionalFormatting>
  <conditionalFormatting sqref="C87:C88">
    <cfRule type="cellIs" dxfId="11917" priority="16933" stopIfTrue="1" operator="equal">
      <formula>"Towel"</formula>
    </cfRule>
    <cfRule type="cellIs" dxfId="11916" priority="16934" stopIfTrue="1" operator="equal">
      <formula>"Napkin Hs"</formula>
    </cfRule>
  </conditionalFormatting>
  <conditionalFormatting sqref="C88">
    <cfRule type="cellIs" dxfId="11915" priority="16999" stopIfTrue="1" operator="equal">
      <formula>"Towel"</formula>
    </cfRule>
    <cfRule type="cellIs" dxfId="11914" priority="17000" stopIfTrue="1" operator="equal">
      <formula>"Napkin Hs"</formula>
    </cfRule>
    <cfRule type="cellIs" dxfId="11913" priority="17003" stopIfTrue="1" operator="equal">
      <formula>"Towel"</formula>
    </cfRule>
    <cfRule type="cellIs" dxfId="11912" priority="17004" stopIfTrue="1" operator="equal">
      <formula>"Napkin Hs"</formula>
    </cfRule>
    <cfRule type="cellIs" dxfId="11911" priority="17005" stopIfTrue="1" operator="equal">
      <formula>"Towel"</formula>
    </cfRule>
    <cfRule type="cellIs" dxfId="11910" priority="17006" stopIfTrue="1" operator="equal">
      <formula>"Napkin Hs"</formula>
    </cfRule>
    <cfRule type="cellIs" dxfId="11909" priority="17009" stopIfTrue="1" operator="equal">
      <formula>"Towel"</formula>
    </cfRule>
    <cfRule type="cellIs" dxfId="11908" priority="17010" stopIfTrue="1" operator="equal">
      <formula>"Napkin Hs"</formula>
    </cfRule>
    <cfRule type="cellIs" dxfId="11907" priority="17011" stopIfTrue="1" operator="equal">
      <formula>"Towel"</formula>
    </cfRule>
    <cfRule type="cellIs" dxfId="11906" priority="17012" stopIfTrue="1" operator="equal">
      <formula>"Napkin Hs"</formula>
    </cfRule>
    <cfRule type="cellIs" dxfId="11905" priority="17015" stopIfTrue="1" operator="equal">
      <formula>"Towel"</formula>
    </cfRule>
    <cfRule type="cellIs" dxfId="11904" priority="17016" stopIfTrue="1" operator="equal">
      <formula>"Napkin Hs"</formula>
    </cfRule>
    <cfRule type="cellIs" dxfId="11903" priority="17017" stopIfTrue="1" operator="equal">
      <formula>"Towel"</formula>
    </cfRule>
    <cfRule type="cellIs" dxfId="11902" priority="17018" stopIfTrue="1" operator="equal">
      <formula>"Napkin Hs"</formula>
    </cfRule>
    <cfRule type="cellIs" dxfId="11901" priority="17021" stopIfTrue="1" operator="equal">
      <formula>"Towel"</formula>
    </cfRule>
    <cfRule type="cellIs" dxfId="11900" priority="17022" stopIfTrue="1" operator="equal">
      <formula>"Napkin Hs"</formula>
    </cfRule>
    <cfRule type="cellIs" dxfId="11899" priority="17023" stopIfTrue="1" operator="equal">
      <formula>"Towel"</formula>
    </cfRule>
    <cfRule type="cellIs" dxfId="11898" priority="17024" stopIfTrue="1" operator="equal">
      <formula>"Napkin Hs"</formula>
    </cfRule>
    <cfRule type="cellIs" dxfId="11897" priority="17027" stopIfTrue="1" operator="equal">
      <formula>"Towel"</formula>
    </cfRule>
    <cfRule type="cellIs" dxfId="11896" priority="17028" stopIfTrue="1" operator="equal">
      <formula>"Napkin Hs"</formula>
    </cfRule>
    <cfRule type="cellIs" dxfId="11895" priority="17029" stopIfTrue="1" operator="equal">
      <formula>"Towel"</formula>
    </cfRule>
    <cfRule type="cellIs" dxfId="11894" priority="17030" stopIfTrue="1" operator="equal">
      <formula>"Napkin Hs"</formula>
    </cfRule>
    <cfRule type="cellIs" dxfId="11893" priority="17033" stopIfTrue="1" operator="equal">
      <formula>"Towel"</formula>
    </cfRule>
    <cfRule type="cellIs" dxfId="11892" priority="17034" stopIfTrue="1" operator="equal">
      <formula>"Napkin Hs"</formula>
    </cfRule>
    <cfRule type="cellIs" dxfId="11891" priority="17035" stopIfTrue="1" operator="equal">
      <formula>"Towel"</formula>
    </cfRule>
    <cfRule type="cellIs" dxfId="11890" priority="17036" stopIfTrue="1" operator="equal">
      <formula>"Napkin Hs"</formula>
    </cfRule>
    <cfRule type="cellIs" dxfId="11889" priority="17039" stopIfTrue="1" operator="equal">
      <formula>"Towel"</formula>
    </cfRule>
    <cfRule type="cellIs" dxfId="11888" priority="17040" stopIfTrue="1" operator="equal">
      <formula>"Napkin Hs"</formula>
    </cfRule>
    <cfRule type="cellIs" dxfId="11887" priority="17041" stopIfTrue="1" operator="equal">
      <formula>"Towel"</formula>
    </cfRule>
    <cfRule type="cellIs" dxfId="11886" priority="17042" stopIfTrue="1" operator="equal">
      <formula>"Napkin Hs"</formula>
    </cfRule>
  </conditionalFormatting>
  <conditionalFormatting sqref="C88:C89">
    <cfRule type="cellIs" dxfId="11885" priority="16939" stopIfTrue="1" operator="equal">
      <formula>"Towel"</formula>
    </cfRule>
    <cfRule type="cellIs" dxfId="11884" priority="16940" stopIfTrue="1" operator="equal">
      <formula>"Napkin Hs"</formula>
    </cfRule>
  </conditionalFormatting>
  <conditionalFormatting sqref="C88:C90">
    <cfRule type="cellIs" dxfId="11883" priority="16993" stopIfTrue="1" operator="equal">
      <formula>"Towel"</formula>
    </cfRule>
    <cfRule type="cellIs" dxfId="11882" priority="16994" stopIfTrue="1" operator="equal">
      <formula>"Napkin Hs"</formula>
    </cfRule>
  </conditionalFormatting>
  <conditionalFormatting sqref="C89">
    <cfRule type="cellIs" dxfId="11881" priority="16717" stopIfTrue="1" operator="equal">
      <formula>"Towel"</formula>
    </cfRule>
    <cfRule type="cellIs" dxfId="11880" priority="16718" stopIfTrue="1" operator="equal">
      <formula>"Napkin Hs"</formula>
    </cfRule>
    <cfRule type="cellIs" dxfId="11879" priority="16721" stopIfTrue="1" operator="equal">
      <formula>"Towel"</formula>
    </cfRule>
    <cfRule type="cellIs" dxfId="11878" priority="16722" stopIfTrue="1" operator="equal">
      <formula>"Napkin Hs"</formula>
    </cfRule>
    <cfRule type="cellIs" dxfId="11877" priority="16723" stopIfTrue="1" operator="equal">
      <formula>"Towel"</formula>
    </cfRule>
    <cfRule type="cellIs" dxfId="11876" priority="16724" stopIfTrue="1" operator="equal">
      <formula>"Napkin Hs"</formula>
    </cfRule>
    <cfRule type="cellIs" dxfId="11875" priority="16727" stopIfTrue="1" operator="equal">
      <formula>"Towel"</formula>
    </cfRule>
    <cfRule type="cellIs" dxfId="11874" priority="16728" stopIfTrue="1" operator="equal">
      <formula>"Napkin Hs"</formula>
    </cfRule>
    <cfRule type="cellIs" dxfId="11873" priority="16729" stopIfTrue="1" operator="equal">
      <formula>"Towel"</formula>
    </cfRule>
    <cfRule type="cellIs" dxfId="11872" priority="16730" stopIfTrue="1" operator="equal">
      <formula>"Napkin Hs"</formula>
    </cfRule>
    <cfRule type="cellIs" dxfId="11871" priority="16733" stopIfTrue="1" operator="equal">
      <formula>"Towel"</formula>
    </cfRule>
    <cfRule type="cellIs" dxfId="11870" priority="16734" stopIfTrue="1" operator="equal">
      <formula>"Napkin Hs"</formula>
    </cfRule>
    <cfRule type="cellIs" dxfId="11869" priority="16735" stopIfTrue="1" operator="equal">
      <formula>"Towel"</formula>
    </cfRule>
    <cfRule type="cellIs" dxfId="11868" priority="16736" stopIfTrue="1" operator="equal">
      <formula>"Napkin Hs"</formula>
    </cfRule>
    <cfRule type="cellIs" dxfId="11867" priority="16739" stopIfTrue="1" operator="equal">
      <formula>"Towel"</formula>
    </cfRule>
    <cfRule type="cellIs" dxfId="11866" priority="16740" stopIfTrue="1" operator="equal">
      <formula>"Napkin Hs"</formula>
    </cfRule>
    <cfRule type="cellIs" dxfId="11865" priority="16741" stopIfTrue="1" operator="equal">
      <formula>"Towel"</formula>
    </cfRule>
    <cfRule type="cellIs" dxfId="11864" priority="16742" stopIfTrue="1" operator="equal">
      <formula>"Napkin Hs"</formula>
    </cfRule>
    <cfRule type="cellIs" dxfId="11863" priority="16745" stopIfTrue="1" operator="equal">
      <formula>"Towel"</formula>
    </cfRule>
    <cfRule type="cellIs" dxfId="11862" priority="16746" stopIfTrue="1" operator="equal">
      <formula>"Napkin Hs"</formula>
    </cfRule>
    <cfRule type="cellIs" dxfId="11861" priority="16747" stopIfTrue="1" operator="equal">
      <formula>"Towel"</formula>
    </cfRule>
    <cfRule type="cellIs" dxfId="11860" priority="16748" stopIfTrue="1" operator="equal">
      <formula>"Napkin Hs"</formula>
    </cfRule>
    <cfRule type="cellIs" dxfId="11859" priority="16751" stopIfTrue="1" operator="equal">
      <formula>"Towel"</formula>
    </cfRule>
    <cfRule type="cellIs" dxfId="11858" priority="16752" stopIfTrue="1" operator="equal">
      <formula>"Napkin Hs"</formula>
    </cfRule>
    <cfRule type="cellIs" dxfId="11857" priority="16753" stopIfTrue="1" operator="equal">
      <formula>"Towel"</formula>
    </cfRule>
    <cfRule type="cellIs" dxfId="11856" priority="16754" stopIfTrue="1" operator="equal">
      <formula>"Napkin Hs"</formula>
    </cfRule>
    <cfRule type="cellIs" dxfId="11855" priority="16757" stopIfTrue="1" operator="equal">
      <formula>"Towel"</formula>
    </cfRule>
    <cfRule type="cellIs" dxfId="11854" priority="16758" stopIfTrue="1" operator="equal">
      <formula>"Napkin Hs"</formula>
    </cfRule>
    <cfRule type="cellIs" dxfId="11853" priority="16759" stopIfTrue="1" operator="equal">
      <formula>"Towel"</formula>
    </cfRule>
    <cfRule type="cellIs" dxfId="11852" priority="16760" stopIfTrue="1" operator="equal">
      <formula>"Napkin Hs"</formula>
    </cfRule>
    <cfRule type="cellIs" dxfId="11851" priority="16951" stopIfTrue="1" operator="equal">
      <formula>"Towel"</formula>
    </cfRule>
    <cfRule type="cellIs" dxfId="11850" priority="16952" stopIfTrue="1" operator="equal">
      <formula>"Napkin Hs"</formula>
    </cfRule>
    <cfRule type="cellIs" dxfId="11849" priority="16955" stopIfTrue="1" operator="equal">
      <formula>"Towel"</formula>
    </cfRule>
    <cfRule type="cellIs" dxfId="11848" priority="16956" stopIfTrue="1" operator="equal">
      <formula>"Napkin Hs"</formula>
    </cfRule>
    <cfRule type="cellIs" dxfId="11847" priority="16957" stopIfTrue="1" operator="equal">
      <formula>"Towel"</formula>
    </cfRule>
    <cfRule type="cellIs" dxfId="11846" priority="16958" stopIfTrue="1" operator="equal">
      <formula>"Napkin Hs"</formula>
    </cfRule>
    <cfRule type="cellIs" dxfId="11845" priority="16961" stopIfTrue="1" operator="equal">
      <formula>"Towel"</formula>
    </cfRule>
    <cfRule type="cellIs" dxfId="11844" priority="16962" stopIfTrue="1" operator="equal">
      <formula>"Napkin Hs"</formula>
    </cfRule>
    <cfRule type="cellIs" dxfId="11843" priority="16963" stopIfTrue="1" operator="equal">
      <formula>"Towel"</formula>
    </cfRule>
    <cfRule type="cellIs" dxfId="11842" priority="16964" stopIfTrue="1" operator="equal">
      <formula>"Napkin Hs"</formula>
    </cfRule>
    <cfRule type="cellIs" dxfId="11841" priority="16967" stopIfTrue="1" operator="equal">
      <formula>"Towel"</formula>
    </cfRule>
    <cfRule type="cellIs" dxfId="11840" priority="16968" stopIfTrue="1" operator="equal">
      <formula>"Napkin Hs"</formula>
    </cfRule>
    <cfRule type="cellIs" dxfId="11839" priority="16969" stopIfTrue="1" operator="equal">
      <formula>"Towel"</formula>
    </cfRule>
    <cfRule type="cellIs" dxfId="11838" priority="16970" stopIfTrue="1" operator="equal">
      <formula>"Napkin Hs"</formula>
    </cfRule>
    <cfRule type="cellIs" dxfId="11837" priority="16973" stopIfTrue="1" operator="equal">
      <formula>"Towel"</formula>
    </cfRule>
    <cfRule type="cellIs" dxfId="11836" priority="16974" stopIfTrue="1" operator="equal">
      <formula>"Napkin Hs"</formula>
    </cfRule>
    <cfRule type="cellIs" dxfId="11835" priority="16975" stopIfTrue="1" operator="equal">
      <formula>"Towel"</formula>
    </cfRule>
    <cfRule type="cellIs" dxfId="11834" priority="16976" stopIfTrue="1" operator="equal">
      <formula>"Napkin Hs"</formula>
    </cfRule>
    <cfRule type="cellIs" dxfId="11833" priority="16979" stopIfTrue="1" operator="equal">
      <formula>"Towel"</formula>
    </cfRule>
    <cfRule type="cellIs" dxfId="11832" priority="16980" stopIfTrue="1" operator="equal">
      <formula>"Napkin Hs"</formula>
    </cfRule>
    <cfRule type="cellIs" dxfId="11831" priority="16981" stopIfTrue="1" operator="equal">
      <formula>"Towel"</formula>
    </cfRule>
    <cfRule type="cellIs" dxfId="11830" priority="16982" stopIfTrue="1" operator="equal">
      <formula>"Napkin Hs"</formula>
    </cfRule>
    <cfRule type="cellIs" dxfId="11829" priority="16985" stopIfTrue="1" operator="equal">
      <formula>"Towel"</formula>
    </cfRule>
    <cfRule type="cellIs" dxfId="11828" priority="16986" stopIfTrue="1" operator="equal">
      <formula>"Napkin Hs"</formula>
    </cfRule>
    <cfRule type="cellIs" dxfId="11827" priority="16987" stopIfTrue="1" operator="equal">
      <formula>"Towel"</formula>
    </cfRule>
    <cfRule type="cellIs" dxfId="11826" priority="16988" stopIfTrue="1" operator="equal">
      <formula>"Napkin Hs"</formula>
    </cfRule>
    <cfRule type="cellIs" dxfId="11825" priority="16991" stopIfTrue="1" operator="equal">
      <formula>"Towel"</formula>
    </cfRule>
    <cfRule type="cellIs" dxfId="11824" priority="16992" stopIfTrue="1" operator="equal">
      <formula>"Napkin Hs"</formula>
    </cfRule>
  </conditionalFormatting>
  <conditionalFormatting sqref="C89:C91">
    <cfRule type="cellIs" dxfId="11823" priority="16711" stopIfTrue="1" operator="equal">
      <formula>"Towel"</formula>
    </cfRule>
    <cfRule type="cellIs" dxfId="11822" priority="16712" stopIfTrue="1" operator="equal">
      <formula>"Napkin Hs"</formula>
    </cfRule>
  </conditionalFormatting>
  <conditionalFormatting sqref="C90">
    <cfRule type="cellIs" dxfId="11821" priority="16667" stopIfTrue="1" operator="equal">
      <formula>"Towel"</formula>
    </cfRule>
    <cfRule type="cellIs" dxfId="11820" priority="16668" stopIfTrue="1" operator="equal">
      <formula>"Napkin Hs"</formula>
    </cfRule>
    <cfRule type="cellIs" dxfId="11819" priority="16669" stopIfTrue="1" operator="equal">
      <formula>"Towel"</formula>
    </cfRule>
    <cfRule type="cellIs" dxfId="11818" priority="16670" stopIfTrue="1" operator="equal">
      <formula>"Napkin Hs"</formula>
    </cfRule>
    <cfRule type="cellIs" dxfId="11817" priority="16673" stopIfTrue="1" operator="equal">
      <formula>"Towel"</formula>
    </cfRule>
    <cfRule type="cellIs" dxfId="11816" priority="16674" stopIfTrue="1" operator="equal">
      <formula>"Napkin Hs"</formula>
    </cfRule>
    <cfRule type="cellIs" dxfId="11815" priority="16675" stopIfTrue="1" operator="equal">
      <formula>"Towel"</formula>
    </cfRule>
    <cfRule type="cellIs" dxfId="11814" priority="16676" stopIfTrue="1" operator="equal">
      <formula>"Napkin Hs"</formula>
    </cfRule>
    <cfRule type="cellIs" dxfId="11813" priority="16679" stopIfTrue="1" operator="equal">
      <formula>"Towel"</formula>
    </cfRule>
    <cfRule type="cellIs" dxfId="11812" priority="16680" stopIfTrue="1" operator="equal">
      <formula>"Napkin Hs"</formula>
    </cfRule>
    <cfRule type="cellIs" dxfId="11811" priority="16681" stopIfTrue="1" operator="equal">
      <formula>"Towel"</formula>
    </cfRule>
    <cfRule type="cellIs" dxfId="11810" priority="16682" stopIfTrue="1" operator="equal">
      <formula>"Napkin Hs"</formula>
    </cfRule>
    <cfRule type="cellIs" dxfId="11809" priority="16685" stopIfTrue="1" operator="equal">
      <formula>"Towel"</formula>
    </cfRule>
    <cfRule type="cellIs" dxfId="11808" priority="16686" stopIfTrue="1" operator="equal">
      <formula>"Napkin Hs"</formula>
    </cfRule>
    <cfRule type="cellIs" dxfId="11807" priority="16687" stopIfTrue="1" operator="equal">
      <formula>"Towel"</formula>
    </cfRule>
    <cfRule type="cellIs" dxfId="11806" priority="16688" stopIfTrue="1" operator="equal">
      <formula>"Napkin Hs"</formula>
    </cfRule>
    <cfRule type="cellIs" dxfId="11805" priority="16691" stopIfTrue="1" operator="equal">
      <formula>"Towel"</formula>
    </cfRule>
    <cfRule type="cellIs" dxfId="11804" priority="16692" stopIfTrue="1" operator="equal">
      <formula>"Napkin Hs"</formula>
    </cfRule>
    <cfRule type="cellIs" dxfId="11803" priority="16693" stopIfTrue="1" operator="equal">
      <formula>"Towel"</formula>
    </cfRule>
    <cfRule type="cellIs" dxfId="11802" priority="16694" stopIfTrue="1" operator="equal">
      <formula>"Napkin Hs"</formula>
    </cfRule>
    <cfRule type="cellIs" dxfId="11801" priority="16697" stopIfTrue="1" operator="equal">
      <formula>"Towel"</formula>
    </cfRule>
    <cfRule type="cellIs" dxfId="11800" priority="16698" stopIfTrue="1" operator="equal">
      <formula>"Napkin Hs"</formula>
    </cfRule>
    <cfRule type="cellIs" dxfId="11799" priority="16699" stopIfTrue="1" operator="equal">
      <formula>"Towel"</formula>
    </cfRule>
    <cfRule type="cellIs" dxfId="11798" priority="16700" stopIfTrue="1" operator="equal">
      <formula>"Napkin Hs"</formula>
    </cfRule>
    <cfRule type="cellIs" dxfId="11797" priority="16703" stopIfTrue="1" operator="equal">
      <formula>"Towel"</formula>
    </cfRule>
    <cfRule type="cellIs" dxfId="11796" priority="16704" stopIfTrue="1" operator="equal">
      <formula>"Napkin Hs"</formula>
    </cfRule>
    <cfRule type="cellIs" dxfId="11795" priority="16705" stopIfTrue="1" operator="equal">
      <formula>"Towel"</formula>
    </cfRule>
    <cfRule type="cellIs" dxfId="11794" priority="16706" stopIfTrue="1" operator="equal">
      <formula>"Napkin Hs"</formula>
    </cfRule>
    <cfRule type="cellIs" dxfId="11793" priority="16709" stopIfTrue="1" operator="equal">
      <formula>"Towel"</formula>
    </cfRule>
    <cfRule type="cellIs" dxfId="11792" priority="16710" stopIfTrue="1" operator="equal">
      <formula>"Napkin Hs"</formula>
    </cfRule>
    <cfRule type="cellIs" dxfId="11791" priority="17047" stopIfTrue="1" operator="equal">
      <formula>"Towel"</formula>
    </cfRule>
    <cfRule type="cellIs" dxfId="11790" priority="17048" stopIfTrue="1" operator="equal">
      <formula>"Napkin Hs"</formula>
    </cfRule>
    <cfRule type="cellIs" dxfId="11789" priority="17051" stopIfTrue="1" operator="equal">
      <formula>"Towel"</formula>
    </cfRule>
    <cfRule type="cellIs" dxfId="11788" priority="17052" stopIfTrue="1" operator="equal">
      <formula>"Napkin Hs"</formula>
    </cfRule>
    <cfRule type="cellIs" dxfId="11787" priority="17053" stopIfTrue="1" operator="equal">
      <formula>"Towel"</formula>
    </cfRule>
    <cfRule type="cellIs" dxfId="11786" priority="17054" stopIfTrue="1" operator="equal">
      <formula>"Napkin Hs"</formula>
    </cfRule>
    <cfRule type="cellIs" dxfId="11785" priority="17057" stopIfTrue="1" operator="equal">
      <formula>"Towel"</formula>
    </cfRule>
    <cfRule type="cellIs" dxfId="11784" priority="17058" stopIfTrue="1" operator="equal">
      <formula>"Napkin Hs"</formula>
    </cfRule>
    <cfRule type="cellIs" dxfId="11783" priority="17059" stopIfTrue="1" operator="equal">
      <formula>"Towel"</formula>
    </cfRule>
    <cfRule type="cellIs" dxfId="11782" priority="17060" stopIfTrue="1" operator="equal">
      <formula>"Napkin Hs"</formula>
    </cfRule>
    <cfRule type="cellIs" dxfId="11781" priority="17063" stopIfTrue="1" operator="equal">
      <formula>"Towel"</formula>
    </cfRule>
    <cfRule type="cellIs" dxfId="11780" priority="17064" stopIfTrue="1" operator="equal">
      <formula>"Napkin Hs"</formula>
    </cfRule>
    <cfRule type="cellIs" dxfId="11779" priority="17065" stopIfTrue="1" operator="equal">
      <formula>"Towel"</formula>
    </cfRule>
    <cfRule type="cellIs" dxfId="11778" priority="17066" stopIfTrue="1" operator="equal">
      <formula>"Napkin Hs"</formula>
    </cfRule>
    <cfRule type="cellIs" dxfId="11777" priority="17069" stopIfTrue="1" operator="equal">
      <formula>"Towel"</formula>
    </cfRule>
    <cfRule type="cellIs" dxfId="11776" priority="17070" stopIfTrue="1" operator="equal">
      <formula>"Napkin Hs"</formula>
    </cfRule>
    <cfRule type="cellIs" dxfId="11775" priority="17071" stopIfTrue="1" operator="equal">
      <formula>"Towel"</formula>
    </cfRule>
    <cfRule type="cellIs" dxfId="11774" priority="17072" stopIfTrue="1" operator="equal">
      <formula>"Napkin Hs"</formula>
    </cfRule>
    <cfRule type="cellIs" dxfId="11773" priority="17075" stopIfTrue="1" operator="equal">
      <formula>"Towel"</formula>
    </cfRule>
    <cfRule type="cellIs" dxfId="11772" priority="17076" stopIfTrue="1" operator="equal">
      <formula>"Napkin Hs"</formula>
    </cfRule>
  </conditionalFormatting>
  <conditionalFormatting sqref="C90:C91">
    <cfRule type="cellIs" dxfId="11771" priority="17077" stopIfTrue="1" operator="equal">
      <formula>"Towel"</formula>
    </cfRule>
    <cfRule type="cellIs" dxfId="11770" priority="17078" stopIfTrue="1" operator="equal">
      <formula>"Napkin Hs"</formula>
    </cfRule>
  </conditionalFormatting>
  <conditionalFormatting sqref="C91">
    <cfRule type="cellIs" dxfId="11769" priority="16765" stopIfTrue="1" operator="equal">
      <formula>"Towel"</formula>
    </cfRule>
    <cfRule type="cellIs" dxfId="11768" priority="16766" stopIfTrue="1" operator="equal">
      <formula>"Napkin Hs"</formula>
    </cfRule>
    <cfRule type="cellIs" dxfId="11767" priority="16769" stopIfTrue="1" operator="equal">
      <formula>"Towel"</formula>
    </cfRule>
    <cfRule type="cellIs" dxfId="11766" priority="16770" stopIfTrue="1" operator="equal">
      <formula>"Napkin Hs"</formula>
    </cfRule>
    <cfRule type="cellIs" dxfId="11765" priority="16771" stopIfTrue="1" operator="equal">
      <formula>"Towel"</formula>
    </cfRule>
    <cfRule type="cellIs" dxfId="11764" priority="16772" stopIfTrue="1" operator="equal">
      <formula>"Napkin Hs"</formula>
    </cfRule>
    <cfRule type="cellIs" dxfId="11763" priority="16775" stopIfTrue="1" operator="equal">
      <formula>"Towel"</formula>
    </cfRule>
    <cfRule type="cellIs" dxfId="11762" priority="16776" stopIfTrue="1" operator="equal">
      <formula>"Napkin Hs"</formula>
    </cfRule>
    <cfRule type="cellIs" dxfId="11761" priority="16777" stopIfTrue="1" operator="equal">
      <formula>"Towel"</formula>
    </cfRule>
    <cfRule type="cellIs" dxfId="11760" priority="16778" stopIfTrue="1" operator="equal">
      <formula>"Napkin Hs"</formula>
    </cfRule>
    <cfRule type="cellIs" dxfId="11759" priority="16781" stopIfTrue="1" operator="equal">
      <formula>"Towel"</formula>
    </cfRule>
    <cfRule type="cellIs" dxfId="11758" priority="16782" stopIfTrue="1" operator="equal">
      <formula>"Napkin Hs"</formula>
    </cfRule>
    <cfRule type="cellIs" dxfId="11757" priority="16783" stopIfTrue="1" operator="equal">
      <formula>"Towel"</formula>
    </cfRule>
    <cfRule type="cellIs" dxfId="11756" priority="16784" stopIfTrue="1" operator="equal">
      <formula>"Napkin Hs"</formula>
    </cfRule>
    <cfRule type="cellIs" dxfId="11755" priority="16787" stopIfTrue="1" operator="equal">
      <formula>"Towel"</formula>
    </cfRule>
    <cfRule type="cellIs" dxfId="11754" priority="16788" stopIfTrue="1" operator="equal">
      <formula>"Napkin Hs"</formula>
    </cfRule>
    <cfRule type="cellIs" dxfId="11753" priority="16789" stopIfTrue="1" operator="equal">
      <formula>"Towel"</formula>
    </cfRule>
    <cfRule type="cellIs" dxfId="11752" priority="16790" stopIfTrue="1" operator="equal">
      <formula>"Napkin Hs"</formula>
    </cfRule>
    <cfRule type="cellIs" dxfId="11751" priority="16793" stopIfTrue="1" operator="equal">
      <formula>"Towel"</formula>
    </cfRule>
    <cfRule type="cellIs" dxfId="11750" priority="16794" stopIfTrue="1" operator="equal">
      <formula>"Napkin Hs"</formula>
    </cfRule>
  </conditionalFormatting>
  <conditionalFormatting sqref="C91">
    <cfRule type="cellIs" dxfId="11749" priority="16795" stopIfTrue="1" operator="equal">
      <formula>"Towel"</formula>
    </cfRule>
    <cfRule type="cellIs" dxfId="11748" priority="16796" stopIfTrue="1" operator="equal">
      <formula>"Napkin Hs"</formula>
    </cfRule>
    <cfRule type="cellIs" dxfId="11747" priority="17083" stopIfTrue="1" operator="equal">
      <formula>"Towel"</formula>
    </cfRule>
    <cfRule type="cellIs" dxfId="11746" priority="17084" stopIfTrue="1" operator="equal">
      <formula>"Napkin Hs"</formula>
    </cfRule>
  </conditionalFormatting>
  <conditionalFormatting sqref="C99:C101">
    <cfRule type="cellIs" dxfId="11745" priority="16447" stopIfTrue="1" operator="equal">
      <formula>"Towel"</formula>
    </cfRule>
    <cfRule type="cellIs" dxfId="11744" priority="16448" stopIfTrue="1" operator="equal">
      <formula>"Napkin Hs"</formula>
    </cfRule>
  </conditionalFormatting>
  <conditionalFormatting sqref="C99:C100">
    <cfRule type="cellIs" dxfId="11743" priority="16397" stopIfTrue="1" operator="equal">
      <formula>"Towel"</formula>
    </cfRule>
    <cfRule type="cellIs" dxfId="11742" priority="16398" stopIfTrue="1" operator="equal">
      <formula>"Napkin Hs"</formula>
    </cfRule>
    <cfRule type="cellIs" dxfId="11741" priority="16399" stopIfTrue="1" operator="equal">
      <formula>"Towel"</formula>
    </cfRule>
    <cfRule type="cellIs" dxfId="11740" priority="16400" stopIfTrue="1" operator="equal">
      <formula>"Napkin Hs"</formula>
    </cfRule>
    <cfRule type="cellIs" dxfId="11739" priority="16403" stopIfTrue="1" operator="equal">
      <formula>"Towel"</formula>
    </cfRule>
    <cfRule type="cellIs" dxfId="11738" priority="16404" stopIfTrue="1" operator="equal">
      <formula>"Napkin Hs"</formula>
    </cfRule>
    <cfRule type="cellIs" dxfId="11737" priority="16405" stopIfTrue="1" operator="equal">
      <formula>"Towel"</formula>
    </cfRule>
    <cfRule type="cellIs" dxfId="11736" priority="16406" stopIfTrue="1" operator="equal">
      <formula>"Napkin Hs"</formula>
    </cfRule>
    <cfRule type="cellIs" dxfId="11735" priority="16409" stopIfTrue="1" operator="equal">
      <formula>"Towel"</formula>
    </cfRule>
    <cfRule type="cellIs" dxfId="11734" priority="16410" stopIfTrue="1" operator="equal">
      <formula>"Napkin Hs"</formula>
    </cfRule>
    <cfRule type="cellIs" dxfId="11733" priority="16411" stopIfTrue="1" operator="equal">
      <formula>"Towel"</formula>
    </cfRule>
    <cfRule type="cellIs" dxfId="11732" priority="16412" stopIfTrue="1" operator="equal">
      <formula>"Napkin Hs"</formula>
    </cfRule>
    <cfRule type="cellIs" dxfId="11731" priority="16415" stopIfTrue="1" operator="equal">
      <formula>"Towel"</formula>
    </cfRule>
    <cfRule type="cellIs" dxfId="11730" priority="16416" stopIfTrue="1" operator="equal">
      <formula>"Napkin Hs"</formula>
    </cfRule>
    <cfRule type="cellIs" dxfId="11729" priority="16417" stopIfTrue="1" operator="equal">
      <formula>"Towel"</formula>
    </cfRule>
    <cfRule type="cellIs" dxfId="11728" priority="16418" stopIfTrue="1" operator="equal">
      <formula>"Napkin Hs"</formula>
    </cfRule>
    <cfRule type="cellIs" dxfId="11727" priority="16421" stopIfTrue="1" operator="equal">
      <formula>"Towel"</formula>
    </cfRule>
    <cfRule type="cellIs" dxfId="11726" priority="16422" stopIfTrue="1" operator="equal">
      <formula>"Napkin Hs"</formula>
    </cfRule>
    <cfRule type="cellIs" dxfId="11725" priority="16423" stopIfTrue="1" operator="equal">
      <formula>"Towel"</formula>
    </cfRule>
    <cfRule type="cellIs" dxfId="11724" priority="16424" stopIfTrue="1" operator="equal">
      <formula>"Napkin Hs"</formula>
    </cfRule>
    <cfRule type="cellIs" dxfId="11723" priority="16427" stopIfTrue="1" operator="equal">
      <formula>"Towel"</formula>
    </cfRule>
    <cfRule type="cellIs" dxfId="11722" priority="16428" stopIfTrue="1" operator="equal">
      <formula>"Napkin Hs"</formula>
    </cfRule>
    <cfRule type="cellIs" dxfId="11721" priority="16429" stopIfTrue="1" operator="equal">
      <formula>"Towel"</formula>
    </cfRule>
    <cfRule type="cellIs" dxfId="11720" priority="16430" stopIfTrue="1" operator="equal">
      <formula>"Napkin Hs"</formula>
    </cfRule>
    <cfRule type="cellIs" dxfId="11719" priority="16433" stopIfTrue="1" operator="equal">
      <formula>"Towel"</formula>
    </cfRule>
    <cfRule type="cellIs" dxfId="11718" priority="16434" stopIfTrue="1" operator="equal">
      <formula>"Napkin Hs"</formula>
    </cfRule>
    <cfRule type="cellIs" dxfId="11717" priority="16435" stopIfTrue="1" operator="equal">
      <formula>"Towel"</formula>
    </cfRule>
    <cfRule type="cellIs" dxfId="11716" priority="16436" stopIfTrue="1" operator="equal">
      <formula>"Napkin Hs"</formula>
    </cfRule>
    <cfRule type="cellIs" dxfId="11715" priority="16439" stopIfTrue="1" operator="equal">
      <formula>"Towel"</formula>
    </cfRule>
    <cfRule type="cellIs" dxfId="11714" priority="16440" stopIfTrue="1" operator="equal">
      <formula>"Napkin Hs"</formula>
    </cfRule>
    <cfRule type="cellIs" dxfId="11713" priority="16441" stopIfTrue="1" operator="equal">
      <formula>"Towel"</formula>
    </cfRule>
    <cfRule type="cellIs" dxfId="11712" priority="16442" stopIfTrue="1" operator="equal">
      <formula>"Napkin Hs"</formula>
    </cfRule>
    <cfRule type="cellIs" dxfId="11711" priority="16445" stopIfTrue="1" operator="equal">
      <formula>"Towel"</formula>
    </cfRule>
    <cfRule type="cellIs" dxfId="11710" priority="16446" stopIfTrue="1" operator="equal">
      <formula>"Napkin Hs"</formula>
    </cfRule>
  </conditionalFormatting>
  <conditionalFormatting sqref="C101">
    <cfRule type="cellIs" dxfId="11709" priority="16519" stopIfTrue="1" operator="equal">
      <formula>"Towel"</formula>
    </cfRule>
    <cfRule type="cellIs" dxfId="11708" priority="16520" stopIfTrue="1" operator="equal">
      <formula>"Napkin Hs"</formula>
    </cfRule>
  </conditionalFormatting>
  <conditionalFormatting sqref="C101:C102">
    <cfRule type="cellIs" dxfId="11707" priority="16517" stopIfTrue="1" operator="equal">
      <formula>"Towel"</formula>
    </cfRule>
    <cfRule type="cellIs" dxfId="11706" priority="16518" stopIfTrue="1" operator="equal">
      <formula>"Napkin Hs"</formula>
    </cfRule>
  </conditionalFormatting>
  <conditionalFormatting sqref="C101:C103">
    <cfRule type="cellIs" dxfId="11705" priority="16503" stopIfTrue="1" operator="equal">
      <formula>"Towel"</formula>
    </cfRule>
    <cfRule type="cellIs" dxfId="11704" priority="16504" stopIfTrue="1" operator="equal">
      <formula>"Napkin Hs"</formula>
    </cfRule>
  </conditionalFormatting>
  <conditionalFormatting sqref="C102:C103">
    <cfRule type="cellIs" dxfId="11703" priority="16505" stopIfTrue="1" operator="equal">
      <formula>"Towel"</formula>
    </cfRule>
    <cfRule type="cellIs" dxfId="11702" priority="16506" stopIfTrue="1" operator="equal">
      <formula>"Napkin Hs"</formula>
    </cfRule>
    <cfRule type="cellIs" dxfId="11701" priority="16513" stopIfTrue="1" operator="equal">
      <formula>"Towel"</formula>
    </cfRule>
    <cfRule type="cellIs" dxfId="11700" priority="16514" stopIfTrue="1" operator="equal">
      <formula>"Napkin Hs"</formula>
    </cfRule>
  </conditionalFormatting>
  <conditionalFormatting sqref="C103">
    <cfRule type="cellIs" dxfId="11699" priority="16509" stopIfTrue="1" operator="equal">
      <formula>"Towel"</formula>
    </cfRule>
    <cfRule type="cellIs" dxfId="11698" priority="16510" stopIfTrue="1" operator="equal">
      <formula>"Napkin Hs"</formula>
    </cfRule>
  </conditionalFormatting>
  <conditionalFormatting sqref="C104">
    <cfRule type="cellIs" dxfId="11697" priority="16328" stopIfTrue="1" operator="equal">
      <formula>"Napkin Hs"</formula>
    </cfRule>
    <cfRule type="cellIs" dxfId="11696" priority="16329" stopIfTrue="1" operator="equal">
      <formula>"Towel"</formula>
    </cfRule>
    <cfRule type="cellIs" dxfId="11695" priority="16330" stopIfTrue="1" operator="equal">
      <formula>"Napkin Hs"</formula>
    </cfRule>
    <cfRule type="cellIs" dxfId="11694" priority="16333" stopIfTrue="1" operator="equal">
      <formula>"Towel"</formula>
    </cfRule>
    <cfRule type="cellIs" dxfId="11693" priority="16334" stopIfTrue="1" operator="equal">
      <formula>"Napkin Hs"</formula>
    </cfRule>
    <cfRule type="cellIs" dxfId="11692" priority="16335" stopIfTrue="1" operator="equal">
      <formula>"Towel"</formula>
    </cfRule>
    <cfRule type="cellIs" dxfId="11691" priority="16336" stopIfTrue="1" operator="equal">
      <formula>"Napkin Hs"</formula>
    </cfRule>
    <cfRule type="cellIs" dxfId="11690" priority="16339" stopIfTrue="1" operator="equal">
      <formula>"Towel"</formula>
    </cfRule>
    <cfRule type="cellIs" dxfId="11689" priority="16340" stopIfTrue="1" operator="equal">
      <formula>"Napkin Hs"</formula>
    </cfRule>
    <cfRule type="cellIs" dxfId="11688" priority="16341" stopIfTrue="1" operator="equal">
      <formula>"Towel"</formula>
    </cfRule>
    <cfRule type="cellIs" dxfId="11687" priority="16342" stopIfTrue="1" operator="equal">
      <formula>"Napkin Hs"</formula>
    </cfRule>
    <cfRule type="cellIs" dxfId="11686" priority="16345" stopIfTrue="1" operator="equal">
      <formula>"Towel"</formula>
    </cfRule>
    <cfRule type="cellIs" dxfId="11685" priority="16346" stopIfTrue="1" operator="equal">
      <formula>"Napkin Hs"</formula>
    </cfRule>
    <cfRule type="cellIs" dxfId="11684" priority="16347" stopIfTrue="1" operator="equal">
      <formula>"Towel"</formula>
    </cfRule>
    <cfRule type="cellIs" dxfId="11683" priority="16348" stopIfTrue="1" operator="equal">
      <formula>"Napkin Hs"</formula>
    </cfRule>
    <cfRule type="cellIs" dxfId="11682" priority="16351" stopIfTrue="1" operator="equal">
      <formula>"Towel"</formula>
    </cfRule>
    <cfRule type="cellIs" dxfId="11681" priority="16352" stopIfTrue="1" operator="equal">
      <formula>"Napkin Hs"</formula>
    </cfRule>
    <cfRule type="cellIs" dxfId="11680" priority="16353" stopIfTrue="1" operator="equal">
      <formula>"Towel"</formula>
    </cfRule>
    <cfRule type="cellIs" dxfId="11679" priority="16354" stopIfTrue="1" operator="equal">
      <formula>"Napkin Hs"</formula>
    </cfRule>
    <cfRule type="cellIs" dxfId="11678" priority="16357" stopIfTrue="1" operator="equal">
      <formula>"Towel"</formula>
    </cfRule>
    <cfRule type="cellIs" dxfId="11677" priority="16358" stopIfTrue="1" operator="equal">
      <formula>"Napkin Hs"</formula>
    </cfRule>
    <cfRule type="cellIs" dxfId="11676" priority="16359" stopIfTrue="1" operator="equal">
      <formula>"Towel"</formula>
    </cfRule>
    <cfRule type="cellIs" dxfId="11675" priority="16360" stopIfTrue="1" operator="equal">
      <formula>"Napkin Hs"</formula>
    </cfRule>
    <cfRule type="cellIs" dxfId="11674" priority="16363" stopIfTrue="1" operator="equal">
      <formula>"Towel"</formula>
    </cfRule>
    <cfRule type="cellIs" dxfId="11673" priority="16364" stopIfTrue="1" operator="equal">
      <formula>"Napkin Hs"</formula>
    </cfRule>
    <cfRule type="cellIs" dxfId="11672" priority="16365" stopIfTrue="1" operator="equal">
      <formula>"Towel"</formula>
    </cfRule>
    <cfRule type="cellIs" dxfId="11671" priority="16366" stopIfTrue="1" operator="equal">
      <formula>"Napkin Hs"</formula>
    </cfRule>
    <cfRule type="cellIs" dxfId="11670" priority="16369" stopIfTrue="1" operator="equal">
      <formula>"Towel"</formula>
    </cfRule>
    <cfRule type="cellIs" dxfId="11669" priority="16370" stopIfTrue="1" operator="equal">
      <formula>"Napkin Hs"</formula>
    </cfRule>
    <cfRule type="cellIs" dxfId="11668" priority="16371" stopIfTrue="1" operator="equal">
      <formula>"Towel"</formula>
    </cfRule>
    <cfRule type="cellIs" dxfId="11667" priority="16372" stopIfTrue="1" operator="equal">
      <formula>"Napkin Hs"</formula>
    </cfRule>
    <cfRule type="cellIs" dxfId="11666" priority="16375" stopIfTrue="1" operator="equal">
      <formula>"Towel"</formula>
    </cfRule>
    <cfRule type="cellIs" dxfId="11665" priority="16376" stopIfTrue="1" operator="equal">
      <formula>"Napkin Hs"</formula>
    </cfRule>
    <cfRule type="cellIs" dxfId="11664" priority="16377" stopIfTrue="1" operator="equal">
      <formula>"Towel"</formula>
    </cfRule>
    <cfRule type="cellIs" dxfId="11663" priority="16378" stopIfTrue="1" operator="equal">
      <formula>"Napkin Hs"</formula>
    </cfRule>
  </conditionalFormatting>
  <conditionalFormatting sqref="C104:C105 B106:C106">
    <cfRule type="cellIs" dxfId="11662" priority="16325" stopIfTrue="1" operator="equal">
      <formula>"Towel"</formula>
    </cfRule>
  </conditionalFormatting>
  <conditionalFormatting sqref="C105 B106:C106">
    <cfRule type="cellIs" dxfId="11661" priority="16277" stopIfTrue="1" operator="equal">
      <formula>"Towel"</formula>
    </cfRule>
    <cfRule type="cellIs" dxfId="11660" priority="16283" stopIfTrue="1" operator="equal">
      <formula>"Towel"</formula>
    </cfRule>
    <cfRule type="cellIs" dxfId="11659" priority="16289" stopIfTrue="1" operator="equal">
      <formula>"Towel"</formula>
    </cfRule>
    <cfRule type="cellIs" dxfId="11658" priority="16295" stopIfTrue="1" operator="equal">
      <formula>"Towel"</formula>
    </cfRule>
    <cfRule type="cellIs" dxfId="11657" priority="16301" stopIfTrue="1" operator="equal">
      <formula>"Towel"</formula>
    </cfRule>
    <cfRule type="cellIs" dxfId="11656" priority="16307" stopIfTrue="1" operator="equal">
      <formula>"Towel"</formula>
    </cfRule>
    <cfRule type="cellIs" dxfId="11655" priority="16313" stopIfTrue="1" operator="equal">
      <formula>"Towel"</formula>
    </cfRule>
  </conditionalFormatting>
  <conditionalFormatting sqref="C105:C106">
    <cfRule type="cellIs" dxfId="11654" priority="16273" stopIfTrue="1" operator="equal">
      <formula>"Towel"</formula>
    </cfRule>
    <cfRule type="cellIs" dxfId="11653" priority="16274" stopIfTrue="1" operator="equal">
      <formula>"Napkin Hs"</formula>
    </cfRule>
    <cfRule type="cellIs" dxfId="11652" priority="16275" stopIfTrue="1" operator="equal">
      <formula>"Towel"</formula>
    </cfRule>
    <cfRule type="cellIs" dxfId="11651" priority="16276" stopIfTrue="1" operator="equal">
      <formula>"Napkin Hs"</formula>
    </cfRule>
    <cfRule type="cellIs" dxfId="11650" priority="16279" stopIfTrue="1" operator="equal">
      <formula>"Towel"</formula>
    </cfRule>
    <cfRule type="cellIs" dxfId="11649" priority="16280" stopIfTrue="1" operator="equal">
      <formula>"Napkin Hs"</formula>
    </cfRule>
    <cfRule type="cellIs" dxfId="11648" priority="16281" stopIfTrue="1" operator="equal">
      <formula>"Towel"</formula>
    </cfRule>
    <cfRule type="cellIs" dxfId="11647" priority="16282" stopIfTrue="1" operator="equal">
      <formula>"Napkin Hs"</formula>
    </cfRule>
    <cfRule type="cellIs" dxfId="11646" priority="16285" stopIfTrue="1" operator="equal">
      <formula>"Towel"</formula>
    </cfRule>
    <cfRule type="cellIs" dxfId="11645" priority="16286" stopIfTrue="1" operator="equal">
      <formula>"Napkin Hs"</formula>
    </cfRule>
    <cfRule type="cellIs" dxfId="11644" priority="16287" stopIfTrue="1" operator="equal">
      <formula>"Towel"</formula>
    </cfRule>
    <cfRule type="cellIs" dxfId="11643" priority="16288" stopIfTrue="1" operator="equal">
      <formula>"Napkin Hs"</formula>
    </cfRule>
    <cfRule type="cellIs" dxfId="11642" priority="16291" stopIfTrue="1" operator="equal">
      <formula>"Towel"</formula>
    </cfRule>
    <cfRule type="cellIs" dxfId="11641" priority="16292" stopIfTrue="1" operator="equal">
      <formula>"Napkin Hs"</formula>
    </cfRule>
    <cfRule type="cellIs" dxfId="11640" priority="16293" stopIfTrue="1" operator="equal">
      <formula>"Towel"</formula>
    </cfRule>
    <cfRule type="cellIs" dxfId="11639" priority="16294" stopIfTrue="1" operator="equal">
      <formula>"Napkin Hs"</formula>
    </cfRule>
    <cfRule type="cellIs" dxfId="11638" priority="16297" stopIfTrue="1" operator="equal">
      <formula>"Towel"</formula>
    </cfRule>
    <cfRule type="cellIs" dxfId="11637" priority="16298" stopIfTrue="1" operator="equal">
      <formula>"Napkin Hs"</formula>
    </cfRule>
    <cfRule type="cellIs" dxfId="11636" priority="16299" stopIfTrue="1" operator="equal">
      <formula>"Towel"</formula>
    </cfRule>
    <cfRule type="cellIs" dxfId="11635" priority="16300" stopIfTrue="1" operator="equal">
      <formula>"Napkin Hs"</formula>
    </cfRule>
    <cfRule type="cellIs" dxfId="11634" priority="16303" stopIfTrue="1" operator="equal">
      <formula>"Towel"</formula>
    </cfRule>
    <cfRule type="cellIs" dxfId="11633" priority="16304" stopIfTrue="1" operator="equal">
      <formula>"Napkin Hs"</formula>
    </cfRule>
    <cfRule type="cellIs" dxfId="11632" priority="16305" stopIfTrue="1" operator="equal">
      <formula>"Towel"</formula>
    </cfRule>
    <cfRule type="cellIs" dxfId="11631" priority="16306" stopIfTrue="1" operator="equal">
      <formula>"Napkin Hs"</formula>
    </cfRule>
    <cfRule type="cellIs" dxfId="11630" priority="16309" stopIfTrue="1" operator="equal">
      <formula>"Towel"</formula>
    </cfRule>
    <cfRule type="cellIs" dxfId="11629" priority="16310" stopIfTrue="1" operator="equal">
      <formula>"Napkin Hs"</formula>
    </cfRule>
    <cfRule type="cellIs" dxfId="11628" priority="16311" stopIfTrue="1" operator="equal">
      <formula>"Towel"</formula>
    </cfRule>
    <cfRule type="cellIs" dxfId="11627" priority="16312" stopIfTrue="1" operator="equal">
      <formula>"Napkin Hs"</formula>
    </cfRule>
    <cfRule type="cellIs" dxfId="11626" priority="16315" stopIfTrue="1" operator="equal">
      <formula>"Towel"</formula>
    </cfRule>
    <cfRule type="cellIs" dxfId="11625" priority="16316" stopIfTrue="1" operator="equal">
      <formula>"Napkin Hs"</formula>
    </cfRule>
    <cfRule type="cellIs" dxfId="11624" priority="16317" stopIfTrue="1" operator="equal">
      <formula>"Towel"</formula>
    </cfRule>
    <cfRule type="cellIs" dxfId="11623" priority="16318" stopIfTrue="1" operator="equal">
      <formula>"Napkin Hs"</formula>
    </cfRule>
    <cfRule type="cellIs" dxfId="11622" priority="16321" stopIfTrue="1" operator="equal">
      <formula>"Towel"</formula>
    </cfRule>
    <cfRule type="cellIs" dxfId="11621" priority="16322" stopIfTrue="1" operator="equal">
      <formula>"Napkin Hs"</formula>
    </cfRule>
    <cfRule type="cellIs" dxfId="11620" priority="16324" stopIfTrue="1" operator="equal">
      <formula>"Napkin Hs"</formula>
    </cfRule>
  </conditionalFormatting>
  <conditionalFormatting sqref="C105:C107">
    <cfRule type="cellIs" dxfId="11619" priority="16323" stopIfTrue="1" operator="equal">
      <formula>"Towel"</formula>
    </cfRule>
  </conditionalFormatting>
  <conditionalFormatting sqref="C107">
    <cfRule type="cellIs" dxfId="11618" priority="16392" stopIfTrue="1" operator="equal">
      <formula>"Napkin Hs"</formula>
    </cfRule>
    <cfRule type="cellIs" dxfId="11617" priority="16395" stopIfTrue="1" operator="equal">
      <formula>"Towel"</formula>
    </cfRule>
    <cfRule type="cellIs" dxfId="11616" priority="16396" stopIfTrue="1" operator="equal">
      <formula>"Napkin Hs"</formula>
    </cfRule>
  </conditionalFormatting>
  <conditionalFormatting sqref="C108">
    <cfRule type="cellIs" dxfId="11615" priority="16220" stopIfTrue="1" operator="equal">
      <formula>"Napkin Hs"</formula>
    </cfRule>
    <cfRule type="cellIs" dxfId="11614" priority="16221" stopIfTrue="1" operator="equal">
      <formula>"Towel"</formula>
    </cfRule>
    <cfRule type="cellIs" dxfId="11613" priority="16222" stopIfTrue="1" operator="equal">
      <formula>"Napkin Hs"</formula>
    </cfRule>
    <cfRule type="cellIs" dxfId="11612" priority="16225" stopIfTrue="1" operator="equal">
      <formula>"Towel"</formula>
    </cfRule>
    <cfRule type="cellIs" dxfId="11611" priority="16226" stopIfTrue="1" operator="equal">
      <formula>"Napkin Hs"</formula>
    </cfRule>
    <cfRule type="cellIs" dxfId="11610" priority="16227" stopIfTrue="1" operator="equal">
      <formula>"Towel"</formula>
    </cfRule>
    <cfRule type="cellIs" dxfId="11609" priority="16228" stopIfTrue="1" operator="equal">
      <formula>"Napkin Hs"</formula>
    </cfRule>
    <cfRule type="cellIs" dxfId="11608" priority="16231" stopIfTrue="1" operator="equal">
      <formula>"Towel"</formula>
    </cfRule>
    <cfRule type="cellIs" dxfId="11607" priority="16232" stopIfTrue="1" operator="equal">
      <formula>"Napkin Hs"</formula>
    </cfRule>
    <cfRule type="cellIs" dxfId="11606" priority="16233" stopIfTrue="1" operator="equal">
      <formula>"Towel"</formula>
    </cfRule>
    <cfRule type="cellIs" dxfId="11605" priority="16234" stopIfTrue="1" operator="equal">
      <formula>"Napkin Hs"</formula>
    </cfRule>
    <cfRule type="cellIs" dxfId="11604" priority="16237" stopIfTrue="1" operator="equal">
      <formula>"Towel"</formula>
    </cfRule>
    <cfRule type="cellIs" dxfId="11603" priority="16238" stopIfTrue="1" operator="equal">
      <formula>"Napkin Hs"</formula>
    </cfRule>
    <cfRule type="cellIs" dxfId="11602" priority="16239" stopIfTrue="1" operator="equal">
      <formula>"Towel"</formula>
    </cfRule>
    <cfRule type="cellIs" dxfId="11601" priority="16240" stopIfTrue="1" operator="equal">
      <formula>"Napkin Hs"</formula>
    </cfRule>
    <cfRule type="cellIs" dxfId="11600" priority="16243" stopIfTrue="1" operator="equal">
      <formula>"Towel"</formula>
    </cfRule>
    <cfRule type="cellIs" dxfId="11599" priority="16244" stopIfTrue="1" operator="equal">
      <formula>"Napkin Hs"</formula>
    </cfRule>
    <cfRule type="cellIs" dxfId="11598" priority="16245" stopIfTrue="1" operator="equal">
      <formula>"Towel"</formula>
    </cfRule>
    <cfRule type="cellIs" dxfId="11597" priority="16246" stopIfTrue="1" operator="equal">
      <formula>"Napkin Hs"</formula>
    </cfRule>
    <cfRule type="cellIs" dxfId="11596" priority="16249" stopIfTrue="1" operator="equal">
      <formula>"Towel"</formula>
    </cfRule>
    <cfRule type="cellIs" dxfId="11595" priority="16250" stopIfTrue="1" operator="equal">
      <formula>"Napkin Hs"</formula>
    </cfRule>
    <cfRule type="cellIs" dxfId="11594" priority="16251" stopIfTrue="1" operator="equal">
      <formula>"Towel"</formula>
    </cfRule>
    <cfRule type="cellIs" dxfId="11593" priority="16252" stopIfTrue="1" operator="equal">
      <formula>"Napkin Hs"</formula>
    </cfRule>
    <cfRule type="cellIs" dxfId="11592" priority="16255" stopIfTrue="1" operator="equal">
      <formula>"Towel"</formula>
    </cfRule>
    <cfRule type="cellIs" dxfId="11591" priority="16256" stopIfTrue="1" operator="equal">
      <formula>"Napkin Hs"</formula>
    </cfRule>
    <cfRule type="cellIs" dxfId="11590" priority="16257" stopIfTrue="1" operator="equal">
      <formula>"Towel"</formula>
    </cfRule>
    <cfRule type="cellIs" dxfId="11589" priority="16258" stopIfTrue="1" operator="equal">
      <formula>"Napkin Hs"</formula>
    </cfRule>
    <cfRule type="cellIs" dxfId="11588" priority="16261" stopIfTrue="1" operator="equal">
      <formula>"Towel"</formula>
    </cfRule>
    <cfRule type="cellIs" dxfId="11587" priority="16262" stopIfTrue="1" operator="equal">
      <formula>"Napkin Hs"</formula>
    </cfRule>
    <cfRule type="cellIs" dxfId="11586" priority="16263" stopIfTrue="1" operator="equal">
      <formula>"Towel"</formula>
    </cfRule>
    <cfRule type="cellIs" dxfId="11585" priority="16264" stopIfTrue="1" operator="equal">
      <formula>"Napkin Hs"</formula>
    </cfRule>
    <cfRule type="cellIs" dxfId="11584" priority="16267" stopIfTrue="1" operator="equal">
      <formula>"Towel"</formula>
    </cfRule>
    <cfRule type="cellIs" dxfId="11583" priority="16268" stopIfTrue="1" operator="equal">
      <formula>"Napkin Hs"</formula>
    </cfRule>
    <cfRule type="cellIs" dxfId="11582" priority="16269" stopIfTrue="1" operator="equal">
      <formula>"Towel"</formula>
    </cfRule>
    <cfRule type="cellIs" dxfId="11581" priority="16270" stopIfTrue="1" operator="equal">
      <formula>"Napkin Hs"</formula>
    </cfRule>
  </conditionalFormatting>
  <conditionalFormatting sqref="C108">
    <cfRule type="cellIs" dxfId="11580" priority="16215" stopIfTrue="1" operator="equal">
      <formula>"Towel"</formula>
    </cfRule>
  </conditionalFormatting>
  <conditionalFormatting sqref="C120">
    <cfRule type="cellIs" dxfId="11579" priority="16001" stopIfTrue="1" operator="equal">
      <formula>"Towel"</formula>
    </cfRule>
  </conditionalFormatting>
  <conditionalFormatting sqref="C120">
    <cfRule type="cellIs" dxfId="11578" priority="16020" stopIfTrue="1" operator="equal">
      <formula>"Napkin Hs"</formula>
    </cfRule>
    <cfRule type="cellIs" dxfId="11577" priority="16021" stopIfTrue="1" operator="equal">
      <formula>"Towel"</formula>
    </cfRule>
    <cfRule type="cellIs" dxfId="11576" priority="16022" stopIfTrue="1" operator="equal">
      <formula>"Napkin Hs"</formula>
    </cfRule>
  </conditionalFormatting>
  <conditionalFormatting sqref="C121">
    <cfRule type="cellIs" dxfId="11575" priority="15766" stopIfTrue="1" operator="equal">
      <formula>"Napkin Hs"</formula>
    </cfRule>
    <cfRule type="cellIs" dxfId="11574" priority="15767" stopIfTrue="1" operator="equal">
      <formula>"Towel"</formula>
    </cfRule>
    <cfRule type="cellIs" dxfId="11573" priority="15768" stopIfTrue="1" operator="equal">
      <formula>"Napkin Hs"</formula>
    </cfRule>
    <cfRule type="cellIs" dxfId="11572" priority="15771" stopIfTrue="1" operator="equal">
      <formula>"Towel"</formula>
    </cfRule>
    <cfRule type="cellIs" dxfId="11571" priority="15772" stopIfTrue="1" operator="equal">
      <formula>"Napkin Hs"</formula>
    </cfRule>
    <cfRule type="cellIs" dxfId="11570" priority="15773" stopIfTrue="1" operator="equal">
      <formula>"Towel"</formula>
    </cfRule>
    <cfRule type="cellIs" dxfId="11569" priority="15774" stopIfTrue="1" operator="equal">
      <formula>"Napkin Hs"</formula>
    </cfRule>
    <cfRule type="cellIs" dxfId="11568" priority="15777" stopIfTrue="1" operator="equal">
      <formula>"Towel"</formula>
    </cfRule>
    <cfRule type="cellIs" dxfId="11567" priority="15778" stopIfTrue="1" operator="equal">
      <formula>"Napkin Hs"</formula>
    </cfRule>
    <cfRule type="cellIs" dxfId="11566" priority="15779" stopIfTrue="1" operator="equal">
      <formula>"Towel"</formula>
    </cfRule>
    <cfRule type="cellIs" dxfId="11565" priority="15780" stopIfTrue="1" operator="equal">
      <formula>"Napkin Hs"</formula>
    </cfRule>
    <cfRule type="cellIs" dxfId="11564" priority="15783" stopIfTrue="1" operator="equal">
      <formula>"Towel"</formula>
    </cfRule>
    <cfRule type="cellIs" dxfId="11563" priority="15784" stopIfTrue="1" operator="equal">
      <formula>"Napkin Hs"</formula>
    </cfRule>
    <cfRule type="cellIs" dxfId="11562" priority="15785" stopIfTrue="1" operator="equal">
      <formula>"Towel"</formula>
    </cfRule>
    <cfRule type="cellIs" dxfId="11561" priority="15786" stopIfTrue="1" operator="equal">
      <formula>"Napkin Hs"</formula>
    </cfRule>
    <cfRule type="cellIs" dxfId="11560" priority="15789" stopIfTrue="1" operator="equal">
      <formula>"Towel"</formula>
    </cfRule>
    <cfRule type="cellIs" dxfId="11559" priority="15790" stopIfTrue="1" operator="equal">
      <formula>"Napkin Hs"</formula>
    </cfRule>
    <cfRule type="cellIs" dxfId="11558" priority="15791" stopIfTrue="1" operator="equal">
      <formula>"Towel"</formula>
    </cfRule>
    <cfRule type="cellIs" dxfId="11557" priority="15792" stopIfTrue="1" operator="equal">
      <formula>"Napkin Hs"</formula>
    </cfRule>
    <cfRule type="cellIs" dxfId="11556" priority="15795" stopIfTrue="1" operator="equal">
      <formula>"Towel"</formula>
    </cfRule>
    <cfRule type="cellIs" dxfId="11555" priority="15796" stopIfTrue="1" operator="equal">
      <formula>"Napkin Hs"</formula>
    </cfRule>
    <cfRule type="cellIs" dxfId="11554" priority="15797" stopIfTrue="1" operator="equal">
      <formula>"Towel"</formula>
    </cfRule>
    <cfRule type="cellIs" dxfId="11553" priority="15798" stopIfTrue="1" operator="equal">
      <formula>"Napkin Hs"</formula>
    </cfRule>
    <cfRule type="cellIs" dxfId="11552" priority="15801" stopIfTrue="1" operator="equal">
      <formula>"Towel"</formula>
    </cfRule>
    <cfRule type="cellIs" dxfId="11551" priority="15802" stopIfTrue="1" operator="equal">
      <formula>"Napkin Hs"</formula>
    </cfRule>
    <cfRule type="cellIs" dxfId="11550" priority="15803" stopIfTrue="1" operator="equal">
      <formula>"Towel"</formula>
    </cfRule>
    <cfRule type="cellIs" dxfId="11549" priority="15804" stopIfTrue="1" operator="equal">
      <formula>"Napkin Hs"</formula>
    </cfRule>
    <cfRule type="cellIs" dxfId="11548" priority="15807" stopIfTrue="1" operator="equal">
      <formula>"Towel"</formula>
    </cfRule>
    <cfRule type="cellIs" dxfId="11547" priority="15808" stopIfTrue="1" operator="equal">
      <formula>"Napkin Hs"</formula>
    </cfRule>
    <cfRule type="cellIs" dxfId="11546" priority="15809" stopIfTrue="1" operator="equal">
      <formula>"Towel"</formula>
    </cfRule>
    <cfRule type="cellIs" dxfId="11545" priority="15810" stopIfTrue="1" operator="equal">
      <formula>"Napkin Hs"</formula>
    </cfRule>
    <cfRule type="cellIs" dxfId="11544" priority="15813" stopIfTrue="1" operator="equal">
      <formula>"Towel"</formula>
    </cfRule>
    <cfRule type="cellIs" dxfId="11543" priority="15814" stopIfTrue="1" operator="equal">
      <formula>"Napkin Hs"</formula>
    </cfRule>
    <cfRule type="cellIs" dxfId="11542" priority="15815" stopIfTrue="1" operator="equal">
      <formula>"Towel"</formula>
    </cfRule>
    <cfRule type="cellIs" dxfId="11541" priority="15816" stopIfTrue="1" operator="equal">
      <formula>"Napkin Hs"</formula>
    </cfRule>
    <cfRule type="cellIs" dxfId="11540" priority="15819" stopIfTrue="1" operator="equal">
      <formula>"Towel"</formula>
    </cfRule>
    <cfRule type="cellIs" dxfId="11539" priority="15820" stopIfTrue="1" operator="equal">
      <formula>"Napkin Hs"</formula>
    </cfRule>
    <cfRule type="cellIs" dxfId="11538" priority="15821" stopIfTrue="1" operator="equal">
      <formula>"Towel"</formula>
    </cfRule>
    <cfRule type="cellIs" dxfId="11537" priority="15822" stopIfTrue="1" operator="equal">
      <formula>"Napkin Hs"</formula>
    </cfRule>
  </conditionalFormatting>
  <conditionalFormatting sqref="C121:C123">
    <cfRule type="cellIs" dxfId="11536" priority="15761" stopIfTrue="1" operator="equal">
      <formula>"Towel"</formula>
    </cfRule>
  </conditionalFormatting>
  <conditionalFormatting sqref="C122">
    <cfRule type="cellIs" dxfId="11535" priority="15705" stopIfTrue="1" operator="equal">
      <formula>"Towel"</formula>
    </cfRule>
    <cfRule type="cellIs" dxfId="11534" priority="15706" stopIfTrue="1" operator="equal">
      <formula>"Napkin Hs"</formula>
    </cfRule>
    <cfRule type="cellIs" dxfId="11533" priority="15707" stopIfTrue="1" operator="equal">
      <formula>"Towel"</formula>
    </cfRule>
    <cfRule type="cellIs" dxfId="11532" priority="15708" stopIfTrue="1" operator="equal">
      <formula>"Napkin Hs"</formula>
    </cfRule>
    <cfRule type="cellIs" dxfId="11531" priority="15711" stopIfTrue="1" operator="equal">
      <formula>"Towel"</formula>
    </cfRule>
    <cfRule type="cellIs" dxfId="11530" priority="15712" stopIfTrue="1" operator="equal">
      <formula>"Napkin Hs"</formula>
    </cfRule>
    <cfRule type="cellIs" dxfId="11529" priority="15713" stopIfTrue="1" operator="equal">
      <formula>"Towel"</formula>
    </cfRule>
    <cfRule type="cellIs" dxfId="11528" priority="15714" stopIfTrue="1" operator="equal">
      <formula>"Napkin Hs"</formula>
    </cfRule>
    <cfRule type="cellIs" dxfId="11527" priority="15717" stopIfTrue="1" operator="equal">
      <formula>"Towel"</formula>
    </cfRule>
    <cfRule type="cellIs" dxfId="11526" priority="15718" stopIfTrue="1" operator="equal">
      <formula>"Napkin Hs"</formula>
    </cfRule>
    <cfRule type="cellIs" dxfId="11525" priority="15719" stopIfTrue="1" operator="equal">
      <formula>"Towel"</formula>
    </cfRule>
    <cfRule type="cellIs" dxfId="11524" priority="15720" stopIfTrue="1" operator="equal">
      <formula>"Napkin Hs"</formula>
    </cfRule>
    <cfRule type="cellIs" dxfId="11523" priority="15723" stopIfTrue="1" operator="equal">
      <formula>"Towel"</formula>
    </cfRule>
    <cfRule type="cellIs" dxfId="11522" priority="15724" stopIfTrue="1" operator="equal">
      <formula>"Napkin Hs"</formula>
    </cfRule>
    <cfRule type="cellIs" dxfId="11521" priority="15725" stopIfTrue="1" operator="equal">
      <formula>"Towel"</formula>
    </cfRule>
    <cfRule type="cellIs" dxfId="11520" priority="15726" stopIfTrue="1" operator="equal">
      <formula>"Napkin Hs"</formula>
    </cfRule>
    <cfRule type="cellIs" dxfId="11519" priority="15729" stopIfTrue="1" operator="equal">
      <formula>"Towel"</formula>
    </cfRule>
    <cfRule type="cellIs" dxfId="11518" priority="15730" stopIfTrue="1" operator="equal">
      <formula>"Napkin Hs"</formula>
    </cfRule>
    <cfRule type="cellIs" dxfId="11517" priority="15731" stopIfTrue="1" operator="equal">
      <formula>"Towel"</formula>
    </cfRule>
    <cfRule type="cellIs" dxfId="11516" priority="15732" stopIfTrue="1" operator="equal">
      <formula>"Napkin Hs"</formula>
    </cfRule>
    <cfRule type="cellIs" dxfId="11515" priority="15735" stopIfTrue="1" operator="equal">
      <formula>"Towel"</formula>
    </cfRule>
    <cfRule type="cellIs" dxfId="11514" priority="15736" stopIfTrue="1" operator="equal">
      <formula>"Napkin Hs"</formula>
    </cfRule>
    <cfRule type="cellIs" dxfId="11513" priority="15737" stopIfTrue="1" operator="equal">
      <formula>"Towel"</formula>
    </cfRule>
    <cfRule type="cellIs" dxfId="11512" priority="15738" stopIfTrue="1" operator="equal">
      <formula>"Napkin Hs"</formula>
    </cfRule>
    <cfRule type="cellIs" dxfId="11511" priority="15741" stopIfTrue="1" operator="equal">
      <formula>"Towel"</formula>
    </cfRule>
    <cfRule type="cellIs" dxfId="11510" priority="15742" stopIfTrue="1" operator="equal">
      <formula>"Napkin Hs"</formula>
    </cfRule>
    <cfRule type="cellIs" dxfId="11509" priority="15743" stopIfTrue="1" operator="equal">
      <formula>"Towel"</formula>
    </cfRule>
    <cfRule type="cellIs" dxfId="11508" priority="15744" stopIfTrue="1" operator="equal">
      <formula>"Napkin Hs"</formula>
    </cfRule>
    <cfRule type="cellIs" dxfId="11507" priority="15747" stopIfTrue="1" operator="equal">
      <formula>"Towel"</formula>
    </cfRule>
    <cfRule type="cellIs" dxfId="11506" priority="15748" stopIfTrue="1" operator="equal">
      <formula>"Napkin Hs"</formula>
    </cfRule>
    <cfRule type="cellIs" dxfId="11505" priority="15749" stopIfTrue="1" operator="equal">
      <formula>"Towel"</formula>
    </cfRule>
    <cfRule type="cellIs" dxfId="11504" priority="15750" stopIfTrue="1" operator="equal">
      <formula>"Napkin Hs"</formula>
    </cfRule>
    <cfRule type="cellIs" dxfId="11503" priority="15753" stopIfTrue="1" operator="equal">
      <formula>"Towel"</formula>
    </cfRule>
    <cfRule type="cellIs" dxfId="11502" priority="15754" stopIfTrue="1" operator="equal">
      <formula>"Napkin Hs"</formula>
    </cfRule>
    <cfRule type="cellIs" dxfId="11501" priority="15755" stopIfTrue="1" operator="equal">
      <formula>"Towel"</formula>
    </cfRule>
    <cfRule type="cellIs" dxfId="11500" priority="15756" stopIfTrue="1" operator="equal">
      <formula>"Napkin Hs"</formula>
    </cfRule>
    <cfRule type="cellIs" dxfId="11499" priority="15759" stopIfTrue="1" operator="equal">
      <formula>"Towel"</formula>
    </cfRule>
    <cfRule type="cellIs" dxfId="11498" priority="15760" stopIfTrue="1" operator="equal">
      <formula>"Napkin Hs"</formula>
    </cfRule>
    <cfRule type="cellIs" dxfId="11497" priority="15762" stopIfTrue="1" operator="equal">
      <formula>"Napkin Hs"</formula>
    </cfRule>
  </conditionalFormatting>
  <conditionalFormatting sqref="C123">
    <cfRule type="cellIs" dxfId="11496" priority="15826" stopIfTrue="1" operator="equal">
      <formula>"Napkin Hs"</formula>
    </cfRule>
    <cfRule type="cellIs" dxfId="11495" priority="15827" stopIfTrue="1" operator="equal">
      <formula>"Towel"</formula>
    </cfRule>
    <cfRule type="cellIs" dxfId="11494" priority="15828" stopIfTrue="1" operator="equal">
      <formula>"Napkin Hs"</formula>
    </cfRule>
    <cfRule type="cellIs" dxfId="11493" priority="15831" stopIfTrue="1" operator="equal">
      <formula>"Towel"</formula>
    </cfRule>
    <cfRule type="cellIs" dxfId="11492" priority="15832" stopIfTrue="1" operator="equal">
      <formula>"Napkin Hs"</formula>
    </cfRule>
    <cfRule type="cellIs" dxfId="11491" priority="15833" stopIfTrue="1" operator="equal">
      <formula>"Towel"</formula>
    </cfRule>
    <cfRule type="cellIs" dxfId="11490" priority="15834" stopIfTrue="1" operator="equal">
      <formula>"Napkin Hs"</formula>
    </cfRule>
    <cfRule type="cellIs" dxfId="11489" priority="15837" stopIfTrue="1" operator="equal">
      <formula>"Towel"</formula>
    </cfRule>
    <cfRule type="cellIs" dxfId="11488" priority="15838" stopIfTrue="1" operator="equal">
      <formula>"Napkin Hs"</formula>
    </cfRule>
    <cfRule type="cellIs" dxfId="11487" priority="15839" stopIfTrue="1" operator="equal">
      <formula>"Towel"</formula>
    </cfRule>
    <cfRule type="cellIs" dxfId="11486" priority="15840" stopIfTrue="1" operator="equal">
      <formula>"Napkin Hs"</formula>
    </cfRule>
    <cfRule type="cellIs" dxfId="11485" priority="15843" stopIfTrue="1" operator="equal">
      <formula>"Towel"</formula>
    </cfRule>
    <cfRule type="cellIs" dxfId="11484" priority="15844" stopIfTrue="1" operator="equal">
      <formula>"Napkin Hs"</formula>
    </cfRule>
    <cfRule type="cellIs" dxfId="11483" priority="15845" stopIfTrue="1" operator="equal">
      <formula>"Towel"</formula>
    </cfRule>
    <cfRule type="cellIs" dxfId="11482" priority="15846" stopIfTrue="1" operator="equal">
      <formula>"Napkin Hs"</formula>
    </cfRule>
    <cfRule type="cellIs" dxfId="11481" priority="15849" stopIfTrue="1" operator="equal">
      <formula>"Towel"</formula>
    </cfRule>
    <cfRule type="cellIs" dxfId="11480" priority="15850" stopIfTrue="1" operator="equal">
      <formula>"Napkin Hs"</formula>
    </cfRule>
    <cfRule type="cellIs" dxfId="11479" priority="15851" stopIfTrue="1" operator="equal">
      <formula>"Towel"</formula>
    </cfRule>
    <cfRule type="cellIs" dxfId="11478" priority="15852" stopIfTrue="1" operator="equal">
      <formula>"Napkin Hs"</formula>
    </cfRule>
    <cfRule type="cellIs" dxfId="11477" priority="15855" stopIfTrue="1" operator="equal">
      <formula>"Towel"</formula>
    </cfRule>
    <cfRule type="cellIs" dxfId="11476" priority="15856" stopIfTrue="1" operator="equal">
      <formula>"Napkin Hs"</formula>
    </cfRule>
    <cfRule type="cellIs" dxfId="11475" priority="15857" stopIfTrue="1" operator="equal">
      <formula>"Towel"</formula>
    </cfRule>
    <cfRule type="cellIs" dxfId="11474" priority="15858" stopIfTrue="1" operator="equal">
      <formula>"Napkin Hs"</formula>
    </cfRule>
    <cfRule type="cellIs" dxfId="11473" priority="15861" stopIfTrue="1" operator="equal">
      <formula>"Towel"</formula>
    </cfRule>
    <cfRule type="cellIs" dxfId="11472" priority="15862" stopIfTrue="1" operator="equal">
      <formula>"Napkin Hs"</formula>
    </cfRule>
    <cfRule type="cellIs" dxfId="11471" priority="15863" stopIfTrue="1" operator="equal">
      <formula>"Towel"</formula>
    </cfRule>
    <cfRule type="cellIs" dxfId="11470" priority="15864" stopIfTrue="1" operator="equal">
      <formula>"Napkin Hs"</formula>
    </cfRule>
    <cfRule type="cellIs" dxfId="11469" priority="15867" stopIfTrue="1" operator="equal">
      <formula>"Towel"</formula>
    </cfRule>
    <cfRule type="cellIs" dxfId="11468" priority="15868" stopIfTrue="1" operator="equal">
      <formula>"Napkin Hs"</formula>
    </cfRule>
    <cfRule type="cellIs" dxfId="11467" priority="15869" stopIfTrue="1" operator="equal">
      <formula>"Towel"</formula>
    </cfRule>
    <cfRule type="cellIs" dxfId="11466" priority="15870" stopIfTrue="1" operator="equal">
      <formula>"Napkin Hs"</formula>
    </cfRule>
    <cfRule type="cellIs" dxfId="11465" priority="15873" stopIfTrue="1" operator="equal">
      <formula>"Towel"</formula>
    </cfRule>
    <cfRule type="cellIs" dxfId="11464" priority="15874" stopIfTrue="1" operator="equal">
      <formula>"Napkin Hs"</formula>
    </cfRule>
    <cfRule type="cellIs" dxfId="11463" priority="15875" stopIfTrue="1" operator="equal">
      <formula>"Towel"</formula>
    </cfRule>
    <cfRule type="cellIs" dxfId="11462" priority="15876" stopIfTrue="1" operator="equal">
      <formula>"Napkin Hs"</formula>
    </cfRule>
    <cfRule type="cellIs" dxfId="11461" priority="15879" stopIfTrue="1" operator="equal">
      <formula>"Towel"</formula>
    </cfRule>
    <cfRule type="cellIs" dxfId="11460" priority="15880" stopIfTrue="1" operator="equal">
      <formula>"Napkin Hs"</formula>
    </cfRule>
    <cfRule type="cellIs" dxfId="11459" priority="15881" stopIfTrue="1" operator="equal">
      <formula>"Towel"</formula>
    </cfRule>
    <cfRule type="cellIs" dxfId="11458" priority="15882" stopIfTrue="1" operator="equal">
      <formula>"Napkin Hs"</formula>
    </cfRule>
  </conditionalFormatting>
  <conditionalFormatting sqref="C124">
    <cfRule type="cellIs" dxfId="11457" priority="16018" stopIfTrue="1" operator="equal">
      <formula>"Napkin Hs"</formula>
    </cfRule>
    <cfRule type="cellIs" dxfId="11456" priority="16025" stopIfTrue="1" operator="equal">
      <formula>"Towel"</formula>
    </cfRule>
    <cfRule type="cellIs" dxfId="11455" priority="16026" stopIfTrue="1" operator="equal">
      <formula>"Napkin Hs"</formula>
    </cfRule>
  </conditionalFormatting>
  <conditionalFormatting sqref="C124:C126">
    <cfRule type="cellIs" dxfId="11454" priority="16013" stopIfTrue="1" operator="equal">
      <formula>"Towel"</formula>
    </cfRule>
  </conditionalFormatting>
  <conditionalFormatting sqref="C125">
    <cfRule type="cellIs" dxfId="11453" priority="16011" stopIfTrue="1" operator="equal">
      <formula>"Towel"</formula>
    </cfRule>
    <cfRule type="cellIs" dxfId="11452" priority="16012" stopIfTrue="1" operator="equal">
      <formula>"Napkin Hs"</formula>
    </cfRule>
    <cfRule type="cellIs" dxfId="11451" priority="16014" stopIfTrue="1" operator="equal">
      <formula>"Napkin Hs"</formula>
    </cfRule>
  </conditionalFormatting>
  <conditionalFormatting sqref="C126">
    <cfRule type="cellIs" dxfId="11450" priority="19344" stopIfTrue="1" operator="equal">
      <formula>"Napkin Hs"</formula>
    </cfRule>
  </conditionalFormatting>
  <conditionalFormatting sqref="C126">
    <cfRule type="cellIs" dxfId="11449" priority="19340" stopIfTrue="1" operator="equal">
      <formula>"Napkin Hs"</formula>
    </cfRule>
    <cfRule type="cellIs" dxfId="11448" priority="19343" stopIfTrue="1" operator="equal">
      <formula>"Towel"</formula>
    </cfRule>
  </conditionalFormatting>
  <conditionalFormatting sqref="C127">
    <cfRule type="cellIs" dxfId="11447" priority="15448" stopIfTrue="1" operator="equal">
      <formula>"Napkin Hs"</formula>
    </cfRule>
    <cfRule type="cellIs" dxfId="11446" priority="15449" stopIfTrue="1" operator="equal">
      <formula>"Towel"</formula>
    </cfRule>
    <cfRule type="cellIs" dxfId="11445" priority="15450" stopIfTrue="1" operator="equal">
      <formula>"Napkin Hs"</formula>
    </cfRule>
    <cfRule type="cellIs" dxfId="11444" priority="15453" stopIfTrue="1" operator="equal">
      <formula>"Towel"</formula>
    </cfRule>
    <cfRule type="cellIs" dxfId="11443" priority="15454" stopIfTrue="1" operator="equal">
      <formula>"Napkin Hs"</formula>
    </cfRule>
    <cfRule type="cellIs" dxfId="11442" priority="15455" stopIfTrue="1" operator="equal">
      <formula>"Towel"</formula>
    </cfRule>
    <cfRule type="cellIs" dxfId="11441" priority="15456" stopIfTrue="1" operator="equal">
      <formula>"Napkin Hs"</formula>
    </cfRule>
    <cfRule type="cellIs" dxfId="11440" priority="15459" stopIfTrue="1" operator="equal">
      <formula>"Towel"</formula>
    </cfRule>
    <cfRule type="cellIs" dxfId="11439" priority="15460" stopIfTrue="1" operator="equal">
      <formula>"Napkin Hs"</formula>
    </cfRule>
    <cfRule type="cellIs" dxfId="11438" priority="15461" stopIfTrue="1" operator="equal">
      <formula>"Towel"</formula>
    </cfRule>
    <cfRule type="cellIs" dxfId="11437" priority="15462" stopIfTrue="1" operator="equal">
      <formula>"Napkin Hs"</formula>
    </cfRule>
    <cfRule type="cellIs" dxfId="11436" priority="15465" stopIfTrue="1" operator="equal">
      <formula>"Towel"</formula>
    </cfRule>
    <cfRule type="cellIs" dxfId="11435" priority="15466" stopIfTrue="1" operator="equal">
      <formula>"Napkin Hs"</formula>
    </cfRule>
    <cfRule type="cellIs" dxfId="11434" priority="15467" stopIfTrue="1" operator="equal">
      <formula>"Towel"</formula>
    </cfRule>
    <cfRule type="cellIs" dxfId="11433" priority="15468" stopIfTrue="1" operator="equal">
      <formula>"Napkin Hs"</formula>
    </cfRule>
    <cfRule type="cellIs" dxfId="11432" priority="15471" stopIfTrue="1" operator="equal">
      <formula>"Towel"</formula>
    </cfRule>
    <cfRule type="cellIs" dxfId="11431" priority="15472" stopIfTrue="1" operator="equal">
      <formula>"Napkin Hs"</formula>
    </cfRule>
    <cfRule type="cellIs" dxfId="11430" priority="15473" stopIfTrue="1" operator="equal">
      <formula>"Towel"</formula>
    </cfRule>
    <cfRule type="cellIs" dxfId="11429" priority="15474" stopIfTrue="1" operator="equal">
      <formula>"Napkin Hs"</formula>
    </cfRule>
    <cfRule type="cellIs" dxfId="11428" priority="15477" stopIfTrue="1" operator="equal">
      <formula>"Towel"</formula>
    </cfRule>
    <cfRule type="cellIs" dxfId="11427" priority="15478" stopIfTrue="1" operator="equal">
      <formula>"Napkin Hs"</formula>
    </cfRule>
    <cfRule type="cellIs" dxfId="11426" priority="15479" stopIfTrue="1" operator="equal">
      <formula>"Towel"</formula>
    </cfRule>
    <cfRule type="cellIs" dxfId="11425" priority="15480" stopIfTrue="1" operator="equal">
      <formula>"Napkin Hs"</formula>
    </cfRule>
    <cfRule type="cellIs" dxfId="11424" priority="15483" stopIfTrue="1" operator="equal">
      <formula>"Towel"</formula>
    </cfRule>
    <cfRule type="cellIs" dxfId="11423" priority="15484" stopIfTrue="1" operator="equal">
      <formula>"Napkin Hs"</formula>
    </cfRule>
    <cfRule type="cellIs" dxfId="11422" priority="15485" stopIfTrue="1" operator="equal">
      <formula>"Towel"</formula>
    </cfRule>
    <cfRule type="cellIs" dxfId="11421" priority="15486" stopIfTrue="1" operator="equal">
      <formula>"Napkin Hs"</formula>
    </cfRule>
    <cfRule type="cellIs" dxfId="11420" priority="15489" stopIfTrue="1" operator="equal">
      <formula>"Towel"</formula>
    </cfRule>
    <cfRule type="cellIs" dxfId="11419" priority="15490" stopIfTrue="1" operator="equal">
      <formula>"Napkin Hs"</formula>
    </cfRule>
    <cfRule type="cellIs" dxfId="11418" priority="15491" stopIfTrue="1" operator="equal">
      <formula>"Towel"</formula>
    </cfRule>
    <cfRule type="cellIs" dxfId="11417" priority="15492" stopIfTrue="1" operator="equal">
      <formula>"Napkin Hs"</formula>
    </cfRule>
    <cfRule type="cellIs" dxfId="11416" priority="15495" stopIfTrue="1" operator="equal">
      <formula>"Towel"</formula>
    </cfRule>
    <cfRule type="cellIs" dxfId="11415" priority="15496" stopIfTrue="1" operator="equal">
      <formula>"Napkin Hs"</formula>
    </cfRule>
    <cfRule type="cellIs" dxfId="11414" priority="15497" stopIfTrue="1" operator="equal">
      <formula>"Towel"</formula>
    </cfRule>
    <cfRule type="cellIs" dxfId="11413" priority="15498" stopIfTrue="1" operator="equal">
      <formula>"Napkin Hs"</formula>
    </cfRule>
    <cfRule type="cellIs" dxfId="11412" priority="15501" stopIfTrue="1" operator="equal">
      <formula>"Towel"</formula>
    </cfRule>
    <cfRule type="cellIs" dxfId="11411" priority="15502" stopIfTrue="1" operator="equal">
      <formula>"Napkin Hs"</formula>
    </cfRule>
    <cfRule type="cellIs" dxfId="11410" priority="15503" stopIfTrue="1" operator="equal">
      <formula>"Towel"</formula>
    </cfRule>
    <cfRule type="cellIs" dxfId="11409" priority="15504" stopIfTrue="1" operator="equal">
      <formula>"Napkin Hs"</formula>
    </cfRule>
  </conditionalFormatting>
  <conditionalFormatting sqref="C127:C129">
    <cfRule type="cellIs" dxfId="11408" priority="15443" stopIfTrue="1" operator="equal">
      <formula>"Towel"</formula>
    </cfRule>
  </conditionalFormatting>
  <conditionalFormatting sqref="C128">
    <cfRule type="cellIs" dxfId="11407" priority="15441" stopIfTrue="1" operator="equal">
      <formula>"Towel"</formula>
    </cfRule>
    <cfRule type="cellIs" dxfId="11406" priority="15442" stopIfTrue="1" operator="equal">
      <formula>"Napkin Hs"</formula>
    </cfRule>
    <cfRule type="cellIs" dxfId="11405" priority="15444" stopIfTrue="1" operator="equal">
      <formula>"Napkin Hs"</formula>
    </cfRule>
  </conditionalFormatting>
  <conditionalFormatting sqref="C129">
    <cfRule type="cellIs" dxfId="11404" priority="15508" stopIfTrue="1" operator="equal">
      <formula>"Napkin Hs"</formula>
    </cfRule>
    <cfRule type="cellIs" dxfId="11403" priority="15509" stopIfTrue="1" operator="equal">
      <formula>"Towel"</formula>
    </cfRule>
    <cfRule type="cellIs" dxfId="11402" priority="15510" stopIfTrue="1" operator="equal">
      <formula>"Napkin Hs"</formula>
    </cfRule>
    <cfRule type="cellIs" dxfId="11401" priority="15513" stopIfTrue="1" operator="equal">
      <formula>"Towel"</formula>
    </cfRule>
    <cfRule type="cellIs" dxfId="11400" priority="15514" stopIfTrue="1" operator="equal">
      <formula>"Napkin Hs"</formula>
    </cfRule>
    <cfRule type="cellIs" dxfId="11399" priority="15515" stopIfTrue="1" operator="equal">
      <formula>"Towel"</formula>
    </cfRule>
    <cfRule type="cellIs" dxfId="11398" priority="15516" stopIfTrue="1" operator="equal">
      <formula>"Napkin Hs"</formula>
    </cfRule>
    <cfRule type="cellIs" dxfId="11397" priority="15519" stopIfTrue="1" operator="equal">
      <formula>"Towel"</formula>
    </cfRule>
    <cfRule type="cellIs" dxfId="11396" priority="15520" stopIfTrue="1" operator="equal">
      <formula>"Napkin Hs"</formula>
    </cfRule>
    <cfRule type="cellIs" dxfId="11395" priority="15521" stopIfTrue="1" operator="equal">
      <formula>"Towel"</formula>
    </cfRule>
    <cfRule type="cellIs" dxfId="11394" priority="15522" stopIfTrue="1" operator="equal">
      <formula>"Napkin Hs"</formula>
    </cfRule>
    <cfRule type="cellIs" dxfId="11393" priority="15525" stopIfTrue="1" operator="equal">
      <formula>"Towel"</formula>
    </cfRule>
    <cfRule type="cellIs" dxfId="11392" priority="15526" stopIfTrue="1" operator="equal">
      <formula>"Napkin Hs"</formula>
    </cfRule>
    <cfRule type="cellIs" dxfId="11391" priority="15527" stopIfTrue="1" operator="equal">
      <formula>"Towel"</formula>
    </cfRule>
    <cfRule type="cellIs" dxfId="11390" priority="15528" stopIfTrue="1" operator="equal">
      <formula>"Napkin Hs"</formula>
    </cfRule>
    <cfRule type="cellIs" dxfId="11389" priority="15531" stopIfTrue="1" operator="equal">
      <formula>"Towel"</formula>
    </cfRule>
    <cfRule type="cellIs" dxfId="11388" priority="15532" stopIfTrue="1" operator="equal">
      <formula>"Napkin Hs"</formula>
    </cfRule>
    <cfRule type="cellIs" dxfId="11387" priority="15533" stopIfTrue="1" operator="equal">
      <formula>"Towel"</formula>
    </cfRule>
    <cfRule type="cellIs" dxfId="11386" priority="15534" stopIfTrue="1" operator="equal">
      <formula>"Napkin Hs"</formula>
    </cfRule>
    <cfRule type="cellIs" dxfId="11385" priority="15537" stopIfTrue="1" operator="equal">
      <formula>"Towel"</formula>
    </cfRule>
    <cfRule type="cellIs" dxfId="11384" priority="15538" stopIfTrue="1" operator="equal">
      <formula>"Napkin Hs"</formula>
    </cfRule>
    <cfRule type="cellIs" dxfId="11383" priority="15539" stopIfTrue="1" operator="equal">
      <formula>"Towel"</formula>
    </cfRule>
    <cfRule type="cellIs" dxfId="11382" priority="15540" stopIfTrue="1" operator="equal">
      <formula>"Napkin Hs"</formula>
    </cfRule>
    <cfRule type="cellIs" dxfId="11381" priority="15543" stopIfTrue="1" operator="equal">
      <formula>"Towel"</formula>
    </cfRule>
    <cfRule type="cellIs" dxfId="11380" priority="15544" stopIfTrue="1" operator="equal">
      <formula>"Napkin Hs"</formula>
    </cfRule>
    <cfRule type="cellIs" dxfId="11379" priority="15545" stopIfTrue="1" operator="equal">
      <formula>"Towel"</formula>
    </cfRule>
    <cfRule type="cellIs" dxfId="11378" priority="15546" stopIfTrue="1" operator="equal">
      <formula>"Napkin Hs"</formula>
    </cfRule>
    <cfRule type="cellIs" dxfId="11377" priority="15549" stopIfTrue="1" operator="equal">
      <formula>"Towel"</formula>
    </cfRule>
    <cfRule type="cellIs" dxfId="11376" priority="15550" stopIfTrue="1" operator="equal">
      <formula>"Napkin Hs"</formula>
    </cfRule>
    <cfRule type="cellIs" dxfId="11375" priority="15551" stopIfTrue="1" operator="equal">
      <formula>"Towel"</formula>
    </cfRule>
    <cfRule type="cellIs" dxfId="11374" priority="15552" stopIfTrue="1" operator="equal">
      <formula>"Napkin Hs"</formula>
    </cfRule>
    <cfRule type="cellIs" dxfId="11373" priority="15555" stopIfTrue="1" operator="equal">
      <formula>"Towel"</formula>
    </cfRule>
    <cfRule type="cellIs" dxfId="11372" priority="15556" stopIfTrue="1" operator="equal">
      <formula>"Napkin Hs"</formula>
    </cfRule>
    <cfRule type="cellIs" dxfId="11371" priority="15557" stopIfTrue="1" operator="equal">
      <formula>"Towel"</formula>
    </cfRule>
    <cfRule type="cellIs" dxfId="11370" priority="15558" stopIfTrue="1" operator="equal">
      <formula>"Napkin Hs"</formula>
    </cfRule>
    <cfRule type="cellIs" dxfId="11369" priority="15561" stopIfTrue="1" operator="equal">
      <formula>"Towel"</formula>
    </cfRule>
    <cfRule type="cellIs" dxfId="11368" priority="15562" stopIfTrue="1" operator="equal">
      <formula>"Napkin Hs"</formula>
    </cfRule>
    <cfRule type="cellIs" dxfId="11367" priority="15564" stopIfTrue="1" operator="equal">
      <formula>"Napkin Hs"</formula>
    </cfRule>
  </conditionalFormatting>
  <conditionalFormatting sqref="C129:C132">
    <cfRule type="cellIs" dxfId="11366" priority="15563" stopIfTrue="1" operator="equal">
      <formula>"Towel"</formula>
    </cfRule>
  </conditionalFormatting>
  <conditionalFormatting sqref="C130:C132">
    <cfRule type="cellIs" dxfId="11365" priority="15568" stopIfTrue="1" operator="equal">
      <formula>"Napkin Hs"</formula>
    </cfRule>
    <cfRule type="cellIs" dxfId="11364" priority="15569" stopIfTrue="1" operator="equal">
      <formula>"Towel"</formula>
    </cfRule>
    <cfRule type="cellIs" dxfId="11363" priority="15570" stopIfTrue="1" operator="equal">
      <formula>"Napkin Hs"</formula>
    </cfRule>
  </conditionalFormatting>
  <conditionalFormatting sqref="C133">
    <cfRule type="cellIs" dxfId="11362" priority="15363" stopIfTrue="1" operator="equal">
      <formula>"Towel"</formula>
    </cfRule>
    <cfRule type="cellIs" dxfId="11361" priority="15364" stopIfTrue="1" operator="equal">
      <formula>"Napkin Hs"</formula>
    </cfRule>
    <cfRule type="cellIs" dxfId="11360" priority="15366" stopIfTrue="1" operator="equal">
      <formula>"Napkin Hs"</formula>
    </cfRule>
  </conditionalFormatting>
  <conditionalFormatting sqref="C133:C134">
    <cfRule type="cellIs" dxfId="11359" priority="15365" stopIfTrue="1" operator="equal">
      <formula>"Towel"</formula>
    </cfRule>
  </conditionalFormatting>
  <conditionalFormatting sqref="C134">
    <cfRule type="cellIs" dxfId="11358" priority="15370" stopIfTrue="1" operator="equal">
      <formula>"Napkin Hs"</formula>
    </cfRule>
    <cfRule type="cellIs" dxfId="11357" priority="15372" stopIfTrue="1" operator="equal">
      <formula>"Napkin Hs"</formula>
    </cfRule>
  </conditionalFormatting>
  <conditionalFormatting sqref="C134">
    <cfRule type="cellIs" dxfId="11356" priority="15371" stopIfTrue="1" operator="equal">
      <formula>"Towel"</formula>
    </cfRule>
  </conditionalFormatting>
  <conditionalFormatting sqref="B6:C6 B8:C9">
    <cfRule type="cellIs" dxfId="11355" priority="14945" stopIfTrue="1" operator="equal">
      <formula>"Towel"</formula>
    </cfRule>
    <cfRule type="cellIs" dxfId="11354" priority="14946" stopIfTrue="1" operator="equal">
      <formula>"Napkin Hs"</formula>
    </cfRule>
  </conditionalFormatting>
  <conditionalFormatting sqref="B10:C10">
    <cfRule type="cellIs" dxfId="11353" priority="14937" stopIfTrue="1" operator="equal">
      <formula>"Towel"</formula>
    </cfRule>
    <cfRule type="cellIs" dxfId="11352" priority="14938" stopIfTrue="1" operator="equal">
      <formula>"Napkin Hs"</formula>
    </cfRule>
  </conditionalFormatting>
  <conditionalFormatting sqref="B11:C11">
    <cfRule type="cellIs" dxfId="11351" priority="14925" stopIfTrue="1" operator="equal">
      <formula>"Towel"</formula>
    </cfRule>
    <cfRule type="cellIs" dxfId="11350" priority="14926" stopIfTrue="1" operator="equal">
      <formula>"Napkin Hs"</formula>
    </cfRule>
  </conditionalFormatting>
  <conditionalFormatting sqref="B12:C12">
    <cfRule type="cellIs" dxfId="11349" priority="14929" stopIfTrue="1" operator="equal">
      <formula>"Towel"</formula>
    </cfRule>
    <cfRule type="cellIs" dxfId="11348" priority="14930" stopIfTrue="1" operator="equal">
      <formula>"Napkin Hs"</formula>
    </cfRule>
  </conditionalFormatting>
  <conditionalFormatting sqref="B13:C14">
    <cfRule type="cellIs" dxfId="11347" priority="14933" stopIfTrue="1" operator="equal">
      <formula>"Towel"</formula>
    </cfRule>
    <cfRule type="cellIs" dxfId="11346" priority="14934" stopIfTrue="1" operator="equal">
      <formula>"Napkin Hs"</formula>
    </cfRule>
  </conditionalFormatting>
  <conditionalFormatting sqref="B15:C15">
    <cfRule type="cellIs" dxfId="11345" priority="14941" stopIfTrue="1" operator="equal">
      <formula>"Towel"</formula>
    </cfRule>
    <cfRule type="cellIs" dxfId="11344" priority="14942" stopIfTrue="1" operator="equal">
      <formula>"Napkin Hs"</formula>
    </cfRule>
  </conditionalFormatting>
  <conditionalFormatting sqref="C6 C8:C9">
    <cfRule type="cellIs" dxfId="11343" priority="14944" stopIfTrue="1" operator="equal">
      <formula>"Napkin Hs"</formula>
    </cfRule>
  </conditionalFormatting>
  <conditionalFormatting sqref="C6 C8:C10">
    <cfRule type="cellIs" dxfId="11342" priority="14935" stopIfTrue="1" operator="equal">
      <formula>"Towel"</formula>
    </cfRule>
    <cfRule type="cellIs" dxfId="11341" priority="14936" stopIfTrue="1" operator="equal">
      <formula>"Napkin Hs"</formula>
    </cfRule>
  </conditionalFormatting>
  <conditionalFormatting sqref="C10:C12">
    <cfRule type="cellIs" dxfId="11340" priority="14923" stopIfTrue="1" operator="equal">
      <formula>"Towel"</formula>
    </cfRule>
    <cfRule type="cellIs" dxfId="11339" priority="14924" stopIfTrue="1" operator="equal">
      <formula>"Napkin Hs"</formula>
    </cfRule>
  </conditionalFormatting>
  <conditionalFormatting sqref="C11">
    <cfRule type="cellIs" dxfId="11338" priority="14921" stopIfTrue="1" operator="equal">
      <formula>"Towel"</formula>
    </cfRule>
    <cfRule type="cellIs" dxfId="11337" priority="14922" stopIfTrue="1" operator="equal">
      <formula>"Napkin Hs"</formula>
    </cfRule>
  </conditionalFormatting>
  <conditionalFormatting sqref="C12:C14">
    <cfRule type="cellIs" dxfId="11336" priority="14927" stopIfTrue="1" operator="equal">
      <formula>"Towel"</formula>
    </cfRule>
    <cfRule type="cellIs" dxfId="11335" priority="14928" stopIfTrue="1" operator="equal">
      <formula>"Napkin Hs"</formula>
    </cfRule>
  </conditionalFormatting>
  <conditionalFormatting sqref="C13:C15">
    <cfRule type="cellIs" dxfId="11334" priority="14931" stopIfTrue="1" operator="equal">
      <formula>"Towel"</formula>
    </cfRule>
    <cfRule type="cellIs" dxfId="11333" priority="14932" stopIfTrue="1" operator="equal">
      <formula>"Napkin Hs"</formula>
    </cfRule>
  </conditionalFormatting>
  <conditionalFormatting sqref="C15">
    <cfRule type="cellIs" dxfId="11332" priority="14939" stopIfTrue="1" operator="equal">
      <formula>"Towel"</formula>
    </cfRule>
    <cfRule type="cellIs" dxfId="11331" priority="14940" stopIfTrue="1" operator="equal">
      <formula>"Napkin Hs"</formula>
    </cfRule>
  </conditionalFormatting>
  <conditionalFormatting sqref="C6 C8:C9">
    <cfRule type="cellIs" dxfId="11330" priority="14943" stopIfTrue="1" operator="equal">
      <formula>"Towel"</formula>
    </cfRule>
  </conditionalFormatting>
  <conditionalFormatting sqref="B7:C7">
    <cfRule type="cellIs" dxfId="11329" priority="14919" stopIfTrue="1" operator="equal">
      <formula>"Towel"</formula>
    </cfRule>
    <cfRule type="cellIs" dxfId="11328" priority="14920" stopIfTrue="1" operator="equal">
      <formula>"Napkin Hs"</formula>
    </cfRule>
  </conditionalFormatting>
  <conditionalFormatting sqref="C7">
    <cfRule type="cellIs" dxfId="11327" priority="14918" stopIfTrue="1" operator="equal">
      <formula>"Napkin Hs"</formula>
    </cfRule>
  </conditionalFormatting>
  <conditionalFormatting sqref="C7">
    <cfRule type="cellIs" dxfId="11326" priority="14915" stopIfTrue="1" operator="equal">
      <formula>"Towel"</formula>
    </cfRule>
    <cfRule type="cellIs" dxfId="11325" priority="14916" stopIfTrue="1" operator="equal">
      <formula>"Napkin Hs"</formula>
    </cfRule>
  </conditionalFormatting>
  <conditionalFormatting sqref="C7">
    <cfRule type="cellIs" dxfId="11324" priority="14917" stopIfTrue="1" operator="equal">
      <formula>"Towel"</formula>
    </cfRule>
  </conditionalFormatting>
  <conditionalFormatting sqref="B26:C26">
    <cfRule type="cellIs" dxfId="11323" priority="14715" stopIfTrue="1" operator="equal">
      <formula>"Towel"</formula>
    </cfRule>
    <cfRule type="cellIs" dxfId="11322" priority="14716" stopIfTrue="1" operator="equal">
      <formula>"Napkin Hs"</formula>
    </cfRule>
  </conditionalFormatting>
  <conditionalFormatting sqref="B19:C19">
    <cfRule type="cellIs" dxfId="11321" priority="14697" stopIfTrue="1" operator="equal">
      <formula>"Towel"</formula>
    </cfRule>
    <cfRule type="cellIs" dxfId="11320" priority="14698" stopIfTrue="1" operator="equal">
      <formula>"Napkin Hs"</formula>
    </cfRule>
  </conditionalFormatting>
  <conditionalFormatting sqref="B21:C21">
    <cfRule type="cellIs" dxfId="11319" priority="14685" stopIfTrue="1" operator="equal">
      <formula>"Towel"</formula>
    </cfRule>
    <cfRule type="cellIs" dxfId="11318" priority="14686" stopIfTrue="1" operator="equal">
      <formula>"Napkin Hs"</formula>
    </cfRule>
  </conditionalFormatting>
  <conditionalFormatting sqref="B22:C22">
    <cfRule type="cellIs" dxfId="11317" priority="14689" stopIfTrue="1" operator="equal">
      <formula>"Towel"</formula>
    </cfRule>
    <cfRule type="cellIs" dxfId="11316" priority="14690" stopIfTrue="1" operator="equal">
      <formula>"Napkin Hs"</formula>
    </cfRule>
  </conditionalFormatting>
  <conditionalFormatting sqref="B24:C24">
    <cfRule type="cellIs" dxfId="11315" priority="14711" stopIfTrue="1" operator="equal">
      <formula>"Towel"</formula>
    </cfRule>
    <cfRule type="cellIs" dxfId="11314" priority="14712" stopIfTrue="1" operator="equal">
      <formula>"Napkin Hs"</formula>
    </cfRule>
  </conditionalFormatting>
  <conditionalFormatting sqref="B26:C26">
    <cfRule type="cellIs" dxfId="11313" priority="14671" stopIfTrue="1" operator="equal">
      <formula>"Towel"</formula>
    </cfRule>
    <cfRule type="cellIs" dxfId="11312" priority="14672" stopIfTrue="1" operator="equal">
      <formula>"Napkin Hs"</formula>
    </cfRule>
  </conditionalFormatting>
  <conditionalFormatting sqref="B27:C27">
    <cfRule type="cellIs" dxfId="11311" priority="14675" stopIfTrue="1" operator="equal">
      <formula>"Towel"</formula>
    </cfRule>
    <cfRule type="cellIs" dxfId="11310" priority="14676" stopIfTrue="1" operator="equal">
      <formula>"Napkin Hs"</formula>
    </cfRule>
    <cfRule type="cellIs" dxfId="11309" priority="14703" stopIfTrue="1" operator="equal">
      <formula>"Towel"</formula>
    </cfRule>
    <cfRule type="cellIs" dxfId="11308" priority="14704" stopIfTrue="1" operator="equal">
      <formula>"Napkin Hs"</formula>
    </cfRule>
  </conditionalFormatting>
  <conditionalFormatting sqref="B28:C28">
    <cfRule type="cellIs" dxfId="11307" priority="14659" stopIfTrue="1" operator="equal">
      <formula>"Towel"</formula>
    </cfRule>
    <cfRule type="cellIs" dxfId="11306" priority="14660" stopIfTrue="1" operator="equal">
      <formula>"Napkin Hs"</formula>
    </cfRule>
    <cfRule type="cellIs" dxfId="11305" priority="14665" stopIfTrue="1" operator="equal">
      <formula>"Towel"</formula>
    </cfRule>
    <cfRule type="cellIs" dxfId="11304" priority="14666" stopIfTrue="1" operator="equal">
      <formula>"Napkin Hs"</formula>
    </cfRule>
  </conditionalFormatting>
  <conditionalFormatting sqref="C26">
    <cfRule type="cellIs" dxfId="11303" priority="14714" stopIfTrue="1" operator="equal">
      <formula>"Napkin Hs"</formula>
    </cfRule>
  </conditionalFormatting>
  <conditionalFormatting sqref="C19">
    <cfRule type="cellIs" dxfId="11302" priority="14693" stopIfTrue="1" operator="equal">
      <formula>"Towel"</formula>
    </cfRule>
    <cfRule type="cellIs" dxfId="11301" priority="14694" stopIfTrue="1" operator="equal">
      <formula>"Napkin Hs"</formula>
    </cfRule>
  </conditionalFormatting>
  <conditionalFormatting sqref="C19">
    <cfRule type="cellIs" dxfId="11300" priority="14695" stopIfTrue="1" operator="equal">
      <formula>"Towel"</formula>
    </cfRule>
    <cfRule type="cellIs" dxfId="11299" priority="14696" stopIfTrue="1" operator="equal">
      <formula>"Napkin Hs"</formula>
    </cfRule>
  </conditionalFormatting>
  <conditionalFormatting sqref="C21">
    <cfRule type="cellIs" dxfId="11298" priority="14681" stopIfTrue="1" operator="equal">
      <formula>"Towel"</formula>
    </cfRule>
    <cfRule type="cellIs" dxfId="11297" priority="14682" stopIfTrue="1" operator="equal">
      <formula>"Napkin Hs"</formula>
    </cfRule>
  </conditionalFormatting>
  <conditionalFormatting sqref="C21:C22">
    <cfRule type="cellIs" dxfId="11296" priority="14683" stopIfTrue="1" operator="equal">
      <formula>"Towel"</formula>
    </cfRule>
    <cfRule type="cellIs" dxfId="11295" priority="14684" stopIfTrue="1" operator="equal">
      <formula>"Napkin Hs"</formula>
    </cfRule>
  </conditionalFormatting>
  <conditionalFormatting sqref="C22">
    <cfRule type="cellIs" dxfId="11294" priority="14687" stopIfTrue="1" operator="equal">
      <formula>"Towel"</formula>
    </cfRule>
    <cfRule type="cellIs" dxfId="11293" priority="14688" stopIfTrue="1" operator="equal">
      <formula>"Napkin Hs"</formula>
    </cfRule>
  </conditionalFormatting>
  <conditionalFormatting sqref="C24">
    <cfRule type="cellIs" dxfId="11292" priority="14691" stopIfTrue="1" operator="equal">
      <formula>"Towel"</formula>
    </cfRule>
    <cfRule type="cellIs" dxfId="11291" priority="14692" stopIfTrue="1" operator="equal">
      <formula>"Napkin Hs"</formula>
    </cfRule>
  </conditionalFormatting>
  <conditionalFormatting sqref="C24 C26:C27">
    <cfRule type="cellIs" dxfId="11290" priority="14701" stopIfTrue="1" operator="equal">
      <formula>"Towel"</formula>
    </cfRule>
    <cfRule type="cellIs" dxfId="11289" priority="14702" stopIfTrue="1" operator="equal">
      <formula>"Napkin Hs"</formula>
    </cfRule>
  </conditionalFormatting>
  <conditionalFormatting sqref="C26">
    <cfRule type="cellIs" dxfId="11288" priority="14667" stopIfTrue="1" operator="equal">
      <formula>"Towel"</formula>
    </cfRule>
    <cfRule type="cellIs" dxfId="11287" priority="14668" stopIfTrue="1" operator="equal">
      <formula>"Napkin Hs"</formula>
    </cfRule>
  </conditionalFormatting>
  <conditionalFormatting sqref="C26:C27">
    <cfRule type="cellIs" dxfId="11286" priority="14669" stopIfTrue="1" operator="equal">
      <formula>"Towel"</formula>
    </cfRule>
    <cfRule type="cellIs" dxfId="11285" priority="14670" stopIfTrue="1" operator="equal">
      <formula>"Napkin Hs"</formula>
    </cfRule>
  </conditionalFormatting>
  <conditionalFormatting sqref="C27">
    <cfRule type="cellIs" dxfId="11284" priority="14673" stopIfTrue="1" operator="equal">
      <formula>"Towel"</formula>
    </cfRule>
    <cfRule type="cellIs" dxfId="11283" priority="14674" stopIfTrue="1" operator="equal">
      <formula>"Napkin Hs"</formula>
    </cfRule>
    <cfRule type="cellIs" dxfId="11282" priority="14699" stopIfTrue="1" operator="equal">
      <formula>"Towel"</formula>
    </cfRule>
    <cfRule type="cellIs" dxfId="11281" priority="14700" stopIfTrue="1" operator="equal">
      <formula>"Napkin Hs"</formula>
    </cfRule>
  </conditionalFormatting>
  <conditionalFormatting sqref="C28">
    <cfRule type="cellIs" dxfId="11280" priority="14655" stopIfTrue="1" operator="equal">
      <formula>"Towel"</formula>
    </cfRule>
    <cfRule type="cellIs" dxfId="11279" priority="14656" stopIfTrue="1" operator="equal">
      <formula>"Napkin Hs"</formula>
    </cfRule>
    <cfRule type="cellIs" dxfId="11278" priority="14657" stopIfTrue="1" operator="equal">
      <formula>"Towel"</formula>
    </cfRule>
    <cfRule type="cellIs" dxfId="11277" priority="14658" stopIfTrue="1" operator="equal">
      <formula>"Napkin Hs"</formula>
    </cfRule>
    <cfRule type="cellIs" dxfId="11276" priority="14661" stopIfTrue="1" operator="equal">
      <formula>"Towel"</formula>
    </cfRule>
    <cfRule type="cellIs" dxfId="11275" priority="14662" stopIfTrue="1" operator="equal">
      <formula>"Napkin Hs"</formula>
    </cfRule>
  </conditionalFormatting>
  <conditionalFormatting sqref="C28">
    <cfRule type="cellIs" dxfId="11274" priority="14663" stopIfTrue="1" operator="equal">
      <formula>"Towel"</formula>
    </cfRule>
    <cfRule type="cellIs" dxfId="11273" priority="14664" stopIfTrue="1" operator="equal">
      <formula>"Napkin Hs"</formula>
    </cfRule>
  </conditionalFormatting>
  <conditionalFormatting sqref="C26">
    <cfRule type="cellIs" dxfId="11272" priority="14713" stopIfTrue="1" operator="equal">
      <formula>"Towel"</formula>
    </cfRule>
  </conditionalFormatting>
  <conditionalFormatting sqref="B24:C24">
    <cfRule type="cellIs" dxfId="11271" priority="14653" stopIfTrue="1" operator="equal">
      <formula>"Towel"</formula>
    </cfRule>
    <cfRule type="cellIs" dxfId="11270" priority="14654" stopIfTrue="1" operator="equal">
      <formula>"Napkin Hs"</formula>
    </cfRule>
  </conditionalFormatting>
  <conditionalFormatting sqref="C24">
    <cfRule type="cellIs" dxfId="11269" priority="14649" stopIfTrue="1" operator="equal">
      <formula>"Towel"</formula>
    </cfRule>
    <cfRule type="cellIs" dxfId="11268" priority="14650" stopIfTrue="1" operator="equal">
      <formula>"Napkin Hs"</formula>
    </cfRule>
  </conditionalFormatting>
  <conditionalFormatting sqref="C24">
    <cfRule type="cellIs" dxfId="11267" priority="14651" stopIfTrue="1" operator="equal">
      <formula>"Towel"</formula>
    </cfRule>
    <cfRule type="cellIs" dxfId="11266" priority="14652" stopIfTrue="1" operator="equal">
      <formula>"Napkin Hs"</formula>
    </cfRule>
  </conditionalFormatting>
  <conditionalFormatting sqref="C19">
    <cfRule type="cellIs" dxfId="11265" priority="14629" stopIfTrue="1" operator="equal">
      <formula>"Towel"</formula>
    </cfRule>
    <cfRule type="cellIs" dxfId="11264" priority="14630" stopIfTrue="1" operator="equal">
      <formula>"Napkin Hs"</formula>
    </cfRule>
  </conditionalFormatting>
  <conditionalFormatting sqref="B21:C21">
    <cfRule type="cellIs" dxfId="11263" priority="14641" stopIfTrue="1" operator="equal">
      <formula>"Towel"</formula>
    </cfRule>
    <cfRule type="cellIs" dxfId="11262" priority="14642" stopIfTrue="1" operator="equal">
      <formula>"Napkin Hs"</formula>
    </cfRule>
  </conditionalFormatting>
  <conditionalFormatting sqref="B22:C22">
    <cfRule type="cellIs" dxfId="11261" priority="14645" stopIfTrue="1" operator="equal">
      <formula>"Towel"</formula>
    </cfRule>
    <cfRule type="cellIs" dxfId="11260" priority="14646" stopIfTrue="1" operator="equal">
      <formula>"Napkin Hs"</formula>
    </cfRule>
  </conditionalFormatting>
  <conditionalFormatting sqref="C21:C22">
    <cfRule type="cellIs" dxfId="11259" priority="14647" stopIfTrue="1" operator="equal">
      <formula>"Towel"</formula>
    </cfRule>
    <cfRule type="cellIs" dxfId="11258" priority="14648" stopIfTrue="1" operator="equal">
      <formula>"Napkin Hs"</formula>
    </cfRule>
  </conditionalFormatting>
  <conditionalFormatting sqref="C21">
    <cfRule type="cellIs" dxfId="11257" priority="14637" stopIfTrue="1" operator="equal">
      <formula>"Towel"</formula>
    </cfRule>
    <cfRule type="cellIs" dxfId="11256" priority="14638" stopIfTrue="1" operator="equal">
      <formula>"Napkin Hs"</formula>
    </cfRule>
  </conditionalFormatting>
  <conditionalFormatting sqref="B19:C19">
    <cfRule type="cellIs" dxfId="11255" priority="14625" stopIfTrue="1" operator="equal">
      <formula>"Towel"</formula>
    </cfRule>
    <cfRule type="cellIs" dxfId="11254" priority="14626" stopIfTrue="1" operator="equal">
      <formula>"Napkin Hs"</formula>
    </cfRule>
  </conditionalFormatting>
  <conditionalFormatting sqref="C21:C22">
    <cfRule type="cellIs" dxfId="11253" priority="14639" stopIfTrue="1" operator="equal">
      <formula>"Towel"</formula>
    </cfRule>
    <cfRule type="cellIs" dxfId="11252" priority="14640" stopIfTrue="1" operator="equal">
      <formula>"Napkin Hs"</formula>
    </cfRule>
  </conditionalFormatting>
  <conditionalFormatting sqref="C22">
    <cfRule type="cellIs" dxfId="11251" priority="14643" stopIfTrue="1" operator="equal">
      <formula>"Towel"</formula>
    </cfRule>
    <cfRule type="cellIs" dxfId="11250" priority="14644" stopIfTrue="1" operator="equal">
      <formula>"Napkin Hs"</formula>
    </cfRule>
  </conditionalFormatting>
  <conditionalFormatting sqref="B21:C22">
    <cfRule type="cellIs" dxfId="11249" priority="14635" stopIfTrue="1" operator="equal">
      <formula>"Towel"</formula>
    </cfRule>
    <cfRule type="cellIs" dxfId="11248" priority="14636" stopIfTrue="1" operator="equal">
      <formula>"Napkin Hs"</formula>
    </cfRule>
  </conditionalFormatting>
  <conditionalFormatting sqref="C21:C22">
    <cfRule type="cellIs" dxfId="11247" priority="14634" stopIfTrue="1" operator="equal">
      <formula>"Napkin Hs"</formula>
    </cfRule>
  </conditionalFormatting>
  <conditionalFormatting sqref="C21:C22">
    <cfRule type="cellIs" dxfId="11246" priority="14633" stopIfTrue="1" operator="equal">
      <formula>"Towel"</formula>
    </cfRule>
  </conditionalFormatting>
  <conditionalFormatting sqref="B20:C20">
    <cfRule type="cellIs" dxfId="11245" priority="14619" stopIfTrue="1" operator="equal">
      <formula>"Towel"</formula>
    </cfRule>
    <cfRule type="cellIs" dxfId="11244" priority="14620" stopIfTrue="1" operator="equal">
      <formula>"Napkin Hs"</formula>
    </cfRule>
  </conditionalFormatting>
  <conditionalFormatting sqref="C20">
    <cfRule type="cellIs" dxfId="11243" priority="14615" stopIfTrue="1" operator="equal">
      <formula>"Towel"</formula>
    </cfRule>
    <cfRule type="cellIs" dxfId="11242" priority="14616" stopIfTrue="1" operator="equal">
      <formula>"Napkin Hs"</formula>
    </cfRule>
  </conditionalFormatting>
  <conditionalFormatting sqref="B19:C19">
    <cfRule type="cellIs" dxfId="11241" priority="14631" stopIfTrue="1" operator="equal">
      <formula>"Towel"</formula>
    </cfRule>
    <cfRule type="cellIs" dxfId="11240" priority="14632" stopIfTrue="1" operator="equal">
      <formula>"Napkin Hs"</formula>
    </cfRule>
  </conditionalFormatting>
  <conditionalFormatting sqref="C19">
    <cfRule type="cellIs" dxfId="11239" priority="14627" stopIfTrue="1" operator="equal">
      <formula>"Towel"</formula>
    </cfRule>
    <cfRule type="cellIs" dxfId="11238" priority="14628" stopIfTrue="1" operator="equal">
      <formula>"Napkin Hs"</formula>
    </cfRule>
  </conditionalFormatting>
  <conditionalFormatting sqref="C19">
    <cfRule type="cellIs" dxfId="11237" priority="14624" stopIfTrue="1" operator="equal">
      <formula>"Napkin Hs"</formula>
    </cfRule>
  </conditionalFormatting>
  <conditionalFormatting sqref="C19">
    <cfRule type="cellIs" dxfId="11236" priority="14621" stopIfTrue="1" operator="equal">
      <formula>"Towel"</formula>
    </cfRule>
    <cfRule type="cellIs" dxfId="11235" priority="14622" stopIfTrue="1" operator="equal">
      <formula>"Napkin Hs"</formula>
    </cfRule>
  </conditionalFormatting>
  <conditionalFormatting sqref="C19">
    <cfRule type="cellIs" dxfId="11234" priority="14623" stopIfTrue="1" operator="equal">
      <formula>"Towel"</formula>
    </cfRule>
  </conditionalFormatting>
  <conditionalFormatting sqref="C20">
    <cfRule type="cellIs" dxfId="11233" priority="14617" stopIfTrue="1" operator="equal">
      <formula>"Towel"</formula>
    </cfRule>
    <cfRule type="cellIs" dxfId="11232" priority="14618" stopIfTrue="1" operator="equal">
      <formula>"Napkin Hs"</formula>
    </cfRule>
  </conditionalFormatting>
  <conditionalFormatting sqref="B20:C20">
    <cfRule type="cellIs" dxfId="11231" priority="14613" stopIfTrue="1" operator="equal">
      <formula>"Towel"</formula>
    </cfRule>
    <cfRule type="cellIs" dxfId="11230" priority="14614" stopIfTrue="1" operator="equal">
      <formula>"Napkin Hs"</formula>
    </cfRule>
  </conditionalFormatting>
  <conditionalFormatting sqref="C20">
    <cfRule type="cellIs" dxfId="11229" priority="14611" stopIfTrue="1" operator="equal">
      <formula>"Towel"</formula>
    </cfRule>
    <cfRule type="cellIs" dxfId="11228" priority="14612" stopIfTrue="1" operator="equal">
      <formula>"Napkin Hs"</formula>
    </cfRule>
  </conditionalFormatting>
  <conditionalFormatting sqref="C20">
    <cfRule type="cellIs" dxfId="11227" priority="14609" stopIfTrue="1" operator="equal">
      <formula>"Towel"</formula>
    </cfRule>
    <cfRule type="cellIs" dxfId="11226" priority="14610" stopIfTrue="1" operator="equal">
      <formula>"Napkin Hs"</formula>
    </cfRule>
  </conditionalFormatting>
  <conditionalFormatting sqref="B20:C20">
    <cfRule type="cellIs" dxfId="11225" priority="14607" stopIfTrue="1" operator="equal">
      <formula>"Towel"</formula>
    </cfRule>
    <cfRule type="cellIs" dxfId="11224" priority="14608" stopIfTrue="1" operator="equal">
      <formula>"Napkin Hs"</formula>
    </cfRule>
  </conditionalFormatting>
  <conditionalFormatting sqref="C20">
    <cfRule type="cellIs" dxfId="11223" priority="14606" stopIfTrue="1" operator="equal">
      <formula>"Napkin Hs"</formula>
    </cfRule>
  </conditionalFormatting>
  <conditionalFormatting sqref="C20">
    <cfRule type="cellIs" dxfId="11222" priority="14603" stopIfTrue="1" operator="equal">
      <formula>"Towel"</formula>
    </cfRule>
    <cfRule type="cellIs" dxfId="11221" priority="14604" stopIfTrue="1" operator="equal">
      <formula>"Napkin Hs"</formula>
    </cfRule>
  </conditionalFormatting>
  <conditionalFormatting sqref="C20">
    <cfRule type="cellIs" dxfId="11220" priority="14605" stopIfTrue="1" operator="equal">
      <formula>"Towel"</formula>
    </cfRule>
  </conditionalFormatting>
  <conditionalFormatting sqref="B26:C26">
    <cfRule type="cellIs" dxfId="11219" priority="14597" stopIfTrue="1" operator="equal">
      <formula>"Towel"</formula>
    </cfRule>
    <cfRule type="cellIs" dxfId="11218" priority="14598" stopIfTrue="1" operator="equal">
      <formula>"Napkin Hs"</formula>
    </cfRule>
  </conditionalFormatting>
  <conditionalFormatting sqref="B27:C27">
    <cfRule type="cellIs" dxfId="11217" priority="14601" stopIfTrue="1" operator="equal">
      <formula>"Towel"</formula>
    </cfRule>
    <cfRule type="cellIs" dxfId="11216" priority="14602" stopIfTrue="1" operator="equal">
      <formula>"Napkin Hs"</formula>
    </cfRule>
  </conditionalFormatting>
  <conditionalFormatting sqref="C26">
    <cfRule type="cellIs" dxfId="11215" priority="14593" stopIfTrue="1" operator="equal">
      <formula>"Towel"</formula>
    </cfRule>
    <cfRule type="cellIs" dxfId="11214" priority="14594" stopIfTrue="1" operator="equal">
      <formula>"Napkin Hs"</formula>
    </cfRule>
  </conditionalFormatting>
  <conditionalFormatting sqref="C26:C27">
    <cfRule type="cellIs" dxfId="11213" priority="14595" stopIfTrue="1" operator="equal">
      <formula>"Towel"</formula>
    </cfRule>
    <cfRule type="cellIs" dxfId="11212" priority="14596" stopIfTrue="1" operator="equal">
      <formula>"Napkin Hs"</formula>
    </cfRule>
  </conditionalFormatting>
  <conditionalFormatting sqref="C27">
    <cfRule type="cellIs" dxfId="11211" priority="14599" stopIfTrue="1" operator="equal">
      <formula>"Towel"</formula>
    </cfRule>
    <cfRule type="cellIs" dxfId="11210" priority="14600" stopIfTrue="1" operator="equal">
      <formula>"Napkin Hs"</formula>
    </cfRule>
  </conditionalFormatting>
  <conditionalFormatting sqref="B27:C27">
    <cfRule type="cellIs" dxfId="11209" priority="14591" stopIfTrue="1" operator="equal">
      <formula>"Towel"</formula>
    </cfRule>
    <cfRule type="cellIs" dxfId="11208" priority="14592" stopIfTrue="1" operator="equal">
      <formula>"Napkin Hs"</formula>
    </cfRule>
  </conditionalFormatting>
  <conditionalFormatting sqref="C27">
    <cfRule type="cellIs" dxfId="11207" priority="14587" stopIfTrue="1" operator="equal">
      <formula>"Towel"</formula>
    </cfRule>
    <cfRule type="cellIs" dxfId="11206" priority="14588" stopIfTrue="1" operator="equal">
      <formula>"Napkin Hs"</formula>
    </cfRule>
  </conditionalFormatting>
  <conditionalFormatting sqref="C27">
    <cfRule type="cellIs" dxfId="11205" priority="14589" stopIfTrue="1" operator="equal">
      <formula>"Towel"</formula>
    </cfRule>
    <cfRule type="cellIs" dxfId="11204" priority="14590" stopIfTrue="1" operator="equal">
      <formula>"Napkin Hs"</formula>
    </cfRule>
  </conditionalFormatting>
  <conditionalFormatting sqref="B26:C26">
    <cfRule type="cellIs" dxfId="11203" priority="14583" stopIfTrue="1" operator="equal">
      <formula>"Towel"</formula>
    </cfRule>
    <cfRule type="cellIs" dxfId="11202" priority="14584" stopIfTrue="1" operator="equal">
      <formula>"Napkin Hs"</formula>
    </cfRule>
  </conditionalFormatting>
  <conditionalFormatting sqref="C26">
    <cfRule type="cellIs" dxfId="11201" priority="14585" stopIfTrue="1" operator="equal">
      <formula>"Towel"</formula>
    </cfRule>
    <cfRule type="cellIs" dxfId="11200" priority="14586" stopIfTrue="1" operator="equal">
      <formula>"Napkin Hs"</formula>
    </cfRule>
  </conditionalFormatting>
  <conditionalFormatting sqref="C26">
    <cfRule type="cellIs" dxfId="11199" priority="14579" stopIfTrue="1" operator="equal">
      <formula>"Towel"</formula>
    </cfRule>
    <cfRule type="cellIs" dxfId="11198" priority="14580" stopIfTrue="1" operator="equal">
      <formula>"Napkin Hs"</formula>
    </cfRule>
  </conditionalFormatting>
  <conditionalFormatting sqref="C26">
    <cfRule type="cellIs" dxfId="11197" priority="14581" stopIfTrue="1" operator="equal">
      <formula>"Towel"</formula>
    </cfRule>
    <cfRule type="cellIs" dxfId="11196" priority="14582" stopIfTrue="1" operator="equal">
      <formula>"Napkin Hs"</formula>
    </cfRule>
  </conditionalFormatting>
  <conditionalFormatting sqref="B26:C26">
    <cfRule type="cellIs" dxfId="11195" priority="14577" stopIfTrue="1" operator="equal">
      <formula>"Towel"</formula>
    </cfRule>
    <cfRule type="cellIs" dxfId="11194" priority="14578" stopIfTrue="1" operator="equal">
      <formula>"Napkin Hs"</formula>
    </cfRule>
  </conditionalFormatting>
  <conditionalFormatting sqref="C26">
    <cfRule type="cellIs" dxfId="11193" priority="14576" stopIfTrue="1" operator="equal">
      <formula>"Napkin Hs"</formula>
    </cfRule>
  </conditionalFormatting>
  <conditionalFormatting sqref="C26">
    <cfRule type="cellIs" dxfId="11192" priority="14575" stopIfTrue="1" operator="equal">
      <formula>"Towel"</formula>
    </cfRule>
  </conditionalFormatting>
  <conditionalFormatting sqref="B24:C24">
    <cfRule type="cellIs" dxfId="11191" priority="14573" stopIfTrue="1" operator="equal">
      <formula>"Towel"</formula>
    </cfRule>
    <cfRule type="cellIs" dxfId="11190" priority="14574" stopIfTrue="1" operator="equal">
      <formula>"Napkin Hs"</formula>
    </cfRule>
  </conditionalFormatting>
  <conditionalFormatting sqref="C24">
    <cfRule type="cellIs" dxfId="11189" priority="14569" stopIfTrue="1" operator="equal">
      <formula>"Towel"</formula>
    </cfRule>
    <cfRule type="cellIs" dxfId="11188" priority="14570" stopIfTrue="1" operator="equal">
      <formula>"Napkin Hs"</formula>
    </cfRule>
  </conditionalFormatting>
  <conditionalFormatting sqref="C24">
    <cfRule type="cellIs" dxfId="11187" priority="14571" stopIfTrue="1" operator="equal">
      <formula>"Towel"</formula>
    </cfRule>
    <cfRule type="cellIs" dxfId="11186" priority="14572" stopIfTrue="1" operator="equal">
      <formula>"Napkin Hs"</formula>
    </cfRule>
  </conditionalFormatting>
  <conditionalFormatting sqref="B24:C24">
    <cfRule type="cellIs" dxfId="11185" priority="14567" stopIfTrue="1" operator="equal">
      <formula>"Towel"</formula>
    </cfRule>
    <cfRule type="cellIs" dxfId="11184" priority="14568" stopIfTrue="1" operator="equal">
      <formula>"Napkin Hs"</formula>
    </cfRule>
  </conditionalFormatting>
  <conditionalFormatting sqref="C24">
    <cfRule type="cellIs" dxfId="11183" priority="14565" stopIfTrue="1" operator="equal">
      <formula>"Towel"</formula>
    </cfRule>
    <cfRule type="cellIs" dxfId="11182" priority="14566" stopIfTrue="1" operator="equal">
      <formula>"Napkin Hs"</formula>
    </cfRule>
  </conditionalFormatting>
  <conditionalFormatting sqref="C24">
    <cfRule type="cellIs" dxfId="11181" priority="14563" stopIfTrue="1" operator="equal">
      <formula>"Towel"</formula>
    </cfRule>
    <cfRule type="cellIs" dxfId="11180" priority="14564" stopIfTrue="1" operator="equal">
      <formula>"Napkin Hs"</formula>
    </cfRule>
  </conditionalFormatting>
  <conditionalFormatting sqref="B24:C24">
    <cfRule type="cellIs" dxfId="11179" priority="14561" stopIfTrue="1" operator="equal">
      <formula>"Towel"</formula>
    </cfRule>
    <cfRule type="cellIs" dxfId="11178" priority="14562" stopIfTrue="1" operator="equal">
      <formula>"Napkin Hs"</formula>
    </cfRule>
  </conditionalFormatting>
  <conditionalFormatting sqref="C24">
    <cfRule type="cellIs" dxfId="11177" priority="14560" stopIfTrue="1" operator="equal">
      <formula>"Napkin Hs"</formula>
    </cfRule>
  </conditionalFormatting>
  <conditionalFormatting sqref="C24">
    <cfRule type="cellIs" dxfId="11176" priority="14557" stopIfTrue="1" operator="equal">
      <formula>"Towel"</formula>
    </cfRule>
    <cfRule type="cellIs" dxfId="11175" priority="14558" stopIfTrue="1" operator="equal">
      <formula>"Napkin Hs"</formula>
    </cfRule>
  </conditionalFormatting>
  <conditionalFormatting sqref="C24">
    <cfRule type="cellIs" dxfId="11174" priority="14559" stopIfTrue="1" operator="equal">
      <formula>"Towel"</formula>
    </cfRule>
  </conditionalFormatting>
  <conditionalFormatting sqref="B23:C23">
    <cfRule type="cellIs" dxfId="11173" priority="14555" stopIfTrue="1" operator="equal">
      <formula>"Towel"</formula>
    </cfRule>
    <cfRule type="cellIs" dxfId="11172" priority="14556" stopIfTrue="1" operator="equal">
      <formula>"Napkin Hs"</formula>
    </cfRule>
  </conditionalFormatting>
  <conditionalFormatting sqref="C23">
    <cfRule type="cellIs" dxfId="11171" priority="14551" stopIfTrue="1" operator="equal">
      <formula>"Towel"</formula>
    </cfRule>
    <cfRule type="cellIs" dxfId="11170" priority="14552" stopIfTrue="1" operator="equal">
      <formula>"Napkin Hs"</formula>
    </cfRule>
  </conditionalFormatting>
  <conditionalFormatting sqref="C23">
    <cfRule type="cellIs" dxfId="11169" priority="14553" stopIfTrue="1" operator="equal">
      <formula>"Towel"</formula>
    </cfRule>
    <cfRule type="cellIs" dxfId="11168" priority="14554" stopIfTrue="1" operator="equal">
      <formula>"Napkin Hs"</formula>
    </cfRule>
  </conditionalFormatting>
  <conditionalFormatting sqref="B23:C23">
    <cfRule type="cellIs" dxfId="11167" priority="14549" stopIfTrue="1" operator="equal">
      <formula>"Towel"</formula>
    </cfRule>
    <cfRule type="cellIs" dxfId="11166" priority="14550" stopIfTrue="1" operator="equal">
      <formula>"Napkin Hs"</formula>
    </cfRule>
  </conditionalFormatting>
  <conditionalFormatting sqref="C23">
    <cfRule type="cellIs" dxfId="11165" priority="14545" stopIfTrue="1" operator="equal">
      <formula>"Towel"</formula>
    </cfRule>
    <cfRule type="cellIs" dxfId="11164" priority="14546" stopIfTrue="1" operator="equal">
      <formula>"Napkin Hs"</formula>
    </cfRule>
  </conditionalFormatting>
  <conditionalFormatting sqref="C23">
    <cfRule type="cellIs" dxfId="11163" priority="14547" stopIfTrue="1" operator="equal">
      <formula>"Towel"</formula>
    </cfRule>
    <cfRule type="cellIs" dxfId="11162" priority="14548" stopIfTrue="1" operator="equal">
      <formula>"Napkin Hs"</formula>
    </cfRule>
  </conditionalFormatting>
  <conditionalFormatting sqref="B23:C23">
    <cfRule type="cellIs" dxfId="11161" priority="14543" stopIfTrue="1" operator="equal">
      <formula>"Towel"</formula>
    </cfRule>
    <cfRule type="cellIs" dxfId="11160" priority="14544" stopIfTrue="1" operator="equal">
      <formula>"Napkin Hs"</formula>
    </cfRule>
  </conditionalFormatting>
  <conditionalFormatting sqref="C23">
    <cfRule type="cellIs" dxfId="11159" priority="14539" stopIfTrue="1" operator="equal">
      <formula>"Towel"</formula>
    </cfRule>
    <cfRule type="cellIs" dxfId="11158" priority="14540" stopIfTrue="1" operator="equal">
      <formula>"Napkin Hs"</formula>
    </cfRule>
  </conditionalFormatting>
  <conditionalFormatting sqref="C23">
    <cfRule type="cellIs" dxfId="11157" priority="14541" stopIfTrue="1" operator="equal">
      <formula>"Towel"</formula>
    </cfRule>
    <cfRule type="cellIs" dxfId="11156" priority="14542" stopIfTrue="1" operator="equal">
      <formula>"Napkin Hs"</formula>
    </cfRule>
  </conditionalFormatting>
  <conditionalFormatting sqref="B23:C23">
    <cfRule type="cellIs" dxfId="11155" priority="14537" stopIfTrue="1" operator="equal">
      <formula>"Towel"</formula>
    </cfRule>
    <cfRule type="cellIs" dxfId="11154" priority="14538" stopIfTrue="1" operator="equal">
      <formula>"Napkin Hs"</formula>
    </cfRule>
  </conditionalFormatting>
  <conditionalFormatting sqref="C23">
    <cfRule type="cellIs" dxfId="11153" priority="14535" stopIfTrue="1" operator="equal">
      <formula>"Towel"</formula>
    </cfRule>
    <cfRule type="cellIs" dxfId="11152" priority="14536" stopIfTrue="1" operator="equal">
      <formula>"Napkin Hs"</formula>
    </cfRule>
  </conditionalFormatting>
  <conditionalFormatting sqref="C23">
    <cfRule type="cellIs" dxfId="11151" priority="14533" stopIfTrue="1" operator="equal">
      <formula>"Towel"</formula>
    </cfRule>
    <cfRule type="cellIs" dxfId="11150" priority="14534" stopIfTrue="1" operator="equal">
      <formula>"Napkin Hs"</formula>
    </cfRule>
  </conditionalFormatting>
  <conditionalFormatting sqref="B23:C23">
    <cfRule type="cellIs" dxfId="11149" priority="14531" stopIfTrue="1" operator="equal">
      <formula>"Towel"</formula>
    </cfRule>
    <cfRule type="cellIs" dxfId="11148" priority="14532" stopIfTrue="1" operator="equal">
      <formula>"Napkin Hs"</formula>
    </cfRule>
  </conditionalFormatting>
  <conditionalFormatting sqref="C23">
    <cfRule type="cellIs" dxfId="11147" priority="14530" stopIfTrue="1" operator="equal">
      <formula>"Napkin Hs"</formula>
    </cfRule>
  </conditionalFormatting>
  <conditionalFormatting sqref="C23">
    <cfRule type="cellIs" dxfId="11146" priority="14527" stopIfTrue="1" operator="equal">
      <formula>"Towel"</formula>
    </cfRule>
    <cfRule type="cellIs" dxfId="11145" priority="14528" stopIfTrue="1" operator="equal">
      <formula>"Napkin Hs"</formula>
    </cfRule>
  </conditionalFormatting>
  <conditionalFormatting sqref="C23">
    <cfRule type="cellIs" dxfId="11144" priority="14529" stopIfTrue="1" operator="equal">
      <formula>"Towel"</formula>
    </cfRule>
  </conditionalFormatting>
  <conditionalFormatting sqref="B25:C25">
    <cfRule type="cellIs" dxfId="11143" priority="14525" stopIfTrue="1" operator="equal">
      <formula>"Towel"</formula>
    </cfRule>
    <cfRule type="cellIs" dxfId="11142" priority="14526" stopIfTrue="1" operator="equal">
      <formula>"Napkin Hs"</formula>
    </cfRule>
  </conditionalFormatting>
  <conditionalFormatting sqref="C25">
    <cfRule type="cellIs" dxfId="11141" priority="14521" stopIfTrue="1" operator="equal">
      <formula>"Towel"</formula>
    </cfRule>
    <cfRule type="cellIs" dxfId="11140" priority="14522" stopIfTrue="1" operator="equal">
      <formula>"Napkin Hs"</formula>
    </cfRule>
  </conditionalFormatting>
  <conditionalFormatting sqref="C25">
    <cfRule type="cellIs" dxfId="11139" priority="14523" stopIfTrue="1" operator="equal">
      <formula>"Towel"</formula>
    </cfRule>
    <cfRule type="cellIs" dxfId="11138" priority="14524" stopIfTrue="1" operator="equal">
      <formula>"Napkin Hs"</formula>
    </cfRule>
  </conditionalFormatting>
  <conditionalFormatting sqref="B25:C25">
    <cfRule type="cellIs" dxfId="11137" priority="14519" stopIfTrue="1" operator="equal">
      <formula>"Towel"</formula>
    </cfRule>
    <cfRule type="cellIs" dxfId="11136" priority="14520" stopIfTrue="1" operator="equal">
      <formula>"Napkin Hs"</formula>
    </cfRule>
  </conditionalFormatting>
  <conditionalFormatting sqref="C25">
    <cfRule type="cellIs" dxfId="11135" priority="14515" stopIfTrue="1" operator="equal">
      <formula>"Towel"</formula>
    </cfRule>
    <cfRule type="cellIs" dxfId="11134" priority="14516" stopIfTrue="1" operator="equal">
      <formula>"Napkin Hs"</formula>
    </cfRule>
  </conditionalFormatting>
  <conditionalFormatting sqref="C25">
    <cfRule type="cellIs" dxfId="11133" priority="14517" stopIfTrue="1" operator="equal">
      <formula>"Towel"</formula>
    </cfRule>
    <cfRule type="cellIs" dxfId="11132" priority="14518" stopIfTrue="1" operator="equal">
      <formula>"Napkin Hs"</formula>
    </cfRule>
  </conditionalFormatting>
  <conditionalFormatting sqref="B25:C25">
    <cfRule type="cellIs" dxfId="11131" priority="14513" stopIfTrue="1" operator="equal">
      <formula>"Towel"</formula>
    </cfRule>
    <cfRule type="cellIs" dxfId="11130" priority="14514" stopIfTrue="1" operator="equal">
      <formula>"Napkin Hs"</formula>
    </cfRule>
  </conditionalFormatting>
  <conditionalFormatting sqref="C25">
    <cfRule type="cellIs" dxfId="11129" priority="14509" stopIfTrue="1" operator="equal">
      <formula>"Towel"</formula>
    </cfRule>
    <cfRule type="cellIs" dxfId="11128" priority="14510" stopIfTrue="1" operator="equal">
      <formula>"Napkin Hs"</formula>
    </cfRule>
  </conditionalFormatting>
  <conditionalFormatting sqref="C25">
    <cfRule type="cellIs" dxfId="11127" priority="14511" stopIfTrue="1" operator="equal">
      <formula>"Towel"</formula>
    </cfRule>
    <cfRule type="cellIs" dxfId="11126" priority="14512" stopIfTrue="1" operator="equal">
      <formula>"Napkin Hs"</formula>
    </cfRule>
  </conditionalFormatting>
  <conditionalFormatting sqref="B25:C25">
    <cfRule type="cellIs" dxfId="11125" priority="14507" stopIfTrue="1" operator="equal">
      <formula>"Towel"</formula>
    </cfRule>
    <cfRule type="cellIs" dxfId="11124" priority="14508" stopIfTrue="1" operator="equal">
      <formula>"Napkin Hs"</formula>
    </cfRule>
  </conditionalFormatting>
  <conditionalFormatting sqref="C25">
    <cfRule type="cellIs" dxfId="11123" priority="14505" stopIfTrue="1" operator="equal">
      <formula>"Towel"</formula>
    </cfRule>
    <cfRule type="cellIs" dxfId="11122" priority="14506" stopIfTrue="1" operator="equal">
      <formula>"Napkin Hs"</formula>
    </cfRule>
  </conditionalFormatting>
  <conditionalFormatting sqref="C25">
    <cfRule type="cellIs" dxfId="11121" priority="14503" stopIfTrue="1" operator="equal">
      <formula>"Towel"</formula>
    </cfRule>
    <cfRule type="cellIs" dxfId="11120" priority="14504" stopIfTrue="1" operator="equal">
      <formula>"Napkin Hs"</formula>
    </cfRule>
  </conditionalFormatting>
  <conditionalFormatting sqref="B25:C25">
    <cfRule type="cellIs" dxfId="11119" priority="14501" stopIfTrue="1" operator="equal">
      <formula>"Towel"</formula>
    </cfRule>
    <cfRule type="cellIs" dxfId="11118" priority="14502" stopIfTrue="1" operator="equal">
      <formula>"Napkin Hs"</formula>
    </cfRule>
  </conditionalFormatting>
  <conditionalFormatting sqref="C25">
    <cfRule type="cellIs" dxfId="11117" priority="14500" stopIfTrue="1" operator="equal">
      <formula>"Napkin Hs"</formula>
    </cfRule>
  </conditionalFormatting>
  <conditionalFormatting sqref="C25">
    <cfRule type="cellIs" dxfId="11116" priority="14497" stopIfTrue="1" operator="equal">
      <formula>"Towel"</formula>
    </cfRule>
    <cfRule type="cellIs" dxfId="11115" priority="14498" stopIfTrue="1" operator="equal">
      <formula>"Napkin Hs"</formula>
    </cfRule>
  </conditionalFormatting>
  <conditionalFormatting sqref="C25">
    <cfRule type="cellIs" dxfId="11114" priority="14499" stopIfTrue="1" operator="equal">
      <formula>"Towel"</formula>
    </cfRule>
  </conditionalFormatting>
  <conditionalFormatting sqref="B32:C32">
    <cfRule type="cellIs" dxfId="11113" priority="14435" stopIfTrue="1" operator="equal">
      <formula>"Towel"</formula>
    </cfRule>
    <cfRule type="cellIs" dxfId="11112" priority="14436" stopIfTrue="1" operator="equal">
      <formula>"Napkin Hs"</formula>
    </cfRule>
  </conditionalFormatting>
  <conditionalFormatting sqref="B32:C32">
    <cfRule type="cellIs" dxfId="11111" priority="14421" stopIfTrue="1" operator="equal">
      <formula>"Towel"</formula>
    </cfRule>
    <cfRule type="cellIs" dxfId="11110" priority="14422" stopIfTrue="1" operator="equal">
      <formula>"Napkin Hs"</formula>
    </cfRule>
  </conditionalFormatting>
  <conditionalFormatting sqref="C32">
    <cfRule type="cellIs" dxfId="11109" priority="14434" stopIfTrue="1" operator="equal">
      <formula>"Napkin Hs"</formula>
    </cfRule>
  </conditionalFormatting>
  <conditionalFormatting sqref="C32">
    <cfRule type="cellIs" dxfId="11108" priority="14429" stopIfTrue="1" operator="equal">
      <formula>"Towel"</formula>
    </cfRule>
    <cfRule type="cellIs" dxfId="11107" priority="14430" stopIfTrue="1" operator="equal">
      <formula>"Napkin Hs"</formula>
    </cfRule>
  </conditionalFormatting>
  <conditionalFormatting sqref="C32">
    <cfRule type="cellIs" dxfId="11106" priority="14417" stopIfTrue="1" operator="equal">
      <formula>"Towel"</formula>
    </cfRule>
    <cfRule type="cellIs" dxfId="11105" priority="14418" stopIfTrue="1" operator="equal">
      <formula>"Napkin Hs"</formula>
    </cfRule>
  </conditionalFormatting>
  <conditionalFormatting sqref="C32">
    <cfRule type="cellIs" dxfId="11104" priority="14419" stopIfTrue="1" operator="equal">
      <formula>"Towel"</formula>
    </cfRule>
    <cfRule type="cellIs" dxfId="11103" priority="14420" stopIfTrue="1" operator="equal">
      <formula>"Napkin Hs"</formula>
    </cfRule>
  </conditionalFormatting>
  <conditionalFormatting sqref="C32">
    <cfRule type="cellIs" dxfId="11102" priority="14433" stopIfTrue="1" operator="equal">
      <formula>"Towel"</formula>
    </cfRule>
  </conditionalFormatting>
  <conditionalFormatting sqref="B32:C32">
    <cfRule type="cellIs" dxfId="11101" priority="14411" stopIfTrue="1" operator="equal">
      <formula>"Towel"</formula>
    </cfRule>
    <cfRule type="cellIs" dxfId="11100" priority="14412" stopIfTrue="1" operator="equal">
      <formula>"Napkin Hs"</formula>
    </cfRule>
  </conditionalFormatting>
  <conditionalFormatting sqref="C32">
    <cfRule type="cellIs" dxfId="11099" priority="14407" stopIfTrue="1" operator="equal">
      <formula>"Towel"</formula>
    </cfRule>
    <cfRule type="cellIs" dxfId="11098" priority="14408" stopIfTrue="1" operator="equal">
      <formula>"Napkin Hs"</formula>
    </cfRule>
  </conditionalFormatting>
  <conditionalFormatting sqref="C32">
    <cfRule type="cellIs" dxfId="11097" priority="14409" stopIfTrue="1" operator="equal">
      <formula>"Towel"</formula>
    </cfRule>
    <cfRule type="cellIs" dxfId="11096" priority="14410" stopIfTrue="1" operator="equal">
      <formula>"Napkin Hs"</formula>
    </cfRule>
  </conditionalFormatting>
  <conditionalFormatting sqref="B32:C32">
    <cfRule type="cellIs" dxfId="11095" priority="14397" stopIfTrue="1" operator="equal">
      <formula>"Towel"</formula>
    </cfRule>
    <cfRule type="cellIs" dxfId="11094" priority="14398" stopIfTrue="1" operator="equal">
      <formula>"Napkin Hs"</formula>
    </cfRule>
  </conditionalFormatting>
  <conditionalFormatting sqref="C32">
    <cfRule type="cellIs" dxfId="11093" priority="14399" stopIfTrue="1" operator="equal">
      <formula>"Towel"</formula>
    </cfRule>
    <cfRule type="cellIs" dxfId="11092" priority="14400" stopIfTrue="1" operator="equal">
      <formula>"Napkin Hs"</formula>
    </cfRule>
  </conditionalFormatting>
  <conditionalFormatting sqref="C32">
    <cfRule type="cellIs" dxfId="11091" priority="14393" stopIfTrue="1" operator="equal">
      <formula>"Towel"</formula>
    </cfRule>
    <cfRule type="cellIs" dxfId="11090" priority="14394" stopIfTrue="1" operator="equal">
      <formula>"Napkin Hs"</formula>
    </cfRule>
  </conditionalFormatting>
  <conditionalFormatting sqref="C32">
    <cfRule type="cellIs" dxfId="11089" priority="14395" stopIfTrue="1" operator="equal">
      <formula>"Towel"</formula>
    </cfRule>
    <cfRule type="cellIs" dxfId="11088" priority="14396" stopIfTrue="1" operator="equal">
      <formula>"Napkin Hs"</formula>
    </cfRule>
  </conditionalFormatting>
  <conditionalFormatting sqref="B32:C32">
    <cfRule type="cellIs" dxfId="11087" priority="14391" stopIfTrue="1" operator="equal">
      <formula>"Towel"</formula>
    </cfRule>
    <cfRule type="cellIs" dxfId="11086" priority="14392" stopIfTrue="1" operator="equal">
      <formula>"Napkin Hs"</formula>
    </cfRule>
  </conditionalFormatting>
  <conditionalFormatting sqref="C32">
    <cfRule type="cellIs" dxfId="11085" priority="14390" stopIfTrue="1" operator="equal">
      <formula>"Napkin Hs"</formula>
    </cfRule>
  </conditionalFormatting>
  <conditionalFormatting sqref="C32">
    <cfRule type="cellIs" dxfId="11084" priority="14389" stopIfTrue="1" operator="equal">
      <formula>"Towel"</formula>
    </cfRule>
  </conditionalFormatting>
  <conditionalFormatting sqref="B31:C31">
    <cfRule type="cellIs" dxfId="11083" priority="14297" stopIfTrue="1" operator="equal">
      <formula>"Towel"</formula>
    </cfRule>
    <cfRule type="cellIs" dxfId="11082" priority="14298" stopIfTrue="1" operator="equal">
      <formula>"Napkin Hs"</formula>
    </cfRule>
  </conditionalFormatting>
  <conditionalFormatting sqref="C31">
    <cfRule type="cellIs" dxfId="11081" priority="14293" stopIfTrue="1" operator="equal">
      <formula>"Towel"</formula>
    </cfRule>
    <cfRule type="cellIs" dxfId="11080" priority="14294" stopIfTrue="1" operator="equal">
      <formula>"Napkin Hs"</formula>
    </cfRule>
  </conditionalFormatting>
  <conditionalFormatting sqref="C31">
    <cfRule type="cellIs" dxfId="11079" priority="14295" stopIfTrue="1" operator="equal">
      <formula>"Towel"</formula>
    </cfRule>
    <cfRule type="cellIs" dxfId="11078" priority="14296" stopIfTrue="1" operator="equal">
      <formula>"Napkin Hs"</formula>
    </cfRule>
  </conditionalFormatting>
  <conditionalFormatting sqref="B31:C31">
    <cfRule type="cellIs" dxfId="11077" priority="14291" stopIfTrue="1" operator="equal">
      <formula>"Towel"</formula>
    </cfRule>
    <cfRule type="cellIs" dxfId="11076" priority="14292" stopIfTrue="1" operator="equal">
      <formula>"Napkin Hs"</formula>
    </cfRule>
  </conditionalFormatting>
  <conditionalFormatting sqref="C31">
    <cfRule type="cellIs" dxfId="11075" priority="14287" stopIfTrue="1" operator="equal">
      <formula>"Towel"</formula>
    </cfRule>
    <cfRule type="cellIs" dxfId="11074" priority="14288" stopIfTrue="1" operator="equal">
      <formula>"Napkin Hs"</formula>
    </cfRule>
  </conditionalFormatting>
  <conditionalFormatting sqref="C31">
    <cfRule type="cellIs" dxfId="11073" priority="14289" stopIfTrue="1" operator="equal">
      <formula>"Towel"</formula>
    </cfRule>
    <cfRule type="cellIs" dxfId="11072" priority="14290" stopIfTrue="1" operator="equal">
      <formula>"Napkin Hs"</formula>
    </cfRule>
  </conditionalFormatting>
  <conditionalFormatting sqref="B31:C31">
    <cfRule type="cellIs" dxfId="11071" priority="14285" stopIfTrue="1" operator="equal">
      <formula>"Towel"</formula>
    </cfRule>
    <cfRule type="cellIs" dxfId="11070" priority="14286" stopIfTrue="1" operator="equal">
      <formula>"Napkin Hs"</formula>
    </cfRule>
  </conditionalFormatting>
  <conditionalFormatting sqref="C31">
    <cfRule type="cellIs" dxfId="11069" priority="14281" stopIfTrue="1" operator="equal">
      <formula>"Towel"</formula>
    </cfRule>
    <cfRule type="cellIs" dxfId="11068" priority="14282" stopIfTrue="1" operator="equal">
      <formula>"Napkin Hs"</formula>
    </cfRule>
  </conditionalFormatting>
  <conditionalFormatting sqref="C31">
    <cfRule type="cellIs" dxfId="11067" priority="14283" stopIfTrue="1" operator="equal">
      <formula>"Towel"</formula>
    </cfRule>
    <cfRule type="cellIs" dxfId="11066" priority="14284" stopIfTrue="1" operator="equal">
      <formula>"Napkin Hs"</formula>
    </cfRule>
  </conditionalFormatting>
  <conditionalFormatting sqref="B31:C31">
    <cfRule type="cellIs" dxfId="11065" priority="14279" stopIfTrue="1" operator="equal">
      <formula>"Towel"</formula>
    </cfRule>
    <cfRule type="cellIs" dxfId="11064" priority="14280" stopIfTrue="1" operator="equal">
      <formula>"Napkin Hs"</formula>
    </cfRule>
  </conditionalFormatting>
  <conditionalFormatting sqref="C31">
    <cfRule type="cellIs" dxfId="11063" priority="14277" stopIfTrue="1" operator="equal">
      <formula>"Towel"</formula>
    </cfRule>
    <cfRule type="cellIs" dxfId="11062" priority="14278" stopIfTrue="1" operator="equal">
      <formula>"Napkin Hs"</formula>
    </cfRule>
  </conditionalFormatting>
  <conditionalFormatting sqref="C31">
    <cfRule type="cellIs" dxfId="11061" priority="14275" stopIfTrue="1" operator="equal">
      <formula>"Towel"</formula>
    </cfRule>
    <cfRule type="cellIs" dxfId="11060" priority="14276" stopIfTrue="1" operator="equal">
      <formula>"Napkin Hs"</formula>
    </cfRule>
  </conditionalFormatting>
  <conditionalFormatting sqref="B31:C31">
    <cfRule type="cellIs" dxfId="11059" priority="14273" stopIfTrue="1" operator="equal">
      <formula>"Towel"</formula>
    </cfRule>
    <cfRule type="cellIs" dxfId="11058" priority="14274" stopIfTrue="1" operator="equal">
      <formula>"Napkin Hs"</formula>
    </cfRule>
  </conditionalFormatting>
  <conditionalFormatting sqref="C31">
    <cfRule type="cellIs" dxfId="11057" priority="14272" stopIfTrue="1" operator="equal">
      <formula>"Napkin Hs"</formula>
    </cfRule>
  </conditionalFormatting>
  <conditionalFormatting sqref="C31">
    <cfRule type="cellIs" dxfId="11056" priority="14269" stopIfTrue="1" operator="equal">
      <formula>"Towel"</formula>
    </cfRule>
    <cfRule type="cellIs" dxfId="11055" priority="14270" stopIfTrue="1" operator="equal">
      <formula>"Napkin Hs"</formula>
    </cfRule>
  </conditionalFormatting>
  <conditionalFormatting sqref="C31">
    <cfRule type="cellIs" dxfId="11054" priority="14271" stopIfTrue="1" operator="equal">
      <formula>"Towel"</formula>
    </cfRule>
  </conditionalFormatting>
  <conditionalFormatting sqref="B29:C29">
    <cfRule type="cellIs" dxfId="11053" priority="14267" stopIfTrue="1" operator="equal">
      <formula>"Towel"</formula>
    </cfRule>
    <cfRule type="cellIs" dxfId="11052" priority="14268" stopIfTrue="1" operator="equal">
      <formula>"Napkin Hs"</formula>
    </cfRule>
  </conditionalFormatting>
  <conditionalFormatting sqref="C29">
    <cfRule type="cellIs" dxfId="11051" priority="14263" stopIfTrue="1" operator="equal">
      <formula>"Towel"</formula>
    </cfRule>
    <cfRule type="cellIs" dxfId="11050" priority="14264" stopIfTrue="1" operator="equal">
      <formula>"Napkin Hs"</formula>
    </cfRule>
  </conditionalFormatting>
  <conditionalFormatting sqref="C29">
    <cfRule type="cellIs" dxfId="11049" priority="14265" stopIfTrue="1" operator="equal">
      <formula>"Towel"</formula>
    </cfRule>
    <cfRule type="cellIs" dxfId="11048" priority="14266" stopIfTrue="1" operator="equal">
      <formula>"Napkin Hs"</formula>
    </cfRule>
  </conditionalFormatting>
  <conditionalFormatting sqref="B29:C29">
    <cfRule type="cellIs" dxfId="11047" priority="14261" stopIfTrue="1" operator="equal">
      <formula>"Towel"</formula>
    </cfRule>
    <cfRule type="cellIs" dxfId="11046" priority="14262" stopIfTrue="1" operator="equal">
      <formula>"Napkin Hs"</formula>
    </cfRule>
  </conditionalFormatting>
  <conditionalFormatting sqref="C29">
    <cfRule type="cellIs" dxfId="11045" priority="14257" stopIfTrue="1" operator="equal">
      <formula>"Towel"</formula>
    </cfRule>
    <cfRule type="cellIs" dxfId="11044" priority="14258" stopIfTrue="1" operator="equal">
      <formula>"Napkin Hs"</formula>
    </cfRule>
  </conditionalFormatting>
  <conditionalFormatting sqref="C29">
    <cfRule type="cellIs" dxfId="11043" priority="14259" stopIfTrue="1" operator="equal">
      <formula>"Towel"</formula>
    </cfRule>
    <cfRule type="cellIs" dxfId="11042" priority="14260" stopIfTrue="1" operator="equal">
      <formula>"Napkin Hs"</formula>
    </cfRule>
  </conditionalFormatting>
  <conditionalFormatting sqref="B29:C29">
    <cfRule type="cellIs" dxfId="11041" priority="14255" stopIfTrue="1" operator="equal">
      <formula>"Towel"</formula>
    </cfRule>
    <cfRule type="cellIs" dxfId="11040" priority="14256" stopIfTrue="1" operator="equal">
      <formula>"Napkin Hs"</formula>
    </cfRule>
  </conditionalFormatting>
  <conditionalFormatting sqref="C29">
    <cfRule type="cellIs" dxfId="11039" priority="14251" stopIfTrue="1" operator="equal">
      <formula>"Towel"</formula>
    </cfRule>
    <cfRule type="cellIs" dxfId="11038" priority="14252" stopIfTrue="1" operator="equal">
      <formula>"Napkin Hs"</formula>
    </cfRule>
  </conditionalFormatting>
  <conditionalFormatting sqref="C29">
    <cfRule type="cellIs" dxfId="11037" priority="14253" stopIfTrue="1" operator="equal">
      <formula>"Towel"</formula>
    </cfRule>
    <cfRule type="cellIs" dxfId="11036" priority="14254" stopIfTrue="1" operator="equal">
      <formula>"Napkin Hs"</formula>
    </cfRule>
  </conditionalFormatting>
  <conditionalFormatting sqref="B29:C29">
    <cfRule type="cellIs" dxfId="11035" priority="14249" stopIfTrue="1" operator="equal">
      <formula>"Towel"</formula>
    </cfRule>
    <cfRule type="cellIs" dxfId="11034" priority="14250" stopIfTrue="1" operator="equal">
      <formula>"Napkin Hs"</formula>
    </cfRule>
  </conditionalFormatting>
  <conditionalFormatting sqref="C29">
    <cfRule type="cellIs" dxfId="11033" priority="14247" stopIfTrue="1" operator="equal">
      <formula>"Towel"</formula>
    </cfRule>
    <cfRule type="cellIs" dxfId="11032" priority="14248" stopIfTrue="1" operator="equal">
      <formula>"Napkin Hs"</formula>
    </cfRule>
  </conditionalFormatting>
  <conditionalFormatting sqref="C29">
    <cfRule type="cellIs" dxfId="11031" priority="14245" stopIfTrue="1" operator="equal">
      <formula>"Towel"</formula>
    </cfRule>
    <cfRule type="cellIs" dxfId="11030" priority="14246" stopIfTrue="1" operator="equal">
      <formula>"Napkin Hs"</formula>
    </cfRule>
  </conditionalFormatting>
  <conditionalFormatting sqref="B29:C29">
    <cfRule type="cellIs" dxfId="11029" priority="14243" stopIfTrue="1" operator="equal">
      <formula>"Towel"</formula>
    </cfRule>
    <cfRule type="cellIs" dxfId="11028" priority="14244" stopIfTrue="1" operator="equal">
      <formula>"Napkin Hs"</formula>
    </cfRule>
  </conditionalFormatting>
  <conditionalFormatting sqref="C29">
    <cfRule type="cellIs" dxfId="11027" priority="14242" stopIfTrue="1" operator="equal">
      <formula>"Napkin Hs"</formula>
    </cfRule>
  </conditionalFormatting>
  <conditionalFormatting sqref="C29">
    <cfRule type="cellIs" dxfId="11026" priority="14239" stopIfTrue="1" operator="equal">
      <formula>"Towel"</formula>
    </cfRule>
    <cfRule type="cellIs" dxfId="11025" priority="14240" stopIfTrue="1" operator="equal">
      <formula>"Napkin Hs"</formula>
    </cfRule>
  </conditionalFormatting>
  <conditionalFormatting sqref="C29">
    <cfRule type="cellIs" dxfId="11024" priority="14241" stopIfTrue="1" operator="equal">
      <formula>"Towel"</formula>
    </cfRule>
  </conditionalFormatting>
  <conditionalFormatting sqref="B30:C30">
    <cfRule type="cellIs" dxfId="11023" priority="14237" stopIfTrue="1" operator="equal">
      <formula>"Towel"</formula>
    </cfRule>
    <cfRule type="cellIs" dxfId="11022" priority="14238" stopIfTrue="1" operator="equal">
      <formula>"Napkin Hs"</formula>
    </cfRule>
  </conditionalFormatting>
  <conditionalFormatting sqref="C30">
    <cfRule type="cellIs" dxfId="11021" priority="14233" stopIfTrue="1" operator="equal">
      <formula>"Towel"</formula>
    </cfRule>
    <cfRule type="cellIs" dxfId="11020" priority="14234" stopIfTrue="1" operator="equal">
      <formula>"Napkin Hs"</formula>
    </cfRule>
  </conditionalFormatting>
  <conditionalFormatting sqref="C30">
    <cfRule type="cellIs" dxfId="11019" priority="14235" stopIfTrue="1" operator="equal">
      <formula>"Towel"</formula>
    </cfRule>
    <cfRule type="cellIs" dxfId="11018" priority="14236" stopIfTrue="1" operator="equal">
      <formula>"Napkin Hs"</formula>
    </cfRule>
  </conditionalFormatting>
  <conditionalFormatting sqref="B30:C30">
    <cfRule type="cellIs" dxfId="11017" priority="14231" stopIfTrue="1" operator="equal">
      <formula>"Towel"</formula>
    </cfRule>
    <cfRule type="cellIs" dxfId="11016" priority="14232" stopIfTrue="1" operator="equal">
      <formula>"Napkin Hs"</formula>
    </cfRule>
  </conditionalFormatting>
  <conditionalFormatting sqref="C30">
    <cfRule type="cellIs" dxfId="11015" priority="14227" stopIfTrue="1" operator="equal">
      <formula>"Towel"</formula>
    </cfRule>
    <cfRule type="cellIs" dxfId="11014" priority="14228" stopIfTrue="1" operator="equal">
      <formula>"Napkin Hs"</formula>
    </cfRule>
  </conditionalFormatting>
  <conditionalFormatting sqref="C30">
    <cfRule type="cellIs" dxfId="11013" priority="14229" stopIfTrue="1" operator="equal">
      <formula>"Towel"</formula>
    </cfRule>
    <cfRule type="cellIs" dxfId="11012" priority="14230" stopIfTrue="1" operator="equal">
      <formula>"Napkin Hs"</formula>
    </cfRule>
  </conditionalFormatting>
  <conditionalFormatting sqref="B30:C30">
    <cfRule type="cellIs" dxfId="11011" priority="14225" stopIfTrue="1" operator="equal">
      <formula>"Towel"</formula>
    </cfRule>
    <cfRule type="cellIs" dxfId="11010" priority="14226" stopIfTrue="1" operator="equal">
      <formula>"Napkin Hs"</formula>
    </cfRule>
  </conditionalFormatting>
  <conditionalFormatting sqref="C30">
    <cfRule type="cellIs" dxfId="11009" priority="14221" stopIfTrue="1" operator="equal">
      <formula>"Towel"</formula>
    </cfRule>
    <cfRule type="cellIs" dxfId="11008" priority="14222" stopIfTrue="1" operator="equal">
      <formula>"Napkin Hs"</formula>
    </cfRule>
  </conditionalFormatting>
  <conditionalFormatting sqref="C30">
    <cfRule type="cellIs" dxfId="11007" priority="14223" stopIfTrue="1" operator="equal">
      <formula>"Towel"</formula>
    </cfRule>
    <cfRule type="cellIs" dxfId="11006" priority="14224" stopIfTrue="1" operator="equal">
      <formula>"Napkin Hs"</formula>
    </cfRule>
  </conditionalFormatting>
  <conditionalFormatting sqref="B30:C30">
    <cfRule type="cellIs" dxfId="11005" priority="14219" stopIfTrue="1" operator="equal">
      <formula>"Towel"</formula>
    </cfRule>
    <cfRule type="cellIs" dxfId="11004" priority="14220" stopIfTrue="1" operator="equal">
      <formula>"Napkin Hs"</formula>
    </cfRule>
  </conditionalFormatting>
  <conditionalFormatting sqref="C30">
    <cfRule type="cellIs" dxfId="11003" priority="14217" stopIfTrue="1" operator="equal">
      <formula>"Towel"</formula>
    </cfRule>
    <cfRule type="cellIs" dxfId="11002" priority="14218" stopIfTrue="1" operator="equal">
      <formula>"Napkin Hs"</formula>
    </cfRule>
  </conditionalFormatting>
  <conditionalFormatting sqref="C30">
    <cfRule type="cellIs" dxfId="11001" priority="14215" stopIfTrue="1" operator="equal">
      <formula>"Towel"</formula>
    </cfRule>
    <cfRule type="cellIs" dxfId="11000" priority="14216" stopIfTrue="1" operator="equal">
      <formula>"Napkin Hs"</formula>
    </cfRule>
  </conditionalFormatting>
  <conditionalFormatting sqref="B30:C30">
    <cfRule type="cellIs" dxfId="10999" priority="14213" stopIfTrue="1" operator="equal">
      <formula>"Towel"</formula>
    </cfRule>
    <cfRule type="cellIs" dxfId="10998" priority="14214" stopIfTrue="1" operator="equal">
      <formula>"Napkin Hs"</formula>
    </cfRule>
  </conditionalFormatting>
  <conditionalFormatting sqref="C30">
    <cfRule type="cellIs" dxfId="10997" priority="14212" stopIfTrue="1" operator="equal">
      <formula>"Napkin Hs"</formula>
    </cfRule>
  </conditionalFormatting>
  <conditionalFormatting sqref="C30">
    <cfRule type="cellIs" dxfId="10996" priority="14209" stopIfTrue="1" operator="equal">
      <formula>"Towel"</formula>
    </cfRule>
    <cfRule type="cellIs" dxfId="10995" priority="14210" stopIfTrue="1" operator="equal">
      <formula>"Napkin Hs"</formula>
    </cfRule>
  </conditionalFormatting>
  <conditionalFormatting sqref="C30">
    <cfRule type="cellIs" dxfId="10994" priority="14211" stopIfTrue="1" operator="equal">
      <formula>"Towel"</formula>
    </cfRule>
  </conditionalFormatting>
  <conditionalFormatting sqref="B34:C34 B35">
    <cfRule type="cellIs" dxfId="10993" priority="13985" stopIfTrue="1" operator="equal">
      <formula>"Towel"</formula>
    </cfRule>
    <cfRule type="cellIs" dxfId="10992" priority="13986" stopIfTrue="1" operator="equal">
      <formula>"Napkin Hs"</formula>
    </cfRule>
  </conditionalFormatting>
  <conditionalFormatting sqref="C35">
    <cfRule type="cellIs" dxfId="10991" priority="13939" stopIfTrue="1" operator="equal">
      <formula>"Towel"</formula>
    </cfRule>
    <cfRule type="cellIs" dxfId="10990" priority="13940" stopIfTrue="1" operator="equal">
      <formula>"Napkin Hs"</formula>
    </cfRule>
    <cfRule type="cellIs" dxfId="10989" priority="13961" stopIfTrue="1" operator="equal">
      <formula>"Towel"</formula>
    </cfRule>
    <cfRule type="cellIs" dxfId="10988" priority="13962" stopIfTrue="1" operator="equal">
      <formula>"Napkin Hs"</formula>
    </cfRule>
    <cfRule type="cellIs" dxfId="10987" priority="13967" stopIfTrue="1" operator="equal">
      <formula>"Towel"</formula>
    </cfRule>
    <cfRule type="cellIs" dxfId="10986" priority="13968" stopIfTrue="1" operator="equal">
      <formula>"Napkin Hs"</formula>
    </cfRule>
    <cfRule type="cellIs" dxfId="10985" priority="13981" stopIfTrue="1" operator="equal">
      <formula>"Towel"</formula>
    </cfRule>
    <cfRule type="cellIs" dxfId="10984" priority="13982" stopIfTrue="1" operator="equal">
      <formula>"Napkin Hs"</formula>
    </cfRule>
  </conditionalFormatting>
  <conditionalFormatting sqref="B36:C36">
    <cfRule type="cellIs" dxfId="10983" priority="13943" stopIfTrue="1" operator="equal">
      <formula>"Towel"</formula>
    </cfRule>
    <cfRule type="cellIs" dxfId="10982" priority="13944" stopIfTrue="1" operator="equal">
      <formula>"Napkin Hs"</formula>
    </cfRule>
    <cfRule type="cellIs" dxfId="10981" priority="13957" stopIfTrue="1" operator="equal">
      <formula>"Towel"</formula>
    </cfRule>
    <cfRule type="cellIs" dxfId="10980" priority="13958" stopIfTrue="1" operator="equal">
      <formula>"Napkin Hs"</formula>
    </cfRule>
    <cfRule type="cellIs" dxfId="10979" priority="13977" stopIfTrue="1" operator="equal">
      <formula>"Towel"</formula>
    </cfRule>
    <cfRule type="cellIs" dxfId="10978" priority="13978" stopIfTrue="1" operator="equal">
      <formula>"Napkin Hs"</formula>
    </cfRule>
  </conditionalFormatting>
  <conditionalFormatting sqref="C34">
    <cfRule type="cellIs" dxfId="10977" priority="13984" stopIfTrue="1" operator="equal">
      <formula>"Napkin Hs"</formula>
    </cfRule>
  </conditionalFormatting>
  <conditionalFormatting sqref="C34">
    <cfRule type="cellIs" dxfId="10976" priority="13983" stopIfTrue="1" operator="equal">
      <formula>"Towel"</formula>
    </cfRule>
  </conditionalFormatting>
  <conditionalFormatting sqref="C34:C35">
    <cfRule type="cellIs" dxfId="10975" priority="13965" stopIfTrue="1" operator="equal">
      <formula>"Towel"</formula>
    </cfRule>
    <cfRule type="cellIs" dxfId="10974" priority="13966" stopIfTrue="1" operator="equal">
      <formula>"Napkin Hs"</formula>
    </cfRule>
    <cfRule type="cellIs" dxfId="10973" priority="13979" stopIfTrue="1" operator="equal">
      <formula>"Towel"</formula>
    </cfRule>
    <cfRule type="cellIs" dxfId="10972" priority="13980" stopIfTrue="1" operator="equal">
      <formula>"Napkin Hs"</formula>
    </cfRule>
  </conditionalFormatting>
  <conditionalFormatting sqref="C35">
    <cfRule type="cellIs" dxfId="10971" priority="13935" stopIfTrue="1" operator="equal">
      <formula>"Towel"</formula>
    </cfRule>
    <cfRule type="cellIs" dxfId="10970" priority="13936" stopIfTrue="1" operator="equal">
      <formula>"Napkin Hs"</formula>
    </cfRule>
    <cfRule type="cellIs" dxfId="10969" priority="13959" stopIfTrue="1" operator="equal">
      <formula>"Towel"</formula>
    </cfRule>
    <cfRule type="cellIs" dxfId="10968" priority="13960" stopIfTrue="1" operator="equal">
      <formula>"Napkin Hs"</formula>
    </cfRule>
    <cfRule type="cellIs" dxfId="10967" priority="13963" stopIfTrue="1" operator="equal">
      <formula>"Towel"</formula>
    </cfRule>
    <cfRule type="cellIs" dxfId="10966" priority="13964" stopIfTrue="1" operator="equal">
      <formula>"Napkin Hs"</formula>
    </cfRule>
  </conditionalFormatting>
  <conditionalFormatting sqref="C35:C36">
    <cfRule type="cellIs" dxfId="10965" priority="13937" stopIfTrue="1" operator="equal">
      <formula>"Towel"</formula>
    </cfRule>
    <cfRule type="cellIs" dxfId="10964" priority="13938" stopIfTrue="1" operator="equal">
      <formula>"Napkin Hs"</formula>
    </cfRule>
    <cfRule type="cellIs" dxfId="10963" priority="13955" stopIfTrue="1" operator="equal">
      <formula>"Towel"</formula>
    </cfRule>
    <cfRule type="cellIs" dxfId="10962" priority="13956" stopIfTrue="1" operator="equal">
      <formula>"Napkin Hs"</formula>
    </cfRule>
    <cfRule type="cellIs" dxfId="10961" priority="13975" stopIfTrue="1" operator="equal">
      <formula>"Towel"</formula>
    </cfRule>
    <cfRule type="cellIs" dxfId="10960" priority="13976" stopIfTrue="1" operator="equal">
      <formula>"Napkin Hs"</formula>
    </cfRule>
  </conditionalFormatting>
  <conditionalFormatting sqref="C36">
    <cfRule type="cellIs" dxfId="10959" priority="13941" stopIfTrue="1" operator="equal">
      <formula>"Towel"</formula>
    </cfRule>
    <cfRule type="cellIs" dxfId="10958" priority="13942" stopIfTrue="1" operator="equal">
      <formula>"Napkin Hs"</formula>
    </cfRule>
    <cfRule type="cellIs" dxfId="10957" priority="13971" stopIfTrue="1" operator="equal">
      <formula>"Towel"</formula>
    </cfRule>
    <cfRule type="cellIs" dxfId="10956" priority="13972" stopIfTrue="1" operator="equal">
      <formula>"Napkin Hs"</formula>
    </cfRule>
  </conditionalFormatting>
  <conditionalFormatting sqref="C36">
    <cfRule type="cellIs" dxfId="10955" priority="13951" stopIfTrue="1" operator="equal">
      <formula>"Towel"</formula>
    </cfRule>
    <cfRule type="cellIs" dxfId="10954" priority="13952" stopIfTrue="1" operator="equal">
      <formula>"Napkin Hs"</formula>
    </cfRule>
  </conditionalFormatting>
  <conditionalFormatting sqref="B33:C33">
    <cfRule type="cellIs" dxfId="10953" priority="13927" stopIfTrue="1" operator="equal">
      <formula>"Towel"</formula>
    </cfRule>
    <cfRule type="cellIs" dxfId="10952" priority="13928" stopIfTrue="1" operator="equal">
      <formula>"Napkin Hs"</formula>
    </cfRule>
    <cfRule type="cellIs" dxfId="10951" priority="13933" stopIfTrue="1" operator="equal">
      <formula>"Towel"</formula>
    </cfRule>
    <cfRule type="cellIs" dxfId="10950" priority="13934" stopIfTrue="1" operator="equal">
      <formula>"Napkin Hs"</formula>
    </cfRule>
  </conditionalFormatting>
  <conditionalFormatting sqref="C33">
    <cfRule type="cellIs" dxfId="10949" priority="13931" stopIfTrue="1" operator="equal">
      <formula>"Towel"</formula>
    </cfRule>
    <cfRule type="cellIs" dxfId="10948" priority="13932" stopIfTrue="1" operator="equal">
      <formula>"Napkin Hs"</formula>
    </cfRule>
  </conditionalFormatting>
  <conditionalFormatting sqref="C33">
    <cfRule type="cellIs" dxfId="10947" priority="13923" stopIfTrue="1" operator="equal">
      <formula>"Towel"</formula>
    </cfRule>
    <cfRule type="cellIs" dxfId="10946" priority="13924" stopIfTrue="1" operator="equal">
      <formula>"Napkin Hs"</formula>
    </cfRule>
  </conditionalFormatting>
  <conditionalFormatting sqref="C33">
    <cfRule type="cellIs" dxfId="10945" priority="13925" stopIfTrue="1" operator="equal">
      <formula>"Towel"</formula>
    </cfRule>
    <cfRule type="cellIs" dxfId="10944" priority="13926" stopIfTrue="1" operator="equal">
      <formula>"Napkin Hs"</formula>
    </cfRule>
    <cfRule type="cellIs" dxfId="10943" priority="13929" stopIfTrue="1" operator="equal">
      <formula>"Towel"</formula>
    </cfRule>
    <cfRule type="cellIs" dxfId="10942" priority="13930" stopIfTrue="1" operator="equal">
      <formula>"Napkin Hs"</formula>
    </cfRule>
  </conditionalFormatting>
  <conditionalFormatting sqref="B33:C33">
    <cfRule type="cellIs" dxfId="10941" priority="13921" stopIfTrue="1" operator="equal">
      <formula>"Towel"</formula>
    </cfRule>
    <cfRule type="cellIs" dxfId="10940" priority="13922" stopIfTrue="1" operator="equal">
      <formula>"Napkin Hs"</formula>
    </cfRule>
  </conditionalFormatting>
  <conditionalFormatting sqref="C33">
    <cfRule type="cellIs" dxfId="10939" priority="13917" stopIfTrue="1" operator="equal">
      <formula>"Towel"</formula>
    </cfRule>
    <cfRule type="cellIs" dxfId="10938" priority="13918" stopIfTrue="1" operator="equal">
      <formula>"Napkin Hs"</formula>
    </cfRule>
  </conditionalFormatting>
  <conditionalFormatting sqref="C33">
    <cfRule type="cellIs" dxfId="10937" priority="13919" stopIfTrue="1" operator="equal">
      <formula>"Towel"</formula>
    </cfRule>
    <cfRule type="cellIs" dxfId="10936" priority="13920" stopIfTrue="1" operator="equal">
      <formula>"Napkin Hs"</formula>
    </cfRule>
  </conditionalFormatting>
  <conditionalFormatting sqref="B33:C33">
    <cfRule type="cellIs" dxfId="10935" priority="13915" stopIfTrue="1" operator="equal">
      <formula>"Towel"</formula>
    </cfRule>
    <cfRule type="cellIs" dxfId="10934" priority="13916" stopIfTrue="1" operator="equal">
      <formula>"Napkin Hs"</formula>
    </cfRule>
  </conditionalFormatting>
  <conditionalFormatting sqref="C33">
    <cfRule type="cellIs" dxfId="10933" priority="13911" stopIfTrue="1" operator="equal">
      <formula>"Towel"</formula>
    </cfRule>
    <cfRule type="cellIs" dxfId="10932" priority="13912" stopIfTrue="1" operator="equal">
      <formula>"Napkin Hs"</formula>
    </cfRule>
  </conditionalFormatting>
  <conditionalFormatting sqref="C33">
    <cfRule type="cellIs" dxfId="10931" priority="13913" stopIfTrue="1" operator="equal">
      <formula>"Towel"</formula>
    </cfRule>
    <cfRule type="cellIs" dxfId="10930" priority="13914" stopIfTrue="1" operator="equal">
      <formula>"Napkin Hs"</formula>
    </cfRule>
  </conditionalFormatting>
  <conditionalFormatting sqref="B36:C36">
    <cfRule type="cellIs" dxfId="10929" priority="13909" stopIfTrue="1" operator="equal">
      <formula>"Towel"</formula>
    </cfRule>
    <cfRule type="cellIs" dxfId="10928" priority="13910" stopIfTrue="1" operator="equal">
      <formula>"Napkin Hs"</formula>
    </cfRule>
  </conditionalFormatting>
  <conditionalFormatting sqref="B36:C36">
    <cfRule type="cellIs" dxfId="10927" priority="13895" stopIfTrue="1" operator="equal">
      <formula>"Towel"</formula>
    </cfRule>
    <cfRule type="cellIs" dxfId="10926" priority="13896" stopIfTrue="1" operator="equal">
      <formula>"Napkin Hs"</formula>
    </cfRule>
  </conditionalFormatting>
  <conditionalFormatting sqref="C36">
    <cfRule type="cellIs" dxfId="10925" priority="13908" stopIfTrue="1" operator="equal">
      <formula>"Napkin Hs"</formula>
    </cfRule>
  </conditionalFormatting>
  <conditionalFormatting sqref="C36">
    <cfRule type="cellIs" dxfId="10924" priority="13903" stopIfTrue="1" operator="equal">
      <formula>"Towel"</formula>
    </cfRule>
    <cfRule type="cellIs" dxfId="10923" priority="13904" stopIfTrue="1" operator="equal">
      <formula>"Napkin Hs"</formula>
    </cfRule>
  </conditionalFormatting>
  <conditionalFormatting sqref="C36">
    <cfRule type="cellIs" dxfId="10922" priority="13891" stopIfTrue="1" operator="equal">
      <formula>"Towel"</formula>
    </cfRule>
    <cfRule type="cellIs" dxfId="10921" priority="13892" stopIfTrue="1" operator="equal">
      <formula>"Napkin Hs"</formula>
    </cfRule>
  </conditionalFormatting>
  <conditionalFormatting sqref="C36">
    <cfRule type="cellIs" dxfId="10920" priority="13893" stopIfTrue="1" operator="equal">
      <formula>"Towel"</formula>
    </cfRule>
    <cfRule type="cellIs" dxfId="10919" priority="13894" stopIfTrue="1" operator="equal">
      <formula>"Napkin Hs"</formula>
    </cfRule>
  </conditionalFormatting>
  <conditionalFormatting sqref="C36">
    <cfRule type="cellIs" dxfId="10918" priority="13907" stopIfTrue="1" operator="equal">
      <formula>"Towel"</formula>
    </cfRule>
  </conditionalFormatting>
  <conditionalFormatting sqref="B36:C36">
    <cfRule type="cellIs" dxfId="10917" priority="13885" stopIfTrue="1" operator="equal">
      <formula>"Towel"</formula>
    </cfRule>
    <cfRule type="cellIs" dxfId="10916" priority="13886" stopIfTrue="1" operator="equal">
      <formula>"Napkin Hs"</formula>
    </cfRule>
  </conditionalFormatting>
  <conditionalFormatting sqref="C36">
    <cfRule type="cellIs" dxfId="10915" priority="13881" stopIfTrue="1" operator="equal">
      <formula>"Towel"</formula>
    </cfRule>
    <cfRule type="cellIs" dxfId="10914" priority="13882" stopIfTrue="1" operator="equal">
      <formula>"Napkin Hs"</formula>
    </cfRule>
  </conditionalFormatting>
  <conditionalFormatting sqref="C36">
    <cfRule type="cellIs" dxfId="10913" priority="13883" stopIfTrue="1" operator="equal">
      <formula>"Towel"</formula>
    </cfRule>
    <cfRule type="cellIs" dxfId="10912" priority="13884" stopIfTrue="1" operator="equal">
      <formula>"Napkin Hs"</formula>
    </cfRule>
  </conditionalFormatting>
  <conditionalFormatting sqref="B36:C36">
    <cfRule type="cellIs" dxfId="10911" priority="13871" stopIfTrue="1" operator="equal">
      <formula>"Towel"</formula>
    </cfRule>
    <cfRule type="cellIs" dxfId="10910" priority="13872" stopIfTrue="1" operator="equal">
      <formula>"Napkin Hs"</formula>
    </cfRule>
  </conditionalFormatting>
  <conditionalFormatting sqref="C36">
    <cfRule type="cellIs" dxfId="10909" priority="13873" stopIfTrue="1" operator="equal">
      <formula>"Towel"</formula>
    </cfRule>
    <cfRule type="cellIs" dxfId="10908" priority="13874" stopIfTrue="1" operator="equal">
      <formula>"Napkin Hs"</formula>
    </cfRule>
  </conditionalFormatting>
  <conditionalFormatting sqref="C36">
    <cfRule type="cellIs" dxfId="10907" priority="13867" stopIfTrue="1" operator="equal">
      <formula>"Towel"</formula>
    </cfRule>
    <cfRule type="cellIs" dxfId="10906" priority="13868" stopIfTrue="1" operator="equal">
      <formula>"Napkin Hs"</formula>
    </cfRule>
  </conditionalFormatting>
  <conditionalFormatting sqref="C36">
    <cfRule type="cellIs" dxfId="10905" priority="13869" stopIfTrue="1" operator="equal">
      <formula>"Towel"</formula>
    </cfRule>
    <cfRule type="cellIs" dxfId="10904" priority="13870" stopIfTrue="1" operator="equal">
      <formula>"Napkin Hs"</formula>
    </cfRule>
  </conditionalFormatting>
  <conditionalFormatting sqref="B36:C36">
    <cfRule type="cellIs" dxfId="10903" priority="13865" stopIfTrue="1" operator="equal">
      <formula>"Towel"</formula>
    </cfRule>
    <cfRule type="cellIs" dxfId="10902" priority="13866" stopIfTrue="1" operator="equal">
      <formula>"Napkin Hs"</formula>
    </cfRule>
  </conditionalFormatting>
  <conditionalFormatting sqref="C36">
    <cfRule type="cellIs" dxfId="10901" priority="13864" stopIfTrue="1" operator="equal">
      <formula>"Napkin Hs"</formula>
    </cfRule>
  </conditionalFormatting>
  <conditionalFormatting sqref="C36">
    <cfRule type="cellIs" dxfId="10900" priority="13863" stopIfTrue="1" operator="equal">
      <formula>"Towel"</formula>
    </cfRule>
  </conditionalFormatting>
  <conditionalFormatting sqref="C35">
    <cfRule type="cellIs" dxfId="10899" priority="13861" stopIfTrue="1" operator="equal">
      <formula>"Towel"</formula>
    </cfRule>
    <cfRule type="cellIs" dxfId="10898" priority="13862" stopIfTrue="1" operator="equal">
      <formula>"Napkin Hs"</formula>
    </cfRule>
  </conditionalFormatting>
  <conditionalFormatting sqref="C35">
    <cfRule type="cellIs" dxfId="10897" priority="13857" stopIfTrue="1" operator="equal">
      <formula>"Towel"</formula>
    </cfRule>
    <cfRule type="cellIs" dxfId="10896" priority="13858" stopIfTrue="1" operator="equal">
      <formula>"Napkin Hs"</formula>
    </cfRule>
  </conditionalFormatting>
  <conditionalFormatting sqref="C35">
    <cfRule type="cellIs" dxfId="10895" priority="13859" stopIfTrue="1" operator="equal">
      <formula>"Towel"</formula>
    </cfRule>
    <cfRule type="cellIs" dxfId="10894" priority="13860" stopIfTrue="1" operator="equal">
      <formula>"Napkin Hs"</formula>
    </cfRule>
  </conditionalFormatting>
  <conditionalFormatting sqref="C35">
    <cfRule type="cellIs" dxfId="10893" priority="13855" stopIfTrue="1" operator="equal">
      <formula>"Towel"</formula>
    </cfRule>
    <cfRule type="cellIs" dxfId="10892" priority="13856" stopIfTrue="1" operator="equal">
      <formula>"Napkin Hs"</formula>
    </cfRule>
  </conditionalFormatting>
  <conditionalFormatting sqref="C35">
    <cfRule type="cellIs" dxfId="10891" priority="13851" stopIfTrue="1" operator="equal">
      <formula>"Towel"</formula>
    </cfRule>
    <cfRule type="cellIs" dxfId="10890" priority="13852" stopIfTrue="1" operator="equal">
      <formula>"Napkin Hs"</formula>
    </cfRule>
  </conditionalFormatting>
  <conditionalFormatting sqref="C35">
    <cfRule type="cellIs" dxfId="10889" priority="13853" stopIfTrue="1" operator="equal">
      <formula>"Towel"</formula>
    </cfRule>
    <cfRule type="cellIs" dxfId="10888" priority="13854" stopIfTrue="1" operator="equal">
      <formula>"Napkin Hs"</formula>
    </cfRule>
  </conditionalFormatting>
  <conditionalFormatting sqref="C35">
    <cfRule type="cellIs" dxfId="10887" priority="13849" stopIfTrue="1" operator="equal">
      <formula>"Towel"</formula>
    </cfRule>
    <cfRule type="cellIs" dxfId="10886" priority="13850" stopIfTrue="1" operator="equal">
      <formula>"Napkin Hs"</formula>
    </cfRule>
  </conditionalFormatting>
  <conditionalFormatting sqref="C35">
    <cfRule type="cellIs" dxfId="10885" priority="13845" stopIfTrue="1" operator="equal">
      <formula>"Towel"</formula>
    </cfRule>
    <cfRule type="cellIs" dxfId="10884" priority="13846" stopIfTrue="1" operator="equal">
      <formula>"Napkin Hs"</formula>
    </cfRule>
  </conditionalFormatting>
  <conditionalFormatting sqref="C35">
    <cfRule type="cellIs" dxfId="10883" priority="13847" stopIfTrue="1" operator="equal">
      <formula>"Towel"</formula>
    </cfRule>
    <cfRule type="cellIs" dxfId="10882" priority="13848" stopIfTrue="1" operator="equal">
      <formula>"Napkin Hs"</formula>
    </cfRule>
  </conditionalFormatting>
  <conditionalFormatting sqref="C35">
    <cfRule type="cellIs" dxfId="10881" priority="13843" stopIfTrue="1" operator="equal">
      <formula>"Towel"</formula>
    </cfRule>
    <cfRule type="cellIs" dxfId="10880" priority="13844" stopIfTrue="1" operator="equal">
      <formula>"Napkin Hs"</formula>
    </cfRule>
  </conditionalFormatting>
  <conditionalFormatting sqref="C35">
    <cfRule type="cellIs" dxfId="10879" priority="13841" stopIfTrue="1" operator="equal">
      <formula>"Towel"</formula>
    </cfRule>
    <cfRule type="cellIs" dxfId="10878" priority="13842" stopIfTrue="1" operator="equal">
      <formula>"Napkin Hs"</formula>
    </cfRule>
  </conditionalFormatting>
  <conditionalFormatting sqref="C35">
    <cfRule type="cellIs" dxfId="10877" priority="13839" stopIfTrue="1" operator="equal">
      <formula>"Towel"</formula>
    </cfRule>
    <cfRule type="cellIs" dxfId="10876" priority="13840" stopIfTrue="1" operator="equal">
      <formula>"Napkin Hs"</formula>
    </cfRule>
  </conditionalFormatting>
  <conditionalFormatting sqref="C35">
    <cfRule type="cellIs" dxfId="10875" priority="13837" stopIfTrue="1" operator="equal">
      <formula>"Towel"</formula>
    </cfRule>
    <cfRule type="cellIs" dxfId="10874" priority="13838" stopIfTrue="1" operator="equal">
      <formula>"Napkin Hs"</formula>
    </cfRule>
  </conditionalFormatting>
  <conditionalFormatting sqref="C35">
    <cfRule type="cellIs" dxfId="10873" priority="13836" stopIfTrue="1" operator="equal">
      <formula>"Napkin Hs"</formula>
    </cfRule>
  </conditionalFormatting>
  <conditionalFormatting sqref="C35">
    <cfRule type="cellIs" dxfId="10872" priority="13833" stopIfTrue="1" operator="equal">
      <formula>"Towel"</formula>
    </cfRule>
    <cfRule type="cellIs" dxfId="10871" priority="13834" stopIfTrue="1" operator="equal">
      <formula>"Napkin Hs"</formula>
    </cfRule>
  </conditionalFormatting>
  <conditionalFormatting sqref="C35">
    <cfRule type="cellIs" dxfId="10870" priority="13835" stopIfTrue="1" operator="equal">
      <formula>"Towel"</formula>
    </cfRule>
  </conditionalFormatting>
  <conditionalFormatting sqref="B33:C33">
    <cfRule type="cellIs" dxfId="10869" priority="13831" stopIfTrue="1" operator="equal">
      <formula>"Towel"</formula>
    </cfRule>
    <cfRule type="cellIs" dxfId="10868" priority="13832" stopIfTrue="1" operator="equal">
      <formula>"Napkin Hs"</formula>
    </cfRule>
  </conditionalFormatting>
  <conditionalFormatting sqref="C33">
    <cfRule type="cellIs" dxfId="10867" priority="13827" stopIfTrue="1" operator="equal">
      <formula>"Towel"</formula>
    </cfRule>
    <cfRule type="cellIs" dxfId="10866" priority="13828" stopIfTrue="1" operator="equal">
      <formula>"Napkin Hs"</formula>
    </cfRule>
  </conditionalFormatting>
  <conditionalFormatting sqref="C33">
    <cfRule type="cellIs" dxfId="10865" priority="13829" stopIfTrue="1" operator="equal">
      <formula>"Towel"</formula>
    </cfRule>
    <cfRule type="cellIs" dxfId="10864" priority="13830" stopIfTrue="1" operator="equal">
      <formula>"Napkin Hs"</formula>
    </cfRule>
  </conditionalFormatting>
  <conditionalFormatting sqref="B33:C33">
    <cfRule type="cellIs" dxfId="10863" priority="13825" stopIfTrue="1" operator="equal">
      <formula>"Towel"</formula>
    </cfRule>
    <cfRule type="cellIs" dxfId="10862" priority="13826" stopIfTrue="1" operator="equal">
      <formula>"Napkin Hs"</formula>
    </cfRule>
  </conditionalFormatting>
  <conditionalFormatting sqref="C33">
    <cfRule type="cellIs" dxfId="10861" priority="13821" stopIfTrue="1" operator="equal">
      <formula>"Towel"</formula>
    </cfRule>
    <cfRule type="cellIs" dxfId="10860" priority="13822" stopIfTrue="1" operator="equal">
      <formula>"Napkin Hs"</formula>
    </cfRule>
  </conditionalFormatting>
  <conditionalFormatting sqref="C33">
    <cfRule type="cellIs" dxfId="10859" priority="13823" stopIfTrue="1" operator="equal">
      <formula>"Towel"</formula>
    </cfRule>
    <cfRule type="cellIs" dxfId="10858" priority="13824" stopIfTrue="1" operator="equal">
      <formula>"Napkin Hs"</formula>
    </cfRule>
  </conditionalFormatting>
  <conditionalFormatting sqref="B33:C33">
    <cfRule type="cellIs" dxfId="10857" priority="13819" stopIfTrue="1" operator="equal">
      <formula>"Towel"</formula>
    </cfRule>
    <cfRule type="cellIs" dxfId="10856" priority="13820" stopIfTrue="1" operator="equal">
      <formula>"Napkin Hs"</formula>
    </cfRule>
  </conditionalFormatting>
  <conditionalFormatting sqref="C33">
    <cfRule type="cellIs" dxfId="10855" priority="13815" stopIfTrue="1" operator="equal">
      <formula>"Towel"</formula>
    </cfRule>
    <cfRule type="cellIs" dxfId="10854" priority="13816" stopIfTrue="1" operator="equal">
      <formula>"Napkin Hs"</formula>
    </cfRule>
  </conditionalFormatting>
  <conditionalFormatting sqref="C33">
    <cfRule type="cellIs" dxfId="10853" priority="13817" stopIfTrue="1" operator="equal">
      <formula>"Towel"</formula>
    </cfRule>
    <cfRule type="cellIs" dxfId="10852" priority="13818" stopIfTrue="1" operator="equal">
      <formula>"Napkin Hs"</formula>
    </cfRule>
  </conditionalFormatting>
  <conditionalFormatting sqref="B33:C33">
    <cfRule type="cellIs" dxfId="10851" priority="13813" stopIfTrue="1" operator="equal">
      <formula>"Towel"</formula>
    </cfRule>
    <cfRule type="cellIs" dxfId="10850" priority="13814" stopIfTrue="1" operator="equal">
      <formula>"Napkin Hs"</formula>
    </cfRule>
  </conditionalFormatting>
  <conditionalFormatting sqref="C33">
    <cfRule type="cellIs" dxfId="10849" priority="13811" stopIfTrue="1" operator="equal">
      <formula>"Towel"</formula>
    </cfRule>
    <cfRule type="cellIs" dxfId="10848" priority="13812" stopIfTrue="1" operator="equal">
      <formula>"Napkin Hs"</formula>
    </cfRule>
  </conditionalFormatting>
  <conditionalFormatting sqref="C33">
    <cfRule type="cellIs" dxfId="10847" priority="13809" stopIfTrue="1" operator="equal">
      <formula>"Towel"</formula>
    </cfRule>
    <cfRule type="cellIs" dxfId="10846" priority="13810" stopIfTrue="1" operator="equal">
      <formula>"Napkin Hs"</formula>
    </cfRule>
  </conditionalFormatting>
  <conditionalFormatting sqref="B33:C33">
    <cfRule type="cellIs" dxfId="10845" priority="13807" stopIfTrue="1" operator="equal">
      <formula>"Towel"</formula>
    </cfRule>
    <cfRule type="cellIs" dxfId="10844" priority="13808" stopIfTrue="1" operator="equal">
      <formula>"Napkin Hs"</formula>
    </cfRule>
  </conditionalFormatting>
  <conditionalFormatting sqref="C33">
    <cfRule type="cellIs" dxfId="10843" priority="13806" stopIfTrue="1" operator="equal">
      <formula>"Napkin Hs"</formula>
    </cfRule>
  </conditionalFormatting>
  <conditionalFormatting sqref="C33">
    <cfRule type="cellIs" dxfId="10842" priority="13803" stopIfTrue="1" operator="equal">
      <formula>"Towel"</formula>
    </cfRule>
    <cfRule type="cellIs" dxfId="10841" priority="13804" stopIfTrue="1" operator="equal">
      <formula>"Napkin Hs"</formula>
    </cfRule>
  </conditionalFormatting>
  <conditionalFormatting sqref="C33">
    <cfRule type="cellIs" dxfId="10840" priority="13805" stopIfTrue="1" operator="equal">
      <formula>"Towel"</formula>
    </cfRule>
  </conditionalFormatting>
  <conditionalFormatting sqref="B34:C34 B35">
    <cfRule type="cellIs" dxfId="10839" priority="13801" stopIfTrue="1" operator="equal">
      <formula>"Towel"</formula>
    </cfRule>
    <cfRule type="cellIs" dxfId="10838" priority="13802" stopIfTrue="1" operator="equal">
      <formula>"Napkin Hs"</formula>
    </cfRule>
  </conditionalFormatting>
  <conditionalFormatting sqref="C34">
    <cfRule type="cellIs" dxfId="10837" priority="13797" stopIfTrue="1" operator="equal">
      <formula>"Towel"</formula>
    </cfRule>
    <cfRule type="cellIs" dxfId="10836" priority="13798" stopIfTrue="1" operator="equal">
      <formula>"Napkin Hs"</formula>
    </cfRule>
  </conditionalFormatting>
  <conditionalFormatting sqref="C34">
    <cfRule type="cellIs" dxfId="10835" priority="13799" stopIfTrue="1" operator="equal">
      <formula>"Towel"</formula>
    </cfRule>
    <cfRule type="cellIs" dxfId="10834" priority="13800" stopIfTrue="1" operator="equal">
      <formula>"Napkin Hs"</formula>
    </cfRule>
  </conditionalFormatting>
  <conditionalFormatting sqref="B34:C34 B35">
    <cfRule type="cellIs" dxfId="10833" priority="13795" stopIfTrue="1" operator="equal">
      <formula>"Towel"</formula>
    </cfRule>
    <cfRule type="cellIs" dxfId="10832" priority="13796" stopIfTrue="1" operator="equal">
      <formula>"Napkin Hs"</formula>
    </cfRule>
  </conditionalFormatting>
  <conditionalFormatting sqref="C34">
    <cfRule type="cellIs" dxfId="10831" priority="13791" stopIfTrue="1" operator="equal">
      <formula>"Towel"</formula>
    </cfRule>
    <cfRule type="cellIs" dxfId="10830" priority="13792" stopIfTrue="1" operator="equal">
      <formula>"Napkin Hs"</formula>
    </cfRule>
  </conditionalFormatting>
  <conditionalFormatting sqref="C34">
    <cfRule type="cellIs" dxfId="10829" priority="13793" stopIfTrue="1" operator="equal">
      <formula>"Towel"</formula>
    </cfRule>
    <cfRule type="cellIs" dxfId="10828" priority="13794" stopIfTrue="1" operator="equal">
      <formula>"Napkin Hs"</formula>
    </cfRule>
  </conditionalFormatting>
  <conditionalFormatting sqref="B34:C34 B35">
    <cfRule type="cellIs" dxfId="10827" priority="13789" stopIfTrue="1" operator="equal">
      <formula>"Towel"</formula>
    </cfRule>
    <cfRule type="cellIs" dxfId="10826" priority="13790" stopIfTrue="1" operator="equal">
      <formula>"Napkin Hs"</formula>
    </cfRule>
  </conditionalFormatting>
  <conditionalFormatting sqref="C34">
    <cfRule type="cellIs" dxfId="10825" priority="13785" stopIfTrue="1" operator="equal">
      <formula>"Towel"</formula>
    </cfRule>
    <cfRule type="cellIs" dxfId="10824" priority="13786" stopIfTrue="1" operator="equal">
      <formula>"Napkin Hs"</formula>
    </cfRule>
  </conditionalFormatting>
  <conditionalFormatting sqref="C34">
    <cfRule type="cellIs" dxfId="10823" priority="13787" stopIfTrue="1" operator="equal">
      <formula>"Towel"</formula>
    </cfRule>
    <cfRule type="cellIs" dxfId="10822" priority="13788" stopIfTrue="1" operator="equal">
      <formula>"Napkin Hs"</formula>
    </cfRule>
  </conditionalFormatting>
  <conditionalFormatting sqref="B34:C34 B35">
    <cfRule type="cellIs" dxfId="10821" priority="13783" stopIfTrue="1" operator="equal">
      <formula>"Towel"</formula>
    </cfRule>
    <cfRule type="cellIs" dxfId="10820" priority="13784" stopIfTrue="1" operator="equal">
      <formula>"Napkin Hs"</formula>
    </cfRule>
  </conditionalFormatting>
  <conditionalFormatting sqref="C34">
    <cfRule type="cellIs" dxfId="10819" priority="13781" stopIfTrue="1" operator="equal">
      <formula>"Towel"</formula>
    </cfRule>
    <cfRule type="cellIs" dxfId="10818" priority="13782" stopIfTrue="1" operator="equal">
      <formula>"Napkin Hs"</formula>
    </cfRule>
  </conditionalFormatting>
  <conditionalFormatting sqref="C34">
    <cfRule type="cellIs" dxfId="10817" priority="13779" stopIfTrue="1" operator="equal">
      <formula>"Towel"</formula>
    </cfRule>
    <cfRule type="cellIs" dxfId="10816" priority="13780" stopIfTrue="1" operator="equal">
      <formula>"Napkin Hs"</formula>
    </cfRule>
  </conditionalFormatting>
  <conditionalFormatting sqref="B34:C34 B35">
    <cfRule type="cellIs" dxfId="10815" priority="13777" stopIfTrue="1" operator="equal">
      <formula>"Towel"</formula>
    </cfRule>
    <cfRule type="cellIs" dxfId="10814" priority="13778" stopIfTrue="1" operator="equal">
      <formula>"Napkin Hs"</formula>
    </cfRule>
  </conditionalFormatting>
  <conditionalFormatting sqref="C34">
    <cfRule type="cellIs" dxfId="10813" priority="13776" stopIfTrue="1" operator="equal">
      <formula>"Napkin Hs"</formula>
    </cfRule>
  </conditionalFormatting>
  <conditionalFormatting sqref="C34">
    <cfRule type="cellIs" dxfId="10812" priority="13773" stopIfTrue="1" operator="equal">
      <formula>"Towel"</formula>
    </cfRule>
    <cfRule type="cellIs" dxfId="10811" priority="13774" stopIfTrue="1" operator="equal">
      <formula>"Napkin Hs"</formula>
    </cfRule>
  </conditionalFormatting>
  <conditionalFormatting sqref="C34">
    <cfRule type="cellIs" dxfId="10810" priority="13775" stopIfTrue="1" operator="equal">
      <formula>"Towel"</formula>
    </cfRule>
  </conditionalFormatting>
  <conditionalFormatting sqref="C40">
    <cfRule type="cellIs" dxfId="10809" priority="13095" stopIfTrue="1" operator="equal">
      <formula>"Towel"</formula>
    </cfRule>
    <cfRule type="cellIs" dxfId="10808" priority="13096" stopIfTrue="1" operator="equal">
      <formula>"Napkin Hs"</formula>
    </cfRule>
  </conditionalFormatting>
  <conditionalFormatting sqref="B40:C40">
    <cfRule type="cellIs" dxfId="10807" priority="13077" stopIfTrue="1" operator="equal">
      <formula>"Towel"</formula>
    </cfRule>
    <cfRule type="cellIs" dxfId="10806" priority="13078" stopIfTrue="1" operator="equal">
      <formula>"Napkin Hs"</formula>
    </cfRule>
  </conditionalFormatting>
  <conditionalFormatting sqref="C40">
    <cfRule type="cellIs" dxfId="10805" priority="13076" stopIfTrue="1" operator="equal">
      <formula>"Napkin Hs"</formula>
    </cfRule>
  </conditionalFormatting>
  <conditionalFormatting sqref="C40">
    <cfRule type="cellIs" dxfId="10804" priority="13075" stopIfTrue="1" operator="equal">
      <formula>"Towel"</formula>
    </cfRule>
  </conditionalFormatting>
  <conditionalFormatting sqref="C40">
    <cfRule type="cellIs" dxfId="10803" priority="13071" stopIfTrue="1" operator="equal">
      <formula>"Towel"</formula>
    </cfRule>
    <cfRule type="cellIs" dxfId="10802" priority="13072" stopIfTrue="1" operator="equal">
      <formula>"Napkin Hs"</formula>
    </cfRule>
  </conditionalFormatting>
  <conditionalFormatting sqref="C37">
    <cfRule type="cellIs" dxfId="10801" priority="12963" stopIfTrue="1" operator="equal">
      <formula>"Towel"</formula>
    </cfRule>
    <cfRule type="cellIs" dxfId="10800" priority="12964" stopIfTrue="1" operator="equal">
      <formula>"Napkin Hs"</formula>
    </cfRule>
  </conditionalFormatting>
  <conditionalFormatting sqref="C37">
    <cfRule type="cellIs" dxfId="10799" priority="12965" stopIfTrue="1" operator="equal">
      <formula>"Towel"</formula>
    </cfRule>
    <cfRule type="cellIs" dxfId="10798" priority="12966" stopIfTrue="1" operator="equal">
      <formula>"Napkin Hs"</formula>
    </cfRule>
  </conditionalFormatting>
  <conditionalFormatting sqref="C37">
    <cfRule type="cellIs" dxfId="10797" priority="12957" stopIfTrue="1" operator="equal">
      <formula>"Towel"</formula>
    </cfRule>
    <cfRule type="cellIs" dxfId="10796" priority="12958" stopIfTrue="1" operator="equal">
      <formula>"Napkin Hs"</formula>
    </cfRule>
  </conditionalFormatting>
  <conditionalFormatting sqref="C37">
    <cfRule type="cellIs" dxfId="10795" priority="12959" stopIfTrue="1" operator="equal">
      <formula>"Towel"</formula>
    </cfRule>
    <cfRule type="cellIs" dxfId="10794" priority="12960" stopIfTrue="1" operator="equal">
      <formula>"Napkin Hs"</formula>
    </cfRule>
  </conditionalFormatting>
  <conditionalFormatting sqref="C40">
    <cfRule type="cellIs" dxfId="10793" priority="13059" stopIfTrue="1" operator="equal">
      <formula>"Towel"</formula>
    </cfRule>
    <cfRule type="cellIs" dxfId="10792" priority="13060" stopIfTrue="1" operator="equal">
      <formula>"Napkin Hs"</formula>
    </cfRule>
  </conditionalFormatting>
  <conditionalFormatting sqref="C37">
    <cfRule type="cellIs" dxfId="10791" priority="12951" stopIfTrue="1" operator="equal">
      <formula>"Towel"</formula>
    </cfRule>
    <cfRule type="cellIs" dxfId="10790" priority="12952" stopIfTrue="1" operator="equal">
      <formula>"Napkin Hs"</formula>
    </cfRule>
  </conditionalFormatting>
  <conditionalFormatting sqref="C37">
    <cfRule type="cellIs" dxfId="10789" priority="12953" stopIfTrue="1" operator="equal">
      <formula>"Towel"</formula>
    </cfRule>
    <cfRule type="cellIs" dxfId="10788" priority="12954" stopIfTrue="1" operator="equal">
      <formula>"Napkin Hs"</formula>
    </cfRule>
  </conditionalFormatting>
  <conditionalFormatting sqref="B40:C40">
    <cfRule type="cellIs" dxfId="10787" priority="13053" stopIfTrue="1" operator="equal">
      <formula>"Towel"</formula>
    </cfRule>
    <cfRule type="cellIs" dxfId="10786" priority="13054" stopIfTrue="1" operator="equal">
      <formula>"Napkin Hs"</formula>
    </cfRule>
  </conditionalFormatting>
  <conditionalFormatting sqref="C37">
    <cfRule type="cellIs" dxfId="10785" priority="12947" stopIfTrue="1" operator="equal">
      <formula>"Towel"</formula>
    </cfRule>
    <cfRule type="cellIs" dxfId="10784" priority="12948" stopIfTrue="1" operator="equal">
      <formula>"Napkin Hs"</formula>
    </cfRule>
  </conditionalFormatting>
  <conditionalFormatting sqref="C37">
    <cfRule type="cellIs" dxfId="10783" priority="12945" stopIfTrue="1" operator="equal">
      <formula>"Towel"</formula>
    </cfRule>
    <cfRule type="cellIs" dxfId="10782" priority="12946" stopIfTrue="1" operator="equal">
      <formula>"Napkin Hs"</formula>
    </cfRule>
  </conditionalFormatting>
  <conditionalFormatting sqref="C37">
    <cfRule type="cellIs" dxfId="10781" priority="12942" stopIfTrue="1" operator="equal">
      <formula>"Napkin Hs"</formula>
    </cfRule>
  </conditionalFormatting>
  <conditionalFormatting sqref="C37">
    <cfRule type="cellIs" dxfId="10780" priority="12939" stopIfTrue="1" operator="equal">
      <formula>"Towel"</formula>
    </cfRule>
    <cfRule type="cellIs" dxfId="10779" priority="12940" stopIfTrue="1" operator="equal">
      <formula>"Napkin Hs"</formula>
    </cfRule>
  </conditionalFormatting>
  <conditionalFormatting sqref="C37">
    <cfRule type="cellIs" dxfId="10778" priority="12941" stopIfTrue="1" operator="equal">
      <formula>"Towel"</formula>
    </cfRule>
  </conditionalFormatting>
  <conditionalFormatting sqref="B38:C38">
    <cfRule type="cellIs" dxfId="10777" priority="12937" stopIfTrue="1" operator="equal">
      <formula>"Towel"</formula>
    </cfRule>
    <cfRule type="cellIs" dxfId="10776" priority="12938" stopIfTrue="1" operator="equal">
      <formula>"Napkin Hs"</formula>
    </cfRule>
  </conditionalFormatting>
  <conditionalFormatting sqref="B38:C38">
    <cfRule type="cellIs" dxfId="10775" priority="12929" stopIfTrue="1" operator="equal">
      <formula>"Towel"</formula>
    </cfRule>
    <cfRule type="cellIs" dxfId="10774" priority="12930" stopIfTrue="1" operator="equal">
      <formula>"Napkin Hs"</formula>
    </cfRule>
    <cfRule type="cellIs" dxfId="10773" priority="12935" stopIfTrue="1" operator="equal">
      <formula>"Towel"</formula>
    </cfRule>
    <cfRule type="cellIs" dxfId="10772" priority="12936" stopIfTrue="1" operator="equal">
      <formula>"Napkin Hs"</formula>
    </cfRule>
  </conditionalFormatting>
  <conditionalFormatting sqref="C38">
    <cfRule type="cellIs" dxfId="10771" priority="12925" stopIfTrue="1" operator="equal">
      <formula>"Towel"</formula>
    </cfRule>
    <cfRule type="cellIs" dxfId="10770" priority="12926" stopIfTrue="1" operator="equal">
      <formula>"Napkin Hs"</formula>
    </cfRule>
  </conditionalFormatting>
  <conditionalFormatting sqref="C38">
    <cfRule type="cellIs" dxfId="10769" priority="12923" stopIfTrue="1" operator="equal">
      <formula>"Towel"</formula>
    </cfRule>
    <cfRule type="cellIs" dxfId="10768" priority="12924" stopIfTrue="1" operator="equal">
      <formula>"Napkin Hs"</formula>
    </cfRule>
    <cfRule type="cellIs" dxfId="10767" priority="12933" stopIfTrue="1" operator="equal">
      <formula>"Towel"</formula>
    </cfRule>
    <cfRule type="cellIs" dxfId="10766" priority="12934" stopIfTrue="1" operator="equal">
      <formula>"Napkin Hs"</formula>
    </cfRule>
  </conditionalFormatting>
  <conditionalFormatting sqref="C38">
    <cfRule type="cellIs" dxfId="10765" priority="12927" stopIfTrue="1" operator="equal">
      <formula>"Towel"</formula>
    </cfRule>
    <cfRule type="cellIs" dxfId="10764" priority="12928" stopIfTrue="1" operator="equal">
      <formula>"Napkin Hs"</formula>
    </cfRule>
    <cfRule type="cellIs" dxfId="10763" priority="12931" stopIfTrue="1" operator="equal">
      <formula>"Towel"</formula>
    </cfRule>
    <cfRule type="cellIs" dxfId="10762" priority="12932" stopIfTrue="1" operator="equal">
      <formula>"Napkin Hs"</formula>
    </cfRule>
  </conditionalFormatting>
  <conditionalFormatting sqref="C38">
    <cfRule type="cellIs" dxfId="10761" priority="12922" stopIfTrue="1" operator="equal">
      <formula>"Napkin Hs"</formula>
    </cfRule>
  </conditionalFormatting>
  <conditionalFormatting sqref="C38">
    <cfRule type="cellIs" dxfId="10760" priority="12921" stopIfTrue="1" operator="equal">
      <formula>"Towel"</formula>
    </cfRule>
  </conditionalFormatting>
  <conditionalFormatting sqref="C38">
    <cfRule type="cellIs" dxfId="10759" priority="12917" stopIfTrue="1" operator="equal">
      <formula>"Towel"</formula>
    </cfRule>
    <cfRule type="cellIs" dxfId="10758" priority="12918" stopIfTrue="1" operator="equal">
      <formula>"Napkin Hs"</formula>
    </cfRule>
    <cfRule type="cellIs" dxfId="10757" priority="12919" stopIfTrue="1" operator="equal">
      <formula>"Towel"</formula>
    </cfRule>
    <cfRule type="cellIs" dxfId="10756" priority="12920" stopIfTrue="1" operator="equal">
      <formula>"Napkin Hs"</formula>
    </cfRule>
  </conditionalFormatting>
  <conditionalFormatting sqref="B38:C38">
    <cfRule type="cellIs" dxfId="10755" priority="12915" stopIfTrue="1" operator="equal">
      <formula>"Towel"</formula>
    </cfRule>
    <cfRule type="cellIs" dxfId="10754" priority="12916" stopIfTrue="1" operator="equal">
      <formula>"Napkin Hs"</formula>
    </cfRule>
  </conditionalFormatting>
  <conditionalFormatting sqref="C38">
    <cfRule type="cellIs" dxfId="10753" priority="12911" stopIfTrue="1" operator="equal">
      <formula>"Towel"</formula>
    </cfRule>
    <cfRule type="cellIs" dxfId="10752" priority="12912" stopIfTrue="1" operator="equal">
      <formula>"Napkin Hs"</formula>
    </cfRule>
  </conditionalFormatting>
  <conditionalFormatting sqref="C38">
    <cfRule type="cellIs" dxfId="10751" priority="12913" stopIfTrue="1" operator="equal">
      <formula>"Towel"</formula>
    </cfRule>
    <cfRule type="cellIs" dxfId="10750" priority="12914" stopIfTrue="1" operator="equal">
      <formula>"Napkin Hs"</formula>
    </cfRule>
  </conditionalFormatting>
  <conditionalFormatting sqref="B38:C38">
    <cfRule type="cellIs" dxfId="10749" priority="12909" stopIfTrue="1" operator="equal">
      <formula>"Towel"</formula>
    </cfRule>
    <cfRule type="cellIs" dxfId="10748" priority="12910" stopIfTrue="1" operator="equal">
      <formula>"Napkin Hs"</formula>
    </cfRule>
  </conditionalFormatting>
  <conditionalFormatting sqref="C38">
    <cfRule type="cellIs" dxfId="10747" priority="12905" stopIfTrue="1" operator="equal">
      <formula>"Towel"</formula>
    </cfRule>
    <cfRule type="cellIs" dxfId="10746" priority="12906" stopIfTrue="1" operator="equal">
      <formula>"Napkin Hs"</formula>
    </cfRule>
  </conditionalFormatting>
  <conditionalFormatting sqref="C38">
    <cfRule type="cellIs" dxfId="10745" priority="12907" stopIfTrue="1" operator="equal">
      <formula>"Towel"</formula>
    </cfRule>
    <cfRule type="cellIs" dxfId="10744" priority="12908" stopIfTrue="1" operator="equal">
      <formula>"Napkin Hs"</formula>
    </cfRule>
  </conditionalFormatting>
  <conditionalFormatting sqref="B38:C38">
    <cfRule type="cellIs" dxfId="10743" priority="12903" stopIfTrue="1" operator="equal">
      <formula>"Towel"</formula>
    </cfRule>
    <cfRule type="cellIs" dxfId="10742" priority="12904" stopIfTrue="1" operator="equal">
      <formula>"Napkin Hs"</formula>
    </cfRule>
  </conditionalFormatting>
  <conditionalFormatting sqref="C38">
    <cfRule type="cellIs" dxfId="10741" priority="12899" stopIfTrue="1" operator="equal">
      <formula>"Towel"</formula>
    </cfRule>
    <cfRule type="cellIs" dxfId="10740" priority="12900" stopIfTrue="1" operator="equal">
      <formula>"Napkin Hs"</formula>
    </cfRule>
  </conditionalFormatting>
  <conditionalFormatting sqref="C38">
    <cfRule type="cellIs" dxfId="10739" priority="12901" stopIfTrue="1" operator="equal">
      <formula>"Towel"</formula>
    </cfRule>
    <cfRule type="cellIs" dxfId="10738" priority="12902" stopIfTrue="1" operator="equal">
      <formula>"Napkin Hs"</formula>
    </cfRule>
  </conditionalFormatting>
  <conditionalFormatting sqref="B38:C38">
    <cfRule type="cellIs" dxfId="10737" priority="12897" stopIfTrue="1" operator="equal">
      <formula>"Towel"</formula>
    </cfRule>
    <cfRule type="cellIs" dxfId="10736" priority="12898" stopIfTrue="1" operator="equal">
      <formula>"Napkin Hs"</formula>
    </cfRule>
  </conditionalFormatting>
  <conditionalFormatting sqref="C38">
    <cfRule type="cellIs" dxfId="10735" priority="12895" stopIfTrue="1" operator="equal">
      <formula>"Towel"</formula>
    </cfRule>
    <cfRule type="cellIs" dxfId="10734" priority="12896" stopIfTrue="1" operator="equal">
      <formula>"Napkin Hs"</formula>
    </cfRule>
  </conditionalFormatting>
  <conditionalFormatting sqref="C38">
    <cfRule type="cellIs" dxfId="10733" priority="12893" stopIfTrue="1" operator="equal">
      <formula>"Towel"</formula>
    </cfRule>
    <cfRule type="cellIs" dxfId="10732" priority="12894" stopIfTrue="1" operator="equal">
      <formula>"Napkin Hs"</formula>
    </cfRule>
  </conditionalFormatting>
  <conditionalFormatting sqref="B38:C38">
    <cfRule type="cellIs" dxfId="10731" priority="12891" stopIfTrue="1" operator="equal">
      <formula>"Towel"</formula>
    </cfRule>
    <cfRule type="cellIs" dxfId="10730" priority="12892" stopIfTrue="1" operator="equal">
      <formula>"Napkin Hs"</formula>
    </cfRule>
  </conditionalFormatting>
  <conditionalFormatting sqref="C38">
    <cfRule type="cellIs" dxfId="10729" priority="12890" stopIfTrue="1" operator="equal">
      <formula>"Napkin Hs"</formula>
    </cfRule>
  </conditionalFormatting>
  <conditionalFormatting sqref="C38">
    <cfRule type="cellIs" dxfId="10728" priority="12887" stopIfTrue="1" operator="equal">
      <formula>"Towel"</formula>
    </cfRule>
    <cfRule type="cellIs" dxfId="10727" priority="12888" stopIfTrue="1" operator="equal">
      <formula>"Napkin Hs"</formula>
    </cfRule>
  </conditionalFormatting>
  <conditionalFormatting sqref="C38">
    <cfRule type="cellIs" dxfId="10726" priority="12889" stopIfTrue="1" operator="equal">
      <formula>"Towel"</formula>
    </cfRule>
  </conditionalFormatting>
  <conditionalFormatting sqref="B37:C37">
    <cfRule type="cellIs" dxfId="10725" priority="12989" stopIfTrue="1" operator="equal">
      <formula>"Towel"</formula>
    </cfRule>
    <cfRule type="cellIs" dxfId="10724" priority="12990" stopIfTrue="1" operator="equal">
      <formula>"Napkin Hs"</formula>
    </cfRule>
  </conditionalFormatting>
  <conditionalFormatting sqref="B37:C37">
    <cfRule type="cellIs" dxfId="10723" priority="12981" stopIfTrue="1" operator="equal">
      <formula>"Towel"</formula>
    </cfRule>
    <cfRule type="cellIs" dxfId="10722" priority="12982" stopIfTrue="1" operator="equal">
      <formula>"Napkin Hs"</formula>
    </cfRule>
    <cfRule type="cellIs" dxfId="10721" priority="12987" stopIfTrue="1" operator="equal">
      <formula>"Towel"</formula>
    </cfRule>
    <cfRule type="cellIs" dxfId="10720" priority="12988" stopIfTrue="1" operator="equal">
      <formula>"Napkin Hs"</formula>
    </cfRule>
  </conditionalFormatting>
  <conditionalFormatting sqref="C37">
    <cfRule type="cellIs" dxfId="10719" priority="12977" stopIfTrue="1" operator="equal">
      <formula>"Towel"</formula>
    </cfRule>
    <cfRule type="cellIs" dxfId="10718" priority="12978" stopIfTrue="1" operator="equal">
      <formula>"Napkin Hs"</formula>
    </cfRule>
  </conditionalFormatting>
  <conditionalFormatting sqref="C37">
    <cfRule type="cellIs" dxfId="10717" priority="12975" stopIfTrue="1" operator="equal">
      <formula>"Towel"</formula>
    </cfRule>
    <cfRule type="cellIs" dxfId="10716" priority="12976" stopIfTrue="1" operator="equal">
      <formula>"Napkin Hs"</formula>
    </cfRule>
    <cfRule type="cellIs" dxfId="10715" priority="12985" stopIfTrue="1" operator="equal">
      <formula>"Towel"</formula>
    </cfRule>
    <cfRule type="cellIs" dxfId="10714" priority="12986" stopIfTrue="1" operator="equal">
      <formula>"Napkin Hs"</formula>
    </cfRule>
  </conditionalFormatting>
  <conditionalFormatting sqref="C37">
    <cfRule type="cellIs" dxfId="10713" priority="12979" stopIfTrue="1" operator="equal">
      <formula>"Towel"</formula>
    </cfRule>
    <cfRule type="cellIs" dxfId="10712" priority="12980" stopIfTrue="1" operator="equal">
      <formula>"Napkin Hs"</formula>
    </cfRule>
    <cfRule type="cellIs" dxfId="10711" priority="12983" stopIfTrue="1" operator="equal">
      <formula>"Towel"</formula>
    </cfRule>
    <cfRule type="cellIs" dxfId="10710" priority="12984" stopIfTrue="1" operator="equal">
      <formula>"Napkin Hs"</formula>
    </cfRule>
  </conditionalFormatting>
  <conditionalFormatting sqref="C37">
    <cfRule type="cellIs" dxfId="10709" priority="12974" stopIfTrue="1" operator="equal">
      <formula>"Napkin Hs"</formula>
    </cfRule>
  </conditionalFormatting>
  <conditionalFormatting sqref="C37">
    <cfRule type="cellIs" dxfId="10708" priority="12973" stopIfTrue="1" operator="equal">
      <formula>"Towel"</formula>
    </cfRule>
  </conditionalFormatting>
  <conditionalFormatting sqref="C37">
    <cfRule type="cellIs" dxfId="10707" priority="12969" stopIfTrue="1" operator="equal">
      <formula>"Towel"</formula>
    </cfRule>
    <cfRule type="cellIs" dxfId="10706" priority="12970" stopIfTrue="1" operator="equal">
      <formula>"Napkin Hs"</formula>
    </cfRule>
    <cfRule type="cellIs" dxfId="10705" priority="12971" stopIfTrue="1" operator="equal">
      <formula>"Towel"</formula>
    </cfRule>
    <cfRule type="cellIs" dxfId="10704" priority="12972" stopIfTrue="1" operator="equal">
      <formula>"Napkin Hs"</formula>
    </cfRule>
  </conditionalFormatting>
  <conditionalFormatting sqref="B37:C37">
    <cfRule type="cellIs" dxfId="10703" priority="12967" stopIfTrue="1" operator="equal">
      <formula>"Towel"</formula>
    </cfRule>
    <cfRule type="cellIs" dxfId="10702" priority="12968" stopIfTrue="1" operator="equal">
      <formula>"Napkin Hs"</formula>
    </cfRule>
  </conditionalFormatting>
  <conditionalFormatting sqref="B37:C37">
    <cfRule type="cellIs" dxfId="10701" priority="12961" stopIfTrue="1" operator="equal">
      <formula>"Towel"</formula>
    </cfRule>
    <cfRule type="cellIs" dxfId="10700" priority="12962" stopIfTrue="1" operator="equal">
      <formula>"Napkin Hs"</formula>
    </cfRule>
  </conditionalFormatting>
  <conditionalFormatting sqref="B37:C37">
    <cfRule type="cellIs" dxfId="10699" priority="12955" stopIfTrue="1" operator="equal">
      <formula>"Towel"</formula>
    </cfRule>
    <cfRule type="cellIs" dxfId="10698" priority="12956" stopIfTrue="1" operator="equal">
      <formula>"Napkin Hs"</formula>
    </cfRule>
  </conditionalFormatting>
  <conditionalFormatting sqref="B37:C37">
    <cfRule type="cellIs" dxfId="10697" priority="12949" stopIfTrue="1" operator="equal">
      <formula>"Towel"</formula>
    </cfRule>
    <cfRule type="cellIs" dxfId="10696" priority="12950" stopIfTrue="1" operator="equal">
      <formula>"Napkin Hs"</formula>
    </cfRule>
  </conditionalFormatting>
  <conditionalFormatting sqref="B37:C37">
    <cfRule type="cellIs" dxfId="10695" priority="12943" stopIfTrue="1" operator="equal">
      <formula>"Towel"</formula>
    </cfRule>
    <cfRule type="cellIs" dxfId="10694" priority="12944" stopIfTrue="1" operator="equal">
      <formula>"Napkin Hs"</formula>
    </cfRule>
  </conditionalFormatting>
  <conditionalFormatting sqref="B39:C39">
    <cfRule type="cellIs" dxfId="10693" priority="13333" stopIfTrue="1" operator="equal">
      <formula>"Towel"</formula>
    </cfRule>
    <cfRule type="cellIs" dxfId="10692" priority="13334" stopIfTrue="1" operator="equal">
      <formula>"Napkin Hs"</formula>
    </cfRule>
  </conditionalFormatting>
  <conditionalFormatting sqref="B39:C39">
    <cfRule type="cellIs" dxfId="10691" priority="13255" stopIfTrue="1" operator="equal">
      <formula>"Towel"</formula>
    </cfRule>
    <cfRule type="cellIs" dxfId="10690" priority="13256" stopIfTrue="1" operator="equal">
      <formula>"Napkin Hs"</formula>
    </cfRule>
    <cfRule type="cellIs" dxfId="10689" priority="13271" stopIfTrue="1" operator="equal">
      <formula>"Towel"</formula>
    </cfRule>
    <cfRule type="cellIs" dxfId="10688" priority="13272" stopIfTrue="1" operator="equal">
      <formula>"Napkin Hs"</formula>
    </cfRule>
    <cfRule type="cellIs" dxfId="10687" priority="13281" stopIfTrue="1" operator="equal">
      <formula>"Towel"</formula>
    </cfRule>
    <cfRule type="cellIs" dxfId="10686" priority="13282" stopIfTrue="1" operator="equal">
      <formula>"Napkin Hs"</formula>
    </cfRule>
    <cfRule type="cellIs" dxfId="10685" priority="13297" stopIfTrue="1" operator="equal">
      <formula>"Towel"</formula>
    </cfRule>
    <cfRule type="cellIs" dxfId="10684" priority="13298" stopIfTrue="1" operator="equal">
      <formula>"Napkin Hs"</formula>
    </cfRule>
    <cfRule type="cellIs" dxfId="10683" priority="13303" stopIfTrue="1" operator="equal">
      <formula>"Towel"</formula>
    </cfRule>
    <cfRule type="cellIs" dxfId="10682" priority="13304" stopIfTrue="1" operator="equal">
      <formula>"Napkin Hs"</formula>
    </cfRule>
    <cfRule type="cellIs" dxfId="10681" priority="13309" stopIfTrue="1" operator="equal">
      <formula>"Towel"</formula>
    </cfRule>
    <cfRule type="cellIs" dxfId="10680" priority="13310" stopIfTrue="1" operator="equal">
      <formula>"Napkin Hs"</formula>
    </cfRule>
  </conditionalFormatting>
  <conditionalFormatting sqref="B40:C40">
    <cfRule type="cellIs" dxfId="10679" priority="13175" stopIfTrue="1" operator="equal">
      <formula>"Towel"</formula>
    </cfRule>
    <cfRule type="cellIs" dxfId="10678" priority="13176" stopIfTrue="1" operator="equal">
      <formula>"Napkin Hs"</formula>
    </cfRule>
    <cfRule type="cellIs" dxfId="10677" priority="13181" stopIfTrue="1" operator="equal">
      <formula>"Towel"</formula>
    </cfRule>
    <cfRule type="cellIs" dxfId="10676" priority="13182" stopIfTrue="1" operator="equal">
      <formula>"Napkin Hs"</formula>
    </cfRule>
    <cfRule type="cellIs" dxfId="10675" priority="13187" stopIfTrue="1" operator="equal">
      <formula>"Towel"</formula>
    </cfRule>
    <cfRule type="cellIs" dxfId="10674" priority="13188" stopIfTrue="1" operator="equal">
      <formula>"Napkin Hs"</formula>
    </cfRule>
    <cfRule type="cellIs" dxfId="10673" priority="13193" stopIfTrue="1" operator="equal">
      <formula>"Towel"</formula>
    </cfRule>
    <cfRule type="cellIs" dxfId="10672" priority="13194" stopIfTrue="1" operator="equal">
      <formula>"Napkin Hs"</formula>
    </cfRule>
    <cfRule type="cellIs" dxfId="10671" priority="13199" stopIfTrue="1" operator="equal">
      <formula>"Towel"</formula>
    </cfRule>
    <cfRule type="cellIs" dxfId="10670" priority="13200" stopIfTrue="1" operator="equal">
      <formula>"Napkin Hs"</formula>
    </cfRule>
    <cfRule type="cellIs" dxfId="10669" priority="13205" stopIfTrue="1" operator="equal">
      <formula>"Towel"</formula>
    </cfRule>
    <cfRule type="cellIs" dxfId="10668" priority="13206" stopIfTrue="1" operator="equal">
      <formula>"Napkin Hs"</formula>
    </cfRule>
    <cfRule type="cellIs" dxfId="10667" priority="13211" stopIfTrue="1" operator="equal">
      <formula>"Towel"</formula>
    </cfRule>
    <cfRule type="cellIs" dxfId="10666" priority="13212" stopIfTrue="1" operator="equal">
      <formula>"Napkin Hs"</formula>
    </cfRule>
  </conditionalFormatting>
  <conditionalFormatting sqref="C39">
    <cfRule type="cellIs" dxfId="10665" priority="13332" stopIfTrue="1" operator="equal">
      <formula>"Napkin Hs"</formula>
    </cfRule>
  </conditionalFormatting>
  <conditionalFormatting sqref="C39">
    <cfRule type="cellIs" dxfId="10664" priority="13331" stopIfTrue="1" operator="equal">
      <formula>"Towel"</formula>
    </cfRule>
  </conditionalFormatting>
  <conditionalFormatting sqref="C39">
    <cfRule type="cellIs" dxfId="10663" priority="13307" stopIfTrue="1" operator="equal">
      <formula>"Towel"</formula>
    </cfRule>
    <cfRule type="cellIs" dxfId="10662" priority="13308" stopIfTrue="1" operator="equal">
      <formula>"Napkin Hs"</formula>
    </cfRule>
  </conditionalFormatting>
  <conditionalFormatting sqref="C39">
    <cfRule type="cellIs" dxfId="10661" priority="13305" stopIfTrue="1" operator="equal">
      <formula>"Towel"</formula>
    </cfRule>
    <cfRule type="cellIs" dxfId="10660" priority="13306" stopIfTrue="1" operator="equal">
      <formula>"Napkin Hs"</formula>
    </cfRule>
    <cfRule type="cellIs" dxfId="10659" priority="13329" stopIfTrue="1" operator="equal">
      <formula>"Towel"</formula>
    </cfRule>
    <cfRule type="cellIs" dxfId="10658" priority="13330" stopIfTrue="1" operator="equal">
      <formula>"Napkin Hs"</formula>
    </cfRule>
  </conditionalFormatting>
  <conditionalFormatting sqref="C39">
    <cfRule type="cellIs" dxfId="10657" priority="13253" stopIfTrue="1" operator="equal">
      <formula>"Towel"</formula>
    </cfRule>
    <cfRule type="cellIs" dxfId="10656" priority="13254" stopIfTrue="1" operator="equal">
      <formula>"Napkin Hs"</formula>
    </cfRule>
    <cfRule type="cellIs" dxfId="10655" priority="13267" stopIfTrue="1" operator="equal">
      <formula>"Towel"</formula>
    </cfRule>
    <cfRule type="cellIs" dxfId="10654" priority="13268" stopIfTrue="1" operator="equal">
      <formula>"Napkin Hs"</formula>
    </cfRule>
    <cfRule type="cellIs" dxfId="10653" priority="13269" stopIfTrue="1" operator="equal">
      <formula>"Towel"</formula>
    </cfRule>
    <cfRule type="cellIs" dxfId="10652" priority="13270" stopIfTrue="1" operator="equal">
      <formula>"Napkin Hs"</formula>
    </cfRule>
    <cfRule type="cellIs" dxfId="10651" priority="13277" stopIfTrue="1" operator="equal">
      <formula>"Towel"</formula>
    </cfRule>
    <cfRule type="cellIs" dxfId="10650" priority="13278" stopIfTrue="1" operator="equal">
      <formula>"Napkin Hs"</formula>
    </cfRule>
    <cfRule type="cellIs" dxfId="10649" priority="13279" stopIfTrue="1" operator="equal">
      <formula>"Towel"</formula>
    </cfRule>
    <cfRule type="cellIs" dxfId="10648" priority="13280" stopIfTrue="1" operator="equal">
      <formula>"Napkin Hs"</formula>
    </cfRule>
    <cfRule type="cellIs" dxfId="10647" priority="13293" stopIfTrue="1" operator="equal">
      <formula>"Towel"</formula>
    </cfRule>
    <cfRule type="cellIs" dxfId="10646" priority="13294" stopIfTrue="1" operator="equal">
      <formula>"Napkin Hs"</formula>
    </cfRule>
    <cfRule type="cellIs" dxfId="10645" priority="13295" stopIfTrue="1" operator="equal">
      <formula>"Towel"</formula>
    </cfRule>
    <cfRule type="cellIs" dxfId="10644" priority="13296" stopIfTrue="1" operator="equal">
      <formula>"Napkin Hs"</formula>
    </cfRule>
    <cfRule type="cellIs" dxfId="10643" priority="13299" stopIfTrue="1" operator="equal">
      <formula>"Towel"</formula>
    </cfRule>
    <cfRule type="cellIs" dxfId="10642" priority="13300" stopIfTrue="1" operator="equal">
      <formula>"Napkin Hs"</formula>
    </cfRule>
    <cfRule type="cellIs" dxfId="10641" priority="13301" stopIfTrue="1" operator="equal">
      <formula>"Towel"</formula>
    </cfRule>
    <cfRule type="cellIs" dxfId="10640" priority="13302" stopIfTrue="1" operator="equal">
      <formula>"Napkin Hs"</formula>
    </cfRule>
  </conditionalFormatting>
  <conditionalFormatting sqref="C39:C40">
    <cfRule type="cellIs" dxfId="10639" priority="13209" stopIfTrue="1" operator="equal">
      <formula>"Towel"</formula>
    </cfRule>
    <cfRule type="cellIs" dxfId="10638" priority="13210" stopIfTrue="1" operator="equal">
      <formula>"Napkin Hs"</formula>
    </cfRule>
  </conditionalFormatting>
  <conditionalFormatting sqref="C40">
    <cfRule type="cellIs" dxfId="10637" priority="13171" stopIfTrue="1" operator="equal">
      <formula>"Towel"</formula>
    </cfRule>
    <cfRule type="cellIs" dxfId="10636" priority="13172" stopIfTrue="1" operator="equal">
      <formula>"Napkin Hs"</formula>
    </cfRule>
    <cfRule type="cellIs" dxfId="10635" priority="13173" stopIfTrue="1" operator="equal">
      <formula>"Towel"</formula>
    </cfRule>
    <cfRule type="cellIs" dxfId="10634" priority="13174" stopIfTrue="1" operator="equal">
      <formula>"Napkin Hs"</formula>
    </cfRule>
    <cfRule type="cellIs" dxfId="10633" priority="13177" stopIfTrue="1" operator="equal">
      <formula>"Towel"</formula>
    </cfRule>
    <cfRule type="cellIs" dxfId="10632" priority="13178" stopIfTrue="1" operator="equal">
      <formula>"Napkin Hs"</formula>
    </cfRule>
    <cfRule type="cellIs" dxfId="10631" priority="13179" stopIfTrue="1" operator="equal">
      <formula>"Towel"</formula>
    </cfRule>
    <cfRule type="cellIs" dxfId="10630" priority="13180" stopIfTrue="1" operator="equal">
      <formula>"Napkin Hs"</formula>
    </cfRule>
    <cfRule type="cellIs" dxfId="10629" priority="13183" stopIfTrue="1" operator="equal">
      <formula>"Towel"</formula>
    </cfRule>
    <cfRule type="cellIs" dxfId="10628" priority="13184" stopIfTrue="1" operator="equal">
      <formula>"Napkin Hs"</formula>
    </cfRule>
    <cfRule type="cellIs" dxfId="10627" priority="13185" stopIfTrue="1" operator="equal">
      <formula>"Towel"</formula>
    </cfRule>
    <cfRule type="cellIs" dxfId="10626" priority="13186" stopIfTrue="1" operator="equal">
      <formula>"Napkin Hs"</formula>
    </cfRule>
    <cfRule type="cellIs" dxfId="10625" priority="13189" stopIfTrue="1" operator="equal">
      <formula>"Towel"</formula>
    </cfRule>
    <cfRule type="cellIs" dxfId="10624" priority="13190" stopIfTrue="1" operator="equal">
      <formula>"Napkin Hs"</formula>
    </cfRule>
    <cfRule type="cellIs" dxfId="10623" priority="13191" stopIfTrue="1" operator="equal">
      <formula>"Towel"</formula>
    </cfRule>
    <cfRule type="cellIs" dxfId="10622" priority="13192" stopIfTrue="1" operator="equal">
      <formula>"Napkin Hs"</formula>
    </cfRule>
    <cfRule type="cellIs" dxfId="10621" priority="13195" stopIfTrue="1" operator="equal">
      <formula>"Towel"</formula>
    </cfRule>
    <cfRule type="cellIs" dxfId="10620" priority="13196" stopIfTrue="1" operator="equal">
      <formula>"Napkin Hs"</formula>
    </cfRule>
    <cfRule type="cellIs" dxfId="10619" priority="13197" stopIfTrue="1" operator="equal">
      <formula>"Towel"</formula>
    </cfRule>
    <cfRule type="cellIs" dxfId="10618" priority="13198" stopIfTrue="1" operator="equal">
      <formula>"Napkin Hs"</formula>
    </cfRule>
    <cfRule type="cellIs" dxfId="10617" priority="13201" stopIfTrue="1" operator="equal">
      <formula>"Towel"</formula>
    </cfRule>
    <cfRule type="cellIs" dxfId="10616" priority="13202" stopIfTrue="1" operator="equal">
      <formula>"Napkin Hs"</formula>
    </cfRule>
    <cfRule type="cellIs" dxfId="10615" priority="13203" stopIfTrue="1" operator="equal">
      <formula>"Towel"</formula>
    </cfRule>
    <cfRule type="cellIs" dxfId="10614" priority="13204" stopIfTrue="1" operator="equal">
      <formula>"Napkin Hs"</formula>
    </cfRule>
    <cfRule type="cellIs" dxfId="10613" priority="13207" stopIfTrue="1" operator="equal">
      <formula>"Towel"</formula>
    </cfRule>
    <cfRule type="cellIs" dxfId="10612" priority="13208" stopIfTrue="1" operator="equal">
      <formula>"Napkin Hs"</formula>
    </cfRule>
  </conditionalFormatting>
  <conditionalFormatting sqref="C39">
    <cfRule type="cellIs" dxfId="10611" priority="13083" stopIfTrue="1" operator="equal">
      <formula>"Towel"</formula>
    </cfRule>
    <cfRule type="cellIs" dxfId="10610" priority="13084" stopIfTrue="1" operator="equal">
      <formula>"Napkin Hs"</formula>
    </cfRule>
    <cfRule type="cellIs" dxfId="10609" priority="13105" stopIfTrue="1" operator="equal">
      <formula>"Towel"</formula>
    </cfRule>
    <cfRule type="cellIs" dxfId="10608" priority="13106" stopIfTrue="1" operator="equal">
      <formula>"Napkin Hs"</formula>
    </cfRule>
    <cfRule type="cellIs" dxfId="10607" priority="13111" stopIfTrue="1" operator="equal">
      <formula>"Towel"</formula>
    </cfRule>
    <cfRule type="cellIs" dxfId="10606" priority="13112" stopIfTrue="1" operator="equal">
      <formula>"Napkin Hs"</formula>
    </cfRule>
    <cfRule type="cellIs" dxfId="10605" priority="13125" stopIfTrue="1" operator="equal">
      <formula>"Towel"</formula>
    </cfRule>
    <cfRule type="cellIs" dxfId="10604" priority="13126" stopIfTrue="1" operator="equal">
      <formula>"Napkin Hs"</formula>
    </cfRule>
  </conditionalFormatting>
  <conditionalFormatting sqref="B40:C40">
    <cfRule type="cellIs" dxfId="10603" priority="13087" stopIfTrue="1" operator="equal">
      <formula>"Towel"</formula>
    </cfRule>
    <cfRule type="cellIs" dxfId="10602" priority="13088" stopIfTrue="1" operator="equal">
      <formula>"Napkin Hs"</formula>
    </cfRule>
    <cfRule type="cellIs" dxfId="10601" priority="13101" stopIfTrue="1" operator="equal">
      <formula>"Towel"</formula>
    </cfRule>
    <cfRule type="cellIs" dxfId="10600" priority="13102" stopIfTrue="1" operator="equal">
      <formula>"Napkin Hs"</formula>
    </cfRule>
    <cfRule type="cellIs" dxfId="10599" priority="13121" stopIfTrue="1" operator="equal">
      <formula>"Towel"</formula>
    </cfRule>
    <cfRule type="cellIs" dxfId="10598" priority="13122" stopIfTrue="1" operator="equal">
      <formula>"Napkin Hs"</formula>
    </cfRule>
  </conditionalFormatting>
  <conditionalFormatting sqref="C39">
    <cfRule type="cellIs" dxfId="10597" priority="13109" stopIfTrue="1" operator="equal">
      <formula>"Towel"</formula>
    </cfRule>
    <cfRule type="cellIs" dxfId="10596" priority="13110" stopIfTrue="1" operator="equal">
      <formula>"Napkin Hs"</formula>
    </cfRule>
    <cfRule type="cellIs" dxfId="10595" priority="13123" stopIfTrue="1" operator="equal">
      <formula>"Towel"</formula>
    </cfRule>
    <cfRule type="cellIs" dxfId="10594" priority="13124" stopIfTrue="1" operator="equal">
      <formula>"Napkin Hs"</formula>
    </cfRule>
  </conditionalFormatting>
  <conditionalFormatting sqref="C39">
    <cfRule type="cellIs" dxfId="10593" priority="13079" stopIfTrue="1" operator="equal">
      <formula>"Towel"</formula>
    </cfRule>
    <cfRule type="cellIs" dxfId="10592" priority="13080" stopIfTrue="1" operator="equal">
      <formula>"Napkin Hs"</formula>
    </cfRule>
    <cfRule type="cellIs" dxfId="10591" priority="13103" stopIfTrue="1" operator="equal">
      <formula>"Towel"</formula>
    </cfRule>
    <cfRule type="cellIs" dxfId="10590" priority="13104" stopIfTrue="1" operator="equal">
      <formula>"Napkin Hs"</formula>
    </cfRule>
    <cfRule type="cellIs" dxfId="10589" priority="13107" stopIfTrue="1" operator="equal">
      <formula>"Towel"</formula>
    </cfRule>
    <cfRule type="cellIs" dxfId="10588" priority="13108" stopIfTrue="1" operator="equal">
      <formula>"Napkin Hs"</formula>
    </cfRule>
  </conditionalFormatting>
  <conditionalFormatting sqref="C39:C40">
    <cfRule type="cellIs" dxfId="10587" priority="13081" stopIfTrue="1" operator="equal">
      <formula>"Towel"</formula>
    </cfRule>
    <cfRule type="cellIs" dxfId="10586" priority="13082" stopIfTrue="1" operator="equal">
      <formula>"Napkin Hs"</formula>
    </cfRule>
    <cfRule type="cellIs" dxfId="10585" priority="13099" stopIfTrue="1" operator="equal">
      <formula>"Towel"</formula>
    </cfRule>
    <cfRule type="cellIs" dxfId="10584" priority="13100" stopIfTrue="1" operator="equal">
      <formula>"Napkin Hs"</formula>
    </cfRule>
    <cfRule type="cellIs" dxfId="10583" priority="13119" stopIfTrue="1" operator="equal">
      <formula>"Towel"</formula>
    </cfRule>
    <cfRule type="cellIs" dxfId="10582" priority="13120" stopIfTrue="1" operator="equal">
      <formula>"Napkin Hs"</formula>
    </cfRule>
  </conditionalFormatting>
  <conditionalFormatting sqref="C40">
    <cfRule type="cellIs" dxfId="10581" priority="13085" stopIfTrue="1" operator="equal">
      <formula>"Towel"</formula>
    </cfRule>
    <cfRule type="cellIs" dxfId="10580" priority="13086" stopIfTrue="1" operator="equal">
      <formula>"Napkin Hs"</formula>
    </cfRule>
    <cfRule type="cellIs" dxfId="10579" priority="13115" stopIfTrue="1" operator="equal">
      <formula>"Towel"</formula>
    </cfRule>
    <cfRule type="cellIs" dxfId="10578" priority="13116" stopIfTrue="1" operator="equal">
      <formula>"Napkin Hs"</formula>
    </cfRule>
  </conditionalFormatting>
  <conditionalFormatting sqref="B40:C40">
    <cfRule type="cellIs" dxfId="10577" priority="13063" stopIfTrue="1" operator="equal">
      <formula>"Towel"</formula>
    </cfRule>
    <cfRule type="cellIs" dxfId="10576" priority="13064" stopIfTrue="1" operator="equal">
      <formula>"Napkin Hs"</formula>
    </cfRule>
  </conditionalFormatting>
  <conditionalFormatting sqref="C40">
    <cfRule type="cellIs" dxfId="10575" priority="13061" stopIfTrue="1" operator="equal">
      <formula>"Towel"</formula>
    </cfRule>
    <cfRule type="cellIs" dxfId="10574" priority="13062" stopIfTrue="1" operator="equal">
      <formula>"Napkin Hs"</formula>
    </cfRule>
  </conditionalFormatting>
  <conditionalFormatting sqref="C40">
    <cfRule type="cellIs" dxfId="10573" priority="13049" stopIfTrue="1" operator="equal">
      <formula>"Towel"</formula>
    </cfRule>
    <cfRule type="cellIs" dxfId="10572" priority="13050" stopIfTrue="1" operator="equal">
      <formula>"Napkin Hs"</formula>
    </cfRule>
  </conditionalFormatting>
  <conditionalFormatting sqref="C40">
    <cfRule type="cellIs" dxfId="10571" priority="13051" stopIfTrue="1" operator="equal">
      <formula>"Towel"</formula>
    </cfRule>
    <cfRule type="cellIs" dxfId="10570" priority="13052" stopIfTrue="1" operator="equal">
      <formula>"Napkin Hs"</formula>
    </cfRule>
  </conditionalFormatting>
  <conditionalFormatting sqref="B40:C40">
    <cfRule type="cellIs" dxfId="10569" priority="13039" stopIfTrue="1" operator="equal">
      <formula>"Towel"</formula>
    </cfRule>
    <cfRule type="cellIs" dxfId="10568" priority="13040" stopIfTrue="1" operator="equal">
      <formula>"Napkin Hs"</formula>
    </cfRule>
  </conditionalFormatting>
  <conditionalFormatting sqref="C40">
    <cfRule type="cellIs" dxfId="10567" priority="13041" stopIfTrue="1" operator="equal">
      <formula>"Towel"</formula>
    </cfRule>
    <cfRule type="cellIs" dxfId="10566" priority="13042" stopIfTrue="1" operator="equal">
      <formula>"Napkin Hs"</formula>
    </cfRule>
  </conditionalFormatting>
  <conditionalFormatting sqref="C40">
    <cfRule type="cellIs" dxfId="10565" priority="13035" stopIfTrue="1" operator="equal">
      <formula>"Towel"</formula>
    </cfRule>
    <cfRule type="cellIs" dxfId="10564" priority="13036" stopIfTrue="1" operator="equal">
      <formula>"Napkin Hs"</formula>
    </cfRule>
  </conditionalFormatting>
  <conditionalFormatting sqref="C40">
    <cfRule type="cellIs" dxfId="10563" priority="13037" stopIfTrue="1" operator="equal">
      <formula>"Towel"</formula>
    </cfRule>
    <cfRule type="cellIs" dxfId="10562" priority="13038" stopIfTrue="1" operator="equal">
      <formula>"Napkin Hs"</formula>
    </cfRule>
  </conditionalFormatting>
  <conditionalFormatting sqref="B40:C40">
    <cfRule type="cellIs" dxfId="10561" priority="13033" stopIfTrue="1" operator="equal">
      <formula>"Towel"</formula>
    </cfRule>
    <cfRule type="cellIs" dxfId="10560" priority="13034" stopIfTrue="1" operator="equal">
      <formula>"Napkin Hs"</formula>
    </cfRule>
  </conditionalFormatting>
  <conditionalFormatting sqref="C40">
    <cfRule type="cellIs" dxfId="10559" priority="13032" stopIfTrue="1" operator="equal">
      <formula>"Napkin Hs"</formula>
    </cfRule>
  </conditionalFormatting>
  <conditionalFormatting sqref="C40">
    <cfRule type="cellIs" dxfId="10558" priority="13031" stopIfTrue="1" operator="equal">
      <formula>"Towel"</formula>
    </cfRule>
  </conditionalFormatting>
  <conditionalFormatting sqref="C39">
    <cfRule type="cellIs" dxfId="10557" priority="13029" stopIfTrue="1" operator="equal">
      <formula>"Towel"</formula>
    </cfRule>
    <cfRule type="cellIs" dxfId="10556" priority="13030" stopIfTrue="1" operator="equal">
      <formula>"Napkin Hs"</formula>
    </cfRule>
  </conditionalFormatting>
  <conditionalFormatting sqref="C39">
    <cfRule type="cellIs" dxfId="10555" priority="13025" stopIfTrue="1" operator="equal">
      <formula>"Towel"</formula>
    </cfRule>
    <cfRule type="cellIs" dxfId="10554" priority="13026" stopIfTrue="1" operator="equal">
      <formula>"Napkin Hs"</formula>
    </cfRule>
  </conditionalFormatting>
  <conditionalFormatting sqref="C39">
    <cfRule type="cellIs" dxfId="10553" priority="13027" stopIfTrue="1" operator="equal">
      <formula>"Towel"</formula>
    </cfRule>
    <cfRule type="cellIs" dxfId="10552" priority="13028" stopIfTrue="1" operator="equal">
      <formula>"Napkin Hs"</formula>
    </cfRule>
  </conditionalFormatting>
  <conditionalFormatting sqref="C39">
    <cfRule type="cellIs" dxfId="10551" priority="13023" stopIfTrue="1" operator="equal">
      <formula>"Towel"</formula>
    </cfRule>
    <cfRule type="cellIs" dxfId="10550" priority="13024" stopIfTrue="1" operator="equal">
      <formula>"Napkin Hs"</formula>
    </cfRule>
  </conditionalFormatting>
  <conditionalFormatting sqref="C39">
    <cfRule type="cellIs" dxfId="10549" priority="13019" stopIfTrue="1" operator="equal">
      <formula>"Towel"</formula>
    </cfRule>
    <cfRule type="cellIs" dxfId="10548" priority="13020" stopIfTrue="1" operator="equal">
      <formula>"Napkin Hs"</formula>
    </cfRule>
  </conditionalFormatting>
  <conditionalFormatting sqref="C39">
    <cfRule type="cellIs" dxfId="10547" priority="13021" stopIfTrue="1" operator="equal">
      <formula>"Towel"</formula>
    </cfRule>
    <cfRule type="cellIs" dxfId="10546" priority="13022" stopIfTrue="1" operator="equal">
      <formula>"Napkin Hs"</formula>
    </cfRule>
  </conditionalFormatting>
  <conditionalFormatting sqref="C39">
    <cfRule type="cellIs" dxfId="10545" priority="13017" stopIfTrue="1" operator="equal">
      <formula>"Towel"</formula>
    </cfRule>
    <cfRule type="cellIs" dxfId="10544" priority="13018" stopIfTrue="1" operator="equal">
      <formula>"Napkin Hs"</formula>
    </cfRule>
  </conditionalFormatting>
  <conditionalFormatting sqref="C39">
    <cfRule type="cellIs" dxfId="10543" priority="13013" stopIfTrue="1" operator="equal">
      <formula>"Towel"</formula>
    </cfRule>
    <cfRule type="cellIs" dxfId="10542" priority="13014" stopIfTrue="1" operator="equal">
      <formula>"Napkin Hs"</formula>
    </cfRule>
  </conditionalFormatting>
  <conditionalFormatting sqref="C39">
    <cfRule type="cellIs" dxfId="10541" priority="13015" stopIfTrue="1" operator="equal">
      <formula>"Towel"</formula>
    </cfRule>
    <cfRule type="cellIs" dxfId="10540" priority="13016" stopIfTrue="1" operator="equal">
      <formula>"Napkin Hs"</formula>
    </cfRule>
  </conditionalFormatting>
  <conditionalFormatting sqref="C39">
    <cfRule type="cellIs" dxfId="10539" priority="13011" stopIfTrue="1" operator="equal">
      <formula>"Towel"</formula>
    </cfRule>
    <cfRule type="cellIs" dxfId="10538" priority="13012" stopIfTrue="1" operator="equal">
      <formula>"Napkin Hs"</formula>
    </cfRule>
  </conditionalFormatting>
  <conditionalFormatting sqref="C39">
    <cfRule type="cellIs" dxfId="10537" priority="13009" stopIfTrue="1" operator="equal">
      <formula>"Towel"</formula>
    </cfRule>
    <cfRule type="cellIs" dxfId="10536" priority="13010" stopIfTrue="1" operator="equal">
      <formula>"Napkin Hs"</formula>
    </cfRule>
  </conditionalFormatting>
  <conditionalFormatting sqref="C39">
    <cfRule type="cellIs" dxfId="10535" priority="13007" stopIfTrue="1" operator="equal">
      <formula>"Towel"</formula>
    </cfRule>
    <cfRule type="cellIs" dxfId="10534" priority="13008" stopIfTrue="1" operator="equal">
      <formula>"Napkin Hs"</formula>
    </cfRule>
  </conditionalFormatting>
  <conditionalFormatting sqref="C39">
    <cfRule type="cellIs" dxfId="10533" priority="13005" stopIfTrue="1" operator="equal">
      <formula>"Towel"</formula>
    </cfRule>
    <cfRule type="cellIs" dxfId="10532" priority="13006" stopIfTrue="1" operator="equal">
      <formula>"Napkin Hs"</formula>
    </cfRule>
  </conditionalFormatting>
  <conditionalFormatting sqref="C39">
    <cfRule type="cellIs" dxfId="10531" priority="13004" stopIfTrue="1" operator="equal">
      <formula>"Napkin Hs"</formula>
    </cfRule>
  </conditionalFormatting>
  <conditionalFormatting sqref="C39">
    <cfRule type="cellIs" dxfId="10530" priority="13001" stopIfTrue="1" operator="equal">
      <formula>"Towel"</formula>
    </cfRule>
    <cfRule type="cellIs" dxfId="10529" priority="13002" stopIfTrue="1" operator="equal">
      <formula>"Napkin Hs"</formula>
    </cfRule>
  </conditionalFormatting>
  <conditionalFormatting sqref="C39">
    <cfRule type="cellIs" dxfId="10528" priority="13003" stopIfTrue="1" operator="equal">
      <formula>"Towel"</formula>
    </cfRule>
  </conditionalFormatting>
  <conditionalFormatting sqref="B39">
    <cfRule type="cellIs" dxfId="10527" priority="12999" stopIfTrue="1" operator="equal">
      <formula>"Towel"</formula>
    </cfRule>
    <cfRule type="cellIs" dxfId="10526" priority="13000" stopIfTrue="1" operator="equal">
      <formula>"Napkin Hs"</formula>
    </cfRule>
  </conditionalFormatting>
  <conditionalFormatting sqref="B39">
    <cfRule type="cellIs" dxfId="10525" priority="12997" stopIfTrue="1" operator="equal">
      <formula>"Towel"</formula>
    </cfRule>
    <cfRule type="cellIs" dxfId="10524" priority="12998" stopIfTrue="1" operator="equal">
      <formula>"Napkin Hs"</formula>
    </cfRule>
  </conditionalFormatting>
  <conditionalFormatting sqref="B39">
    <cfRule type="cellIs" dxfId="10523" priority="12995" stopIfTrue="1" operator="equal">
      <formula>"Towel"</formula>
    </cfRule>
    <cfRule type="cellIs" dxfId="10522" priority="12996" stopIfTrue="1" operator="equal">
      <formula>"Napkin Hs"</formula>
    </cfRule>
  </conditionalFormatting>
  <conditionalFormatting sqref="B39">
    <cfRule type="cellIs" dxfId="10521" priority="12993" stopIfTrue="1" operator="equal">
      <formula>"Towel"</formula>
    </cfRule>
    <cfRule type="cellIs" dxfId="10520" priority="12994" stopIfTrue="1" operator="equal">
      <formula>"Napkin Hs"</formula>
    </cfRule>
  </conditionalFormatting>
  <conditionalFormatting sqref="B39">
    <cfRule type="cellIs" dxfId="10519" priority="12991" stopIfTrue="1" operator="equal">
      <formula>"Towel"</formula>
    </cfRule>
    <cfRule type="cellIs" dxfId="10518" priority="12992" stopIfTrue="1" operator="equal">
      <formula>"Napkin Hs"</formula>
    </cfRule>
  </conditionalFormatting>
  <conditionalFormatting sqref="B42:C42">
    <cfRule type="cellIs" dxfId="10517" priority="12861" stopIfTrue="1" operator="equal">
      <formula>"Towel"</formula>
    </cfRule>
    <cfRule type="cellIs" dxfId="10516" priority="12862" stopIfTrue="1" operator="equal">
      <formula>"Napkin Hs"</formula>
    </cfRule>
    <cfRule type="cellIs" dxfId="10515" priority="12867" stopIfTrue="1" operator="equal">
      <formula>"Towel"</formula>
    </cfRule>
    <cfRule type="cellIs" dxfId="10514" priority="12868" stopIfTrue="1" operator="equal">
      <formula>"Napkin Hs"</formula>
    </cfRule>
    <cfRule type="cellIs" dxfId="10513" priority="12881" stopIfTrue="1" operator="equal">
      <formula>"Towel"</formula>
    </cfRule>
    <cfRule type="cellIs" dxfId="10512" priority="12882" stopIfTrue="1" operator="equal">
      <formula>"Napkin Hs"</formula>
    </cfRule>
  </conditionalFormatting>
  <conditionalFormatting sqref="B43:C44">
    <cfRule type="cellIs" dxfId="10511" priority="12777" stopIfTrue="1" operator="equal">
      <formula>"Towel"</formula>
    </cfRule>
    <cfRule type="cellIs" dxfId="10510" priority="12778" stopIfTrue="1" operator="equal">
      <formula>"Napkin Hs"</formula>
    </cfRule>
    <cfRule type="cellIs" dxfId="10509" priority="12783" stopIfTrue="1" operator="equal">
      <formula>"Towel"</formula>
    </cfRule>
    <cfRule type="cellIs" dxfId="10508" priority="12784" stopIfTrue="1" operator="equal">
      <formula>"Napkin Hs"</formula>
    </cfRule>
    <cfRule type="cellIs" dxfId="10507" priority="12789" stopIfTrue="1" operator="equal">
      <formula>"Towel"</formula>
    </cfRule>
    <cfRule type="cellIs" dxfId="10506" priority="12790" stopIfTrue="1" operator="equal">
      <formula>"Napkin Hs"</formula>
    </cfRule>
    <cfRule type="cellIs" dxfId="10505" priority="12795" stopIfTrue="1" operator="equal">
      <formula>"Towel"</formula>
    </cfRule>
    <cfRule type="cellIs" dxfId="10504" priority="12796" stopIfTrue="1" operator="equal">
      <formula>"Napkin Hs"</formula>
    </cfRule>
    <cfRule type="cellIs" dxfId="10503" priority="12801" stopIfTrue="1" operator="equal">
      <formula>"Towel"</formula>
    </cfRule>
    <cfRule type="cellIs" dxfId="10502" priority="12802" stopIfTrue="1" operator="equal">
      <formula>"Napkin Hs"</formula>
    </cfRule>
    <cfRule type="cellIs" dxfId="10501" priority="12807" stopIfTrue="1" operator="equal">
      <formula>"Towel"</formula>
    </cfRule>
    <cfRule type="cellIs" dxfId="10500" priority="12808" stopIfTrue="1" operator="equal">
      <formula>"Napkin Hs"</formula>
    </cfRule>
    <cfRule type="cellIs" dxfId="10499" priority="12813" stopIfTrue="1" operator="equal">
      <formula>"Towel"</formula>
    </cfRule>
    <cfRule type="cellIs" dxfId="10498" priority="12814" stopIfTrue="1" operator="equal">
      <formula>"Napkin Hs"</formula>
    </cfRule>
  </conditionalFormatting>
  <conditionalFormatting sqref="C42">
    <cfRule type="cellIs" dxfId="10497" priority="12855" stopIfTrue="1" operator="equal">
      <formula>"Towel"</formula>
    </cfRule>
    <cfRule type="cellIs" dxfId="10496" priority="12856" stopIfTrue="1" operator="equal">
      <formula>"Napkin Hs"</formula>
    </cfRule>
    <cfRule type="cellIs" dxfId="10495" priority="12857" stopIfTrue="1" operator="equal">
      <formula>"Towel"</formula>
    </cfRule>
    <cfRule type="cellIs" dxfId="10494" priority="12858" stopIfTrue="1" operator="equal">
      <formula>"Napkin Hs"</formula>
    </cfRule>
    <cfRule type="cellIs" dxfId="10493" priority="12865" stopIfTrue="1" operator="equal">
      <formula>"Towel"</formula>
    </cfRule>
    <cfRule type="cellIs" dxfId="10492" priority="12866" stopIfTrue="1" operator="equal">
      <formula>"Napkin Hs"</formula>
    </cfRule>
    <cfRule type="cellIs" dxfId="10491" priority="12877" stopIfTrue="1" operator="equal">
      <formula>"Towel"</formula>
    </cfRule>
    <cfRule type="cellIs" dxfId="10490" priority="12878" stopIfTrue="1" operator="equal">
      <formula>"Napkin Hs"</formula>
    </cfRule>
  </conditionalFormatting>
  <conditionalFormatting sqref="C42">
    <cfRule type="cellIs" dxfId="10489" priority="12859" stopIfTrue="1" operator="equal">
      <formula>"Towel"</formula>
    </cfRule>
    <cfRule type="cellIs" dxfId="10488" priority="12860" stopIfTrue="1" operator="equal">
      <formula>"Napkin Hs"</formula>
    </cfRule>
    <cfRule type="cellIs" dxfId="10487" priority="12863" stopIfTrue="1" operator="equal">
      <formula>"Towel"</formula>
    </cfRule>
    <cfRule type="cellIs" dxfId="10486" priority="12864" stopIfTrue="1" operator="equal">
      <formula>"Napkin Hs"</formula>
    </cfRule>
    <cfRule type="cellIs" dxfId="10485" priority="12879" stopIfTrue="1" operator="equal">
      <formula>"Towel"</formula>
    </cfRule>
    <cfRule type="cellIs" dxfId="10484" priority="12880" stopIfTrue="1" operator="equal">
      <formula>"Napkin Hs"</formula>
    </cfRule>
  </conditionalFormatting>
  <conditionalFormatting sqref="C43:C44">
    <cfRule type="cellIs" dxfId="10483" priority="12773" stopIfTrue="1" operator="equal">
      <formula>"Towel"</formula>
    </cfRule>
    <cfRule type="cellIs" dxfId="10482" priority="12774" stopIfTrue="1" operator="equal">
      <formula>"Napkin Hs"</formula>
    </cfRule>
    <cfRule type="cellIs" dxfId="10481" priority="12775" stopIfTrue="1" operator="equal">
      <formula>"Towel"</formula>
    </cfRule>
    <cfRule type="cellIs" dxfId="10480" priority="12776" stopIfTrue="1" operator="equal">
      <formula>"Napkin Hs"</formula>
    </cfRule>
    <cfRule type="cellIs" dxfId="10479" priority="12779" stopIfTrue="1" operator="equal">
      <formula>"Towel"</formula>
    </cfRule>
    <cfRule type="cellIs" dxfId="10478" priority="12780" stopIfTrue="1" operator="equal">
      <formula>"Napkin Hs"</formula>
    </cfRule>
    <cfRule type="cellIs" dxfId="10477" priority="12781" stopIfTrue="1" operator="equal">
      <formula>"Towel"</formula>
    </cfRule>
    <cfRule type="cellIs" dxfId="10476" priority="12782" stopIfTrue="1" operator="equal">
      <formula>"Napkin Hs"</formula>
    </cfRule>
    <cfRule type="cellIs" dxfId="10475" priority="12785" stopIfTrue="1" operator="equal">
      <formula>"Towel"</formula>
    </cfRule>
    <cfRule type="cellIs" dxfId="10474" priority="12786" stopIfTrue="1" operator="equal">
      <formula>"Napkin Hs"</formula>
    </cfRule>
    <cfRule type="cellIs" dxfId="10473" priority="12787" stopIfTrue="1" operator="equal">
      <formula>"Towel"</formula>
    </cfRule>
    <cfRule type="cellIs" dxfId="10472" priority="12788" stopIfTrue="1" operator="equal">
      <formula>"Napkin Hs"</formula>
    </cfRule>
    <cfRule type="cellIs" dxfId="10471" priority="12791" stopIfTrue="1" operator="equal">
      <formula>"Towel"</formula>
    </cfRule>
    <cfRule type="cellIs" dxfId="10470" priority="12792" stopIfTrue="1" operator="equal">
      <formula>"Napkin Hs"</formula>
    </cfRule>
    <cfRule type="cellIs" dxfId="10469" priority="12793" stopIfTrue="1" operator="equal">
      <formula>"Towel"</formula>
    </cfRule>
    <cfRule type="cellIs" dxfId="10468" priority="12794" stopIfTrue="1" operator="equal">
      <formula>"Napkin Hs"</formula>
    </cfRule>
    <cfRule type="cellIs" dxfId="10467" priority="12797" stopIfTrue="1" operator="equal">
      <formula>"Towel"</formula>
    </cfRule>
    <cfRule type="cellIs" dxfId="10466" priority="12798" stopIfTrue="1" operator="equal">
      <formula>"Napkin Hs"</formula>
    </cfRule>
    <cfRule type="cellIs" dxfId="10465" priority="12799" stopIfTrue="1" operator="equal">
      <formula>"Towel"</formula>
    </cfRule>
    <cfRule type="cellIs" dxfId="10464" priority="12800" stopIfTrue="1" operator="equal">
      <formula>"Napkin Hs"</formula>
    </cfRule>
    <cfRule type="cellIs" dxfId="10463" priority="12803" stopIfTrue="1" operator="equal">
      <formula>"Towel"</formula>
    </cfRule>
    <cfRule type="cellIs" dxfId="10462" priority="12804" stopIfTrue="1" operator="equal">
      <formula>"Napkin Hs"</formula>
    </cfRule>
    <cfRule type="cellIs" dxfId="10461" priority="12805" stopIfTrue="1" operator="equal">
      <formula>"Towel"</formula>
    </cfRule>
    <cfRule type="cellIs" dxfId="10460" priority="12806" stopIfTrue="1" operator="equal">
      <formula>"Napkin Hs"</formula>
    </cfRule>
    <cfRule type="cellIs" dxfId="10459" priority="12809" stopIfTrue="1" operator="equal">
      <formula>"Towel"</formula>
    </cfRule>
    <cfRule type="cellIs" dxfId="10458" priority="12810" stopIfTrue="1" operator="equal">
      <formula>"Napkin Hs"</formula>
    </cfRule>
  </conditionalFormatting>
  <conditionalFormatting sqref="C43:C44">
    <cfRule type="cellIs" dxfId="10457" priority="12811" stopIfTrue="1" operator="equal">
      <formula>"Towel"</formula>
    </cfRule>
    <cfRule type="cellIs" dxfId="10456" priority="12812" stopIfTrue="1" operator="equal">
      <formula>"Napkin Hs"</formula>
    </cfRule>
  </conditionalFormatting>
  <conditionalFormatting sqref="B43:C43">
    <cfRule type="cellIs" dxfId="10455" priority="12769" stopIfTrue="1" operator="equal">
      <formula>"Towel"</formula>
    </cfRule>
    <cfRule type="cellIs" dxfId="10454" priority="12770" stopIfTrue="1" operator="equal">
      <formula>"Napkin Hs"</formula>
    </cfRule>
  </conditionalFormatting>
  <conditionalFormatting sqref="B43:C43">
    <cfRule type="cellIs" dxfId="10453" priority="12711" stopIfTrue="1" operator="equal">
      <formula>"Towel"</formula>
    </cfRule>
    <cfRule type="cellIs" dxfId="10452" priority="12712" stopIfTrue="1" operator="equal">
      <formula>"Napkin Hs"</formula>
    </cfRule>
    <cfRule type="cellIs" dxfId="10451" priority="12727" stopIfTrue="1" operator="equal">
      <formula>"Towel"</formula>
    </cfRule>
    <cfRule type="cellIs" dxfId="10450" priority="12728" stopIfTrue="1" operator="equal">
      <formula>"Napkin Hs"</formula>
    </cfRule>
    <cfRule type="cellIs" dxfId="10449" priority="12733" stopIfTrue="1" operator="equal">
      <formula>"Towel"</formula>
    </cfRule>
    <cfRule type="cellIs" dxfId="10448" priority="12734" stopIfTrue="1" operator="equal">
      <formula>"Napkin Hs"</formula>
    </cfRule>
    <cfRule type="cellIs" dxfId="10447" priority="12745" stopIfTrue="1" operator="equal">
      <formula>"Towel"</formula>
    </cfRule>
    <cfRule type="cellIs" dxfId="10446" priority="12746" stopIfTrue="1" operator="equal">
      <formula>"Napkin Hs"</formula>
    </cfRule>
    <cfRule type="cellIs" dxfId="10445" priority="12751" stopIfTrue="1" operator="equal">
      <formula>"Towel"</formula>
    </cfRule>
    <cfRule type="cellIs" dxfId="10444" priority="12752" stopIfTrue="1" operator="equal">
      <formula>"Napkin Hs"</formula>
    </cfRule>
    <cfRule type="cellIs" dxfId="10443" priority="12757" stopIfTrue="1" operator="equal">
      <formula>"Towel"</formula>
    </cfRule>
    <cfRule type="cellIs" dxfId="10442" priority="12758" stopIfTrue="1" operator="equal">
      <formula>"Napkin Hs"</formula>
    </cfRule>
  </conditionalFormatting>
  <conditionalFormatting sqref="B44:C44">
    <cfRule type="cellIs" dxfId="10441" priority="12671" stopIfTrue="1" operator="equal">
      <formula>"Towel"</formula>
    </cfRule>
    <cfRule type="cellIs" dxfId="10440" priority="12672" stopIfTrue="1" operator="equal">
      <formula>"Napkin Hs"</formula>
    </cfRule>
    <cfRule type="cellIs" dxfId="10439" priority="12677" stopIfTrue="1" operator="equal">
      <formula>"Towel"</formula>
    </cfRule>
    <cfRule type="cellIs" dxfId="10438" priority="12678" stopIfTrue="1" operator="equal">
      <formula>"Napkin Hs"</formula>
    </cfRule>
    <cfRule type="cellIs" dxfId="10437" priority="12683" stopIfTrue="1" operator="equal">
      <formula>"Towel"</formula>
    </cfRule>
    <cfRule type="cellIs" dxfId="10436" priority="12684" stopIfTrue="1" operator="equal">
      <formula>"Napkin Hs"</formula>
    </cfRule>
    <cfRule type="cellIs" dxfId="10435" priority="12689" stopIfTrue="1" operator="equal">
      <formula>"Towel"</formula>
    </cfRule>
    <cfRule type="cellIs" dxfId="10434" priority="12690" stopIfTrue="1" operator="equal">
      <formula>"Napkin Hs"</formula>
    </cfRule>
    <cfRule type="cellIs" dxfId="10433" priority="12695" stopIfTrue="1" operator="equal">
      <formula>"Towel"</formula>
    </cfRule>
    <cfRule type="cellIs" dxfId="10432" priority="12696" stopIfTrue="1" operator="equal">
      <formula>"Napkin Hs"</formula>
    </cfRule>
    <cfRule type="cellIs" dxfId="10431" priority="12701" stopIfTrue="1" operator="equal">
      <formula>"Towel"</formula>
    </cfRule>
    <cfRule type="cellIs" dxfId="10430" priority="12702" stopIfTrue="1" operator="equal">
      <formula>"Napkin Hs"</formula>
    </cfRule>
    <cfRule type="cellIs" dxfId="10429" priority="12707" stopIfTrue="1" operator="equal">
      <formula>"Towel"</formula>
    </cfRule>
    <cfRule type="cellIs" dxfId="10428" priority="12708" stopIfTrue="1" operator="equal">
      <formula>"Napkin Hs"</formula>
    </cfRule>
  </conditionalFormatting>
  <conditionalFormatting sqref="C43">
    <cfRule type="cellIs" dxfId="10427" priority="12768" stopIfTrue="1" operator="equal">
      <formula>"Napkin Hs"</formula>
    </cfRule>
  </conditionalFormatting>
  <conditionalFormatting sqref="C43">
    <cfRule type="cellIs" dxfId="10426" priority="12767" stopIfTrue="1" operator="equal">
      <formula>"Towel"</formula>
    </cfRule>
  </conditionalFormatting>
  <conditionalFormatting sqref="C43">
    <cfRule type="cellIs" dxfId="10425" priority="12755" stopIfTrue="1" operator="equal">
      <formula>"Towel"</formula>
    </cfRule>
    <cfRule type="cellIs" dxfId="10424" priority="12756" stopIfTrue="1" operator="equal">
      <formula>"Napkin Hs"</formula>
    </cfRule>
  </conditionalFormatting>
  <conditionalFormatting sqref="C43">
    <cfRule type="cellIs" dxfId="10423" priority="12753" stopIfTrue="1" operator="equal">
      <formula>"Towel"</formula>
    </cfRule>
    <cfRule type="cellIs" dxfId="10422" priority="12754" stopIfTrue="1" operator="equal">
      <formula>"Napkin Hs"</formula>
    </cfRule>
    <cfRule type="cellIs" dxfId="10421" priority="12765" stopIfTrue="1" operator="equal">
      <formula>"Towel"</formula>
    </cfRule>
    <cfRule type="cellIs" dxfId="10420" priority="12766" stopIfTrue="1" operator="equal">
      <formula>"Napkin Hs"</formula>
    </cfRule>
  </conditionalFormatting>
  <conditionalFormatting sqref="C43">
    <cfRule type="cellIs" dxfId="10419" priority="12709" stopIfTrue="1" operator="equal">
      <formula>"Towel"</formula>
    </cfRule>
    <cfRule type="cellIs" dxfId="10418" priority="12710" stopIfTrue="1" operator="equal">
      <formula>"Napkin Hs"</formula>
    </cfRule>
    <cfRule type="cellIs" dxfId="10417" priority="12723" stopIfTrue="1" operator="equal">
      <formula>"Towel"</formula>
    </cfRule>
    <cfRule type="cellIs" dxfId="10416" priority="12724" stopIfTrue="1" operator="equal">
      <formula>"Napkin Hs"</formula>
    </cfRule>
    <cfRule type="cellIs" dxfId="10415" priority="12725" stopIfTrue="1" operator="equal">
      <formula>"Towel"</formula>
    </cfRule>
    <cfRule type="cellIs" dxfId="10414" priority="12726" stopIfTrue="1" operator="equal">
      <formula>"Napkin Hs"</formula>
    </cfRule>
    <cfRule type="cellIs" dxfId="10413" priority="12729" stopIfTrue="1" operator="equal">
      <formula>"Towel"</formula>
    </cfRule>
    <cfRule type="cellIs" dxfId="10412" priority="12730" stopIfTrue="1" operator="equal">
      <formula>"Napkin Hs"</formula>
    </cfRule>
    <cfRule type="cellIs" dxfId="10411" priority="12731" stopIfTrue="1" operator="equal">
      <formula>"Towel"</formula>
    </cfRule>
    <cfRule type="cellIs" dxfId="10410" priority="12732" stopIfTrue="1" operator="equal">
      <formula>"Napkin Hs"</formula>
    </cfRule>
    <cfRule type="cellIs" dxfId="10409" priority="12741" stopIfTrue="1" operator="equal">
      <formula>"Towel"</formula>
    </cfRule>
    <cfRule type="cellIs" dxfId="10408" priority="12742" stopIfTrue="1" operator="equal">
      <formula>"Napkin Hs"</formula>
    </cfRule>
    <cfRule type="cellIs" dxfId="10407" priority="12743" stopIfTrue="1" operator="equal">
      <formula>"Towel"</formula>
    </cfRule>
    <cfRule type="cellIs" dxfId="10406" priority="12744" stopIfTrue="1" operator="equal">
      <formula>"Napkin Hs"</formula>
    </cfRule>
    <cfRule type="cellIs" dxfId="10405" priority="12747" stopIfTrue="1" operator="equal">
      <formula>"Towel"</formula>
    </cfRule>
    <cfRule type="cellIs" dxfId="10404" priority="12748" stopIfTrue="1" operator="equal">
      <formula>"Napkin Hs"</formula>
    </cfRule>
    <cfRule type="cellIs" dxfId="10403" priority="12749" stopIfTrue="1" operator="equal">
      <formula>"Towel"</formula>
    </cfRule>
    <cfRule type="cellIs" dxfId="10402" priority="12750" stopIfTrue="1" operator="equal">
      <formula>"Napkin Hs"</formula>
    </cfRule>
  </conditionalFormatting>
  <conditionalFormatting sqref="C43:C44">
    <cfRule type="cellIs" dxfId="10401" priority="12705" stopIfTrue="1" operator="equal">
      <formula>"Towel"</formula>
    </cfRule>
    <cfRule type="cellIs" dxfId="10400" priority="12706" stopIfTrue="1" operator="equal">
      <formula>"Napkin Hs"</formula>
    </cfRule>
  </conditionalFormatting>
  <conditionalFormatting sqref="C44">
    <cfRule type="cellIs" dxfId="10399" priority="12667" stopIfTrue="1" operator="equal">
      <formula>"Towel"</formula>
    </cfRule>
    <cfRule type="cellIs" dxfId="10398" priority="12668" stopIfTrue="1" operator="equal">
      <formula>"Napkin Hs"</formula>
    </cfRule>
    <cfRule type="cellIs" dxfId="10397" priority="12669" stopIfTrue="1" operator="equal">
      <formula>"Towel"</formula>
    </cfRule>
    <cfRule type="cellIs" dxfId="10396" priority="12670" stopIfTrue="1" operator="equal">
      <formula>"Napkin Hs"</formula>
    </cfRule>
    <cfRule type="cellIs" dxfId="10395" priority="12673" stopIfTrue="1" operator="equal">
      <formula>"Towel"</formula>
    </cfRule>
    <cfRule type="cellIs" dxfId="10394" priority="12674" stopIfTrue="1" operator="equal">
      <formula>"Napkin Hs"</formula>
    </cfRule>
    <cfRule type="cellIs" dxfId="10393" priority="12675" stopIfTrue="1" operator="equal">
      <formula>"Towel"</formula>
    </cfRule>
    <cfRule type="cellIs" dxfId="10392" priority="12676" stopIfTrue="1" operator="equal">
      <formula>"Napkin Hs"</formula>
    </cfRule>
    <cfRule type="cellIs" dxfId="10391" priority="12679" stopIfTrue="1" operator="equal">
      <formula>"Towel"</formula>
    </cfRule>
    <cfRule type="cellIs" dxfId="10390" priority="12680" stopIfTrue="1" operator="equal">
      <formula>"Napkin Hs"</formula>
    </cfRule>
    <cfRule type="cellIs" dxfId="10389" priority="12681" stopIfTrue="1" operator="equal">
      <formula>"Towel"</formula>
    </cfRule>
    <cfRule type="cellIs" dxfId="10388" priority="12682" stopIfTrue="1" operator="equal">
      <formula>"Napkin Hs"</formula>
    </cfRule>
    <cfRule type="cellIs" dxfId="10387" priority="12685" stopIfTrue="1" operator="equal">
      <formula>"Towel"</formula>
    </cfRule>
    <cfRule type="cellIs" dxfId="10386" priority="12686" stopIfTrue="1" operator="equal">
      <formula>"Napkin Hs"</formula>
    </cfRule>
    <cfRule type="cellIs" dxfId="10385" priority="12687" stopIfTrue="1" operator="equal">
      <formula>"Towel"</formula>
    </cfRule>
    <cfRule type="cellIs" dxfId="10384" priority="12688" stopIfTrue="1" operator="equal">
      <formula>"Napkin Hs"</formula>
    </cfRule>
    <cfRule type="cellIs" dxfId="10383" priority="12691" stopIfTrue="1" operator="equal">
      <formula>"Towel"</formula>
    </cfRule>
    <cfRule type="cellIs" dxfId="10382" priority="12692" stopIfTrue="1" operator="equal">
      <formula>"Napkin Hs"</formula>
    </cfRule>
    <cfRule type="cellIs" dxfId="10381" priority="12693" stopIfTrue="1" operator="equal">
      <formula>"Towel"</formula>
    </cfRule>
    <cfRule type="cellIs" dxfId="10380" priority="12694" stopIfTrue="1" operator="equal">
      <formula>"Napkin Hs"</formula>
    </cfRule>
    <cfRule type="cellIs" dxfId="10379" priority="12697" stopIfTrue="1" operator="equal">
      <formula>"Towel"</formula>
    </cfRule>
    <cfRule type="cellIs" dxfId="10378" priority="12698" stopIfTrue="1" operator="equal">
      <formula>"Napkin Hs"</formula>
    </cfRule>
    <cfRule type="cellIs" dxfId="10377" priority="12699" stopIfTrue="1" operator="equal">
      <formula>"Towel"</formula>
    </cfRule>
    <cfRule type="cellIs" dxfId="10376" priority="12700" stopIfTrue="1" operator="equal">
      <formula>"Napkin Hs"</formula>
    </cfRule>
    <cfRule type="cellIs" dxfId="10375" priority="12703" stopIfTrue="1" operator="equal">
      <formula>"Towel"</formula>
    </cfRule>
    <cfRule type="cellIs" dxfId="10374" priority="12704" stopIfTrue="1" operator="equal">
      <formula>"Napkin Hs"</formula>
    </cfRule>
  </conditionalFormatting>
  <conditionalFormatting sqref="C43">
    <cfRule type="cellIs" dxfId="10373" priority="12623" stopIfTrue="1" operator="equal">
      <formula>"Towel"</formula>
    </cfRule>
    <cfRule type="cellIs" dxfId="10372" priority="12624" stopIfTrue="1" operator="equal">
      <formula>"Napkin Hs"</formula>
    </cfRule>
    <cfRule type="cellIs" dxfId="10371" priority="12645" stopIfTrue="1" operator="equal">
      <formula>"Towel"</formula>
    </cfRule>
    <cfRule type="cellIs" dxfId="10370" priority="12646" stopIfTrue="1" operator="equal">
      <formula>"Napkin Hs"</formula>
    </cfRule>
    <cfRule type="cellIs" dxfId="10369" priority="12651" stopIfTrue="1" operator="equal">
      <formula>"Towel"</formula>
    </cfRule>
    <cfRule type="cellIs" dxfId="10368" priority="12652" stopIfTrue="1" operator="equal">
      <formula>"Napkin Hs"</formula>
    </cfRule>
    <cfRule type="cellIs" dxfId="10367" priority="12665" stopIfTrue="1" operator="equal">
      <formula>"Towel"</formula>
    </cfRule>
    <cfRule type="cellIs" dxfId="10366" priority="12666" stopIfTrue="1" operator="equal">
      <formula>"Napkin Hs"</formula>
    </cfRule>
  </conditionalFormatting>
  <conditionalFormatting sqref="B44:C44">
    <cfRule type="cellIs" dxfId="10365" priority="12627" stopIfTrue="1" operator="equal">
      <formula>"Towel"</formula>
    </cfRule>
    <cfRule type="cellIs" dxfId="10364" priority="12628" stopIfTrue="1" operator="equal">
      <formula>"Napkin Hs"</formula>
    </cfRule>
    <cfRule type="cellIs" dxfId="10363" priority="12641" stopIfTrue="1" operator="equal">
      <formula>"Towel"</formula>
    </cfRule>
    <cfRule type="cellIs" dxfId="10362" priority="12642" stopIfTrue="1" operator="equal">
      <formula>"Napkin Hs"</formula>
    </cfRule>
    <cfRule type="cellIs" dxfId="10361" priority="12661" stopIfTrue="1" operator="equal">
      <formula>"Towel"</formula>
    </cfRule>
    <cfRule type="cellIs" dxfId="10360" priority="12662" stopIfTrue="1" operator="equal">
      <formula>"Napkin Hs"</formula>
    </cfRule>
  </conditionalFormatting>
  <conditionalFormatting sqref="C43">
    <cfRule type="cellIs" dxfId="10359" priority="12649" stopIfTrue="1" operator="equal">
      <formula>"Towel"</formula>
    </cfRule>
    <cfRule type="cellIs" dxfId="10358" priority="12650" stopIfTrue="1" operator="equal">
      <formula>"Napkin Hs"</formula>
    </cfRule>
    <cfRule type="cellIs" dxfId="10357" priority="12663" stopIfTrue="1" operator="equal">
      <formula>"Towel"</formula>
    </cfRule>
    <cfRule type="cellIs" dxfId="10356" priority="12664" stopIfTrue="1" operator="equal">
      <formula>"Napkin Hs"</formula>
    </cfRule>
  </conditionalFormatting>
  <conditionalFormatting sqref="C43">
    <cfRule type="cellIs" dxfId="10355" priority="12619" stopIfTrue="1" operator="equal">
      <formula>"Towel"</formula>
    </cfRule>
    <cfRule type="cellIs" dxfId="10354" priority="12620" stopIfTrue="1" operator="equal">
      <formula>"Napkin Hs"</formula>
    </cfRule>
    <cfRule type="cellIs" dxfId="10353" priority="12643" stopIfTrue="1" operator="equal">
      <formula>"Towel"</formula>
    </cfRule>
    <cfRule type="cellIs" dxfId="10352" priority="12644" stopIfTrue="1" operator="equal">
      <formula>"Napkin Hs"</formula>
    </cfRule>
    <cfRule type="cellIs" dxfId="10351" priority="12647" stopIfTrue="1" operator="equal">
      <formula>"Towel"</formula>
    </cfRule>
    <cfRule type="cellIs" dxfId="10350" priority="12648" stopIfTrue="1" operator="equal">
      <formula>"Napkin Hs"</formula>
    </cfRule>
  </conditionalFormatting>
  <conditionalFormatting sqref="C43:C44">
    <cfRule type="cellIs" dxfId="10349" priority="12621" stopIfTrue="1" operator="equal">
      <formula>"Towel"</formula>
    </cfRule>
    <cfRule type="cellIs" dxfId="10348" priority="12622" stopIfTrue="1" operator="equal">
      <formula>"Napkin Hs"</formula>
    </cfRule>
    <cfRule type="cellIs" dxfId="10347" priority="12639" stopIfTrue="1" operator="equal">
      <formula>"Towel"</formula>
    </cfRule>
    <cfRule type="cellIs" dxfId="10346" priority="12640" stopIfTrue="1" operator="equal">
      <formula>"Napkin Hs"</formula>
    </cfRule>
    <cfRule type="cellIs" dxfId="10345" priority="12659" stopIfTrue="1" operator="equal">
      <formula>"Towel"</formula>
    </cfRule>
    <cfRule type="cellIs" dxfId="10344" priority="12660" stopIfTrue="1" operator="equal">
      <formula>"Napkin Hs"</formula>
    </cfRule>
  </conditionalFormatting>
  <conditionalFormatting sqref="C44">
    <cfRule type="cellIs" dxfId="10343" priority="12625" stopIfTrue="1" operator="equal">
      <formula>"Towel"</formula>
    </cfRule>
    <cfRule type="cellIs" dxfId="10342" priority="12626" stopIfTrue="1" operator="equal">
      <formula>"Napkin Hs"</formula>
    </cfRule>
    <cfRule type="cellIs" dxfId="10341" priority="12655" stopIfTrue="1" operator="equal">
      <formula>"Towel"</formula>
    </cfRule>
    <cfRule type="cellIs" dxfId="10340" priority="12656" stopIfTrue="1" operator="equal">
      <formula>"Napkin Hs"</formula>
    </cfRule>
  </conditionalFormatting>
  <conditionalFormatting sqref="C44">
    <cfRule type="cellIs" dxfId="10339" priority="12635" stopIfTrue="1" operator="equal">
      <formula>"Towel"</formula>
    </cfRule>
    <cfRule type="cellIs" dxfId="10338" priority="12636" stopIfTrue="1" operator="equal">
      <formula>"Napkin Hs"</formula>
    </cfRule>
  </conditionalFormatting>
  <conditionalFormatting sqref="B44:C44">
    <cfRule type="cellIs" dxfId="10337" priority="12617" stopIfTrue="1" operator="equal">
      <formula>"Towel"</formula>
    </cfRule>
    <cfRule type="cellIs" dxfId="10336" priority="12618" stopIfTrue="1" operator="equal">
      <formula>"Napkin Hs"</formula>
    </cfRule>
  </conditionalFormatting>
  <conditionalFormatting sqref="B44:C44">
    <cfRule type="cellIs" dxfId="10335" priority="12603" stopIfTrue="1" operator="equal">
      <formula>"Towel"</formula>
    </cfRule>
    <cfRule type="cellIs" dxfId="10334" priority="12604" stopIfTrue="1" operator="equal">
      <formula>"Napkin Hs"</formula>
    </cfRule>
  </conditionalFormatting>
  <conditionalFormatting sqref="C44">
    <cfRule type="cellIs" dxfId="10333" priority="12616" stopIfTrue="1" operator="equal">
      <formula>"Napkin Hs"</formula>
    </cfRule>
  </conditionalFormatting>
  <conditionalFormatting sqref="C44">
    <cfRule type="cellIs" dxfId="10332" priority="12611" stopIfTrue="1" operator="equal">
      <formula>"Towel"</formula>
    </cfRule>
    <cfRule type="cellIs" dxfId="10331" priority="12612" stopIfTrue="1" operator="equal">
      <formula>"Napkin Hs"</formula>
    </cfRule>
  </conditionalFormatting>
  <conditionalFormatting sqref="C44">
    <cfRule type="cellIs" dxfId="10330" priority="12599" stopIfTrue="1" operator="equal">
      <formula>"Towel"</formula>
    </cfRule>
    <cfRule type="cellIs" dxfId="10329" priority="12600" stopIfTrue="1" operator="equal">
      <formula>"Napkin Hs"</formula>
    </cfRule>
  </conditionalFormatting>
  <conditionalFormatting sqref="C44">
    <cfRule type="cellIs" dxfId="10328" priority="12601" stopIfTrue="1" operator="equal">
      <formula>"Towel"</formula>
    </cfRule>
    <cfRule type="cellIs" dxfId="10327" priority="12602" stopIfTrue="1" operator="equal">
      <formula>"Napkin Hs"</formula>
    </cfRule>
  </conditionalFormatting>
  <conditionalFormatting sqref="C44">
    <cfRule type="cellIs" dxfId="10326" priority="12615" stopIfTrue="1" operator="equal">
      <formula>"Towel"</formula>
    </cfRule>
  </conditionalFormatting>
  <conditionalFormatting sqref="B44:C44">
    <cfRule type="cellIs" dxfId="10325" priority="12593" stopIfTrue="1" operator="equal">
      <formula>"Towel"</formula>
    </cfRule>
    <cfRule type="cellIs" dxfId="10324" priority="12594" stopIfTrue="1" operator="equal">
      <formula>"Napkin Hs"</formula>
    </cfRule>
  </conditionalFormatting>
  <conditionalFormatting sqref="C44">
    <cfRule type="cellIs" dxfId="10323" priority="12589" stopIfTrue="1" operator="equal">
      <formula>"Towel"</formula>
    </cfRule>
    <cfRule type="cellIs" dxfId="10322" priority="12590" stopIfTrue="1" operator="equal">
      <formula>"Napkin Hs"</formula>
    </cfRule>
  </conditionalFormatting>
  <conditionalFormatting sqref="C44">
    <cfRule type="cellIs" dxfId="10321" priority="12591" stopIfTrue="1" operator="equal">
      <formula>"Towel"</formula>
    </cfRule>
    <cfRule type="cellIs" dxfId="10320" priority="12592" stopIfTrue="1" operator="equal">
      <formula>"Napkin Hs"</formula>
    </cfRule>
  </conditionalFormatting>
  <conditionalFormatting sqref="B44:C44">
    <cfRule type="cellIs" dxfId="10319" priority="12579" stopIfTrue="1" operator="equal">
      <formula>"Towel"</formula>
    </cfRule>
    <cfRule type="cellIs" dxfId="10318" priority="12580" stopIfTrue="1" operator="equal">
      <formula>"Napkin Hs"</formula>
    </cfRule>
  </conditionalFormatting>
  <conditionalFormatting sqref="C44">
    <cfRule type="cellIs" dxfId="10317" priority="12581" stopIfTrue="1" operator="equal">
      <formula>"Towel"</formula>
    </cfRule>
    <cfRule type="cellIs" dxfId="10316" priority="12582" stopIfTrue="1" operator="equal">
      <formula>"Napkin Hs"</formula>
    </cfRule>
  </conditionalFormatting>
  <conditionalFormatting sqref="C44">
    <cfRule type="cellIs" dxfId="10315" priority="12575" stopIfTrue="1" operator="equal">
      <formula>"Towel"</formula>
    </cfRule>
    <cfRule type="cellIs" dxfId="10314" priority="12576" stopIfTrue="1" operator="equal">
      <formula>"Napkin Hs"</formula>
    </cfRule>
  </conditionalFormatting>
  <conditionalFormatting sqref="C44">
    <cfRule type="cellIs" dxfId="10313" priority="12577" stopIfTrue="1" operator="equal">
      <formula>"Towel"</formula>
    </cfRule>
    <cfRule type="cellIs" dxfId="10312" priority="12578" stopIfTrue="1" operator="equal">
      <formula>"Napkin Hs"</formula>
    </cfRule>
  </conditionalFormatting>
  <conditionalFormatting sqref="B44:C44">
    <cfRule type="cellIs" dxfId="10311" priority="12573" stopIfTrue="1" operator="equal">
      <formula>"Towel"</formula>
    </cfRule>
    <cfRule type="cellIs" dxfId="10310" priority="12574" stopIfTrue="1" operator="equal">
      <formula>"Napkin Hs"</formula>
    </cfRule>
  </conditionalFormatting>
  <conditionalFormatting sqref="C44">
    <cfRule type="cellIs" dxfId="10309" priority="12572" stopIfTrue="1" operator="equal">
      <formula>"Napkin Hs"</formula>
    </cfRule>
  </conditionalFormatting>
  <conditionalFormatting sqref="C44">
    <cfRule type="cellIs" dxfId="10308" priority="12571" stopIfTrue="1" operator="equal">
      <formula>"Towel"</formula>
    </cfRule>
  </conditionalFormatting>
  <conditionalFormatting sqref="C43">
    <cfRule type="cellIs" dxfId="10307" priority="12569" stopIfTrue="1" operator="equal">
      <formula>"Towel"</formula>
    </cfRule>
    <cfRule type="cellIs" dxfId="10306" priority="12570" stopIfTrue="1" operator="equal">
      <formula>"Napkin Hs"</formula>
    </cfRule>
  </conditionalFormatting>
  <conditionalFormatting sqref="C43">
    <cfRule type="cellIs" dxfId="10305" priority="12565" stopIfTrue="1" operator="equal">
      <formula>"Towel"</formula>
    </cfRule>
    <cfRule type="cellIs" dxfId="10304" priority="12566" stopIfTrue="1" operator="equal">
      <formula>"Napkin Hs"</formula>
    </cfRule>
  </conditionalFormatting>
  <conditionalFormatting sqref="C43">
    <cfRule type="cellIs" dxfId="10303" priority="12567" stopIfTrue="1" operator="equal">
      <formula>"Towel"</formula>
    </cfRule>
    <cfRule type="cellIs" dxfId="10302" priority="12568" stopIfTrue="1" operator="equal">
      <formula>"Napkin Hs"</formula>
    </cfRule>
  </conditionalFormatting>
  <conditionalFormatting sqref="C43">
    <cfRule type="cellIs" dxfId="10301" priority="12563" stopIfTrue="1" operator="equal">
      <formula>"Towel"</formula>
    </cfRule>
    <cfRule type="cellIs" dxfId="10300" priority="12564" stopIfTrue="1" operator="equal">
      <formula>"Napkin Hs"</formula>
    </cfRule>
  </conditionalFormatting>
  <conditionalFormatting sqref="C43">
    <cfRule type="cellIs" dxfId="10299" priority="12559" stopIfTrue="1" operator="equal">
      <formula>"Towel"</formula>
    </cfRule>
    <cfRule type="cellIs" dxfId="10298" priority="12560" stopIfTrue="1" operator="equal">
      <formula>"Napkin Hs"</formula>
    </cfRule>
  </conditionalFormatting>
  <conditionalFormatting sqref="C43">
    <cfRule type="cellIs" dxfId="10297" priority="12561" stopIfTrue="1" operator="equal">
      <formula>"Towel"</formula>
    </cfRule>
    <cfRule type="cellIs" dxfId="10296" priority="12562" stopIfTrue="1" operator="equal">
      <formula>"Napkin Hs"</formula>
    </cfRule>
  </conditionalFormatting>
  <conditionalFormatting sqref="C43">
    <cfRule type="cellIs" dxfId="10295" priority="12557" stopIfTrue="1" operator="equal">
      <formula>"Towel"</formula>
    </cfRule>
    <cfRule type="cellIs" dxfId="10294" priority="12558" stopIfTrue="1" operator="equal">
      <formula>"Napkin Hs"</formula>
    </cfRule>
  </conditionalFormatting>
  <conditionalFormatting sqref="C43">
    <cfRule type="cellIs" dxfId="10293" priority="12553" stopIfTrue="1" operator="equal">
      <formula>"Towel"</formula>
    </cfRule>
    <cfRule type="cellIs" dxfId="10292" priority="12554" stopIfTrue="1" operator="equal">
      <formula>"Napkin Hs"</formula>
    </cfRule>
  </conditionalFormatting>
  <conditionalFormatting sqref="C43">
    <cfRule type="cellIs" dxfId="10291" priority="12555" stopIfTrue="1" operator="equal">
      <formula>"Towel"</formula>
    </cfRule>
    <cfRule type="cellIs" dxfId="10290" priority="12556" stopIfTrue="1" operator="equal">
      <formula>"Napkin Hs"</formula>
    </cfRule>
  </conditionalFormatting>
  <conditionalFormatting sqref="C43">
    <cfRule type="cellIs" dxfId="10289" priority="12551" stopIfTrue="1" operator="equal">
      <formula>"Towel"</formula>
    </cfRule>
    <cfRule type="cellIs" dxfId="10288" priority="12552" stopIfTrue="1" operator="equal">
      <formula>"Napkin Hs"</formula>
    </cfRule>
  </conditionalFormatting>
  <conditionalFormatting sqref="C43">
    <cfRule type="cellIs" dxfId="10287" priority="12549" stopIfTrue="1" operator="equal">
      <formula>"Towel"</formula>
    </cfRule>
    <cfRule type="cellIs" dxfId="10286" priority="12550" stopIfTrue="1" operator="equal">
      <formula>"Napkin Hs"</formula>
    </cfRule>
  </conditionalFormatting>
  <conditionalFormatting sqref="C43">
    <cfRule type="cellIs" dxfId="10285" priority="12547" stopIfTrue="1" operator="equal">
      <formula>"Towel"</formula>
    </cfRule>
    <cfRule type="cellIs" dxfId="10284" priority="12548" stopIfTrue="1" operator="equal">
      <formula>"Napkin Hs"</formula>
    </cfRule>
  </conditionalFormatting>
  <conditionalFormatting sqref="C43">
    <cfRule type="cellIs" dxfId="10283" priority="12545" stopIfTrue="1" operator="equal">
      <formula>"Towel"</formula>
    </cfRule>
    <cfRule type="cellIs" dxfId="10282" priority="12546" stopIfTrue="1" operator="equal">
      <formula>"Napkin Hs"</formula>
    </cfRule>
  </conditionalFormatting>
  <conditionalFormatting sqref="C43">
    <cfRule type="cellIs" dxfId="10281" priority="12544" stopIfTrue="1" operator="equal">
      <formula>"Napkin Hs"</formula>
    </cfRule>
  </conditionalFormatting>
  <conditionalFormatting sqref="C43">
    <cfRule type="cellIs" dxfId="10280" priority="12541" stopIfTrue="1" operator="equal">
      <formula>"Towel"</formula>
    </cfRule>
    <cfRule type="cellIs" dxfId="10279" priority="12542" stopIfTrue="1" operator="equal">
      <formula>"Napkin Hs"</formula>
    </cfRule>
  </conditionalFormatting>
  <conditionalFormatting sqref="C43">
    <cfRule type="cellIs" dxfId="10278" priority="12543" stopIfTrue="1" operator="equal">
      <formula>"Towel"</formula>
    </cfRule>
  </conditionalFormatting>
  <conditionalFormatting sqref="B43">
    <cfRule type="cellIs" dxfId="10277" priority="12539" stopIfTrue="1" operator="equal">
      <formula>"Towel"</formula>
    </cfRule>
    <cfRule type="cellIs" dxfId="10276" priority="12540" stopIfTrue="1" operator="equal">
      <formula>"Napkin Hs"</formula>
    </cfRule>
  </conditionalFormatting>
  <conditionalFormatting sqref="B43">
    <cfRule type="cellIs" dxfId="10275" priority="12537" stopIfTrue="1" operator="equal">
      <formula>"Towel"</formula>
    </cfRule>
    <cfRule type="cellIs" dxfId="10274" priority="12538" stopIfTrue="1" operator="equal">
      <formula>"Napkin Hs"</formula>
    </cfRule>
  </conditionalFormatting>
  <conditionalFormatting sqref="B43">
    <cfRule type="cellIs" dxfId="10273" priority="12535" stopIfTrue="1" operator="equal">
      <formula>"Towel"</formula>
    </cfRule>
    <cfRule type="cellIs" dxfId="10272" priority="12536" stopIfTrue="1" operator="equal">
      <formula>"Napkin Hs"</formula>
    </cfRule>
  </conditionalFormatting>
  <conditionalFormatting sqref="B43">
    <cfRule type="cellIs" dxfId="10271" priority="12533" stopIfTrue="1" operator="equal">
      <formula>"Towel"</formula>
    </cfRule>
    <cfRule type="cellIs" dxfId="10270" priority="12534" stopIfTrue="1" operator="equal">
      <formula>"Napkin Hs"</formula>
    </cfRule>
  </conditionalFormatting>
  <conditionalFormatting sqref="B43">
    <cfRule type="cellIs" dxfId="10269" priority="12531" stopIfTrue="1" operator="equal">
      <formula>"Towel"</formula>
    </cfRule>
    <cfRule type="cellIs" dxfId="10268" priority="12532" stopIfTrue="1" operator="equal">
      <formula>"Napkin Hs"</formula>
    </cfRule>
  </conditionalFormatting>
  <conditionalFormatting sqref="B42:C42">
    <cfRule type="cellIs" dxfId="10267" priority="12529" stopIfTrue="1" operator="equal">
      <formula>"Towel"</formula>
    </cfRule>
    <cfRule type="cellIs" dxfId="10266" priority="12530" stopIfTrue="1" operator="equal">
      <formula>"Napkin Hs"</formula>
    </cfRule>
  </conditionalFormatting>
  <conditionalFormatting sqref="B42:C42">
    <cfRule type="cellIs" dxfId="10265" priority="12521" stopIfTrue="1" operator="equal">
      <formula>"Towel"</formula>
    </cfRule>
    <cfRule type="cellIs" dxfId="10264" priority="12522" stopIfTrue="1" operator="equal">
      <formula>"Napkin Hs"</formula>
    </cfRule>
    <cfRule type="cellIs" dxfId="10263" priority="12527" stopIfTrue="1" operator="equal">
      <formula>"Towel"</formula>
    </cfRule>
    <cfRule type="cellIs" dxfId="10262" priority="12528" stopIfTrue="1" operator="equal">
      <formula>"Napkin Hs"</formula>
    </cfRule>
  </conditionalFormatting>
  <conditionalFormatting sqref="C42">
    <cfRule type="cellIs" dxfId="10261" priority="12517" stopIfTrue="1" operator="equal">
      <formula>"Towel"</formula>
    </cfRule>
    <cfRule type="cellIs" dxfId="10260" priority="12518" stopIfTrue="1" operator="equal">
      <formula>"Napkin Hs"</formula>
    </cfRule>
  </conditionalFormatting>
  <conditionalFormatting sqref="C42">
    <cfRule type="cellIs" dxfId="10259" priority="12515" stopIfTrue="1" operator="equal">
      <formula>"Towel"</formula>
    </cfRule>
    <cfRule type="cellIs" dxfId="10258" priority="12516" stopIfTrue="1" operator="equal">
      <formula>"Napkin Hs"</formula>
    </cfRule>
    <cfRule type="cellIs" dxfId="10257" priority="12525" stopIfTrue="1" operator="equal">
      <formula>"Towel"</formula>
    </cfRule>
    <cfRule type="cellIs" dxfId="10256" priority="12526" stopIfTrue="1" operator="equal">
      <formula>"Napkin Hs"</formula>
    </cfRule>
  </conditionalFormatting>
  <conditionalFormatting sqref="C42">
    <cfRule type="cellIs" dxfId="10255" priority="12519" stopIfTrue="1" operator="equal">
      <formula>"Towel"</formula>
    </cfRule>
    <cfRule type="cellIs" dxfId="10254" priority="12520" stopIfTrue="1" operator="equal">
      <formula>"Napkin Hs"</formula>
    </cfRule>
    <cfRule type="cellIs" dxfId="10253" priority="12523" stopIfTrue="1" operator="equal">
      <formula>"Towel"</formula>
    </cfRule>
    <cfRule type="cellIs" dxfId="10252" priority="12524" stopIfTrue="1" operator="equal">
      <formula>"Napkin Hs"</formula>
    </cfRule>
  </conditionalFormatting>
  <conditionalFormatting sqref="C42">
    <cfRule type="cellIs" dxfId="10251" priority="12514" stopIfTrue="1" operator="equal">
      <formula>"Napkin Hs"</formula>
    </cfRule>
  </conditionalFormatting>
  <conditionalFormatting sqref="C42">
    <cfRule type="cellIs" dxfId="10250" priority="12513" stopIfTrue="1" operator="equal">
      <formula>"Towel"</formula>
    </cfRule>
  </conditionalFormatting>
  <conditionalFormatting sqref="C42">
    <cfRule type="cellIs" dxfId="10249" priority="12509" stopIfTrue="1" operator="equal">
      <formula>"Towel"</formula>
    </cfRule>
    <cfRule type="cellIs" dxfId="10248" priority="12510" stopIfTrue="1" operator="equal">
      <formula>"Napkin Hs"</formula>
    </cfRule>
    <cfRule type="cellIs" dxfId="10247" priority="12511" stopIfTrue="1" operator="equal">
      <formula>"Towel"</formula>
    </cfRule>
    <cfRule type="cellIs" dxfId="10246" priority="12512" stopIfTrue="1" operator="equal">
      <formula>"Napkin Hs"</formula>
    </cfRule>
  </conditionalFormatting>
  <conditionalFormatting sqref="B42:C42">
    <cfRule type="cellIs" dxfId="10245" priority="12507" stopIfTrue="1" operator="equal">
      <formula>"Towel"</formula>
    </cfRule>
    <cfRule type="cellIs" dxfId="10244" priority="12508" stopIfTrue="1" operator="equal">
      <formula>"Napkin Hs"</formula>
    </cfRule>
  </conditionalFormatting>
  <conditionalFormatting sqref="C42">
    <cfRule type="cellIs" dxfId="10243" priority="12503" stopIfTrue="1" operator="equal">
      <formula>"Towel"</formula>
    </cfRule>
    <cfRule type="cellIs" dxfId="10242" priority="12504" stopIfTrue="1" operator="equal">
      <formula>"Napkin Hs"</formula>
    </cfRule>
  </conditionalFormatting>
  <conditionalFormatting sqref="C42">
    <cfRule type="cellIs" dxfId="10241" priority="12505" stopIfTrue="1" operator="equal">
      <formula>"Towel"</formula>
    </cfRule>
    <cfRule type="cellIs" dxfId="10240" priority="12506" stopIfTrue="1" operator="equal">
      <formula>"Napkin Hs"</formula>
    </cfRule>
  </conditionalFormatting>
  <conditionalFormatting sqref="B42:C42">
    <cfRule type="cellIs" dxfId="10239" priority="12501" stopIfTrue="1" operator="equal">
      <formula>"Towel"</formula>
    </cfRule>
    <cfRule type="cellIs" dxfId="10238" priority="12502" stopIfTrue="1" operator="equal">
      <formula>"Napkin Hs"</formula>
    </cfRule>
  </conditionalFormatting>
  <conditionalFormatting sqref="C42">
    <cfRule type="cellIs" dxfId="10237" priority="12497" stopIfTrue="1" operator="equal">
      <formula>"Towel"</formula>
    </cfRule>
    <cfRule type="cellIs" dxfId="10236" priority="12498" stopIfTrue="1" operator="equal">
      <formula>"Napkin Hs"</formula>
    </cfRule>
  </conditionalFormatting>
  <conditionalFormatting sqref="C42">
    <cfRule type="cellIs" dxfId="10235" priority="12499" stopIfTrue="1" operator="equal">
      <formula>"Towel"</formula>
    </cfRule>
    <cfRule type="cellIs" dxfId="10234" priority="12500" stopIfTrue="1" operator="equal">
      <formula>"Napkin Hs"</formula>
    </cfRule>
  </conditionalFormatting>
  <conditionalFormatting sqref="B42:C42">
    <cfRule type="cellIs" dxfId="10233" priority="12495" stopIfTrue="1" operator="equal">
      <formula>"Towel"</formula>
    </cfRule>
    <cfRule type="cellIs" dxfId="10232" priority="12496" stopIfTrue="1" operator="equal">
      <formula>"Napkin Hs"</formula>
    </cfRule>
  </conditionalFormatting>
  <conditionalFormatting sqref="C42">
    <cfRule type="cellIs" dxfId="10231" priority="12491" stopIfTrue="1" operator="equal">
      <formula>"Towel"</formula>
    </cfRule>
    <cfRule type="cellIs" dxfId="10230" priority="12492" stopIfTrue="1" operator="equal">
      <formula>"Napkin Hs"</formula>
    </cfRule>
  </conditionalFormatting>
  <conditionalFormatting sqref="C42">
    <cfRule type="cellIs" dxfId="10229" priority="12493" stopIfTrue="1" operator="equal">
      <formula>"Towel"</formula>
    </cfRule>
    <cfRule type="cellIs" dxfId="10228" priority="12494" stopIfTrue="1" operator="equal">
      <formula>"Napkin Hs"</formula>
    </cfRule>
  </conditionalFormatting>
  <conditionalFormatting sqref="B42:C42">
    <cfRule type="cellIs" dxfId="10227" priority="12489" stopIfTrue="1" operator="equal">
      <formula>"Towel"</formula>
    </cfRule>
    <cfRule type="cellIs" dxfId="10226" priority="12490" stopIfTrue="1" operator="equal">
      <formula>"Napkin Hs"</formula>
    </cfRule>
  </conditionalFormatting>
  <conditionalFormatting sqref="C42">
    <cfRule type="cellIs" dxfId="10225" priority="12487" stopIfTrue="1" operator="equal">
      <formula>"Towel"</formula>
    </cfRule>
    <cfRule type="cellIs" dxfId="10224" priority="12488" stopIfTrue="1" operator="equal">
      <formula>"Napkin Hs"</formula>
    </cfRule>
  </conditionalFormatting>
  <conditionalFormatting sqref="C42">
    <cfRule type="cellIs" dxfId="10223" priority="12485" stopIfTrue="1" operator="equal">
      <formula>"Towel"</formula>
    </cfRule>
    <cfRule type="cellIs" dxfId="10222" priority="12486" stopIfTrue="1" operator="equal">
      <formula>"Napkin Hs"</formula>
    </cfRule>
  </conditionalFormatting>
  <conditionalFormatting sqref="B42:C42">
    <cfRule type="cellIs" dxfId="10221" priority="12483" stopIfTrue="1" operator="equal">
      <formula>"Towel"</formula>
    </cfRule>
    <cfRule type="cellIs" dxfId="10220" priority="12484" stopIfTrue="1" operator="equal">
      <formula>"Napkin Hs"</formula>
    </cfRule>
  </conditionalFormatting>
  <conditionalFormatting sqref="C42">
    <cfRule type="cellIs" dxfId="10219" priority="12482" stopIfTrue="1" operator="equal">
      <formula>"Napkin Hs"</formula>
    </cfRule>
  </conditionalFormatting>
  <conditionalFormatting sqref="C42">
    <cfRule type="cellIs" dxfId="10218" priority="12479" stopIfTrue="1" operator="equal">
      <formula>"Towel"</formula>
    </cfRule>
    <cfRule type="cellIs" dxfId="10217" priority="12480" stopIfTrue="1" operator="equal">
      <formula>"Napkin Hs"</formula>
    </cfRule>
  </conditionalFormatting>
  <conditionalFormatting sqref="C42">
    <cfRule type="cellIs" dxfId="10216" priority="12481" stopIfTrue="1" operator="equal">
      <formula>"Towel"</formula>
    </cfRule>
  </conditionalFormatting>
  <conditionalFormatting sqref="B41:C41">
    <cfRule type="cellIs" dxfId="10215" priority="12465" stopIfTrue="1" operator="equal">
      <formula>"Towel"</formula>
    </cfRule>
    <cfRule type="cellIs" dxfId="10214" priority="12466" stopIfTrue="1" operator="equal">
      <formula>"Napkin Hs"</formula>
    </cfRule>
    <cfRule type="cellIs" dxfId="10213" priority="12471" stopIfTrue="1" operator="equal">
      <formula>"Towel"</formula>
    </cfRule>
    <cfRule type="cellIs" dxfId="10212" priority="12472" stopIfTrue="1" operator="equal">
      <formula>"Napkin Hs"</formula>
    </cfRule>
    <cfRule type="cellIs" dxfId="10211" priority="12477" stopIfTrue="1" operator="equal">
      <formula>"Towel"</formula>
    </cfRule>
    <cfRule type="cellIs" dxfId="10210" priority="12478" stopIfTrue="1" operator="equal">
      <formula>"Napkin Hs"</formula>
    </cfRule>
  </conditionalFormatting>
  <conditionalFormatting sqref="C41">
    <cfRule type="cellIs" dxfId="10209" priority="12459" stopIfTrue="1" operator="equal">
      <formula>"Towel"</formula>
    </cfRule>
    <cfRule type="cellIs" dxfId="10208" priority="12460" stopIfTrue="1" operator="equal">
      <formula>"Napkin Hs"</formula>
    </cfRule>
    <cfRule type="cellIs" dxfId="10207" priority="12461" stopIfTrue="1" operator="equal">
      <formula>"Towel"</formula>
    </cfRule>
    <cfRule type="cellIs" dxfId="10206" priority="12462" stopIfTrue="1" operator="equal">
      <formula>"Napkin Hs"</formula>
    </cfRule>
    <cfRule type="cellIs" dxfId="10205" priority="12469" stopIfTrue="1" operator="equal">
      <formula>"Towel"</formula>
    </cfRule>
    <cfRule type="cellIs" dxfId="10204" priority="12470" stopIfTrue="1" operator="equal">
      <formula>"Napkin Hs"</formula>
    </cfRule>
    <cfRule type="cellIs" dxfId="10203" priority="12473" stopIfTrue="1" operator="equal">
      <formula>"Towel"</formula>
    </cfRule>
    <cfRule type="cellIs" dxfId="10202" priority="12474" stopIfTrue="1" operator="equal">
      <formula>"Napkin Hs"</formula>
    </cfRule>
  </conditionalFormatting>
  <conditionalFormatting sqref="C41">
    <cfRule type="cellIs" dxfId="10201" priority="12463" stopIfTrue="1" operator="equal">
      <formula>"Towel"</formula>
    </cfRule>
    <cfRule type="cellIs" dxfId="10200" priority="12464" stopIfTrue="1" operator="equal">
      <formula>"Napkin Hs"</formula>
    </cfRule>
    <cfRule type="cellIs" dxfId="10199" priority="12467" stopIfTrue="1" operator="equal">
      <formula>"Towel"</formula>
    </cfRule>
    <cfRule type="cellIs" dxfId="10198" priority="12468" stopIfTrue="1" operator="equal">
      <formula>"Napkin Hs"</formula>
    </cfRule>
    <cfRule type="cellIs" dxfId="10197" priority="12475" stopIfTrue="1" operator="equal">
      <formula>"Towel"</formula>
    </cfRule>
    <cfRule type="cellIs" dxfId="10196" priority="12476" stopIfTrue="1" operator="equal">
      <formula>"Napkin Hs"</formula>
    </cfRule>
  </conditionalFormatting>
  <conditionalFormatting sqref="B41:C41">
    <cfRule type="cellIs" dxfId="10195" priority="12457" stopIfTrue="1" operator="equal">
      <formula>"Towel"</formula>
    </cfRule>
    <cfRule type="cellIs" dxfId="10194" priority="12458" stopIfTrue="1" operator="equal">
      <formula>"Napkin Hs"</formula>
    </cfRule>
  </conditionalFormatting>
  <conditionalFormatting sqref="B41:C41">
    <cfRule type="cellIs" dxfId="10193" priority="12449" stopIfTrue="1" operator="equal">
      <formula>"Towel"</formula>
    </cfRule>
    <cfRule type="cellIs" dxfId="10192" priority="12450" stopIfTrue="1" operator="equal">
      <formula>"Napkin Hs"</formula>
    </cfRule>
    <cfRule type="cellIs" dxfId="10191" priority="12455" stopIfTrue="1" operator="equal">
      <formula>"Towel"</formula>
    </cfRule>
    <cfRule type="cellIs" dxfId="10190" priority="12456" stopIfTrue="1" operator="equal">
      <formula>"Napkin Hs"</formula>
    </cfRule>
  </conditionalFormatting>
  <conditionalFormatting sqref="C41">
    <cfRule type="cellIs" dxfId="10189" priority="12445" stopIfTrue="1" operator="equal">
      <formula>"Towel"</formula>
    </cfRule>
    <cfRule type="cellIs" dxfId="10188" priority="12446" stopIfTrue="1" operator="equal">
      <formula>"Napkin Hs"</formula>
    </cfRule>
  </conditionalFormatting>
  <conditionalFormatting sqref="C41">
    <cfRule type="cellIs" dxfId="10187" priority="12443" stopIfTrue="1" operator="equal">
      <formula>"Towel"</formula>
    </cfRule>
    <cfRule type="cellIs" dxfId="10186" priority="12444" stopIfTrue="1" operator="equal">
      <formula>"Napkin Hs"</formula>
    </cfRule>
    <cfRule type="cellIs" dxfId="10185" priority="12453" stopIfTrue="1" operator="equal">
      <formula>"Towel"</formula>
    </cfRule>
    <cfRule type="cellIs" dxfId="10184" priority="12454" stopIfTrue="1" operator="equal">
      <formula>"Napkin Hs"</formula>
    </cfRule>
  </conditionalFormatting>
  <conditionalFormatting sqref="C41">
    <cfRule type="cellIs" dxfId="10183" priority="12447" stopIfTrue="1" operator="equal">
      <formula>"Towel"</formula>
    </cfRule>
    <cfRule type="cellIs" dxfId="10182" priority="12448" stopIfTrue="1" operator="equal">
      <formula>"Napkin Hs"</formula>
    </cfRule>
    <cfRule type="cellIs" dxfId="10181" priority="12451" stopIfTrue="1" operator="equal">
      <formula>"Towel"</formula>
    </cfRule>
    <cfRule type="cellIs" dxfId="10180" priority="12452" stopIfTrue="1" operator="equal">
      <formula>"Napkin Hs"</formula>
    </cfRule>
  </conditionalFormatting>
  <conditionalFormatting sqref="C41">
    <cfRule type="cellIs" dxfId="10179" priority="12442" stopIfTrue="1" operator="equal">
      <formula>"Napkin Hs"</formula>
    </cfRule>
  </conditionalFormatting>
  <conditionalFormatting sqref="C41">
    <cfRule type="cellIs" dxfId="10178" priority="12441" stopIfTrue="1" operator="equal">
      <formula>"Towel"</formula>
    </cfRule>
  </conditionalFormatting>
  <conditionalFormatting sqref="C41">
    <cfRule type="cellIs" dxfId="10177" priority="12437" stopIfTrue="1" operator="equal">
      <formula>"Towel"</formula>
    </cfRule>
    <cfRule type="cellIs" dxfId="10176" priority="12438" stopIfTrue="1" operator="equal">
      <formula>"Napkin Hs"</formula>
    </cfRule>
    <cfRule type="cellIs" dxfId="10175" priority="12439" stopIfTrue="1" operator="equal">
      <formula>"Towel"</formula>
    </cfRule>
    <cfRule type="cellIs" dxfId="10174" priority="12440" stopIfTrue="1" operator="equal">
      <formula>"Napkin Hs"</formula>
    </cfRule>
  </conditionalFormatting>
  <conditionalFormatting sqref="B41:C41">
    <cfRule type="cellIs" dxfId="10173" priority="12435" stopIfTrue="1" operator="equal">
      <formula>"Towel"</formula>
    </cfRule>
    <cfRule type="cellIs" dxfId="10172" priority="12436" stopIfTrue="1" operator="equal">
      <formula>"Napkin Hs"</formula>
    </cfRule>
  </conditionalFormatting>
  <conditionalFormatting sqref="C41">
    <cfRule type="cellIs" dxfId="10171" priority="12431" stopIfTrue="1" operator="equal">
      <formula>"Towel"</formula>
    </cfRule>
    <cfRule type="cellIs" dxfId="10170" priority="12432" stopIfTrue="1" operator="equal">
      <formula>"Napkin Hs"</formula>
    </cfRule>
  </conditionalFormatting>
  <conditionalFormatting sqref="C41">
    <cfRule type="cellIs" dxfId="10169" priority="12433" stopIfTrue="1" operator="equal">
      <formula>"Towel"</formula>
    </cfRule>
    <cfRule type="cellIs" dxfId="10168" priority="12434" stopIfTrue="1" operator="equal">
      <formula>"Napkin Hs"</formula>
    </cfRule>
  </conditionalFormatting>
  <conditionalFormatting sqref="B41:C41">
    <cfRule type="cellIs" dxfId="10167" priority="12429" stopIfTrue="1" operator="equal">
      <formula>"Towel"</formula>
    </cfRule>
    <cfRule type="cellIs" dxfId="10166" priority="12430" stopIfTrue="1" operator="equal">
      <formula>"Napkin Hs"</formula>
    </cfRule>
  </conditionalFormatting>
  <conditionalFormatting sqref="C41">
    <cfRule type="cellIs" dxfId="10165" priority="12425" stopIfTrue="1" operator="equal">
      <formula>"Towel"</formula>
    </cfRule>
    <cfRule type="cellIs" dxfId="10164" priority="12426" stopIfTrue="1" operator="equal">
      <formula>"Napkin Hs"</formula>
    </cfRule>
  </conditionalFormatting>
  <conditionalFormatting sqref="C41">
    <cfRule type="cellIs" dxfId="10163" priority="12427" stopIfTrue="1" operator="equal">
      <formula>"Towel"</formula>
    </cfRule>
    <cfRule type="cellIs" dxfId="10162" priority="12428" stopIfTrue="1" operator="equal">
      <formula>"Napkin Hs"</formula>
    </cfRule>
  </conditionalFormatting>
  <conditionalFormatting sqref="B41:C41">
    <cfRule type="cellIs" dxfId="10161" priority="12423" stopIfTrue="1" operator="equal">
      <formula>"Towel"</formula>
    </cfRule>
    <cfRule type="cellIs" dxfId="10160" priority="12424" stopIfTrue="1" operator="equal">
      <formula>"Napkin Hs"</formula>
    </cfRule>
  </conditionalFormatting>
  <conditionalFormatting sqref="C41">
    <cfRule type="cellIs" dxfId="10159" priority="12419" stopIfTrue="1" operator="equal">
      <formula>"Towel"</formula>
    </cfRule>
    <cfRule type="cellIs" dxfId="10158" priority="12420" stopIfTrue="1" operator="equal">
      <formula>"Napkin Hs"</formula>
    </cfRule>
  </conditionalFormatting>
  <conditionalFormatting sqref="C41">
    <cfRule type="cellIs" dxfId="10157" priority="12421" stopIfTrue="1" operator="equal">
      <formula>"Towel"</formula>
    </cfRule>
    <cfRule type="cellIs" dxfId="10156" priority="12422" stopIfTrue="1" operator="equal">
      <formula>"Napkin Hs"</formula>
    </cfRule>
  </conditionalFormatting>
  <conditionalFormatting sqref="B41:C41">
    <cfRule type="cellIs" dxfId="10155" priority="12417" stopIfTrue="1" operator="equal">
      <formula>"Towel"</formula>
    </cfRule>
    <cfRule type="cellIs" dxfId="10154" priority="12418" stopIfTrue="1" operator="equal">
      <formula>"Napkin Hs"</formula>
    </cfRule>
  </conditionalFormatting>
  <conditionalFormatting sqref="C41">
    <cfRule type="cellIs" dxfId="10153" priority="12415" stopIfTrue="1" operator="equal">
      <formula>"Towel"</formula>
    </cfRule>
    <cfRule type="cellIs" dxfId="10152" priority="12416" stopIfTrue="1" operator="equal">
      <formula>"Napkin Hs"</formula>
    </cfRule>
  </conditionalFormatting>
  <conditionalFormatting sqref="C41">
    <cfRule type="cellIs" dxfId="10151" priority="12413" stopIfTrue="1" operator="equal">
      <formula>"Towel"</formula>
    </cfRule>
    <cfRule type="cellIs" dxfId="10150" priority="12414" stopIfTrue="1" operator="equal">
      <formula>"Napkin Hs"</formula>
    </cfRule>
  </conditionalFormatting>
  <conditionalFormatting sqref="B41:C41">
    <cfRule type="cellIs" dxfId="10149" priority="12411" stopIfTrue="1" operator="equal">
      <formula>"Towel"</formula>
    </cfRule>
    <cfRule type="cellIs" dxfId="10148" priority="12412" stopIfTrue="1" operator="equal">
      <formula>"Napkin Hs"</formula>
    </cfRule>
  </conditionalFormatting>
  <conditionalFormatting sqref="C41">
    <cfRule type="cellIs" dxfId="10147" priority="12410" stopIfTrue="1" operator="equal">
      <formula>"Napkin Hs"</formula>
    </cfRule>
  </conditionalFormatting>
  <conditionalFormatting sqref="C41">
    <cfRule type="cellIs" dxfId="10146" priority="12407" stopIfTrue="1" operator="equal">
      <formula>"Towel"</formula>
    </cfRule>
    <cfRule type="cellIs" dxfId="10145" priority="12408" stopIfTrue="1" operator="equal">
      <formula>"Napkin Hs"</formula>
    </cfRule>
  </conditionalFormatting>
  <conditionalFormatting sqref="C41">
    <cfRule type="cellIs" dxfId="10144" priority="12409" stopIfTrue="1" operator="equal">
      <formula>"Towel"</formula>
    </cfRule>
  </conditionalFormatting>
  <conditionalFormatting sqref="B49:C49">
    <cfRule type="cellIs" dxfId="10143" priority="12319" stopIfTrue="1" operator="equal">
      <formula>"Towel"</formula>
    </cfRule>
    <cfRule type="cellIs" dxfId="10142" priority="12320" stopIfTrue="1" operator="equal">
      <formula>"Napkin Hs"</formula>
    </cfRule>
    <cfRule type="cellIs" dxfId="10141" priority="12325" stopIfTrue="1" operator="equal">
      <formula>"Towel"</formula>
    </cfRule>
    <cfRule type="cellIs" dxfId="10140" priority="12326" stopIfTrue="1" operator="equal">
      <formula>"Napkin Hs"</formula>
    </cfRule>
    <cfRule type="cellIs" dxfId="10139" priority="12331" stopIfTrue="1" operator="equal">
      <formula>"Towel"</formula>
    </cfRule>
    <cfRule type="cellIs" dxfId="10138" priority="12332" stopIfTrue="1" operator="equal">
      <formula>"Napkin Hs"</formula>
    </cfRule>
    <cfRule type="cellIs" dxfId="10137" priority="12337" stopIfTrue="1" operator="equal">
      <formula>"Towel"</formula>
    </cfRule>
    <cfRule type="cellIs" dxfId="10136" priority="12338" stopIfTrue="1" operator="equal">
      <formula>"Napkin Hs"</formula>
    </cfRule>
    <cfRule type="cellIs" dxfId="10135" priority="12343" stopIfTrue="1" operator="equal">
      <formula>"Towel"</formula>
    </cfRule>
    <cfRule type="cellIs" dxfId="10134" priority="12344" stopIfTrue="1" operator="equal">
      <formula>"Napkin Hs"</formula>
    </cfRule>
    <cfRule type="cellIs" dxfId="10133" priority="12349" stopIfTrue="1" operator="equal">
      <formula>"Towel"</formula>
    </cfRule>
    <cfRule type="cellIs" dxfId="10132" priority="12350" stopIfTrue="1" operator="equal">
      <formula>"Napkin Hs"</formula>
    </cfRule>
    <cfRule type="cellIs" dxfId="10131" priority="12355" stopIfTrue="1" operator="equal">
      <formula>"Towel"</formula>
    </cfRule>
    <cfRule type="cellIs" dxfId="10130" priority="12356" stopIfTrue="1" operator="equal">
      <formula>"Napkin Hs"</formula>
    </cfRule>
    <cfRule type="cellIs" dxfId="10129" priority="12401" stopIfTrue="1" operator="equal">
      <formula>"Towel"</formula>
    </cfRule>
    <cfRule type="cellIs" dxfId="10128" priority="12402" stopIfTrue="1" operator="equal">
      <formula>"Napkin Hs"</formula>
    </cfRule>
  </conditionalFormatting>
  <conditionalFormatting sqref="C49">
    <cfRule type="cellIs" dxfId="10127" priority="12315" stopIfTrue="1" operator="equal">
      <formula>"Towel"</formula>
    </cfRule>
    <cfRule type="cellIs" dxfId="10126" priority="12316" stopIfTrue="1" operator="equal">
      <formula>"Napkin Hs"</formula>
    </cfRule>
  </conditionalFormatting>
  <conditionalFormatting sqref="C49">
    <cfRule type="cellIs" dxfId="10125" priority="12317" stopIfTrue="1" operator="equal">
      <formula>"Towel"</formula>
    </cfRule>
    <cfRule type="cellIs" dxfId="10124" priority="12318" stopIfTrue="1" operator="equal">
      <formula>"Napkin Hs"</formula>
    </cfRule>
    <cfRule type="cellIs" dxfId="10123" priority="12321" stopIfTrue="1" operator="equal">
      <formula>"Towel"</formula>
    </cfRule>
    <cfRule type="cellIs" dxfId="10122" priority="12322" stopIfTrue="1" operator="equal">
      <formula>"Napkin Hs"</formula>
    </cfRule>
    <cfRule type="cellIs" dxfId="10121" priority="12323" stopIfTrue="1" operator="equal">
      <formula>"Towel"</formula>
    </cfRule>
    <cfRule type="cellIs" dxfId="10120" priority="12324" stopIfTrue="1" operator="equal">
      <formula>"Napkin Hs"</formula>
    </cfRule>
    <cfRule type="cellIs" dxfId="10119" priority="12327" stopIfTrue="1" operator="equal">
      <formula>"Towel"</formula>
    </cfRule>
    <cfRule type="cellIs" dxfId="10118" priority="12328" stopIfTrue="1" operator="equal">
      <formula>"Napkin Hs"</formula>
    </cfRule>
    <cfRule type="cellIs" dxfId="10117" priority="12329" stopIfTrue="1" operator="equal">
      <formula>"Towel"</formula>
    </cfRule>
    <cfRule type="cellIs" dxfId="10116" priority="12330" stopIfTrue="1" operator="equal">
      <formula>"Napkin Hs"</formula>
    </cfRule>
    <cfRule type="cellIs" dxfId="10115" priority="12333" stopIfTrue="1" operator="equal">
      <formula>"Towel"</formula>
    </cfRule>
    <cfRule type="cellIs" dxfId="10114" priority="12334" stopIfTrue="1" operator="equal">
      <formula>"Napkin Hs"</formula>
    </cfRule>
    <cfRule type="cellIs" dxfId="10113" priority="12335" stopIfTrue="1" operator="equal">
      <formula>"Towel"</formula>
    </cfRule>
    <cfRule type="cellIs" dxfId="10112" priority="12336" stopIfTrue="1" operator="equal">
      <formula>"Napkin Hs"</formula>
    </cfRule>
    <cfRule type="cellIs" dxfId="10111" priority="12339" stopIfTrue="1" operator="equal">
      <formula>"Towel"</formula>
    </cfRule>
    <cfRule type="cellIs" dxfId="10110" priority="12340" stopIfTrue="1" operator="equal">
      <formula>"Napkin Hs"</formula>
    </cfRule>
    <cfRule type="cellIs" dxfId="10109" priority="12341" stopIfTrue="1" operator="equal">
      <formula>"Towel"</formula>
    </cfRule>
    <cfRule type="cellIs" dxfId="10108" priority="12342" stopIfTrue="1" operator="equal">
      <formula>"Napkin Hs"</formula>
    </cfRule>
    <cfRule type="cellIs" dxfId="10107" priority="12345" stopIfTrue="1" operator="equal">
      <formula>"Towel"</formula>
    </cfRule>
    <cfRule type="cellIs" dxfId="10106" priority="12346" stopIfTrue="1" operator="equal">
      <formula>"Napkin Hs"</formula>
    </cfRule>
    <cfRule type="cellIs" dxfId="10105" priority="12347" stopIfTrue="1" operator="equal">
      <formula>"Towel"</formula>
    </cfRule>
    <cfRule type="cellIs" dxfId="10104" priority="12348" stopIfTrue="1" operator="equal">
      <formula>"Napkin Hs"</formula>
    </cfRule>
    <cfRule type="cellIs" dxfId="10103" priority="12351" stopIfTrue="1" operator="equal">
      <formula>"Towel"</formula>
    </cfRule>
    <cfRule type="cellIs" dxfId="10102" priority="12352" stopIfTrue="1" operator="equal">
      <formula>"Napkin Hs"</formula>
    </cfRule>
  </conditionalFormatting>
  <conditionalFormatting sqref="C49">
    <cfRule type="cellIs" dxfId="10101" priority="12353" stopIfTrue="1" operator="equal">
      <formula>"Towel"</formula>
    </cfRule>
    <cfRule type="cellIs" dxfId="10100" priority="12354" stopIfTrue="1" operator="equal">
      <formula>"Napkin Hs"</formula>
    </cfRule>
  </conditionalFormatting>
  <conditionalFormatting sqref="C49">
    <cfRule type="cellIs" dxfId="10099" priority="12391" stopIfTrue="1" operator="equal">
      <formula>"Towel"</formula>
    </cfRule>
    <cfRule type="cellIs" dxfId="10098" priority="12392" stopIfTrue="1" operator="equal">
      <formula>"Napkin Hs"</formula>
    </cfRule>
    <cfRule type="cellIs" dxfId="10097" priority="12399" stopIfTrue="1" operator="equal">
      <formula>"Towel"</formula>
    </cfRule>
    <cfRule type="cellIs" dxfId="10096" priority="12400" stopIfTrue="1" operator="equal">
      <formula>"Napkin Hs"</formula>
    </cfRule>
  </conditionalFormatting>
  <conditionalFormatting sqref="B46:C46 B47">
    <cfRule type="cellIs" dxfId="10095" priority="12253" stopIfTrue="1" operator="equal">
      <formula>"Towel"</formula>
    </cfRule>
    <cfRule type="cellIs" dxfId="10094" priority="12254" stopIfTrue="1" operator="equal">
      <formula>"Napkin Hs"</formula>
    </cfRule>
    <cfRule type="cellIs" dxfId="10093" priority="12259" stopIfTrue="1" operator="equal">
      <formula>"Towel"</formula>
    </cfRule>
    <cfRule type="cellIs" dxfId="10092" priority="12260" stopIfTrue="1" operator="equal">
      <formula>"Napkin Hs"</formula>
    </cfRule>
    <cfRule type="cellIs" dxfId="10091" priority="12265" stopIfTrue="1" operator="equal">
      <formula>"Towel"</formula>
    </cfRule>
    <cfRule type="cellIs" dxfId="10090" priority="12266" stopIfTrue="1" operator="equal">
      <formula>"Napkin Hs"</formula>
    </cfRule>
  </conditionalFormatting>
  <conditionalFormatting sqref="B47:C48">
    <cfRule type="cellIs" dxfId="10089" priority="12209" stopIfTrue="1" operator="equal">
      <formula>"Towel"</formula>
    </cfRule>
    <cfRule type="cellIs" dxfId="10088" priority="12210" stopIfTrue="1" operator="equal">
      <formula>"Napkin Hs"</formula>
    </cfRule>
    <cfRule type="cellIs" dxfId="10087" priority="12215" stopIfTrue="1" operator="equal">
      <formula>"Towel"</formula>
    </cfRule>
    <cfRule type="cellIs" dxfId="10086" priority="12216" stopIfTrue="1" operator="equal">
      <formula>"Napkin Hs"</formula>
    </cfRule>
    <cfRule type="cellIs" dxfId="10085" priority="12221" stopIfTrue="1" operator="equal">
      <formula>"Towel"</formula>
    </cfRule>
    <cfRule type="cellIs" dxfId="10084" priority="12222" stopIfTrue="1" operator="equal">
      <formula>"Napkin Hs"</formula>
    </cfRule>
    <cfRule type="cellIs" dxfId="10083" priority="12227" stopIfTrue="1" operator="equal">
      <formula>"Towel"</formula>
    </cfRule>
    <cfRule type="cellIs" dxfId="10082" priority="12228" stopIfTrue="1" operator="equal">
      <formula>"Napkin Hs"</formula>
    </cfRule>
    <cfRule type="cellIs" dxfId="10081" priority="12233" stopIfTrue="1" operator="equal">
      <formula>"Towel"</formula>
    </cfRule>
    <cfRule type="cellIs" dxfId="10080" priority="12234" stopIfTrue="1" operator="equal">
      <formula>"Napkin Hs"</formula>
    </cfRule>
    <cfRule type="cellIs" dxfId="10079" priority="12239" stopIfTrue="1" operator="equal">
      <formula>"Towel"</formula>
    </cfRule>
    <cfRule type="cellIs" dxfId="10078" priority="12240" stopIfTrue="1" operator="equal">
      <formula>"Napkin Hs"</formula>
    </cfRule>
    <cfRule type="cellIs" dxfId="10077" priority="12245" stopIfTrue="1" operator="equal">
      <formula>"Towel"</formula>
    </cfRule>
    <cfRule type="cellIs" dxfId="10076" priority="12246" stopIfTrue="1" operator="equal">
      <formula>"Napkin Hs"</formula>
    </cfRule>
  </conditionalFormatting>
  <conditionalFormatting sqref="C46">
    <cfRule type="cellIs" dxfId="10075" priority="12247" stopIfTrue="1" operator="equal">
      <formula>"Towel"</formula>
    </cfRule>
    <cfRule type="cellIs" dxfId="10074" priority="12248" stopIfTrue="1" operator="equal">
      <formula>"Napkin Hs"</formula>
    </cfRule>
    <cfRule type="cellIs" dxfId="10073" priority="12249" stopIfTrue="1" operator="equal">
      <formula>"Towel"</formula>
    </cfRule>
    <cfRule type="cellIs" dxfId="10072" priority="12250" stopIfTrue="1" operator="equal">
      <formula>"Napkin Hs"</formula>
    </cfRule>
    <cfRule type="cellIs" dxfId="10071" priority="12257" stopIfTrue="1" operator="equal">
      <formula>"Towel"</formula>
    </cfRule>
    <cfRule type="cellIs" dxfId="10070" priority="12258" stopIfTrue="1" operator="equal">
      <formula>"Napkin Hs"</formula>
    </cfRule>
    <cfRule type="cellIs" dxfId="10069" priority="12261" stopIfTrue="1" operator="equal">
      <formula>"Towel"</formula>
    </cfRule>
    <cfRule type="cellIs" dxfId="10068" priority="12262" stopIfTrue="1" operator="equal">
      <formula>"Napkin Hs"</formula>
    </cfRule>
  </conditionalFormatting>
  <conditionalFormatting sqref="C46">
    <cfRule type="cellIs" dxfId="10067" priority="12251" stopIfTrue="1" operator="equal">
      <formula>"Towel"</formula>
    </cfRule>
    <cfRule type="cellIs" dxfId="10066" priority="12252" stopIfTrue="1" operator="equal">
      <formula>"Napkin Hs"</formula>
    </cfRule>
    <cfRule type="cellIs" dxfId="10065" priority="12255" stopIfTrue="1" operator="equal">
      <formula>"Towel"</formula>
    </cfRule>
    <cfRule type="cellIs" dxfId="10064" priority="12256" stopIfTrue="1" operator="equal">
      <formula>"Napkin Hs"</formula>
    </cfRule>
    <cfRule type="cellIs" dxfId="10063" priority="12263" stopIfTrue="1" operator="equal">
      <formula>"Towel"</formula>
    </cfRule>
    <cfRule type="cellIs" dxfId="10062" priority="12264" stopIfTrue="1" operator="equal">
      <formula>"Napkin Hs"</formula>
    </cfRule>
  </conditionalFormatting>
  <conditionalFormatting sqref="C47:C48">
    <cfRule type="cellIs" dxfId="10061" priority="12205" stopIfTrue="1" operator="equal">
      <formula>"Towel"</formula>
    </cfRule>
    <cfRule type="cellIs" dxfId="10060" priority="12206" stopIfTrue="1" operator="equal">
      <formula>"Napkin Hs"</formula>
    </cfRule>
    <cfRule type="cellIs" dxfId="10059" priority="12207" stopIfTrue="1" operator="equal">
      <formula>"Towel"</formula>
    </cfRule>
    <cfRule type="cellIs" dxfId="10058" priority="12208" stopIfTrue="1" operator="equal">
      <formula>"Napkin Hs"</formula>
    </cfRule>
    <cfRule type="cellIs" dxfId="10057" priority="12211" stopIfTrue="1" operator="equal">
      <formula>"Towel"</formula>
    </cfRule>
    <cfRule type="cellIs" dxfId="10056" priority="12212" stopIfTrue="1" operator="equal">
      <formula>"Napkin Hs"</formula>
    </cfRule>
    <cfRule type="cellIs" dxfId="10055" priority="12213" stopIfTrue="1" operator="equal">
      <formula>"Towel"</formula>
    </cfRule>
    <cfRule type="cellIs" dxfId="10054" priority="12214" stopIfTrue="1" operator="equal">
      <formula>"Napkin Hs"</formula>
    </cfRule>
    <cfRule type="cellIs" dxfId="10053" priority="12217" stopIfTrue="1" operator="equal">
      <formula>"Towel"</formula>
    </cfRule>
    <cfRule type="cellIs" dxfId="10052" priority="12218" stopIfTrue="1" operator="equal">
      <formula>"Napkin Hs"</formula>
    </cfRule>
    <cfRule type="cellIs" dxfId="10051" priority="12219" stopIfTrue="1" operator="equal">
      <formula>"Towel"</formula>
    </cfRule>
    <cfRule type="cellIs" dxfId="10050" priority="12220" stopIfTrue="1" operator="equal">
      <formula>"Napkin Hs"</formula>
    </cfRule>
    <cfRule type="cellIs" dxfId="10049" priority="12223" stopIfTrue="1" operator="equal">
      <formula>"Towel"</formula>
    </cfRule>
    <cfRule type="cellIs" dxfId="10048" priority="12224" stopIfTrue="1" operator="equal">
      <formula>"Napkin Hs"</formula>
    </cfRule>
    <cfRule type="cellIs" dxfId="10047" priority="12225" stopIfTrue="1" operator="equal">
      <formula>"Towel"</formula>
    </cfRule>
    <cfRule type="cellIs" dxfId="10046" priority="12226" stopIfTrue="1" operator="equal">
      <formula>"Napkin Hs"</formula>
    </cfRule>
    <cfRule type="cellIs" dxfId="10045" priority="12229" stopIfTrue="1" operator="equal">
      <formula>"Towel"</formula>
    </cfRule>
    <cfRule type="cellIs" dxfId="10044" priority="12230" stopIfTrue="1" operator="equal">
      <formula>"Napkin Hs"</formula>
    </cfRule>
    <cfRule type="cellIs" dxfId="10043" priority="12231" stopIfTrue="1" operator="equal">
      <formula>"Towel"</formula>
    </cfRule>
    <cfRule type="cellIs" dxfId="10042" priority="12232" stopIfTrue="1" operator="equal">
      <formula>"Napkin Hs"</formula>
    </cfRule>
    <cfRule type="cellIs" dxfId="10041" priority="12235" stopIfTrue="1" operator="equal">
      <formula>"Towel"</formula>
    </cfRule>
    <cfRule type="cellIs" dxfId="10040" priority="12236" stopIfTrue="1" operator="equal">
      <formula>"Napkin Hs"</formula>
    </cfRule>
    <cfRule type="cellIs" dxfId="10039" priority="12237" stopIfTrue="1" operator="equal">
      <formula>"Towel"</formula>
    </cfRule>
    <cfRule type="cellIs" dxfId="10038" priority="12238" stopIfTrue="1" operator="equal">
      <formula>"Napkin Hs"</formula>
    </cfRule>
    <cfRule type="cellIs" dxfId="10037" priority="12241" stopIfTrue="1" operator="equal">
      <formula>"Towel"</formula>
    </cfRule>
    <cfRule type="cellIs" dxfId="10036" priority="12242" stopIfTrue="1" operator="equal">
      <formula>"Napkin Hs"</formula>
    </cfRule>
  </conditionalFormatting>
  <conditionalFormatting sqref="C47:C48">
    <cfRule type="cellIs" dxfId="10035" priority="12243" stopIfTrue="1" operator="equal">
      <formula>"Towel"</formula>
    </cfRule>
    <cfRule type="cellIs" dxfId="10034" priority="12244" stopIfTrue="1" operator="equal">
      <formula>"Napkin Hs"</formula>
    </cfRule>
  </conditionalFormatting>
  <conditionalFormatting sqref="B47:C47">
    <cfRule type="cellIs" dxfId="10033" priority="12203" stopIfTrue="1" operator="equal">
      <formula>"Towel"</formula>
    </cfRule>
    <cfRule type="cellIs" dxfId="10032" priority="12204" stopIfTrue="1" operator="equal">
      <formula>"Napkin Hs"</formula>
    </cfRule>
  </conditionalFormatting>
  <conditionalFormatting sqref="B47:C47">
    <cfRule type="cellIs" dxfId="10031" priority="12167" stopIfTrue="1" operator="equal">
      <formula>"Towel"</formula>
    </cfRule>
    <cfRule type="cellIs" dxfId="10030" priority="12168" stopIfTrue="1" operator="equal">
      <formula>"Napkin Hs"</formula>
    </cfRule>
    <cfRule type="cellIs" dxfId="10029" priority="12173" stopIfTrue="1" operator="equal">
      <formula>"Towel"</formula>
    </cfRule>
    <cfRule type="cellIs" dxfId="10028" priority="12174" stopIfTrue="1" operator="equal">
      <formula>"Napkin Hs"</formula>
    </cfRule>
    <cfRule type="cellIs" dxfId="10027" priority="12179" stopIfTrue="1" operator="equal">
      <formula>"Towel"</formula>
    </cfRule>
    <cfRule type="cellIs" dxfId="10026" priority="12180" stopIfTrue="1" operator="equal">
      <formula>"Napkin Hs"</formula>
    </cfRule>
    <cfRule type="cellIs" dxfId="10025" priority="12185" stopIfTrue="1" operator="equal">
      <formula>"Towel"</formula>
    </cfRule>
    <cfRule type="cellIs" dxfId="10024" priority="12186" stopIfTrue="1" operator="equal">
      <formula>"Napkin Hs"</formula>
    </cfRule>
    <cfRule type="cellIs" dxfId="10023" priority="12191" stopIfTrue="1" operator="equal">
      <formula>"Towel"</formula>
    </cfRule>
    <cfRule type="cellIs" dxfId="10022" priority="12192" stopIfTrue="1" operator="equal">
      <formula>"Napkin Hs"</formula>
    </cfRule>
    <cfRule type="cellIs" dxfId="10021" priority="12197" stopIfTrue="1" operator="equal">
      <formula>"Towel"</formula>
    </cfRule>
    <cfRule type="cellIs" dxfId="10020" priority="12198" stopIfTrue="1" operator="equal">
      <formula>"Napkin Hs"</formula>
    </cfRule>
  </conditionalFormatting>
  <conditionalFormatting sqref="B48:C48">
    <cfRule type="cellIs" dxfId="10019" priority="12127" stopIfTrue="1" operator="equal">
      <formula>"Towel"</formula>
    </cfRule>
    <cfRule type="cellIs" dxfId="10018" priority="12128" stopIfTrue="1" operator="equal">
      <formula>"Napkin Hs"</formula>
    </cfRule>
    <cfRule type="cellIs" dxfId="10017" priority="12133" stopIfTrue="1" operator="equal">
      <formula>"Towel"</formula>
    </cfRule>
    <cfRule type="cellIs" dxfId="10016" priority="12134" stopIfTrue="1" operator="equal">
      <formula>"Napkin Hs"</formula>
    </cfRule>
    <cfRule type="cellIs" dxfId="10015" priority="12139" stopIfTrue="1" operator="equal">
      <formula>"Towel"</formula>
    </cfRule>
    <cfRule type="cellIs" dxfId="10014" priority="12140" stopIfTrue="1" operator="equal">
      <formula>"Napkin Hs"</formula>
    </cfRule>
    <cfRule type="cellIs" dxfId="10013" priority="12145" stopIfTrue="1" operator="equal">
      <formula>"Towel"</formula>
    </cfRule>
    <cfRule type="cellIs" dxfId="10012" priority="12146" stopIfTrue="1" operator="equal">
      <formula>"Napkin Hs"</formula>
    </cfRule>
    <cfRule type="cellIs" dxfId="10011" priority="12151" stopIfTrue="1" operator="equal">
      <formula>"Towel"</formula>
    </cfRule>
    <cfRule type="cellIs" dxfId="10010" priority="12152" stopIfTrue="1" operator="equal">
      <formula>"Napkin Hs"</formula>
    </cfRule>
    <cfRule type="cellIs" dxfId="10009" priority="12157" stopIfTrue="1" operator="equal">
      <formula>"Towel"</formula>
    </cfRule>
    <cfRule type="cellIs" dxfId="10008" priority="12158" stopIfTrue="1" operator="equal">
      <formula>"Napkin Hs"</formula>
    </cfRule>
    <cfRule type="cellIs" dxfId="10007" priority="12163" stopIfTrue="1" operator="equal">
      <formula>"Towel"</formula>
    </cfRule>
    <cfRule type="cellIs" dxfId="10006" priority="12164" stopIfTrue="1" operator="equal">
      <formula>"Napkin Hs"</formula>
    </cfRule>
  </conditionalFormatting>
  <conditionalFormatting sqref="C47">
    <cfRule type="cellIs" dxfId="10005" priority="12202" stopIfTrue="1" operator="equal">
      <formula>"Napkin Hs"</formula>
    </cfRule>
  </conditionalFormatting>
  <conditionalFormatting sqref="C47">
    <cfRule type="cellIs" dxfId="10004" priority="12201" stopIfTrue="1" operator="equal">
      <formula>"Towel"</formula>
    </cfRule>
  </conditionalFormatting>
  <conditionalFormatting sqref="C47">
    <cfRule type="cellIs" dxfId="10003" priority="12195" stopIfTrue="1" operator="equal">
      <formula>"Towel"</formula>
    </cfRule>
    <cfRule type="cellIs" dxfId="10002" priority="12196" stopIfTrue="1" operator="equal">
      <formula>"Napkin Hs"</formula>
    </cfRule>
  </conditionalFormatting>
  <conditionalFormatting sqref="C47">
    <cfRule type="cellIs" dxfId="10001" priority="12193" stopIfTrue="1" operator="equal">
      <formula>"Towel"</formula>
    </cfRule>
    <cfRule type="cellIs" dxfId="10000" priority="12194" stopIfTrue="1" operator="equal">
      <formula>"Napkin Hs"</formula>
    </cfRule>
    <cfRule type="cellIs" dxfId="9999" priority="12199" stopIfTrue="1" operator="equal">
      <formula>"Towel"</formula>
    </cfRule>
    <cfRule type="cellIs" dxfId="9998" priority="12200" stopIfTrue="1" operator="equal">
      <formula>"Napkin Hs"</formula>
    </cfRule>
  </conditionalFormatting>
  <conditionalFormatting sqref="C47">
    <cfRule type="cellIs" dxfId="9997" priority="12165" stopIfTrue="1" operator="equal">
      <formula>"Towel"</formula>
    </cfRule>
    <cfRule type="cellIs" dxfId="9996" priority="12166" stopIfTrue="1" operator="equal">
      <formula>"Napkin Hs"</formula>
    </cfRule>
    <cfRule type="cellIs" dxfId="9995" priority="12169" stopIfTrue="1" operator="equal">
      <formula>"Towel"</formula>
    </cfRule>
    <cfRule type="cellIs" dxfId="9994" priority="12170" stopIfTrue="1" operator="equal">
      <formula>"Napkin Hs"</formula>
    </cfRule>
    <cfRule type="cellIs" dxfId="9993" priority="12171" stopIfTrue="1" operator="equal">
      <formula>"Towel"</formula>
    </cfRule>
    <cfRule type="cellIs" dxfId="9992" priority="12172" stopIfTrue="1" operator="equal">
      <formula>"Napkin Hs"</formula>
    </cfRule>
    <cfRule type="cellIs" dxfId="9991" priority="12175" stopIfTrue="1" operator="equal">
      <formula>"Towel"</formula>
    </cfRule>
    <cfRule type="cellIs" dxfId="9990" priority="12176" stopIfTrue="1" operator="equal">
      <formula>"Napkin Hs"</formula>
    </cfRule>
    <cfRule type="cellIs" dxfId="9989" priority="12177" stopIfTrue="1" operator="equal">
      <formula>"Towel"</formula>
    </cfRule>
    <cfRule type="cellIs" dxfId="9988" priority="12178" stopIfTrue="1" operator="equal">
      <formula>"Napkin Hs"</formula>
    </cfRule>
    <cfRule type="cellIs" dxfId="9987" priority="12181" stopIfTrue="1" operator="equal">
      <formula>"Towel"</formula>
    </cfRule>
    <cfRule type="cellIs" dxfId="9986" priority="12182" stopIfTrue="1" operator="equal">
      <formula>"Napkin Hs"</formula>
    </cfRule>
    <cfRule type="cellIs" dxfId="9985" priority="12183" stopIfTrue="1" operator="equal">
      <formula>"Towel"</formula>
    </cfRule>
    <cfRule type="cellIs" dxfId="9984" priority="12184" stopIfTrue="1" operator="equal">
      <formula>"Napkin Hs"</formula>
    </cfRule>
    <cfRule type="cellIs" dxfId="9983" priority="12187" stopIfTrue="1" operator="equal">
      <formula>"Towel"</formula>
    </cfRule>
    <cfRule type="cellIs" dxfId="9982" priority="12188" stopIfTrue="1" operator="equal">
      <formula>"Napkin Hs"</formula>
    </cfRule>
    <cfRule type="cellIs" dxfId="9981" priority="12189" stopIfTrue="1" operator="equal">
      <formula>"Towel"</formula>
    </cfRule>
    <cfRule type="cellIs" dxfId="9980" priority="12190" stopIfTrue="1" operator="equal">
      <formula>"Napkin Hs"</formula>
    </cfRule>
  </conditionalFormatting>
  <conditionalFormatting sqref="C47:C48">
    <cfRule type="cellIs" dxfId="9979" priority="12161" stopIfTrue="1" operator="equal">
      <formula>"Towel"</formula>
    </cfRule>
    <cfRule type="cellIs" dxfId="9978" priority="12162" stopIfTrue="1" operator="equal">
      <formula>"Napkin Hs"</formula>
    </cfRule>
  </conditionalFormatting>
  <conditionalFormatting sqref="C48">
    <cfRule type="cellIs" dxfId="9977" priority="12123" stopIfTrue="1" operator="equal">
      <formula>"Towel"</formula>
    </cfRule>
    <cfRule type="cellIs" dxfId="9976" priority="12124" stopIfTrue="1" operator="equal">
      <formula>"Napkin Hs"</formula>
    </cfRule>
    <cfRule type="cellIs" dxfId="9975" priority="12125" stopIfTrue="1" operator="equal">
      <formula>"Towel"</formula>
    </cfRule>
    <cfRule type="cellIs" dxfId="9974" priority="12126" stopIfTrue="1" operator="equal">
      <formula>"Napkin Hs"</formula>
    </cfRule>
    <cfRule type="cellIs" dxfId="9973" priority="12129" stopIfTrue="1" operator="equal">
      <formula>"Towel"</formula>
    </cfRule>
    <cfRule type="cellIs" dxfId="9972" priority="12130" stopIfTrue="1" operator="equal">
      <formula>"Napkin Hs"</formula>
    </cfRule>
    <cfRule type="cellIs" dxfId="9971" priority="12131" stopIfTrue="1" operator="equal">
      <formula>"Towel"</formula>
    </cfRule>
    <cfRule type="cellIs" dxfId="9970" priority="12132" stopIfTrue="1" operator="equal">
      <formula>"Napkin Hs"</formula>
    </cfRule>
    <cfRule type="cellIs" dxfId="9969" priority="12135" stopIfTrue="1" operator="equal">
      <formula>"Towel"</formula>
    </cfRule>
    <cfRule type="cellIs" dxfId="9968" priority="12136" stopIfTrue="1" operator="equal">
      <formula>"Napkin Hs"</formula>
    </cfRule>
    <cfRule type="cellIs" dxfId="9967" priority="12137" stopIfTrue="1" operator="equal">
      <formula>"Towel"</formula>
    </cfRule>
    <cfRule type="cellIs" dxfId="9966" priority="12138" stopIfTrue="1" operator="equal">
      <formula>"Napkin Hs"</formula>
    </cfRule>
    <cfRule type="cellIs" dxfId="9965" priority="12141" stopIfTrue="1" operator="equal">
      <formula>"Towel"</formula>
    </cfRule>
    <cfRule type="cellIs" dxfId="9964" priority="12142" stopIfTrue="1" operator="equal">
      <formula>"Napkin Hs"</formula>
    </cfRule>
    <cfRule type="cellIs" dxfId="9963" priority="12143" stopIfTrue="1" operator="equal">
      <formula>"Towel"</formula>
    </cfRule>
    <cfRule type="cellIs" dxfId="9962" priority="12144" stopIfTrue="1" operator="equal">
      <formula>"Napkin Hs"</formula>
    </cfRule>
    <cfRule type="cellIs" dxfId="9961" priority="12147" stopIfTrue="1" operator="equal">
      <formula>"Towel"</formula>
    </cfRule>
    <cfRule type="cellIs" dxfId="9960" priority="12148" stopIfTrue="1" operator="equal">
      <formula>"Napkin Hs"</formula>
    </cfRule>
    <cfRule type="cellIs" dxfId="9959" priority="12149" stopIfTrue="1" operator="equal">
      <formula>"Towel"</formula>
    </cfRule>
    <cfRule type="cellIs" dxfId="9958" priority="12150" stopIfTrue="1" operator="equal">
      <formula>"Napkin Hs"</formula>
    </cfRule>
    <cfRule type="cellIs" dxfId="9957" priority="12153" stopIfTrue="1" operator="equal">
      <formula>"Towel"</formula>
    </cfRule>
    <cfRule type="cellIs" dxfId="9956" priority="12154" stopIfTrue="1" operator="equal">
      <formula>"Napkin Hs"</formula>
    </cfRule>
    <cfRule type="cellIs" dxfId="9955" priority="12155" stopIfTrue="1" operator="equal">
      <formula>"Towel"</formula>
    </cfRule>
    <cfRule type="cellIs" dxfId="9954" priority="12156" stopIfTrue="1" operator="equal">
      <formula>"Napkin Hs"</formula>
    </cfRule>
    <cfRule type="cellIs" dxfId="9953" priority="12159" stopIfTrue="1" operator="equal">
      <formula>"Towel"</formula>
    </cfRule>
    <cfRule type="cellIs" dxfId="9952" priority="12160" stopIfTrue="1" operator="equal">
      <formula>"Napkin Hs"</formula>
    </cfRule>
  </conditionalFormatting>
  <conditionalFormatting sqref="C47">
    <cfRule type="cellIs" dxfId="9951" priority="12091" stopIfTrue="1" operator="equal">
      <formula>"Towel"</formula>
    </cfRule>
    <cfRule type="cellIs" dxfId="9950" priority="12092" stopIfTrue="1" operator="equal">
      <formula>"Napkin Hs"</formula>
    </cfRule>
    <cfRule type="cellIs" dxfId="9949" priority="12105" stopIfTrue="1" operator="equal">
      <formula>"Towel"</formula>
    </cfRule>
    <cfRule type="cellIs" dxfId="9948" priority="12106" stopIfTrue="1" operator="equal">
      <formula>"Napkin Hs"</formula>
    </cfRule>
    <cfRule type="cellIs" dxfId="9947" priority="12111" stopIfTrue="1" operator="equal">
      <formula>"Towel"</formula>
    </cfRule>
    <cfRule type="cellIs" dxfId="9946" priority="12112" stopIfTrue="1" operator="equal">
      <formula>"Napkin Hs"</formula>
    </cfRule>
    <cfRule type="cellIs" dxfId="9945" priority="12121" stopIfTrue="1" operator="equal">
      <formula>"Towel"</formula>
    </cfRule>
    <cfRule type="cellIs" dxfId="9944" priority="12122" stopIfTrue="1" operator="equal">
      <formula>"Napkin Hs"</formula>
    </cfRule>
  </conditionalFormatting>
  <conditionalFormatting sqref="B48:C48">
    <cfRule type="cellIs" dxfId="9943" priority="12095" stopIfTrue="1" operator="equal">
      <formula>"Towel"</formula>
    </cfRule>
    <cfRule type="cellIs" dxfId="9942" priority="12096" stopIfTrue="1" operator="equal">
      <formula>"Napkin Hs"</formula>
    </cfRule>
    <cfRule type="cellIs" dxfId="9941" priority="12101" stopIfTrue="1" operator="equal">
      <formula>"Towel"</formula>
    </cfRule>
    <cfRule type="cellIs" dxfId="9940" priority="12102" stopIfTrue="1" operator="equal">
      <formula>"Napkin Hs"</formula>
    </cfRule>
    <cfRule type="cellIs" dxfId="9939" priority="12117" stopIfTrue="1" operator="equal">
      <formula>"Towel"</formula>
    </cfRule>
    <cfRule type="cellIs" dxfId="9938" priority="12118" stopIfTrue="1" operator="equal">
      <formula>"Napkin Hs"</formula>
    </cfRule>
  </conditionalFormatting>
  <conditionalFormatting sqref="C47">
    <cfRule type="cellIs" dxfId="9937" priority="12109" stopIfTrue="1" operator="equal">
      <formula>"Towel"</formula>
    </cfRule>
    <cfRule type="cellIs" dxfId="9936" priority="12110" stopIfTrue="1" operator="equal">
      <formula>"Napkin Hs"</formula>
    </cfRule>
    <cfRule type="cellIs" dxfId="9935" priority="12119" stopIfTrue="1" operator="equal">
      <formula>"Towel"</formula>
    </cfRule>
    <cfRule type="cellIs" dxfId="9934" priority="12120" stopIfTrue="1" operator="equal">
      <formula>"Napkin Hs"</formula>
    </cfRule>
  </conditionalFormatting>
  <conditionalFormatting sqref="C47">
    <cfRule type="cellIs" dxfId="9933" priority="12087" stopIfTrue="1" operator="equal">
      <formula>"Towel"</formula>
    </cfRule>
    <cfRule type="cellIs" dxfId="9932" priority="12088" stopIfTrue="1" operator="equal">
      <formula>"Napkin Hs"</formula>
    </cfRule>
    <cfRule type="cellIs" dxfId="9931" priority="12103" stopIfTrue="1" operator="equal">
      <formula>"Towel"</formula>
    </cfRule>
    <cfRule type="cellIs" dxfId="9930" priority="12104" stopIfTrue="1" operator="equal">
      <formula>"Napkin Hs"</formula>
    </cfRule>
    <cfRule type="cellIs" dxfId="9929" priority="12107" stopIfTrue="1" operator="equal">
      <formula>"Towel"</formula>
    </cfRule>
    <cfRule type="cellIs" dxfId="9928" priority="12108" stopIfTrue="1" operator="equal">
      <formula>"Napkin Hs"</formula>
    </cfRule>
  </conditionalFormatting>
  <conditionalFormatting sqref="C47:C48">
    <cfRule type="cellIs" dxfId="9927" priority="12089" stopIfTrue="1" operator="equal">
      <formula>"Towel"</formula>
    </cfRule>
    <cfRule type="cellIs" dxfId="9926" priority="12090" stopIfTrue="1" operator="equal">
      <formula>"Napkin Hs"</formula>
    </cfRule>
    <cfRule type="cellIs" dxfId="9925" priority="12099" stopIfTrue="1" operator="equal">
      <formula>"Towel"</formula>
    </cfRule>
    <cfRule type="cellIs" dxfId="9924" priority="12100" stopIfTrue="1" operator="equal">
      <formula>"Napkin Hs"</formula>
    </cfRule>
    <cfRule type="cellIs" dxfId="9923" priority="12115" stopIfTrue="1" operator="equal">
      <formula>"Towel"</formula>
    </cfRule>
    <cfRule type="cellIs" dxfId="9922" priority="12116" stopIfTrue="1" operator="equal">
      <formula>"Napkin Hs"</formula>
    </cfRule>
  </conditionalFormatting>
  <conditionalFormatting sqref="C48">
    <cfRule type="cellIs" dxfId="9921" priority="12093" stopIfTrue="1" operator="equal">
      <formula>"Towel"</formula>
    </cfRule>
    <cfRule type="cellIs" dxfId="9920" priority="12094" stopIfTrue="1" operator="equal">
      <formula>"Napkin Hs"</formula>
    </cfRule>
    <cfRule type="cellIs" dxfId="9919" priority="12113" stopIfTrue="1" operator="equal">
      <formula>"Towel"</formula>
    </cfRule>
    <cfRule type="cellIs" dxfId="9918" priority="12114" stopIfTrue="1" operator="equal">
      <formula>"Napkin Hs"</formula>
    </cfRule>
  </conditionalFormatting>
  <conditionalFormatting sqref="C48">
    <cfRule type="cellIs" dxfId="9917" priority="12097" stopIfTrue="1" operator="equal">
      <formula>"Towel"</formula>
    </cfRule>
    <cfRule type="cellIs" dxfId="9916" priority="12098" stopIfTrue="1" operator="equal">
      <formula>"Napkin Hs"</formula>
    </cfRule>
  </conditionalFormatting>
  <conditionalFormatting sqref="B48:C48">
    <cfRule type="cellIs" dxfId="9915" priority="12085" stopIfTrue="1" operator="equal">
      <formula>"Towel"</formula>
    </cfRule>
    <cfRule type="cellIs" dxfId="9914" priority="12086" stopIfTrue="1" operator="equal">
      <formula>"Napkin Hs"</formula>
    </cfRule>
  </conditionalFormatting>
  <conditionalFormatting sqref="B48:C48">
    <cfRule type="cellIs" dxfId="9913" priority="12079" stopIfTrue="1" operator="equal">
      <formula>"Towel"</formula>
    </cfRule>
    <cfRule type="cellIs" dxfId="9912" priority="12080" stopIfTrue="1" operator="equal">
      <formula>"Napkin Hs"</formula>
    </cfRule>
  </conditionalFormatting>
  <conditionalFormatting sqref="C48">
    <cfRule type="cellIs" dxfId="9911" priority="12084" stopIfTrue="1" operator="equal">
      <formula>"Napkin Hs"</formula>
    </cfRule>
  </conditionalFormatting>
  <conditionalFormatting sqref="C48">
    <cfRule type="cellIs" dxfId="9910" priority="12081" stopIfTrue="1" operator="equal">
      <formula>"Towel"</formula>
    </cfRule>
    <cfRule type="cellIs" dxfId="9909" priority="12082" stopIfTrue="1" operator="equal">
      <formula>"Napkin Hs"</formula>
    </cfRule>
  </conditionalFormatting>
  <conditionalFormatting sqref="C48">
    <cfRule type="cellIs" dxfId="9908" priority="12075" stopIfTrue="1" operator="equal">
      <formula>"Towel"</formula>
    </cfRule>
    <cfRule type="cellIs" dxfId="9907" priority="12076" stopIfTrue="1" operator="equal">
      <formula>"Napkin Hs"</formula>
    </cfRule>
  </conditionalFormatting>
  <conditionalFormatting sqref="C48">
    <cfRule type="cellIs" dxfId="9906" priority="12077" stopIfTrue="1" operator="equal">
      <formula>"Towel"</formula>
    </cfRule>
    <cfRule type="cellIs" dxfId="9905" priority="12078" stopIfTrue="1" operator="equal">
      <formula>"Napkin Hs"</formula>
    </cfRule>
  </conditionalFormatting>
  <conditionalFormatting sqref="C48">
    <cfRule type="cellIs" dxfId="9904" priority="12083" stopIfTrue="1" operator="equal">
      <formula>"Towel"</formula>
    </cfRule>
  </conditionalFormatting>
  <conditionalFormatting sqref="B48:C48">
    <cfRule type="cellIs" dxfId="9903" priority="12073" stopIfTrue="1" operator="equal">
      <formula>"Towel"</formula>
    </cfRule>
    <cfRule type="cellIs" dxfId="9902" priority="12074" stopIfTrue="1" operator="equal">
      <formula>"Napkin Hs"</formula>
    </cfRule>
  </conditionalFormatting>
  <conditionalFormatting sqref="C48">
    <cfRule type="cellIs" dxfId="9901" priority="12069" stopIfTrue="1" operator="equal">
      <formula>"Towel"</formula>
    </cfRule>
    <cfRule type="cellIs" dxfId="9900" priority="12070" stopIfTrue="1" operator="equal">
      <formula>"Napkin Hs"</formula>
    </cfRule>
  </conditionalFormatting>
  <conditionalFormatting sqref="C48">
    <cfRule type="cellIs" dxfId="9899" priority="12071" stopIfTrue="1" operator="equal">
      <formula>"Towel"</formula>
    </cfRule>
    <cfRule type="cellIs" dxfId="9898" priority="12072" stopIfTrue="1" operator="equal">
      <formula>"Napkin Hs"</formula>
    </cfRule>
  </conditionalFormatting>
  <conditionalFormatting sqref="B48:C48">
    <cfRule type="cellIs" dxfId="9897" priority="12065" stopIfTrue="1" operator="equal">
      <formula>"Towel"</formula>
    </cfRule>
    <cfRule type="cellIs" dxfId="9896" priority="12066" stopIfTrue="1" operator="equal">
      <formula>"Napkin Hs"</formula>
    </cfRule>
  </conditionalFormatting>
  <conditionalFormatting sqref="C48">
    <cfRule type="cellIs" dxfId="9895" priority="12067" stopIfTrue="1" operator="equal">
      <formula>"Towel"</formula>
    </cfRule>
    <cfRule type="cellIs" dxfId="9894" priority="12068" stopIfTrue="1" operator="equal">
      <formula>"Napkin Hs"</formula>
    </cfRule>
  </conditionalFormatting>
  <conditionalFormatting sqref="C48">
    <cfRule type="cellIs" dxfId="9893" priority="12061" stopIfTrue="1" operator="equal">
      <formula>"Towel"</formula>
    </cfRule>
    <cfRule type="cellIs" dxfId="9892" priority="12062" stopIfTrue="1" operator="equal">
      <formula>"Napkin Hs"</formula>
    </cfRule>
  </conditionalFormatting>
  <conditionalFormatting sqref="C48">
    <cfRule type="cellIs" dxfId="9891" priority="12063" stopIfTrue="1" operator="equal">
      <formula>"Towel"</formula>
    </cfRule>
    <cfRule type="cellIs" dxfId="9890" priority="12064" stopIfTrue="1" operator="equal">
      <formula>"Napkin Hs"</formula>
    </cfRule>
  </conditionalFormatting>
  <conditionalFormatting sqref="B48:C48">
    <cfRule type="cellIs" dxfId="9889" priority="12059" stopIfTrue="1" operator="equal">
      <formula>"Towel"</formula>
    </cfRule>
    <cfRule type="cellIs" dxfId="9888" priority="12060" stopIfTrue="1" operator="equal">
      <formula>"Napkin Hs"</formula>
    </cfRule>
  </conditionalFormatting>
  <conditionalFormatting sqref="C48">
    <cfRule type="cellIs" dxfId="9887" priority="12058" stopIfTrue="1" operator="equal">
      <formula>"Napkin Hs"</formula>
    </cfRule>
  </conditionalFormatting>
  <conditionalFormatting sqref="C48">
    <cfRule type="cellIs" dxfId="9886" priority="12057" stopIfTrue="1" operator="equal">
      <formula>"Towel"</formula>
    </cfRule>
  </conditionalFormatting>
  <conditionalFormatting sqref="C47">
    <cfRule type="cellIs" dxfId="9885" priority="12055" stopIfTrue="1" operator="equal">
      <formula>"Towel"</formula>
    </cfRule>
    <cfRule type="cellIs" dxfId="9884" priority="12056" stopIfTrue="1" operator="equal">
      <formula>"Napkin Hs"</formula>
    </cfRule>
  </conditionalFormatting>
  <conditionalFormatting sqref="C47">
    <cfRule type="cellIs" dxfId="9883" priority="12051" stopIfTrue="1" operator="equal">
      <formula>"Towel"</formula>
    </cfRule>
    <cfRule type="cellIs" dxfId="9882" priority="12052" stopIfTrue="1" operator="equal">
      <formula>"Napkin Hs"</formula>
    </cfRule>
  </conditionalFormatting>
  <conditionalFormatting sqref="C47">
    <cfRule type="cellIs" dxfId="9881" priority="12053" stopIfTrue="1" operator="equal">
      <formula>"Towel"</formula>
    </cfRule>
    <cfRule type="cellIs" dxfId="9880" priority="12054" stopIfTrue="1" operator="equal">
      <formula>"Napkin Hs"</formula>
    </cfRule>
  </conditionalFormatting>
  <conditionalFormatting sqref="C47">
    <cfRule type="cellIs" dxfId="9879" priority="12049" stopIfTrue="1" operator="equal">
      <formula>"Towel"</formula>
    </cfRule>
    <cfRule type="cellIs" dxfId="9878" priority="12050" stopIfTrue="1" operator="equal">
      <formula>"Napkin Hs"</formula>
    </cfRule>
  </conditionalFormatting>
  <conditionalFormatting sqref="C47">
    <cfRule type="cellIs" dxfId="9877" priority="12045" stopIfTrue="1" operator="equal">
      <formula>"Towel"</formula>
    </cfRule>
    <cfRule type="cellIs" dxfId="9876" priority="12046" stopIfTrue="1" operator="equal">
      <formula>"Napkin Hs"</formula>
    </cfRule>
  </conditionalFormatting>
  <conditionalFormatting sqref="C47">
    <cfRule type="cellIs" dxfId="9875" priority="12047" stopIfTrue="1" operator="equal">
      <formula>"Towel"</formula>
    </cfRule>
    <cfRule type="cellIs" dxfId="9874" priority="12048" stopIfTrue="1" operator="equal">
      <formula>"Napkin Hs"</formula>
    </cfRule>
  </conditionalFormatting>
  <conditionalFormatting sqref="C47">
    <cfRule type="cellIs" dxfId="9873" priority="12043" stopIfTrue="1" operator="equal">
      <formula>"Towel"</formula>
    </cfRule>
    <cfRule type="cellIs" dxfId="9872" priority="12044" stopIfTrue="1" operator="equal">
      <formula>"Napkin Hs"</formula>
    </cfRule>
  </conditionalFormatting>
  <conditionalFormatting sqref="C47">
    <cfRule type="cellIs" dxfId="9871" priority="12039" stopIfTrue="1" operator="equal">
      <formula>"Towel"</formula>
    </cfRule>
    <cfRule type="cellIs" dxfId="9870" priority="12040" stopIfTrue="1" operator="equal">
      <formula>"Napkin Hs"</formula>
    </cfRule>
  </conditionalFormatting>
  <conditionalFormatting sqref="C47">
    <cfRule type="cellIs" dxfId="9869" priority="12041" stopIfTrue="1" operator="equal">
      <formula>"Towel"</formula>
    </cfRule>
    <cfRule type="cellIs" dxfId="9868" priority="12042" stopIfTrue="1" operator="equal">
      <formula>"Napkin Hs"</formula>
    </cfRule>
  </conditionalFormatting>
  <conditionalFormatting sqref="C47">
    <cfRule type="cellIs" dxfId="9867" priority="12037" stopIfTrue="1" operator="equal">
      <formula>"Towel"</formula>
    </cfRule>
    <cfRule type="cellIs" dxfId="9866" priority="12038" stopIfTrue="1" operator="equal">
      <formula>"Napkin Hs"</formula>
    </cfRule>
  </conditionalFormatting>
  <conditionalFormatting sqref="C47">
    <cfRule type="cellIs" dxfId="9865" priority="12035" stopIfTrue="1" operator="equal">
      <formula>"Towel"</formula>
    </cfRule>
    <cfRule type="cellIs" dxfId="9864" priority="12036" stopIfTrue="1" operator="equal">
      <formula>"Napkin Hs"</formula>
    </cfRule>
  </conditionalFormatting>
  <conditionalFormatting sqref="C47">
    <cfRule type="cellIs" dxfId="9863" priority="12033" stopIfTrue="1" operator="equal">
      <formula>"Towel"</formula>
    </cfRule>
    <cfRule type="cellIs" dxfId="9862" priority="12034" stopIfTrue="1" operator="equal">
      <formula>"Napkin Hs"</formula>
    </cfRule>
  </conditionalFormatting>
  <conditionalFormatting sqref="C47">
    <cfRule type="cellIs" dxfId="9861" priority="12031" stopIfTrue="1" operator="equal">
      <formula>"Towel"</formula>
    </cfRule>
    <cfRule type="cellIs" dxfId="9860" priority="12032" stopIfTrue="1" operator="equal">
      <formula>"Napkin Hs"</formula>
    </cfRule>
  </conditionalFormatting>
  <conditionalFormatting sqref="C47">
    <cfRule type="cellIs" dxfId="9859" priority="12030" stopIfTrue="1" operator="equal">
      <formula>"Napkin Hs"</formula>
    </cfRule>
  </conditionalFormatting>
  <conditionalFormatting sqref="C47">
    <cfRule type="cellIs" dxfId="9858" priority="12027" stopIfTrue="1" operator="equal">
      <formula>"Towel"</formula>
    </cfRule>
    <cfRule type="cellIs" dxfId="9857" priority="12028" stopIfTrue="1" operator="equal">
      <formula>"Napkin Hs"</formula>
    </cfRule>
  </conditionalFormatting>
  <conditionalFormatting sqref="C47">
    <cfRule type="cellIs" dxfId="9856" priority="12029" stopIfTrue="1" operator="equal">
      <formula>"Towel"</formula>
    </cfRule>
  </conditionalFormatting>
  <conditionalFormatting sqref="B47">
    <cfRule type="cellIs" dxfId="9855" priority="12025" stopIfTrue="1" operator="equal">
      <formula>"Towel"</formula>
    </cfRule>
    <cfRule type="cellIs" dxfId="9854" priority="12026" stopIfTrue="1" operator="equal">
      <formula>"Napkin Hs"</formula>
    </cfRule>
  </conditionalFormatting>
  <conditionalFormatting sqref="B47">
    <cfRule type="cellIs" dxfId="9853" priority="12023" stopIfTrue="1" operator="equal">
      <formula>"Towel"</formula>
    </cfRule>
    <cfRule type="cellIs" dxfId="9852" priority="12024" stopIfTrue="1" operator="equal">
      <formula>"Napkin Hs"</formula>
    </cfRule>
  </conditionalFormatting>
  <conditionalFormatting sqref="B47">
    <cfRule type="cellIs" dxfId="9851" priority="12021" stopIfTrue="1" operator="equal">
      <formula>"Towel"</formula>
    </cfRule>
    <cfRule type="cellIs" dxfId="9850" priority="12022" stopIfTrue="1" operator="equal">
      <formula>"Napkin Hs"</formula>
    </cfRule>
  </conditionalFormatting>
  <conditionalFormatting sqref="B47">
    <cfRule type="cellIs" dxfId="9849" priority="12019" stopIfTrue="1" operator="equal">
      <formula>"Towel"</formula>
    </cfRule>
    <cfRule type="cellIs" dxfId="9848" priority="12020" stopIfTrue="1" operator="equal">
      <formula>"Napkin Hs"</formula>
    </cfRule>
  </conditionalFormatting>
  <conditionalFormatting sqref="B47">
    <cfRule type="cellIs" dxfId="9847" priority="12017" stopIfTrue="1" operator="equal">
      <formula>"Towel"</formula>
    </cfRule>
    <cfRule type="cellIs" dxfId="9846" priority="12018" stopIfTrue="1" operator="equal">
      <formula>"Napkin Hs"</formula>
    </cfRule>
  </conditionalFormatting>
  <conditionalFormatting sqref="B46:C46 B47">
    <cfRule type="cellIs" dxfId="9845" priority="12015" stopIfTrue="1" operator="equal">
      <formula>"Towel"</formula>
    </cfRule>
    <cfRule type="cellIs" dxfId="9844" priority="12016" stopIfTrue="1" operator="equal">
      <formula>"Napkin Hs"</formula>
    </cfRule>
  </conditionalFormatting>
  <conditionalFormatting sqref="B46:C46 B47">
    <cfRule type="cellIs" dxfId="9843" priority="12007" stopIfTrue="1" operator="equal">
      <formula>"Towel"</formula>
    </cfRule>
    <cfRule type="cellIs" dxfId="9842" priority="12008" stopIfTrue="1" operator="equal">
      <formula>"Napkin Hs"</formula>
    </cfRule>
    <cfRule type="cellIs" dxfId="9841" priority="12013" stopIfTrue="1" operator="equal">
      <formula>"Towel"</formula>
    </cfRule>
    <cfRule type="cellIs" dxfId="9840" priority="12014" stopIfTrue="1" operator="equal">
      <formula>"Napkin Hs"</formula>
    </cfRule>
  </conditionalFormatting>
  <conditionalFormatting sqref="C46">
    <cfRule type="cellIs" dxfId="9839" priority="12003" stopIfTrue="1" operator="equal">
      <formula>"Towel"</formula>
    </cfRule>
    <cfRule type="cellIs" dxfId="9838" priority="12004" stopIfTrue="1" operator="equal">
      <formula>"Napkin Hs"</formula>
    </cfRule>
  </conditionalFormatting>
  <conditionalFormatting sqref="C46">
    <cfRule type="cellIs" dxfId="9837" priority="12001" stopIfTrue="1" operator="equal">
      <formula>"Towel"</formula>
    </cfRule>
    <cfRule type="cellIs" dxfId="9836" priority="12002" stopIfTrue="1" operator="equal">
      <formula>"Napkin Hs"</formula>
    </cfRule>
    <cfRule type="cellIs" dxfId="9835" priority="12011" stopIfTrue="1" operator="equal">
      <formula>"Towel"</formula>
    </cfRule>
    <cfRule type="cellIs" dxfId="9834" priority="12012" stopIfTrue="1" operator="equal">
      <formula>"Napkin Hs"</formula>
    </cfRule>
  </conditionalFormatting>
  <conditionalFormatting sqref="C46">
    <cfRule type="cellIs" dxfId="9833" priority="12005" stopIfTrue="1" operator="equal">
      <formula>"Towel"</formula>
    </cfRule>
    <cfRule type="cellIs" dxfId="9832" priority="12006" stopIfTrue="1" operator="equal">
      <formula>"Napkin Hs"</formula>
    </cfRule>
    <cfRule type="cellIs" dxfId="9831" priority="12009" stopIfTrue="1" operator="equal">
      <formula>"Towel"</formula>
    </cfRule>
    <cfRule type="cellIs" dxfId="9830" priority="12010" stopIfTrue="1" operator="equal">
      <formula>"Napkin Hs"</formula>
    </cfRule>
  </conditionalFormatting>
  <conditionalFormatting sqref="C46">
    <cfRule type="cellIs" dxfId="9829" priority="12000" stopIfTrue="1" operator="equal">
      <formula>"Napkin Hs"</formula>
    </cfRule>
  </conditionalFormatting>
  <conditionalFormatting sqref="C46">
    <cfRule type="cellIs" dxfId="9828" priority="11999" stopIfTrue="1" operator="equal">
      <formula>"Towel"</formula>
    </cfRule>
  </conditionalFormatting>
  <conditionalFormatting sqref="C46">
    <cfRule type="cellIs" dxfId="9827" priority="11995" stopIfTrue="1" operator="equal">
      <formula>"Towel"</formula>
    </cfRule>
    <cfRule type="cellIs" dxfId="9826" priority="11996" stopIfTrue="1" operator="equal">
      <formula>"Napkin Hs"</formula>
    </cfRule>
    <cfRule type="cellIs" dxfId="9825" priority="11997" stopIfTrue="1" operator="equal">
      <formula>"Towel"</formula>
    </cfRule>
    <cfRule type="cellIs" dxfId="9824" priority="11998" stopIfTrue="1" operator="equal">
      <formula>"Napkin Hs"</formula>
    </cfRule>
  </conditionalFormatting>
  <conditionalFormatting sqref="B46:C46 B47">
    <cfRule type="cellIs" dxfId="9823" priority="11993" stopIfTrue="1" operator="equal">
      <formula>"Towel"</formula>
    </cfRule>
    <cfRule type="cellIs" dxfId="9822" priority="11994" stopIfTrue="1" operator="equal">
      <formula>"Napkin Hs"</formula>
    </cfRule>
  </conditionalFormatting>
  <conditionalFormatting sqref="C46">
    <cfRule type="cellIs" dxfId="9821" priority="11989" stopIfTrue="1" operator="equal">
      <formula>"Towel"</formula>
    </cfRule>
    <cfRule type="cellIs" dxfId="9820" priority="11990" stopIfTrue="1" operator="equal">
      <formula>"Napkin Hs"</formula>
    </cfRule>
  </conditionalFormatting>
  <conditionalFormatting sqref="C46">
    <cfRule type="cellIs" dxfId="9819" priority="11991" stopIfTrue="1" operator="equal">
      <formula>"Towel"</formula>
    </cfRule>
    <cfRule type="cellIs" dxfId="9818" priority="11992" stopIfTrue="1" operator="equal">
      <formula>"Napkin Hs"</formula>
    </cfRule>
  </conditionalFormatting>
  <conditionalFormatting sqref="B46:C46 B47">
    <cfRule type="cellIs" dxfId="9817" priority="11987" stopIfTrue="1" operator="equal">
      <formula>"Towel"</formula>
    </cfRule>
    <cfRule type="cellIs" dxfId="9816" priority="11988" stopIfTrue="1" operator="equal">
      <formula>"Napkin Hs"</formula>
    </cfRule>
  </conditionalFormatting>
  <conditionalFormatting sqref="C46">
    <cfRule type="cellIs" dxfId="9815" priority="11983" stopIfTrue="1" operator="equal">
      <formula>"Towel"</formula>
    </cfRule>
    <cfRule type="cellIs" dxfId="9814" priority="11984" stopIfTrue="1" operator="equal">
      <formula>"Napkin Hs"</formula>
    </cfRule>
  </conditionalFormatting>
  <conditionalFormatting sqref="C46">
    <cfRule type="cellIs" dxfId="9813" priority="11985" stopIfTrue="1" operator="equal">
      <formula>"Towel"</formula>
    </cfRule>
    <cfRule type="cellIs" dxfId="9812" priority="11986" stopIfTrue="1" operator="equal">
      <formula>"Napkin Hs"</formula>
    </cfRule>
  </conditionalFormatting>
  <conditionalFormatting sqref="B46:C46 B47">
    <cfRule type="cellIs" dxfId="9811" priority="11981" stopIfTrue="1" operator="equal">
      <formula>"Towel"</formula>
    </cfRule>
    <cfRule type="cellIs" dxfId="9810" priority="11982" stopIfTrue="1" operator="equal">
      <formula>"Napkin Hs"</formula>
    </cfRule>
  </conditionalFormatting>
  <conditionalFormatting sqref="C46">
    <cfRule type="cellIs" dxfId="9809" priority="11977" stopIfTrue="1" operator="equal">
      <formula>"Towel"</formula>
    </cfRule>
    <cfRule type="cellIs" dxfId="9808" priority="11978" stopIfTrue="1" operator="equal">
      <formula>"Napkin Hs"</formula>
    </cfRule>
  </conditionalFormatting>
  <conditionalFormatting sqref="C46">
    <cfRule type="cellIs" dxfId="9807" priority="11979" stopIfTrue="1" operator="equal">
      <formula>"Towel"</formula>
    </cfRule>
    <cfRule type="cellIs" dxfId="9806" priority="11980" stopIfTrue="1" operator="equal">
      <formula>"Napkin Hs"</formula>
    </cfRule>
  </conditionalFormatting>
  <conditionalFormatting sqref="B46:C46 B47">
    <cfRule type="cellIs" dxfId="9805" priority="11975" stopIfTrue="1" operator="equal">
      <formula>"Towel"</formula>
    </cfRule>
    <cfRule type="cellIs" dxfId="9804" priority="11976" stopIfTrue="1" operator="equal">
      <formula>"Napkin Hs"</formula>
    </cfRule>
  </conditionalFormatting>
  <conditionalFormatting sqref="C46">
    <cfRule type="cellIs" dxfId="9803" priority="11973" stopIfTrue="1" operator="equal">
      <formula>"Towel"</formula>
    </cfRule>
    <cfRule type="cellIs" dxfId="9802" priority="11974" stopIfTrue="1" operator="equal">
      <formula>"Napkin Hs"</formula>
    </cfRule>
  </conditionalFormatting>
  <conditionalFormatting sqref="C46">
    <cfRule type="cellIs" dxfId="9801" priority="11971" stopIfTrue="1" operator="equal">
      <formula>"Towel"</formula>
    </cfRule>
    <cfRule type="cellIs" dxfId="9800" priority="11972" stopIfTrue="1" operator="equal">
      <formula>"Napkin Hs"</formula>
    </cfRule>
  </conditionalFormatting>
  <conditionalFormatting sqref="B46:C46 B47">
    <cfRule type="cellIs" dxfId="9799" priority="11969" stopIfTrue="1" operator="equal">
      <formula>"Towel"</formula>
    </cfRule>
    <cfRule type="cellIs" dxfId="9798" priority="11970" stopIfTrue="1" operator="equal">
      <formula>"Napkin Hs"</formula>
    </cfRule>
  </conditionalFormatting>
  <conditionalFormatting sqref="C46">
    <cfRule type="cellIs" dxfId="9797" priority="11968" stopIfTrue="1" operator="equal">
      <formula>"Napkin Hs"</formula>
    </cfRule>
  </conditionalFormatting>
  <conditionalFormatting sqref="C46">
    <cfRule type="cellIs" dxfId="9796" priority="11965" stopIfTrue="1" operator="equal">
      <formula>"Towel"</formula>
    </cfRule>
    <cfRule type="cellIs" dxfId="9795" priority="11966" stopIfTrue="1" operator="equal">
      <formula>"Napkin Hs"</formula>
    </cfRule>
  </conditionalFormatting>
  <conditionalFormatting sqref="C46">
    <cfRule type="cellIs" dxfId="9794" priority="11967" stopIfTrue="1" operator="equal">
      <formula>"Towel"</formula>
    </cfRule>
  </conditionalFormatting>
  <conditionalFormatting sqref="B45:C47">
    <cfRule type="cellIs" dxfId="9793" priority="11951" stopIfTrue="1" operator="equal">
      <formula>"Towel"</formula>
    </cfRule>
    <cfRule type="cellIs" dxfId="9792" priority="11952" stopIfTrue="1" operator="equal">
      <formula>"Napkin Hs"</formula>
    </cfRule>
    <cfRule type="cellIs" dxfId="9791" priority="11957" stopIfTrue="1" operator="equal">
      <formula>"Towel"</formula>
    </cfRule>
    <cfRule type="cellIs" dxfId="9790" priority="11958" stopIfTrue="1" operator="equal">
      <formula>"Napkin Hs"</formula>
    </cfRule>
    <cfRule type="cellIs" dxfId="9789" priority="11963" stopIfTrue="1" operator="equal">
      <formula>"Towel"</formula>
    </cfRule>
    <cfRule type="cellIs" dxfId="9788" priority="11964" stopIfTrue="1" operator="equal">
      <formula>"Napkin Hs"</formula>
    </cfRule>
  </conditionalFormatting>
  <conditionalFormatting sqref="C45:C47">
    <cfRule type="cellIs" dxfId="9787" priority="11945" stopIfTrue="1" operator="equal">
      <formula>"Towel"</formula>
    </cfRule>
    <cfRule type="cellIs" dxfId="9786" priority="11946" stopIfTrue="1" operator="equal">
      <formula>"Napkin Hs"</formula>
    </cfRule>
    <cfRule type="cellIs" dxfId="9785" priority="11947" stopIfTrue="1" operator="equal">
      <formula>"Towel"</formula>
    </cfRule>
    <cfRule type="cellIs" dxfId="9784" priority="11948" stopIfTrue="1" operator="equal">
      <formula>"Napkin Hs"</formula>
    </cfRule>
    <cfRule type="cellIs" dxfId="9783" priority="11955" stopIfTrue="1" operator="equal">
      <formula>"Towel"</formula>
    </cfRule>
    <cfRule type="cellIs" dxfId="9782" priority="11956" stopIfTrue="1" operator="equal">
      <formula>"Napkin Hs"</formula>
    </cfRule>
    <cfRule type="cellIs" dxfId="9781" priority="11959" stopIfTrue="1" operator="equal">
      <formula>"Towel"</formula>
    </cfRule>
    <cfRule type="cellIs" dxfId="9780" priority="11960" stopIfTrue="1" operator="equal">
      <formula>"Napkin Hs"</formula>
    </cfRule>
  </conditionalFormatting>
  <conditionalFormatting sqref="C45:C47">
    <cfRule type="cellIs" dxfId="9779" priority="11949" stopIfTrue="1" operator="equal">
      <formula>"Towel"</formula>
    </cfRule>
    <cfRule type="cellIs" dxfId="9778" priority="11950" stopIfTrue="1" operator="equal">
      <formula>"Napkin Hs"</formula>
    </cfRule>
    <cfRule type="cellIs" dxfId="9777" priority="11953" stopIfTrue="1" operator="equal">
      <formula>"Towel"</formula>
    </cfRule>
    <cfRule type="cellIs" dxfId="9776" priority="11954" stopIfTrue="1" operator="equal">
      <formula>"Napkin Hs"</formula>
    </cfRule>
    <cfRule type="cellIs" dxfId="9775" priority="11961" stopIfTrue="1" operator="equal">
      <formula>"Towel"</formula>
    </cfRule>
    <cfRule type="cellIs" dxfId="9774" priority="11962" stopIfTrue="1" operator="equal">
      <formula>"Napkin Hs"</formula>
    </cfRule>
  </conditionalFormatting>
  <conditionalFormatting sqref="B45:C47">
    <cfRule type="cellIs" dxfId="9773" priority="11943" stopIfTrue="1" operator="equal">
      <formula>"Towel"</formula>
    </cfRule>
    <cfRule type="cellIs" dxfId="9772" priority="11944" stopIfTrue="1" operator="equal">
      <formula>"Napkin Hs"</formula>
    </cfRule>
  </conditionalFormatting>
  <conditionalFormatting sqref="B45:C47">
    <cfRule type="cellIs" dxfId="9771" priority="11935" stopIfTrue="1" operator="equal">
      <formula>"Towel"</formula>
    </cfRule>
    <cfRule type="cellIs" dxfId="9770" priority="11936" stopIfTrue="1" operator="equal">
      <formula>"Napkin Hs"</formula>
    </cfRule>
    <cfRule type="cellIs" dxfId="9769" priority="11941" stopIfTrue="1" operator="equal">
      <formula>"Towel"</formula>
    </cfRule>
    <cfRule type="cellIs" dxfId="9768" priority="11942" stopIfTrue="1" operator="equal">
      <formula>"Napkin Hs"</formula>
    </cfRule>
  </conditionalFormatting>
  <conditionalFormatting sqref="C45:C47">
    <cfRule type="cellIs" dxfId="9767" priority="11931" stopIfTrue="1" operator="equal">
      <formula>"Towel"</formula>
    </cfRule>
    <cfRule type="cellIs" dxfId="9766" priority="11932" stopIfTrue="1" operator="equal">
      <formula>"Napkin Hs"</formula>
    </cfRule>
  </conditionalFormatting>
  <conditionalFormatting sqref="C45:C47">
    <cfRule type="cellIs" dxfId="9765" priority="11929" stopIfTrue="1" operator="equal">
      <formula>"Towel"</formula>
    </cfRule>
    <cfRule type="cellIs" dxfId="9764" priority="11930" stopIfTrue="1" operator="equal">
      <formula>"Napkin Hs"</formula>
    </cfRule>
    <cfRule type="cellIs" dxfId="9763" priority="11939" stopIfTrue="1" operator="equal">
      <formula>"Towel"</formula>
    </cfRule>
    <cfRule type="cellIs" dxfId="9762" priority="11940" stopIfTrue="1" operator="equal">
      <formula>"Napkin Hs"</formula>
    </cfRule>
  </conditionalFormatting>
  <conditionalFormatting sqref="C45:C47">
    <cfRule type="cellIs" dxfId="9761" priority="11933" stopIfTrue="1" operator="equal">
      <formula>"Towel"</formula>
    </cfRule>
    <cfRule type="cellIs" dxfId="9760" priority="11934" stopIfTrue="1" operator="equal">
      <formula>"Napkin Hs"</formula>
    </cfRule>
    <cfRule type="cellIs" dxfId="9759" priority="11937" stopIfTrue="1" operator="equal">
      <formula>"Towel"</formula>
    </cfRule>
    <cfRule type="cellIs" dxfId="9758" priority="11938" stopIfTrue="1" operator="equal">
      <formula>"Napkin Hs"</formula>
    </cfRule>
  </conditionalFormatting>
  <conditionalFormatting sqref="C45:C47">
    <cfRule type="cellIs" dxfId="9757" priority="11928" stopIfTrue="1" operator="equal">
      <formula>"Napkin Hs"</formula>
    </cfRule>
  </conditionalFormatting>
  <conditionalFormatting sqref="C45:C47">
    <cfRule type="cellIs" dxfId="9756" priority="11927" stopIfTrue="1" operator="equal">
      <formula>"Towel"</formula>
    </cfRule>
  </conditionalFormatting>
  <conditionalFormatting sqref="C45:C47">
    <cfRule type="cellIs" dxfId="9755" priority="11923" stopIfTrue="1" operator="equal">
      <formula>"Towel"</formula>
    </cfRule>
    <cfRule type="cellIs" dxfId="9754" priority="11924" stopIfTrue="1" operator="equal">
      <formula>"Napkin Hs"</formula>
    </cfRule>
    <cfRule type="cellIs" dxfId="9753" priority="11925" stopIfTrue="1" operator="equal">
      <formula>"Towel"</formula>
    </cfRule>
    <cfRule type="cellIs" dxfId="9752" priority="11926" stopIfTrue="1" operator="equal">
      <formula>"Napkin Hs"</formula>
    </cfRule>
  </conditionalFormatting>
  <conditionalFormatting sqref="B45:C47">
    <cfRule type="cellIs" dxfId="9751" priority="11921" stopIfTrue="1" operator="equal">
      <formula>"Towel"</formula>
    </cfRule>
    <cfRule type="cellIs" dxfId="9750" priority="11922" stopIfTrue="1" operator="equal">
      <formula>"Napkin Hs"</formula>
    </cfRule>
  </conditionalFormatting>
  <conditionalFormatting sqref="C45:C47">
    <cfRule type="cellIs" dxfId="9749" priority="11917" stopIfTrue="1" operator="equal">
      <formula>"Towel"</formula>
    </cfRule>
    <cfRule type="cellIs" dxfId="9748" priority="11918" stopIfTrue="1" operator="equal">
      <formula>"Napkin Hs"</formula>
    </cfRule>
  </conditionalFormatting>
  <conditionalFormatting sqref="C45:C47">
    <cfRule type="cellIs" dxfId="9747" priority="11919" stopIfTrue="1" operator="equal">
      <formula>"Towel"</formula>
    </cfRule>
    <cfRule type="cellIs" dxfId="9746" priority="11920" stopIfTrue="1" operator="equal">
      <formula>"Napkin Hs"</formula>
    </cfRule>
  </conditionalFormatting>
  <conditionalFormatting sqref="B45:C47">
    <cfRule type="cellIs" dxfId="9745" priority="11915" stopIfTrue="1" operator="equal">
      <formula>"Towel"</formula>
    </cfRule>
    <cfRule type="cellIs" dxfId="9744" priority="11916" stopIfTrue="1" operator="equal">
      <formula>"Napkin Hs"</formula>
    </cfRule>
  </conditionalFormatting>
  <conditionalFormatting sqref="C45:C47">
    <cfRule type="cellIs" dxfId="9743" priority="11911" stopIfTrue="1" operator="equal">
      <formula>"Towel"</formula>
    </cfRule>
    <cfRule type="cellIs" dxfId="9742" priority="11912" stopIfTrue="1" operator="equal">
      <formula>"Napkin Hs"</formula>
    </cfRule>
  </conditionalFormatting>
  <conditionalFormatting sqref="C45:C47">
    <cfRule type="cellIs" dxfId="9741" priority="11913" stopIfTrue="1" operator="equal">
      <formula>"Towel"</formula>
    </cfRule>
    <cfRule type="cellIs" dxfId="9740" priority="11914" stopIfTrue="1" operator="equal">
      <formula>"Napkin Hs"</formula>
    </cfRule>
  </conditionalFormatting>
  <conditionalFormatting sqref="B45:C47">
    <cfRule type="cellIs" dxfId="9739" priority="11909" stopIfTrue="1" operator="equal">
      <formula>"Towel"</formula>
    </cfRule>
    <cfRule type="cellIs" dxfId="9738" priority="11910" stopIfTrue="1" operator="equal">
      <formula>"Napkin Hs"</formula>
    </cfRule>
  </conditionalFormatting>
  <conditionalFormatting sqref="C45:C47">
    <cfRule type="cellIs" dxfId="9737" priority="11905" stopIfTrue="1" operator="equal">
      <formula>"Towel"</formula>
    </cfRule>
    <cfRule type="cellIs" dxfId="9736" priority="11906" stopIfTrue="1" operator="equal">
      <formula>"Napkin Hs"</formula>
    </cfRule>
  </conditionalFormatting>
  <conditionalFormatting sqref="C45:C47">
    <cfRule type="cellIs" dxfId="9735" priority="11907" stopIfTrue="1" operator="equal">
      <formula>"Towel"</formula>
    </cfRule>
    <cfRule type="cellIs" dxfId="9734" priority="11908" stopIfTrue="1" operator="equal">
      <formula>"Napkin Hs"</formula>
    </cfRule>
  </conditionalFormatting>
  <conditionalFormatting sqref="B45:C47">
    <cfRule type="cellIs" dxfId="9733" priority="11903" stopIfTrue="1" operator="equal">
      <formula>"Towel"</formula>
    </cfRule>
    <cfRule type="cellIs" dxfId="9732" priority="11904" stopIfTrue="1" operator="equal">
      <formula>"Napkin Hs"</formula>
    </cfRule>
  </conditionalFormatting>
  <conditionalFormatting sqref="C45:C47">
    <cfRule type="cellIs" dxfId="9731" priority="11901" stopIfTrue="1" operator="equal">
      <formula>"Towel"</formula>
    </cfRule>
    <cfRule type="cellIs" dxfId="9730" priority="11902" stopIfTrue="1" operator="equal">
      <formula>"Napkin Hs"</formula>
    </cfRule>
  </conditionalFormatting>
  <conditionalFormatting sqref="C45:C47">
    <cfRule type="cellIs" dxfId="9729" priority="11899" stopIfTrue="1" operator="equal">
      <formula>"Towel"</formula>
    </cfRule>
    <cfRule type="cellIs" dxfId="9728" priority="11900" stopIfTrue="1" operator="equal">
      <formula>"Napkin Hs"</formula>
    </cfRule>
  </conditionalFormatting>
  <conditionalFormatting sqref="B45:C47">
    <cfRule type="cellIs" dxfId="9727" priority="11897" stopIfTrue="1" operator="equal">
      <formula>"Towel"</formula>
    </cfRule>
    <cfRule type="cellIs" dxfId="9726" priority="11898" stopIfTrue="1" operator="equal">
      <formula>"Napkin Hs"</formula>
    </cfRule>
  </conditionalFormatting>
  <conditionalFormatting sqref="C45:C47">
    <cfRule type="cellIs" dxfId="9725" priority="11896" stopIfTrue="1" operator="equal">
      <formula>"Napkin Hs"</formula>
    </cfRule>
  </conditionalFormatting>
  <conditionalFormatting sqref="C45:C47">
    <cfRule type="cellIs" dxfId="9724" priority="11893" stopIfTrue="1" operator="equal">
      <formula>"Towel"</formula>
    </cfRule>
    <cfRule type="cellIs" dxfId="9723" priority="11894" stopIfTrue="1" operator="equal">
      <formula>"Napkin Hs"</formula>
    </cfRule>
  </conditionalFormatting>
  <conditionalFormatting sqref="C45:C47">
    <cfRule type="cellIs" dxfId="9722" priority="11895" stopIfTrue="1" operator="equal">
      <formula>"Towel"</formula>
    </cfRule>
  </conditionalFormatting>
  <conditionalFormatting sqref="B51:C51">
    <cfRule type="cellIs" dxfId="9721" priority="11891" stopIfTrue="1" operator="equal">
      <formula>"Towel"</formula>
    </cfRule>
    <cfRule type="cellIs" dxfId="9720" priority="11892" stopIfTrue="1" operator="equal">
      <formula>"Napkin Hs"</formula>
    </cfRule>
  </conditionalFormatting>
  <conditionalFormatting sqref="B51:C51">
    <cfRule type="cellIs" dxfId="9719" priority="11867" stopIfTrue="1" operator="equal">
      <formula>"Towel"</formula>
    </cfRule>
    <cfRule type="cellIs" dxfId="9718" priority="11868" stopIfTrue="1" operator="equal">
      <formula>"Napkin Hs"</formula>
    </cfRule>
    <cfRule type="cellIs" dxfId="9717" priority="11873" stopIfTrue="1" operator="equal">
      <formula>"Towel"</formula>
    </cfRule>
    <cfRule type="cellIs" dxfId="9716" priority="11874" stopIfTrue="1" operator="equal">
      <formula>"Napkin Hs"</formula>
    </cfRule>
    <cfRule type="cellIs" dxfId="9715" priority="11879" stopIfTrue="1" operator="equal">
      <formula>"Towel"</formula>
    </cfRule>
    <cfRule type="cellIs" dxfId="9714" priority="11880" stopIfTrue="1" operator="equal">
      <formula>"Napkin Hs"</formula>
    </cfRule>
    <cfRule type="cellIs" dxfId="9713" priority="11885" stopIfTrue="1" operator="equal">
      <formula>"Towel"</formula>
    </cfRule>
    <cfRule type="cellIs" dxfId="9712" priority="11886" stopIfTrue="1" operator="equal">
      <formula>"Napkin Hs"</formula>
    </cfRule>
  </conditionalFormatting>
  <conditionalFormatting sqref="B52:C52">
    <cfRule type="cellIs" dxfId="9711" priority="11771" stopIfTrue="1" operator="equal">
      <formula>"Towel"</formula>
    </cfRule>
    <cfRule type="cellIs" dxfId="9710" priority="11772" stopIfTrue="1" operator="equal">
      <formula>"Napkin Hs"</formula>
    </cfRule>
    <cfRule type="cellIs" dxfId="9709" priority="11777" stopIfTrue="1" operator="equal">
      <formula>"Towel"</formula>
    </cfRule>
    <cfRule type="cellIs" dxfId="9708" priority="11778" stopIfTrue="1" operator="equal">
      <formula>"Napkin Hs"</formula>
    </cfRule>
    <cfRule type="cellIs" dxfId="9707" priority="11783" stopIfTrue="1" operator="equal">
      <formula>"Towel"</formula>
    </cfRule>
    <cfRule type="cellIs" dxfId="9706" priority="11784" stopIfTrue="1" operator="equal">
      <formula>"Napkin Hs"</formula>
    </cfRule>
    <cfRule type="cellIs" dxfId="9705" priority="11789" stopIfTrue="1" operator="equal">
      <formula>"Towel"</formula>
    </cfRule>
    <cfRule type="cellIs" dxfId="9704" priority="11790" stopIfTrue="1" operator="equal">
      <formula>"Napkin Hs"</formula>
    </cfRule>
    <cfRule type="cellIs" dxfId="9703" priority="11795" stopIfTrue="1" operator="equal">
      <formula>"Towel"</formula>
    </cfRule>
    <cfRule type="cellIs" dxfId="9702" priority="11796" stopIfTrue="1" operator="equal">
      <formula>"Napkin Hs"</formula>
    </cfRule>
    <cfRule type="cellIs" dxfId="9701" priority="11801" stopIfTrue="1" operator="equal">
      <formula>"Towel"</formula>
    </cfRule>
    <cfRule type="cellIs" dxfId="9700" priority="11802" stopIfTrue="1" operator="equal">
      <formula>"Napkin Hs"</formula>
    </cfRule>
    <cfRule type="cellIs" dxfId="9699" priority="11807" stopIfTrue="1" operator="equal">
      <formula>"Towel"</formula>
    </cfRule>
    <cfRule type="cellIs" dxfId="9698" priority="11808" stopIfTrue="1" operator="equal">
      <formula>"Napkin Hs"</formula>
    </cfRule>
    <cfRule type="cellIs" dxfId="9697" priority="11813" stopIfTrue="1" operator="equal">
      <formula>"Towel"</formula>
    </cfRule>
    <cfRule type="cellIs" dxfId="9696" priority="11814" stopIfTrue="1" operator="equal">
      <formula>"Napkin Hs"</formula>
    </cfRule>
  </conditionalFormatting>
  <conditionalFormatting sqref="B53:C53">
    <cfRule type="cellIs" dxfId="9695" priority="11817" stopIfTrue="1" operator="equal">
      <formula>"Towel"</formula>
    </cfRule>
    <cfRule type="cellIs" dxfId="9694" priority="11818" stopIfTrue="1" operator="equal">
      <formula>"Napkin Hs"</formula>
    </cfRule>
    <cfRule type="cellIs" dxfId="9693" priority="11823" stopIfTrue="1" operator="equal">
      <formula>"Towel"</formula>
    </cfRule>
    <cfRule type="cellIs" dxfId="9692" priority="11824" stopIfTrue="1" operator="equal">
      <formula>"Napkin Hs"</formula>
    </cfRule>
    <cfRule type="cellIs" dxfId="9691" priority="11829" stopIfTrue="1" operator="equal">
      <formula>"Towel"</formula>
    </cfRule>
    <cfRule type="cellIs" dxfId="9690" priority="11830" stopIfTrue="1" operator="equal">
      <formula>"Napkin Hs"</formula>
    </cfRule>
    <cfRule type="cellIs" dxfId="9689" priority="11835" stopIfTrue="1" operator="equal">
      <formula>"Towel"</formula>
    </cfRule>
    <cfRule type="cellIs" dxfId="9688" priority="11836" stopIfTrue="1" operator="equal">
      <formula>"Napkin Hs"</formula>
    </cfRule>
    <cfRule type="cellIs" dxfId="9687" priority="11841" stopIfTrue="1" operator="equal">
      <formula>"Towel"</formula>
    </cfRule>
    <cfRule type="cellIs" dxfId="9686" priority="11842" stopIfTrue="1" operator="equal">
      <formula>"Napkin Hs"</formula>
    </cfRule>
    <cfRule type="cellIs" dxfId="9685" priority="11847" stopIfTrue="1" operator="equal">
      <formula>"Towel"</formula>
    </cfRule>
    <cfRule type="cellIs" dxfId="9684" priority="11848" stopIfTrue="1" operator="equal">
      <formula>"Napkin Hs"</formula>
    </cfRule>
    <cfRule type="cellIs" dxfId="9683" priority="11853" stopIfTrue="1" operator="equal">
      <formula>"Towel"</formula>
    </cfRule>
    <cfRule type="cellIs" dxfId="9682" priority="11854" stopIfTrue="1" operator="equal">
      <formula>"Napkin Hs"</formula>
    </cfRule>
    <cfRule type="cellIs" dxfId="9681" priority="11859" stopIfTrue="1" operator="equal">
      <formula>"Towel"</formula>
    </cfRule>
    <cfRule type="cellIs" dxfId="9680" priority="11860" stopIfTrue="1" operator="equal">
      <formula>"Napkin Hs"</formula>
    </cfRule>
  </conditionalFormatting>
  <conditionalFormatting sqref="C51">
    <cfRule type="cellIs" dxfId="9679" priority="11881" stopIfTrue="1" operator="equal">
      <formula>"Towel"</formula>
    </cfRule>
    <cfRule type="cellIs" dxfId="9678" priority="11882" stopIfTrue="1" operator="equal">
      <formula>"Napkin Hs"</formula>
    </cfRule>
    <cfRule type="cellIs" dxfId="9677" priority="11887" stopIfTrue="1" operator="equal">
      <formula>"Towel"</formula>
    </cfRule>
    <cfRule type="cellIs" dxfId="9676" priority="11888" stopIfTrue="1" operator="equal">
      <formula>"Napkin Hs"</formula>
    </cfRule>
  </conditionalFormatting>
  <conditionalFormatting sqref="C51">
    <cfRule type="cellIs" dxfId="9675" priority="11861" stopIfTrue="1" operator="equal">
      <formula>"Towel"</formula>
    </cfRule>
    <cfRule type="cellIs" dxfId="9674" priority="11862" stopIfTrue="1" operator="equal">
      <formula>"Napkin Hs"</formula>
    </cfRule>
    <cfRule type="cellIs" dxfId="9673" priority="11863" stopIfTrue="1" operator="equal">
      <formula>"Towel"</formula>
    </cfRule>
    <cfRule type="cellIs" dxfId="9672" priority="11864" stopIfTrue="1" operator="equal">
      <formula>"Napkin Hs"</formula>
    </cfRule>
    <cfRule type="cellIs" dxfId="9671" priority="11871" stopIfTrue="1" operator="equal">
      <formula>"Towel"</formula>
    </cfRule>
    <cfRule type="cellIs" dxfId="9670" priority="11872" stopIfTrue="1" operator="equal">
      <formula>"Napkin Hs"</formula>
    </cfRule>
    <cfRule type="cellIs" dxfId="9669" priority="11875" stopIfTrue="1" operator="equal">
      <formula>"Towel"</formula>
    </cfRule>
    <cfRule type="cellIs" dxfId="9668" priority="11876" stopIfTrue="1" operator="equal">
      <formula>"Napkin Hs"</formula>
    </cfRule>
    <cfRule type="cellIs" dxfId="9667" priority="11877" stopIfTrue="1" operator="equal">
      <formula>"Towel"</formula>
    </cfRule>
    <cfRule type="cellIs" dxfId="9666" priority="11878" stopIfTrue="1" operator="equal">
      <formula>"Napkin Hs"</formula>
    </cfRule>
    <cfRule type="cellIs" dxfId="9665" priority="11889" stopIfTrue="1" operator="equal">
      <formula>"Towel"</formula>
    </cfRule>
    <cfRule type="cellIs" dxfId="9664" priority="11890" stopIfTrue="1" operator="equal">
      <formula>"Napkin Hs"</formula>
    </cfRule>
  </conditionalFormatting>
  <conditionalFormatting sqref="C51">
    <cfRule type="cellIs" dxfId="9663" priority="11865" stopIfTrue="1" operator="equal">
      <formula>"Towel"</formula>
    </cfRule>
    <cfRule type="cellIs" dxfId="9662" priority="11866" stopIfTrue="1" operator="equal">
      <formula>"Napkin Hs"</formula>
    </cfRule>
    <cfRule type="cellIs" dxfId="9661" priority="11869" stopIfTrue="1" operator="equal">
      <formula>"Towel"</formula>
    </cfRule>
    <cfRule type="cellIs" dxfId="9660" priority="11870" stopIfTrue="1" operator="equal">
      <formula>"Napkin Hs"</formula>
    </cfRule>
    <cfRule type="cellIs" dxfId="9659" priority="11883" stopIfTrue="1" operator="equal">
      <formula>"Towel"</formula>
    </cfRule>
    <cfRule type="cellIs" dxfId="9658" priority="11884" stopIfTrue="1" operator="equal">
      <formula>"Napkin Hs"</formula>
    </cfRule>
  </conditionalFormatting>
  <conditionalFormatting sqref="C52">
    <cfRule type="cellIs" dxfId="9657" priority="11767" stopIfTrue="1" operator="equal">
      <formula>"Towel"</formula>
    </cfRule>
    <cfRule type="cellIs" dxfId="9656" priority="11768" stopIfTrue="1" operator="equal">
      <formula>"Napkin Hs"</formula>
    </cfRule>
    <cfRule type="cellIs" dxfId="9655" priority="11769" stopIfTrue="1" operator="equal">
      <formula>"Towel"</formula>
    </cfRule>
    <cfRule type="cellIs" dxfId="9654" priority="11770" stopIfTrue="1" operator="equal">
      <formula>"Napkin Hs"</formula>
    </cfRule>
    <cfRule type="cellIs" dxfId="9653" priority="11773" stopIfTrue="1" operator="equal">
      <formula>"Towel"</formula>
    </cfRule>
    <cfRule type="cellIs" dxfId="9652" priority="11774" stopIfTrue="1" operator="equal">
      <formula>"Napkin Hs"</formula>
    </cfRule>
    <cfRule type="cellIs" dxfId="9651" priority="11775" stopIfTrue="1" operator="equal">
      <formula>"Towel"</formula>
    </cfRule>
    <cfRule type="cellIs" dxfId="9650" priority="11776" stopIfTrue="1" operator="equal">
      <formula>"Napkin Hs"</formula>
    </cfRule>
    <cfRule type="cellIs" dxfId="9649" priority="11779" stopIfTrue="1" operator="equal">
      <formula>"Towel"</formula>
    </cfRule>
    <cfRule type="cellIs" dxfId="9648" priority="11780" stopIfTrue="1" operator="equal">
      <formula>"Napkin Hs"</formula>
    </cfRule>
    <cfRule type="cellIs" dxfId="9647" priority="11781" stopIfTrue="1" operator="equal">
      <formula>"Towel"</formula>
    </cfRule>
    <cfRule type="cellIs" dxfId="9646" priority="11782" stopIfTrue="1" operator="equal">
      <formula>"Napkin Hs"</formula>
    </cfRule>
    <cfRule type="cellIs" dxfId="9645" priority="11785" stopIfTrue="1" operator="equal">
      <formula>"Towel"</formula>
    </cfRule>
    <cfRule type="cellIs" dxfId="9644" priority="11786" stopIfTrue="1" operator="equal">
      <formula>"Napkin Hs"</formula>
    </cfRule>
    <cfRule type="cellIs" dxfId="9643" priority="11787" stopIfTrue="1" operator="equal">
      <formula>"Towel"</formula>
    </cfRule>
    <cfRule type="cellIs" dxfId="9642" priority="11788" stopIfTrue="1" operator="equal">
      <formula>"Napkin Hs"</formula>
    </cfRule>
    <cfRule type="cellIs" dxfId="9641" priority="11791" stopIfTrue="1" operator="equal">
      <formula>"Towel"</formula>
    </cfRule>
    <cfRule type="cellIs" dxfId="9640" priority="11792" stopIfTrue="1" operator="equal">
      <formula>"Napkin Hs"</formula>
    </cfRule>
    <cfRule type="cellIs" dxfId="9639" priority="11793" stopIfTrue="1" operator="equal">
      <formula>"Towel"</formula>
    </cfRule>
    <cfRule type="cellIs" dxfId="9638" priority="11794" stopIfTrue="1" operator="equal">
      <formula>"Napkin Hs"</formula>
    </cfRule>
    <cfRule type="cellIs" dxfId="9637" priority="11797" stopIfTrue="1" operator="equal">
      <formula>"Towel"</formula>
    </cfRule>
    <cfRule type="cellIs" dxfId="9636" priority="11798" stopIfTrue="1" operator="equal">
      <formula>"Napkin Hs"</formula>
    </cfRule>
    <cfRule type="cellIs" dxfId="9635" priority="11799" stopIfTrue="1" operator="equal">
      <formula>"Towel"</formula>
    </cfRule>
    <cfRule type="cellIs" dxfId="9634" priority="11800" stopIfTrue="1" operator="equal">
      <formula>"Napkin Hs"</formula>
    </cfRule>
    <cfRule type="cellIs" dxfId="9633" priority="11803" stopIfTrue="1" operator="equal">
      <formula>"Towel"</formula>
    </cfRule>
    <cfRule type="cellIs" dxfId="9632" priority="11804" stopIfTrue="1" operator="equal">
      <formula>"Napkin Hs"</formula>
    </cfRule>
    <cfRule type="cellIs" dxfId="9631" priority="11805" stopIfTrue="1" operator="equal">
      <formula>"Towel"</formula>
    </cfRule>
    <cfRule type="cellIs" dxfId="9630" priority="11806" stopIfTrue="1" operator="equal">
      <formula>"Napkin Hs"</formula>
    </cfRule>
    <cfRule type="cellIs" dxfId="9629" priority="11809" stopIfTrue="1" operator="equal">
      <formula>"Towel"</formula>
    </cfRule>
    <cfRule type="cellIs" dxfId="9628" priority="11810" stopIfTrue="1" operator="equal">
      <formula>"Napkin Hs"</formula>
    </cfRule>
  </conditionalFormatting>
  <conditionalFormatting sqref="C52:C53">
    <cfRule type="cellIs" dxfId="9627" priority="11811" stopIfTrue="1" operator="equal">
      <formula>"Towel"</formula>
    </cfRule>
    <cfRule type="cellIs" dxfId="9626" priority="11812" stopIfTrue="1" operator="equal">
      <formula>"Napkin Hs"</formula>
    </cfRule>
  </conditionalFormatting>
  <conditionalFormatting sqref="C53">
    <cfRule type="cellIs" dxfId="9625" priority="11815" stopIfTrue="1" operator="equal">
      <formula>"Towel"</formula>
    </cfRule>
    <cfRule type="cellIs" dxfId="9624" priority="11816" stopIfTrue="1" operator="equal">
      <formula>"Napkin Hs"</formula>
    </cfRule>
    <cfRule type="cellIs" dxfId="9623" priority="11819" stopIfTrue="1" operator="equal">
      <formula>"Towel"</formula>
    </cfRule>
    <cfRule type="cellIs" dxfId="9622" priority="11820" stopIfTrue="1" operator="equal">
      <formula>"Napkin Hs"</formula>
    </cfRule>
    <cfRule type="cellIs" dxfId="9621" priority="11821" stopIfTrue="1" operator="equal">
      <formula>"Towel"</formula>
    </cfRule>
    <cfRule type="cellIs" dxfId="9620" priority="11822" stopIfTrue="1" operator="equal">
      <formula>"Napkin Hs"</formula>
    </cfRule>
    <cfRule type="cellIs" dxfId="9619" priority="11825" stopIfTrue="1" operator="equal">
      <formula>"Towel"</formula>
    </cfRule>
    <cfRule type="cellIs" dxfId="9618" priority="11826" stopIfTrue="1" operator="equal">
      <formula>"Napkin Hs"</formula>
    </cfRule>
    <cfRule type="cellIs" dxfId="9617" priority="11827" stopIfTrue="1" operator="equal">
      <formula>"Towel"</formula>
    </cfRule>
    <cfRule type="cellIs" dxfId="9616" priority="11828" stopIfTrue="1" operator="equal">
      <formula>"Napkin Hs"</formula>
    </cfRule>
    <cfRule type="cellIs" dxfId="9615" priority="11831" stopIfTrue="1" operator="equal">
      <formula>"Towel"</formula>
    </cfRule>
    <cfRule type="cellIs" dxfId="9614" priority="11832" stopIfTrue="1" operator="equal">
      <formula>"Napkin Hs"</formula>
    </cfRule>
    <cfRule type="cellIs" dxfId="9613" priority="11833" stopIfTrue="1" operator="equal">
      <formula>"Towel"</formula>
    </cfRule>
    <cfRule type="cellIs" dxfId="9612" priority="11834" stopIfTrue="1" operator="equal">
      <formula>"Napkin Hs"</formula>
    </cfRule>
    <cfRule type="cellIs" dxfId="9611" priority="11837" stopIfTrue="1" operator="equal">
      <formula>"Towel"</formula>
    </cfRule>
    <cfRule type="cellIs" dxfId="9610" priority="11838" stopIfTrue="1" operator="equal">
      <formula>"Napkin Hs"</formula>
    </cfRule>
    <cfRule type="cellIs" dxfId="9609" priority="11839" stopIfTrue="1" operator="equal">
      <formula>"Towel"</formula>
    </cfRule>
    <cfRule type="cellIs" dxfId="9608" priority="11840" stopIfTrue="1" operator="equal">
      <formula>"Napkin Hs"</formula>
    </cfRule>
    <cfRule type="cellIs" dxfId="9607" priority="11843" stopIfTrue="1" operator="equal">
      <formula>"Towel"</formula>
    </cfRule>
    <cfRule type="cellIs" dxfId="9606" priority="11844" stopIfTrue="1" operator="equal">
      <formula>"Napkin Hs"</formula>
    </cfRule>
    <cfRule type="cellIs" dxfId="9605" priority="11845" stopIfTrue="1" operator="equal">
      <formula>"Towel"</formula>
    </cfRule>
    <cfRule type="cellIs" dxfId="9604" priority="11846" stopIfTrue="1" operator="equal">
      <formula>"Napkin Hs"</formula>
    </cfRule>
    <cfRule type="cellIs" dxfId="9603" priority="11849" stopIfTrue="1" operator="equal">
      <formula>"Towel"</formula>
    </cfRule>
    <cfRule type="cellIs" dxfId="9602" priority="11850" stopIfTrue="1" operator="equal">
      <formula>"Napkin Hs"</formula>
    </cfRule>
  </conditionalFormatting>
  <conditionalFormatting sqref="C53">
    <cfRule type="cellIs" dxfId="9601" priority="11851" stopIfTrue="1" operator="equal">
      <formula>"Towel"</formula>
    </cfRule>
    <cfRule type="cellIs" dxfId="9600" priority="11852" stopIfTrue="1" operator="equal">
      <formula>"Napkin Hs"</formula>
    </cfRule>
  </conditionalFormatting>
  <conditionalFormatting sqref="C53">
    <cfRule type="cellIs" dxfId="9599" priority="11855" stopIfTrue="1" operator="equal">
      <formula>"Towel"</formula>
    </cfRule>
    <cfRule type="cellIs" dxfId="9598" priority="11856" stopIfTrue="1" operator="equal">
      <formula>"Napkin Hs"</formula>
    </cfRule>
    <cfRule type="cellIs" dxfId="9597" priority="11857" stopIfTrue="1" operator="equal">
      <formula>"Towel"</formula>
    </cfRule>
    <cfRule type="cellIs" dxfId="9596" priority="11858" stopIfTrue="1" operator="equal">
      <formula>"Napkin Hs"</formula>
    </cfRule>
  </conditionalFormatting>
  <conditionalFormatting sqref="B51:C51 B52">
    <cfRule type="cellIs" dxfId="9595" priority="11703" stopIfTrue="1" operator="equal">
      <formula>"Towel"</formula>
    </cfRule>
    <cfRule type="cellIs" dxfId="9594" priority="11704" stopIfTrue="1" operator="equal">
      <formula>"Napkin Hs"</formula>
    </cfRule>
    <cfRule type="cellIs" dxfId="9593" priority="11709" stopIfTrue="1" operator="equal">
      <formula>"Towel"</formula>
    </cfRule>
    <cfRule type="cellIs" dxfId="9592" priority="11710" stopIfTrue="1" operator="equal">
      <formula>"Napkin Hs"</formula>
    </cfRule>
    <cfRule type="cellIs" dxfId="9591" priority="11715" stopIfTrue="1" operator="equal">
      <formula>"Towel"</formula>
    </cfRule>
    <cfRule type="cellIs" dxfId="9590" priority="11716" stopIfTrue="1" operator="equal">
      <formula>"Napkin Hs"</formula>
    </cfRule>
  </conditionalFormatting>
  <conditionalFormatting sqref="B52:C53">
    <cfRule type="cellIs" dxfId="9589" priority="11659" stopIfTrue="1" operator="equal">
      <formula>"Towel"</formula>
    </cfRule>
    <cfRule type="cellIs" dxfId="9588" priority="11660" stopIfTrue="1" operator="equal">
      <formula>"Napkin Hs"</formula>
    </cfRule>
    <cfRule type="cellIs" dxfId="9587" priority="11665" stopIfTrue="1" operator="equal">
      <formula>"Towel"</formula>
    </cfRule>
    <cfRule type="cellIs" dxfId="9586" priority="11666" stopIfTrue="1" operator="equal">
      <formula>"Napkin Hs"</formula>
    </cfRule>
    <cfRule type="cellIs" dxfId="9585" priority="11671" stopIfTrue="1" operator="equal">
      <formula>"Towel"</formula>
    </cfRule>
    <cfRule type="cellIs" dxfId="9584" priority="11672" stopIfTrue="1" operator="equal">
      <formula>"Napkin Hs"</formula>
    </cfRule>
    <cfRule type="cellIs" dxfId="9583" priority="11677" stopIfTrue="1" operator="equal">
      <formula>"Towel"</formula>
    </cfRule>
    <cfRule type="cellIs" dxfId="9582" priority="11678" stopIfTrue="1" operator="equal">
      <formula>"Napkin Hs"</formula>
    </cfRule>
    <cfRule type="cellIs" dxfId="9581" priority="11683" stopIfTrue="1" operator="equal">
      <formula>"Towel"</formula>
    </cfRule>
    <cfRule type="cellIs" dxfId="9580" priority="11684" stopIfTrue="1" operator="equal">
      <formula>"Napkin Hs"</formula>
    </cfRule>
    <cfRule type="cellIs" dxfId="9579" priority="11689" stopIfTrue="1" operator="equal">
      <formula>"Towel"</formula>
    </cfRule>
    <cfRule type="cellIs" dxfId="9578" priority="11690" stopIfTrue="1" operator="equal">
      <formula>"Napkin Hs"</formula>
    </cfRule>
    <cfRule type="cellIs" dxfId="9577" priority="11695" stopIfTrue="1" operator="equal">
      <formula>"Towel"</formula>
    </cfRule>
    <cfRule type="cellIs" dxfId="9576" priority="11696" stopIfTrue="1" operator="equal">
      <formula>"Napkin Hs"</formula>
    </cfRule>
  </conditionalFormatting>
  <conditionalFormatting sqref="C51">
    <cfRule type="cellIs" dxfId="9575" priority="11697" stopIfTrue="1" operator="equal">
      <formula>"Towel"</formula>
    </cfRule>
    <cfRule type="cellIs" dxfId="9574" priority="11698" stopIfTrue="1" operator="equal">
      <formula>"Napkin Hs"</formula>
    </cfRule>
    <cfRule type="cellIs" dxfId="9573" priority="11699" stopIfTrue="1" operator="equal">
      <formula>"Towel"</formula>
    </cfRule>
    <cfRule type="cellIs" dxfId="9572" priority="11700" stopIfTrue="1" operator="equal">
      <formula>"Napkin Hs"</formula>
    </cfRule>
    <cfRule type="cellIs" dxfId="9571" priority="11707" stopIfTrue="1" operator="equal">
      <formula>"Towel"</formula>
    </cfRule>
    <cfRule type="cellIs" dxfId="9570" priority="11708" stopIfTrue="1" operator="equal">
      <formula>"Napkin Hs"</formula>
    </cfRule>
    <cfRule type="cellIs" dxfId="9569" priority="11711" stopIfTrue="1" operator="equal">
      <formula>"Towel"</formula>
    </cfRule>
    <cfRule type="cellIs" dxfId="9568" priority="11712" stopIfTrue="1" operator="equal">
      <formula>"Napkin Hs"</formula>
    </cfRule>
  </conditionalFormatting>
  <conditionalFormatting sqref="C51">
    <cfRule type="cellIs" dxfId="9567" priority="11701" stopIfTrue="1" operator="equal">
      <formula>"Towel"</formula>
    </cfRule>
    <cfRule type="cellIs" dxfId="9566" priority="11702" stopIfTrue="1" operator="equal">
      <formula>"Napkin Hs"</formula>
    </cfRule>
    <cfRule type="cellIs" dxfId="9565" priority="11705" stopIfTrue="1" operator="equal">
      <formula>"Towel"</formula>
    </cfRule>
    <cfRule type="cellIs" dxfId="9564" priority="11706" stopIfTrue="1" operator="equal">
      <formula>"Napkin Hs"</formula>
    </cfRule>
    <cfRule type="cellIs" dxfId="9563" priority="11713" stopIfTrue="1" operator="equal">
      <formula>"Towel"</formula>
    </cfRule>
    <cfRule type="cellIs" dxfId="9562" priority="11714" stopIfTrue="1" operator="equal">
      <formula>"Napkin Hs"</formula>
    </cfRule>
  </conditionalFormatting>
  <conditionalFormatting sqref="C52:C53">
    <cfRule type="cellIs" dxfId="9561" priority="11655" stopIfTrue="1" operator="equal">
      <formula>"Towel"</formula>
    </cfRule>
    <cfRule type="cellIs" dxfId="9560" priority="11656" stopIfTrue="1" operator="equal">
      <formula>"Napkin Hs"</formula>
    </cfRule>
    <cfRule type="cellIs" dxfId="9559" priority="11657" stopIfTrue="1" operator="equal">
      <formula>"Towel"</formula>
    </cfRule>
    <cfRule type="cellIs" dxfId="9558" priority="11658" stopIfTrue="1" operator="equal">
      <formula>"Napkin Hs"</formula>
    </cfRule>
    <cfRule type="cellIs" dxfId="9557" priority="11661" stopIfTrue="1" operator="equal">
      <formula>"Towel"</formula>
    </cfRule>
    <cfRule type="cellIs" dxfId="9556" priority="11662" stopIfTrue="1" operator="equal">
      <formula>"Napkin Hs"</formula>
    </cfRule>
    <cfRule type="cellIs" dxfId="9555" priority="11663" stopIfTrue="1" operator="equal">
      <formula>"Towel"</formula>
    </cfRule>
    <cfRule type="cellIs" dxfId="9554" priority="11664" stopIfTrue="1" operator="equal">
      <formula>"Napkin Hs"</formula>
    </cfRule>
    <cfRule type="cellIs" dxfId="9553" priority="11667" stopIfTrue="1" operator="equal">
      <formula>"Towel"</formula>
    </cfRule>
    <cfRule type="cellIs" dxfId="9552" priority="11668" stopIfTrue="1" operator="equal">
      <formula>"Napkin Hs"</formula>
    </cfRule>
    <cfRule type="cellIs" dxfId="9551" priority="11669" stopIfTrue="1" operator="equal">
      <formula>"Towel"</formula>
    </cfRule>
    <cfRule type="cellIs" dxfId="9550" priority="11670" stopIfTrue="1" operator="equal">
      <formula>"Napkin Hs"</formula>
    </cfRule>
    <cfRule type="cellIs" dxfId="9549" priority="11673" stopIfTrue="1" operator="equal">
      <formula>"Towel"</formula>
    </cfRule>
    <cfRule type="cellIs" dxfId="9548" priority="11674" stopIfTrue="1" operator="equal">
      <formula>"Napkin Hs"</formula>
    </cfRule>
    <cfRule type="cellIs" dxfId="9547" priority="11675" stopIfTrue="1" operator="equal">
      <formula>"Towel"</formula>
    </cfRule>
    <cfRule type="cellIs" dxfId="9546" priority="11676" stopIfTrue="1" operator="equal">
      <formula>"Napkin Hs"</formula>
    </cfRule>
    <cfRule type="cellIs" dxfId="9545" priority="11679" stopIfTrue="1" operator="equal">
      <formula>"Towel"</formula>
    </cfRule>
    <cfRule type="cellIs" dxfId="9544" priority="11680" stopIfTrue="1" operator="equal">
      <formula>"Napkin Hs"</formula>
    </cfRule>
    <cfRule type="cellIs" dxfId="9543" priority="11681" stopIfTrue="1" operator="equal">
      <formula>"Towel"</formula>
    </cfRule>
    <cfRule type="cellIs" dxfId="9542" priority="11682" stopIfTrue="1" operator="equal">
      <formula>"Napkin Hs"</formula>
    </cfRule>
    <cfRule type="cellIs" dxfId="9541" priority="11685" stopIfTrue="1" operator="equal">
      <formula>"Towel"</formula>
    </cfRule>
    <cfRule type="cellIs" dxfId="9540" priority="11686" stopIfTrue="1" operator="equal">
      <formula>"Napkin Hs"</formula>
    </cfRule>
    <cfRule type="cellIs" dxfId="9539" priority="11687" stopIfTrue="1" operator="equal">
      <formula>"Towel"</formula>
    </cfRule>
    <cfRule type="cellIs" dxfId="9538" priority="11688" stopIfTrue="1" operator="equal">
      <formula>"Napkin Hs"</formula>
    </cfRule>
    <cfRule type="cellIs" dxfId="9537" priority="11691" stopIfTrue="1" operator="equal">
      <formula>"Towel"</formula>
    </cfRule>
    <cfRule type="cellIs" dxfId="9536" priority="11692" stopIfTrue="1" operator="equal">
      <formula>"Napkin Hs"</formula>
    </cfRule>
  </conditionalFormatting>
  <conditionalFormatting sqref="C52:C53">
    <cfRule type="cellIs" dxfId="9535" priority="11693" stopIfTrue="1" operator="equal">
      <formula>"Towel"</formula>
    </cfRule>
    <cfRule type="cellIs" dxfId="9534" priority="11694" stopIfTrue="1" operator="equal">
      <formula>"Napkin Hs"</formula>
    </cfRule>
  </conditionalFormatting>
  <conditionalFormatting sqref="B52:C52">
    <cfRule type="cellIs" dxfId="9533" priority="11653" stopIfTrue="1" operator="equal">
      <formula>"Towel"</formula>
    </cfRule>
    <cfRule type="cellIs" dxfId="9532" priority="11654" stopIfTrue="1" operator="equal">
      <formula>"Napkin Hs"</formula>
    </cfRule>
  </conditionalFormatting>
  <conditionalFormatting sqref="B52:C52">
    <cfRule type="cellIs" dxfId="9531" priority="11617" stopIfTrue="1" operator="equal">
      <formula>"Towel"</formula>
    </cfRule>
    <cfRule type="cellIs" dxfId="9530" priority="11618" stopIfTrue="1" operator="equal">
      <formula>"Napkin Hs"</formula>
    </cfRule>
    <cfRule type="cellIs" dxfId="9529" priority="11623" stopIfTrue="1" operator="equal">
      <formula>"Towel"</formula>
    </cfRule>
    <cfRule type="cellIs" dxfId="9528" priority="11624" stopIfTrue="1" operator="equal">
      <formula>"Napkin Hs"</formula>
    </cfRule>
    <cfRule type="cellIs" dxfId="9527" priority="11629" stopIfTrue="1" operator="equal">
      <formula>"Towel"</formula>
    </cfRule>
    <cfRule type="cellIs" dxfId="9526" priority="11630" stopIfTrue="1" operator="equal">
      <formula>"Napkin Hs"</formula>
    </cfRule>
    <cfRule type="cellIs" dxfId="9525" priority="11635" stopIfTrue="1" operator="equal">
      <formula>"Towel"</formula>
    </cfRule>
    <cfRule type="cellIs" dxfId="9524" priority="11636" stopIfTrue="1" operator="equal">
      <formula>"Napkin Hs"</formula>
    </cfRule>
    <cfRule type="cellIs" dxfId="9523" priority="11641" stopIfTrue="1" operator="equal">
      <formula>"Towel"</formula>
    </cfRule>
    <cfRule type="cellIs" dxfId="9522" priority="11642" stopIfTrue="1" operator="equal">
      <formula>"Napkin Hs"</formula>
    </cfRule>
    <cfRule type="cellIs" dxfId="9521" priority="11647" stopIfTrue="1" operator="equal">
      <formula>"Towel"</formula>
    </cfRule>
    <cfRule type="cellIs" dxfId="9520" priority="11648" stopIfTrue="1" operator="equal">
      <formula>"Napkin Hs"</formula>
    </cfRule>
  </conditionalFormatting>
  <conditionalFormatting sqref="B53:C53">
    <cfRule type="cellIs" dxfId="9519" priority="11577" stopIfTrue="1" operator="equal">
      <formula>"Towel"</formula>
    </cfRule>
    <cfRule type="cellIs" dxfId="9518" priority="11578" stopIfTrue="1" operator="equal">
      <formula>"Napkin Hs"</formula>
    </cfRule>
    <cfRule type="cellIs" dxfId="9517" priority="11583" stopIfTrue="1" operator="equal">
      <formula>"Towel"</formula>
    </cfRule>
    <cfRule type="cellIs" dxfId="9516" priority="11584" stopIfTrue="1" operator="equal">
      <formula>"Napkin Hs"</formula>
    </cfRule>
    <cfRule type="cellIs" dxfId="9515" priority="11589" stopIfTrue="1" operator="equal">
      <formula>"Towel"</formula>
    </cfRule>
    <cfRule type="cellIs" dxfId="9514" priority="11590" stopIfTrue="1" operator="equal">
      <formula>"Napkin Hs"</formula>
    </cfRule>
    <cfRule type="cellIs" dxfId="9513" priority="11595" stopIfTrue="1" operator="equal">
      <formula>"Towel"</formula>
    </cfRule>
    <cfRule type="cellIs" dxfId="9512" priority="11596" stopIfTrue="1" operator="equal">
      <formula>"Napkin Hs"</formula>
    </cfRule>
    <cfRule type="cellIs" dxfId="9511" priority="11601" stopIfTrue="1" operator="equal">
      <formula>"Towel"</formula>
    </cfRule>
    <cfRule type="cellIs" dxfId="9510" priority="11602" stopIfTrue="1" operator="equal">
      <formula>"Napkin Hs"</formula>
    </cfRule>
    <cfRule type="cellIs" dxfId="9509" priority="11607" stopIfTrue="1" operator="equal">
      <formula>"Towel"</formula>
    </cfRule>
    <cfRule type="cellIs" dxfId="9508" priority="11608" stopIfTrue="1" operator="equal">
      <formula>"Napkin Hs"</formula>
    </cfRule>
    <cfRule type="cellIs" dxfId="9507" priority="11613" stopIfTrue="1" operator="equal">
      <formula>"Towel"</formula>
    </cfRule>
    <cfRule type="cellIs" dxfId="9506" priority="11614" stopIfTrue="1" operator="equal">
      <formula>"Napkin Hs"</formula>
    </cfRule>
  </conditionalFormatting>
  <conditionalFormatting sqref="C52">
    <cfRule type="cellIs" dxfId="9505" priority="11652" stopIfTrue="1" operator="equal">
      <formula>"Napkin Hs"</formula>
    </cfRule>
  </conditionalFormatting>
  <conditionalFormatting sqref="C52">
    <cfRule type="cellIs" dxfId="9504" priority="11651" stopIfTrue="1" operator="equal">
      <formula>"Towel"</formula>
    </cfRule>
  </conditionalFormatting>
  <conditionalFormatting sqref="C52">
    <cfRule type="cellIs" dxfId="9503" priority="11645" stopIfTrue="1" operator="equal">
      <formula>"Towel"</formula>
    </cfRule>
    <cfRule type="cellIs" dxfId="9502" priority="11646" stopIfTrue="1" operator="equal">
      <formula>"Napkin Hs"</formula>
    </cfRule>
  </conditionalFormatting>
  <conditionalFormatting sqref="C52">
    <cfRule type="cellIs" dxfId="9501" priority="11643" stopIfTrue="1" operator="equal">
      <formula>"Towel"</formula>
    </cfRule>
    <cfRule type="cellIs" dxfId="9500" priority="11644" stopIfTrue="1" operator="equal">
      <formula>"Napkin Hs"</formula>
    </cfRule>
    <cfRule type="cellIs" dxfId="9499" priority="11649" stopIfTrue="1" operator="equal">
      <formula>"Towel"</formula>
    </cfRule>
    <cfRule type="cellIs" dxfId="9498" priority="11650" stopIfTrue="1" operator="equal">
      <formula>"Napkin Hs"</formula>
    </cfRule>
  </conditionalFormatting>
  <conditionalFormatting sqref="C52">
    <cfRule type="cellIs" dxfId="9497" priority="11615" stopIfTrue="1" operator="equal">
      <formula>"Towel"</formula>
    </cfRule>
    <cfRule type="cellIs" dxfId="9496" priority="11616" stopIfTrue="1" operator="equal">
      <formula>"Napkin Hs"</formula>
    </cfRule>
    <cfRule type="cellIs" dxfId="9495" priority="11619" stopIfTrue="1" operator="equal">
      <formula>"Towel"</formula>
    </cfRule>
    <cfRule type="cellIs" dxfId="9494" priority="11620" stopIfTrue="1" operator="equal">
      <formula>"Napkin Hs"</formula>
    </cfRule>
    <cfRule type="cellIs" dxfId="9493" priority="11621" stopIfTrue="1" operator="equal">
      <formula>"Towel"</formula>
    </cfRule>
    <cfRule type="cellIs" dxfId="9492" priority="11622" stopIfTrue="1" operator="equal">
      <formula>"Napkin Hs"</formula>
    </cfRule>
    <cfRule type="cellIs" dxfId="9491" priority="11625" stopIfTrue="1" operator="equal">
      <formula>"Towel"</formula>
    </cfRule>
    <cfRule type="cellIs" dxfId="9490" priority="11626" stopIfTrue="1" operator="equal">
      <formula>"Napkin Hs"</formula>
    </cfRule>
    <cfRule type="cellIs" dxfId="9489" priority="11627" stopIfTrue="1" operator="equal">
      <formula>"Towel"</formula>
    </cfRule>
    <cfRule type="cellIs" dxfId="9488" priority="11628" stopIfTrue="1" operator="equal">
      <formula>"Napkin Hs"</formula>
    </cfRule>
    <cfRule type="cellIs" dxfId="9487" priority="11631" stopIfTrue="1" operator="equal">
      <formula>"Towel"</formula>
    </cfRule>
    <cfRule type="cellIs" dxfId="9486" priority="11632" stopIfTrue="1" operator="equal">
      <formula>"Napkin Hs"</formula>
    </cfRule>
    <cfRule type="cellIs" dxfId="9485" priority="11633" stopIfTrue="1" operator="equal">
      <formula>"Towel"</formula>
    </cfRule>
    <cfRule type="cellIs" dxfId="9484" priority="11634" stopIfTrue="1" operator="equal">
      <formula>"Napkin Hs"</formula>
    </cfRule>
    <cfRule type="cellIs" dxfId="9483" priority="11637" stopIfTrue="1" operator="equal">
      <formula>"Towel"</formula>
    </cfRule>
    <cfRule type="cellIs" dxfId="9482" priority="11638" stopIfTrue="1" operator="equal">
      <formula>"Napkin Hs"</formula>
    </cfRule>
    <cfRule type="cellIs" dxfId="9481" priority="11639" stopIfTrue="1" operator="equal">
      <formula>"Towel"</formula>
    </cfRule>
    <cfRule type="cellIs" dxfId="9480" priority="11640" stopIfTrue="1" operator="equal">
      <formula>"Napkin Hs"</formula>
    </cfRule>
  </conditionalFormatting>
  <conditionalFormatting sqref="C52:C53">
    <cfRule type="cellIs" dxfId="9479" priority="11611" stopIfTrue="1" operator="equal">
      <formula>"Towel"</formula>
    </cfRule>
    <cfRule type="cellIs" dxfId="9478" priority="11612" stopIfTrue="1" operator="equal">
      <formula>"Napkin Hs"</formula>
    </cfRule>
  </conditionalFormatting>
  <conditionalFormatting sqref="C53">
    <cfRule type="cellIs" dxfId="9477" priority="11573" stopIfTrue="1" operator="equal">
      <formula>"Towel"</formula>
    </cfRule>
    <cfRule type="cellIs" dxfId="9476" priority="11574" stopIfTrue="1" operator="equal">
      <formula>"Napkin Hs"</formula>
    </cfRule>
    <cfRule type="cellIs" dxfId="9475" priority="11575" stopIfTrue="1" operator="equal">
      <formula>"Towel"</formula>
    </cfRule>
    <cfRule type="cellIs" dxfId="9474" priority="11576" stopIfTrue="1" operator="equal">
      <formula>"Napkin Hs"</formula>
    </cfRule>
    <cfRule type="cellIs" dxfId="9473" priority="11579" stopIfTrue="1" operator="equal">
      <formula>"Towel"</formula>
    </cfRule>
    <cfRule type="cellIs" dxfId="9472" priority="11580" stopIfTrue="1" operator="equal">
      <formula>"Napkin Hs"</formula>
    </cfRule>
    <cfRule type="cellIs" dxfId="9471" priority="11581" stopIfTrue="1" operator="equal">
      <formula>"Towel"</formula>
    </cfRule>
    <cfRule type="cellIs" dxfId="9470" priority="11582" stopIfTrue="1" operator="equal">
      <formula>"Napkin Hs"</formula>
    </cfRule>
    <cfRule type="cellIs" dxfId="9469" priority="11585" stopIfTrue="1" operator="equal">
      <formula>"Towel"</formula>
    </cfRule>
    <cfRule type="cellIs" dxfId="9468" priority="11586" stopIfTrue="1" operator="equal">
      <formula>"Napkin Hs"</formula>
    </cfRule>
    <cfRule type="cellIs" dxfId="9467" priority="11587" stopIfTrue="1" operator="equal">
      <formula>"Towel"</formula>
    </cfRule>
    <cfRule type="cellIs" dxfId="9466" priority="11588" stopIfTrue="1" operator="equal">
      <formula>"Napkin Hs"</formula>
    </cfRule>
    <cfRule type="cellIs" dxfId="9465" priority="11591" stopIfTrue="1" operator="equal">
      <formula>"Towel"</formula>
    </cfRule>
    <cfRule type="cellIs" dxfId="9464" priority="11592" stopIfTrue="1" operator="equal">
      <formula>"Napkin Hs"</formula>
    </cfRule>
    <cfRule type="cellIs" dxfId="9463" priority="11593" stopIfTrue="1" operator="equal">
      <formula>"Towel"</formula>
    </cfRule>
    <cfRule type="cellIs" dxfId="9462" priority="11594" stopIfTrue="1" operator="equal">
      <formula>"Napkin Hs"</formula>
    </cfRule>
    <cfRule type="cellIs" dxfId="9461" priority="11597" stopIfTrue="1" operator="equal">
      <formula>"Towel"</formula>
    </cfRule>
    <cfRule type="cellIs" dxfId="9460" priority="11598" stopIfTrue="1" operator="equal">
      <formula>"Napkin Hs"</formula>
    </cfRule>
    <cfRule type="cellIs" dxfId="9459" priority="11599" stopIfTrue="1" operator="equal">
      <formula>"Towel"</formula>
    </cfRule>
    <cfRule type="cellIs" dxfId="9458" priority="11600" stopIfTrue="1" operator="equal">
      <formula>"Napkin Hs"</formula>
    </cfRule>
    <cfRule type="cellIs" dxfId="9457" priority="11603" stopIfTrue="1" operator="equal">
      <formula>"Towel"</formula>
    </cfRule>
    <cfRule type="cellIs" dxfId="9456" priority="11604" stopIfTrue="1" operator="equal">
      <formula>"Napkin Hs"</formula>
    </cfRule>
    <cfRule type="cellIs" dxfId="9455" priority="11605" stopIfTrue="1" operator="equal">
      <formula>"Towel"</formula>
    </cfRule>
    <cfRule type="cellIs" dxfId="9454" priority="11606" stopIfTrue="1" operator="equal">
      <formula>"Napkin Hs"</formula>
    </cfRule>
    <cfRule type="cellIs" dxfId="9453" priority="11609" stopIfTrue="1" operator="equal">
      <formula>"Towel"</formula>
    </cfRule>
    <cfRule type="cellIs" dxfId="9452" priority="11610" stopIfTrue="1" operator="equal">
      <formula>"Napkin Hs"</formula>
    </cfRule>
  </conditionalFormatting>
  <conditionalFormatting sqref="C52">
    <cfRule type="cellIs" dxfId="9451" priority="11541" stopIfTrue="1" operator="equal">
      <formula>"Towel"</formula>
    </cfRule>
    <cfRule type="cellIs" dxfId="9450" priority="11542" stopIfTrue="1" operator="equal">
      <formula>"Napkin Hs"</formula>
    </cfRule>
    <cfRule type="cellIs" dxfId="9449" priority="11555" stopIfTrue="1" operator="equal">
      <formula>"Towel"</formula>
    </cfRule>
    <cfRule type="cellIs" dxfId="9448" priority="11556" stopIfTrue="1" operator="equal">
      <formula>"Napkin Hs"</formula>
    </cfRule>
    <cfRule type="cellIs" dxfId="9447" priority="11561" stopIfTrue="1" operator="equal">
      <formula>"Towel"</formula>
    </cfRule>
    <cfRule type="cellIs" dxfId="9446" priority="11562" stopIfTrue="1" operator="equal">
      <formula>"Napkin Hs"</formula>
    </cfRule>
    <cfRule type="cellIs" dxfId="9445" priority="11571" stopIfTrue="1" operator="equal">
      <formula>"Towel"</formula>
    </cfRule>
    <cfRule type="cellIs" dxfId="9444" priority="11572" stopIfTrue="1" operator="equal">
      <formula>"Napkin Hs"</formula>
    </cfRule>
  </conditionalFormatting>
  <conditionalFormatting sqref="B53:C53">
    <cfRule type="cellIs" dxfId="9443" priority="11545" stopIfTrue="1" operator="equal">
      <formula>"Towel"</formula>
    </cfRule>
    <cfRule type="cellIs" dxfId="9442" priority="11546" stopIfTrue="1" operator="equal">
      <formula>"Napkin Hs"</formula>
    </cfRule>
    <cfRule type="cellIs" dxfId="9441" priority="11551" stopIfTrue="1" operator="equal">
      <formula>"Towel"</formula>
    </cfRule>
    <cfRule type="cellIs" dxfId="9440" priority="11552" stopIfTrue="1" operator="equal">
      <formula>"Napkin Hs"</formula>
    </cfRule>
    <cfRule type="cellIs" dxfId="9439" priority="11567" stopIfTrue="1" operator="equal">
      <formula>"Towel"</formula>
    </cfRule>
    <cfRule type="cellIs" dxfId="9438" priority="11568" stopIfTrue="1" operator="equal">
      <formula>"Napkin Hs"</formula>
    </cfRule>
  </conditionalFormatting>
  <conditionalFormatting sqref="C52">
    <cfRule type="cellIs" dxfId="9437" priority="11559" stopIfTrue="1" operator="equal">
      <formula>"Towel"</formula>
    </cfRule>
    <cfRule type="cellIs" dxfId="9436" priority="11560" stopIfTrue="1" operator="equal">
      <formula>"Napkin Hs"</formula>
    </cfRule>
    <cfRule type="cellIs" dxfId="9435" priority="11569" stopIfTrue="1" operator="equal">
      <formula>"Towel"</formula>
    </cfRule>
    <cfRule type="cellIs" dxfId="9434" priority="11570" stopIfTrue="1" operator="equal">
      <formula>"Napkin Hs"</formula>
    </cfRule>
  </conditionalFormatting>
  <conditionalFormatting sqref="C52">
    <cfRule type="cellIs" dxfId="9433" priority="11537" stopIfTrue="1" operator="equal">
      <formula>"Towel"</formula>
    </cfRule>
    <cfRule type="cellIs" dxfId="9432" priority="11538" stopIfTrue="1" operator="equal">
      <formula>"Napkin Hs"</formula>
    </cfRule>
    <cfRule type="cellIs" dxfId="9431" priority="11553" stopIfTrue="1" operator="equal">
      <formula>"Towel"</formula>
    </cfRule>
    <cfRule type="cellIs" dxfId="9430" priority="11554" stopIfTrue="1" operator="equal">
      <formula>"Napkin Hs"</formula>
    </cfRule>
    <cfRule type="cellIs" dxfId="9429" priority="11557" stopIfTrue="1" operator="equal">
      <formula>"Towel"</formula>
    </cfRule>
    <cfRule type="cellIs" dxfId="9428" priority="11558" stopIfTrue="1" operator="equal">
      <formula>"Napkin Hs"</formula>
    </cfRule>
  </conditionalFormatting>
  <conditionalFormatting sqref="C52:C53">
    <cfRule type="cellIs" dxfId="9427" priority="11539" stopIfTrue="1" operator="equal">
      <formula>"Towel"</formula>
    </cfRule>
    <cfRule type="cellIs" dxfId="9426" priority="11540" stopIfTrue="1" operator="equal">
      <formula>"Napkin Hs"</formula>
    </cfRule>
    <cfRule type="cellIs" dxfId="9425" priority="11549" stopIfTrue="1" operator="equal">
      <formula>"Towel"</formula>
    </cfRule>
    <cfRule type="cellIs" dxfId="9424" priority="11550" stopIfTrue="1" operator="equal">
      <formula>"Napkin Hs"</formula>
    </cfRule>
    <cfRule type="cellIs" dxfId="9423" priority="11565" stopIfTrue="1" operator="equal">
      <formula>"Towel"</formula>
    </cfRule>
    <cfRule type="cellIs" dxfId="9422" priority="11566" stopIfTrue="1" operator="equal">
      <formula>"Napkin Hs"</formula>
    </cfRule>
  </conditionalFormatting>
  <conditionalFormatting sqref="C53">
    <cfRule type="cellIs" dxfId="9421" priority="11543" stopIfTrue="1" operator="equal">
      <formula>"Towel"</formula>
    </cfRule>
    <cfRule type="cellIs" dxfId="9420" priority="11544" stopIfTrue="1" operator="equal">
      <formula>"Napkin Hs"</formula>
    </cfRule>
    <cfRule type="cellIs" dxfId="9419" priority="11563" stopIfTrue="1" operator="equal">
      <formula>"Towel"</formula>
    </cfRule>
    <cfRule type="cellIs" dxfId="9418" priority="11564" stopIfTrue="1" operator="equal">
      <formula>"Napkin Hs"</formula>
    </cfRule>
  </conditionalFormatting>
  <conditionalFormatting sqref="C53">
    <cfRule type="cellIs" dxfId="9417" priority="11547" stopIfTrue="1" operator="equal">
      <formula>"Towel"</formula>
    </cfRule>
    <cfRule type="cellIs" dxfId="9416" priority="11548" stopIfTrue="1" operator="equal">
      <formula>"Napkin Hs"</formula>
    </cfRule>
  </conditionalFormatting>
  <conditionalFormatting sqref="B53:C53">
    <cfRule type="cellIs" dxfId="9415" priority="11535" stopIfTrue="1" operator="equal">
      <formula>"Towel"</formula>
    </cfRule>
    <cfRule type="cellIs" dxfId="9414" priority="11536" stopIfTrue="1" operator="equal">
      <formula>"Napkin Hs"</formula>
    </cfRule>
  </conditionalFormatting>
  <conditionalFormatting sqref="B53:C53">
    <cfRule type="cellIs" dxfId="9413" priority="11529" stopIfTrue="1" operator="equal">
      <formula>"Towel"</formula>
    </cfRule>
    <cfRule type="cellIs" dxfId="9412" priority="11530" stopIfTrue="1" operator="equal">
      <formula>"Napkin Hs"</formula>
    </cfRule>
  </conditionalFormatting>
  <conditionalFormatting sqref="C53">
    <cfRule type="cellIs" dxfId="9411" priority="11534" stopIfTrue="1" operator="equal">
      <formula>"Napkin Hs"</formula>
    </cfRule>
  </conditionalFormatting>
  <conditionalFormatting sqref="C53">
    <cfRule type="cellIs" dxfId="9410" priority="11531" stopIfTrue="1" operator="equal">
      <formula>"Towel"</formula>
    </cfRule>
    <cfRule type="cellIs" dxfId="9409" priority="11532" stopIfTrue="1" operator="equal">
      <formula>"Napkin Hs"</formula>
    </cfRule>
  </conditionalFormatting>
  <conditionalFormatting sqref="C53">
    <cfRule type="cellIs" dxfId="9408" priority="11525" stopIfTrue="1" operator="equal">
      <formula>"Towel"</formula>
    </cfRule>
    <cfRule type="cellIs" dxfId="9407" priority="11526" stopIfTrue="1" operator="equal">
      <formula>"Napkin Hs"</formula>
    </cfRule>
  </conditionalFormatting>
  <conditionalFormatting sqref="C53">
    <cfRule type="cellIs" dxfId="9406" priority="11527" stopIfTrue="1" operator="equal">
      <formula>"Towel"</formula>
    </cfRule>
    <cfRule type="cellIs" dxfId="9405" priority="11528" stopIfTrue="1" operator="equal">
      <formula>"Napkin Hs"</formula>
    </cfRule>
  </conditionalFormatting>
  <conditionalFormatting sqref="C53">
    <cfRule type="cellIs" dxfId="9404" priority="11533" stopIfTrue="1" operator="equal">
      <formula>"Towel"</formula>
    </cfRule>
  </conditionalFormatting>
  <conditionalFormatting sqref="B53:C53">
    <cfRule type="cellIs" dxfId="9403" priority="11523" stopIfTrue="1" operator="equal">
      <formula>"Towel"</formula>
    </cfRule>
    <cfRule type="cellIs" dxfId="9402" priority="11524" stopIfTrue="1" operator="equal">
      <formula>"Napkin Hs"</formula>
    </cfRule>
  </conditionalFormatting>
  <conditionalFormatting sqref="C53">
    <cfRule type="cellIs" dxfId="9401" priority="11519" stopIfTrue="1" operator="equal">
      <formula>"Towel"</formula>
    </cfRule>
    <cfRule type="cellIs" dxfId="9400" priority="11520" stopIfTrue="1" operator="equal">
      <formula>"Napkin Hs"</formula>
    </cfRule>
  </conditionalFormatting>
  <conditionalFormatting sqref="C53">
    <cfRule type="cellIs" dxfId="9399" priority="11521" stopIfTrue="1" operator="equal">
      <formula>"Towel"</formula>
    </cfRule>
    <cfRule type="cellIs" dxfId="9398" priority="11522" stopIfTrue="1" operator="equal">
      <formula>"Napkin Hs"</formula>
    </cfRule>
  </conditionalFormatting>
  <conditionalFormatting sqref="B53:C53">
    <cfRule type="cellIs" dxfId="9397" priority="11515" stopIfTrue="1" operator="equal">
      <formula>"Towel"</formula>
    </cfRule>
    <cfRule type="cellIs" dxfId="9396" priority="11516" stopIfTrue="1" operator="equal">
      <formula>"Napkin Hs"</formula>
    </cfRule>
  </conditionalFormatting>
  <conditionalFormatting sqref="C53">
    <cfRule type="cellIs" dxfId="9395" priority="11517" stopIfTrue="1" operator="equal">
      <formula>"Towel"</formula>
    </cfRule>
    <cfRule type="cellIs" dxfId="9394" priority="11518" stopIfTrue="1" operator="equal">
      <formula>"Napkin Hs"</formula>
    </cfRule>
  </conditionalFormatting>
  <conditionalFormatting sqref="C53">
    <cfRule type="cellIs" dxfId="9393" priority="11511" stopIfTrue="1" operator="equal">
      <formula>"Towel"</formula>
    </cfRule>
    <cfRule type="cellIs" dxfId="9392" priority="11512" stopIfTrue="1" operator="equal">
      <formula>"Napkin Hs"</formula>
    </cfRule>
  </conditionalFormatting>
  <conditionalFormatting sqref="C53">
    <cfRule type="cellIs" dxfId="9391" priority="11513" stopIfTrue="1" operator="equal">
      <formula>"Towel"</formula>
    </cfRule>
    <cfRule type="cellIs" dxfId="9390" priority="11514" stopIfTrue="1" operator="equal">
      <formula>"Napkin Hs"</formula>
    </cfRule>
  </conditionalFormatting>
  <conditionalFormatting sqref="B53:C53">
    <cfRule type="cellIs" dxfId="9389" priority="11509" stopIfTrue="1" operator="equal">
      <formula>"Towel"</formula>
    </cfRule>
    <cfRule type="cellIs" dxfId="9388" priority="11510" stopIfTrue="1" operator="equal">
      <formula>"Napkin Hs"</formula>
    </cfRule>
  </conditionalFormatting>
  <conditionalFormatting sqref="C53">
    <cfRule type="cellIs" dxfId="9387" priority="11508" stopIfTrue="1" operator="equal">
      <formula>"Napkin Hs"</formula>
    </cfRule>
  </conditionalFormatting>
  <conditionalFormatting sqref="C53">
    <cfRule type="cellIs" dxfId="9386" priority="11507" stopIfTrue="1" operator="equal">
      <formula>"Towel"</formula>
    </cfRule>
  </conditionalFormatting>
  <conditionalFormatting sqref="C52">
    <cfRule type="cellIs" dxfId="9385" priority="11505" stopIfTrue="1" operator="equal">
      <formula>"Towel"</formula>
    </cfRule>
    <cfRule type="cellIs" dxfId="9384" priority="11506" stopIfTrue="1" operator="equal">
      <formula>"Napkin Hs"</formula>
    </cfRule>
  </conditionalFormatting>
  <conditionalFormatting sqref="C52">
    <cfRule type="cellIs" dxfId="9383" priority="11501" stopIfTrue="1" operator="equal">
      <formula>"Towel"</formula>
    </cfRule>
    <cfRule type="cellIs" dxfId="9382" priority="11502" stopIfTrue="1" operator="equal">
      <formula>"Napkin Hs"</formula>
    </cfRule>
  </conditionalFormatting>
  <conditionalFormatting sqref="C52">
    <cfRule type="cellIs" dxfId="9381" priority="11503" stopIfTrue="1" operator="equal">
      <formula>"Towel"</formula>
    </cfRule>
    <cfRule type="cellIs" dxfId="9380" priority="11504" stopIfTrue="1" operator="equal">
      <formula>"Napkin Hs"</formula>
    </cfRule>
  </conditionalFormatting>
  <conditionalFormatting sqref="C52">
    <cfRule type="cellIs" dxfId="9379" priority="11499" stopIfTrue="1" operator="equal">
      <formula>"Towel"</formula>
    </cfRule>
    <cfRule type="cellIs" dxfId="9378" priority="11500" stopIfTrue="1" operator="equal">
      <formula>"Napkin Hs"</formula>
    </cfRule>
  </conditionalFormatting>
  <conditionalFormatting sqref="C52">
    <cfRule type="cellIs" dxfId="9377" priority="11495" stopIfTrue="1" operator="equal">
      <formula>"Towel"</formula>
    </cfRule>
    <cfRule type="cellIs" dxfId="9376" priority="11496" stopIfTrue="1" operator="equal">
      <formula>"Napkin Hs"</formula>
    </cfRule>
  </conditionalFormatting>
  <conditionalFormatting sqref="C52">
    <cfRule type="cellIs" dxfId="9375" priority="11497" stopIfTrue="1" operator="equal">
      <formula>"Towel"</formula>
    </cfRule>
    <cfRule type="cellIs" dxfId="9374" priority="11498" stopIfTrue="1" operator="equal">
      <formula>"Napkin Hs"</formula>
    </cfRule>
  </conditionalFormatting>
  <conditionalFormatting sqref="C52">
    <cfRule type="cellIs" dxfId="9373" priority="11493" stopIfTrue="1" operator="equal">
      <formula>"Towel"</formula>
    </cfRule>
    <cfRule type="cellIs" dxfId="9372" priority="11494" stopIfTrue="1" operator="equal">
      <formula>"Napkin Hs"</formula>
    </cfRule>
  </conditionalFormatting>
  <conditionalFormatting sqref="C52">
    <cfRule type="cellIs" dxfId="9371" priority="11489" stopIfTrue="1" operator="equal">
      <formula>"Towel"</formula>
    </cfRule>
    <cfRule type="cellIs" dxfId="9370" priority="11490" stopIfTrue="1" operator="equal">
      <formula>"Napkin Hs"</formula>
    </cfRule>
  </conditionalFormatting>
  <conditionalFormatting sqref="C52">
    <cfRule type="cellIs" dxfId="9369" priority="11491" stopIfTrue="1" operator="equal">
      <formula>"Towel"</formula>
    </cfRule>
    <cfRule type="cellIs" dxfId="9368" priority="11492" stopIfTrue="1" operator="equal">
      <formula>"Napkin Hs"</formula>
    </cfRule>
  </conditionalFormatting>
  <conditionalFormatting sqref="C52">
    <cfRule type="cellIs" dxfId="9367" priority="11487" stopIfTrue="1" operator="equal">
      <formula>"Towel"</formula>
    </cfRule>
    <cfRule type="cellIs" dxfId="9366" priority="11488" stopIfTrue="1" operator="equal">
      <formula>"Napkin Hs"</formula>
    </cfRule>
  </conditionalFormatting>
  <conditionalFormatting sqref="C52">
    <cfRule type="cellIs" dxfId="9365" priority="11485" stopIfTrue="1" operator="equal">
      <formula>"Towel"</formula>
    </cfRule>
    <cfRule type="cellIs" dxfId="9364" priority="11486" stopIfTrue="1" operator="equal">
      <formula>"Napkin Hs"</formula>
    </cfRule>
  </conditionalFormatting>
  <conditionalFormatting sqref="C52">
    <cfRule type="cellIs" dxfId="9363" priority="11483" stopIfTrue="1" operator="equal">
      <formula>"Towel"</formula>
    </cfRule>
    <cfRule type="cellIs" dxfId="9362" priority="11484" stopIfTrue="1" operator="equal">
      <formula>"Napkin Hs"</formula>
    </cfRule>
  </conditionalFormatting>
  <conditionalFormatting sqref="C52">
    <cfRule type="cellIs" dxfId="9361" priority="11481" stopIfTrue="1" operator="equal">
      <formula>"Towel"</formula>
    </cfRule>
    <cfRule type="cellIs" dxfId="9360" priority="11482" stopIfTrue="1" operator="equal">
      <formula>"Napkin Hs"</formula>
    </cfRule>
  </conditionalFormatting>
  <conditionalFormatting sqref="C52">
    <cfRule type="cellIs" dxfId="9359" priority="11480" stopIfTrue="1" operator="equal">
      <formula>"Napkin Hs"</formula>
    </cfRule>
  </conditionalFormatting>
  <conditionalFormatting sqref="C52">
    <cfRule type="cellIs" dxfId="9358" priority="11477" stopIfTrue="1" operator="equal">
      <formula>"Towel"</formula>
    </cfRule>
    <cfRule type="cellIs" dxfId="9357" priority="11478" stopIfTrue="1" operator="equal">
      <formula>"Napkin Hs"</formula>
    </cfRule>
  </conditionalFormatting>
  <conditionalFormatting sqref="C52">
    <cfRule type="cellIs" dxfId="9356" priority="11479" stopIfTrue="1" operator="equal">
      <formula>"Towel"</formula>
    </cfRule>
  </conditionalFormatting>
  <conditionalFormatting sqref="B52">
    <cfRule type="cellIs" dxfId="9355" priority="11475" stopIfTrue="1" operator="equal">
      <formula>"Towel"</formula>
    </cfRule>
    <cfRule type="cellIs" dxfId="9354" priority="11476" stopIfTrue="1" operator="equal">
      <formula>"Napkin Hs"</formula>
    </cfRule>
  </conditionalFormatting>
  <conditionalFormatting sqref="B52">
    <cfRule type="cellIs" dxfId="9353" priority="11473" stopIfTrue="1" operator="equal">
      <formula>"Towel"</formula>
    </cfRule>
    <cfRule type="cellIs" dxfId="9352" priority="11474" stopIfTrue="1" operator="equal">
      <formula>"Napkin Hs"</formula>
    </cfRule>
  </conditionalFormatting>
  <conditionalFormatting sqref="B52">
    <cfRule type="cellIs" dxfId="9351" priority="11471" stopIfTrue="1" operator="equal">
      <formula>"Towel"</formula>
    </cfRule>
    <cfRule type="cellIs" dxfId="9350" priority="11472" stopIfTrue="1" operator="equal">
      <formula>"Napkin Hs"</formula>
    </cfRule>
  </conditionalFormatting>
  <conditionalFormatting sqref="B52">
    <cfRule type="cellIs" dxfId="9349" priority="11469" stopIfTrue="1" operator="equal">
      <formula>"Towel"</formula>
    </cfRule>
    <cfRule type="cellIs" dxfId="9348" priority="11470" stopIfTrue="1" operator="equal">
      <formula>"Napkin Hs"</formula>
    </cfRule>
  </conditionalFormatting>
  <conditionalFormatting sqref="B52">
    <cfRule type="cellIs" dxfId="9347" priority="11467" stopIfTrue="1" operator="equal">
      <formula>"Towel"</formula>
    </cfRule>
    <cfRule type="cellIs" dxfId="9346" priority="11468" stopIfTrue="1" operator="equal">
      <formula>"Napkin Hs"</formula>
    </cfRule>
  </conditionalFormatting>
  <conditionalFormatting sqref="B51:C51 B52">
    <cfRule type="cellIs" dxfId="9345" priority="11465" stopIfTrue="1" operator="equal">
      <formula>"Towel"</formula>
    </cfRule>
    <cfRule type="cellIs" dxfId="9344" priority="11466" stopIfTrue="1" operator="equal">
      <formula>"Napkin Hs"</formula>
    </cfRule>
  </conditionalFormatting>
  <conditionalFormatting sqref="B51:C51 B52">
    <cfRule type="cellIs" dxfId="9343" priority="11457" stopIfTrue="1" operator="equal">
      <formula>"Towel"</formula>
    </cfRule>
    <cfRule type="cellIs" dxfId="9342" priority="11458" stopIfTrue="1" operator="equal">
      <formula>"Napkin Hs"</formula>
    </cfRule>
    <cfRule type="cellIs" dxfId="9341" priority="11463" stopIfTrue="1" operator="equal">
      <formula>"Towel"</formula>
    </cfRule>
    <cfRule type="cellIs" dxfId="9340" priority="11464" stopIfTrue="1" operator="equal">
      <formula>"Napkin Hs"</formula>
    </cfRule>
  </conditionalFormatting>
  <conditionalFormatting sqref="C51">
    <cfRule type="cellIs" dxfId="9339" priority="11453" stopIfTrue="1" operator="equal">
      <formula>"Towel"</formula>
    </cfRule>
    <cfRule type="cellIs" dxfId="9338" priority="11454" stopIfTrue="1" operator="equal">
      <formula>"Napkin Hs"</formula>
    </cfRule>
  </conditionalFormatting>
  <conditionalFormatting sqref="C51">
    <cfRule type="cellIs" dxfId="9337" priority="11451" stopIfTrue="1" operator="equal">
      <formula>"Towel"</formula>
    </cfRule>
    <cfRule type="cellIs" dxfId="9336" priority="11452" stopIfTrue="1" operator="equal">
      <formula>"Napkin Hs"</formula>
    </cfRule>
    <cfRule type="cellIs" dxfId="9335" priority="11461" stopIfTrue="1" operator="equal">
      <formula>"Towel"</formula>
    </cfRule>
    <cfRule type="cellIs" dxfId="9334" priority="11462" stopIfTrue="1" operator="equal">
      <formula>"Napkin Hs"</formula>
    </cfRule>
  </conditionalFormatting>
  <conditionalFormatting sqref="C51">
    <cfRule type="cellIs" dxfId="9333" priority="11455" stopIfTrue="1" operator="equal">
      <formula>"Towel"</formula>
    </cfRule>
    <cfRule type="cellIs" dxfId="9332" priority="11456" stopIfTrue="1" operator="equal">
      <formula>"Napkin Hs"</formula>
    </cfRule>
    <cfRule type="cellIs" dxfId="9331" priority="11459" stopIfTrue="1" operator="equal">
      <formula>"Towel"</formula>
    </cfRule>
    <cfRule type="cellIs" dxfId="9330" priority="11460" stopIfTrue="1" operator="equal">
      <formula>"Napkin Hs"</formula>
    </cfRule>
  </conditionalFormatting>
  <conditionalFormatting sqref="C51">
    <cfRule type="cellIs" dxfId="9329" priority="11450" stopIfTrue="1" operator="equal">
      <formula>"Napkin Hs"</formula>
    </cfRule>
  </conditionalFormatting>
  <conditionalFormatting sqref="C51">
    <cfRule type="cellIs" dxfId="9328" priority="11449" stopIfTrue="1" operator="equal">
      <formula>"Towel"</formula>
    </cfRule>
  </conditionalFormatting>
  <conditionalFormatting sqref="C51">
    <cfRule type="cellIs" dxfId="9327" priority="11445" stopIfTrue="1" operator="equal">
      <formula>"Towel"</formula>
    </cfRule>
    <cfRule type="cellIs" dxfId="9326" priority="11446" stopIfTrue="1" operator="equal">
      <formula>"Napkin Hs"</formula>
    </cfRule>
    <cfRule type="cellIs" dxfId="9325" priority="11447" stopIfTrue="1" operator="equal">
      <formula>"Towel"</formula>
    </cfRule>
    <cfRule type="cellIs" dxfId="9324" priority="11448" stopIfTrue="1" operator="equal">
      <formula>"Napkin Hs"</formula>
    </cfRule>
  </conditionalFormatting>
  <conditionalFormatting sqref="B51:C51 B52">
    <cfRule type="cellIs" dxfId="9323" priority="11443" stopIfTrue="1" operator="equal">
      <formula>"Towel"</formula>
    </cfRule>
    <cfRule type="cellIs" dxfId="9322" priority="11444" stopIfTrue="1" operator="equal">
      <formula>"Napkin Hs"</formula>
    </cfRule>
  </conditionalFormatting>
  <conditionalFormatting sqref="C51">
    <cfRule type="cellIs" dxfId="9321" priority="11439" stopIfTrue="1" operator="equal">
      <formula>"Towel"</formula>
    </cfRule>
    <cfRule type="cellIs" dxfId="9320" priority="11440" stopIfTrue="1" operator="equal">
      <formula>"Napkin Hs"</formula>
    </cfRule>
  </conditionalFormatting>
  <conditionalFormatting sqref="C51">
    <cfRule type="cellIs" dxfId="9319" priority="11441" stopIfTrue="1" operator="equal">
      <formula>"Towel"</formula>
    </cfRule>
    <cfRule type="cellIs" dxfId="9318" priority="11442" stopIfTrue="1" operator="equal">
      <formula>"Napkin Hs"</formula>
    </cfRule>
  </conditionalFormatting>
  <conditionalFormatting sqref="B51:C51 B52">
    <cfRule type="cellIs" dxfId="9317" priority="11437" stopIfTrue="1" operator="equal">
      <formula>"Towel"</formula>
    </cfRule>
    <cfRule type="cellIs" dxfId="9316" priority="11438" stopIfTrue="1" operator="equal">
      <formula>"Napkin Hs"</formula>
    </cfRule>
  </conditionalFormatting>
  <conditionalFormatting sqref="C51">
    <cfRule type="cellIs" dxfId="9315" priority="11433" stopIfTrue="1" operator="equal">
      <formula>"Towel"</formula>
    </cfRule>
    <cfRule type="cellIs" dxfId="9314" priority="11434" stopIfTrue="1" operator="equal">
      <formula>"Napkin Hs"</formula>
    </cfRule>
  </conditionalFormatting>
  <conditionalFormatting sqref="C51">
    <cfRule type="cellIs" dxfId="9313" priority="11435" stopIfTrue="1" operator="equal">
      <formula>"Towel"</formula>
    </cfRule>
    <cfRule type="cellIs" dxfId="9312" priority="11436" stopIfTrue="1" operator="equal">
      <formula>"Napkin Hs"</formula>
    </cfRule>
  </conditionalFormatting>
  <conditionalFormatting sqref="B51:C51 B52">
    <cfRule type="cellIs" dxfId="9311" priority="11431" stopIfTrue="1" operator="equal">
      <formula>"Towel"</formula>
    </cfRule>
    <cfRule type="cellIs" dxfId="9310" priority="11432" stopIfTrue="1" operator="equal">
      <formula>"Napkin Hs"</formula>
    </cfRule>
  </conditionalFormatting>
  <conditionalFormatting sqref="C51">
    <cfRule type="cellIs" dxfId="9309" priority="11427" stopIfTrue="1" operator="equal">
      <formula>"Towel"</formula>
    </cfRule>
    <cfRule type="cellIs" dxfId="9308" priority="11428" stopIfTrue="1" operator="equal">
      <formula>"Napkin Hs"</formula>
    </cfRule>
  </conditionalFormatting>
  <conditionalFormatting sqref="C51">
    <cfRule type="cellIs" dxfId="9307" priority="11429" stopIfTrue="1" operator="equal">
      <formula>"Towel"</formula>
    </cfRule>
    <cfRule type="cellIs" dxfId="9306" priority="11430" stopIfTrue="1" operator="equal">
      <formula>"Napkin Hs"</formula>
    </cfRule>
  </conditionalFormatting>
  <conditionalFormatting sqref="B51:C51 B52">
    <cfRule type="cellIs" dxfId="9305" priority="11425" stopIfTrue="1" operator="equal">
      <formula>"Towel"</formula>
    </cfRule>
    <cfRule type="cellIs" dxfId="9304" priority="11426" stopIfTrue="1" operator="equal">
      <formula>"Napkin Hs"</formula>
    </cfRule>
  </conditionalFormatting>
  <conditionalFormatting sqref="C51">
    <cfRule type="cellIs" dxfId="9303" priority="11423" stopIfTrue="1" operator="equal">
      <formula>"Towel"</formula>
    </cfRule>
    <cfRule type="cellIs" dxfId="9302" priority="11424" stopIfTrue="1" operator="equal">
      <formula>"Napkin Hs"</formula>
    </cfRule>
  </conditionalFormatting>
  <conditionalFormatting sqref="C51">
    <cfRule type="cellIs" dxfId="9301" priority="11421" stopIfTrue="1" operator="equal">
      <formula>"Towel"</formula>
    </cfRule>
    <cfRule type="cellIs" dxfId="9300" priority="11422" stopIfTrue="1" operator="equal">
      <formula>"Napkin Hs"</formula>
    </cfRule>
  </conditionalFormatting>
  <conditionalFormatting sqref="B51:C51 B52">
    <cfRule type="cellIs" dxfId="9299" priority="11419" stopIfTrue="1" operator="equal">
      <formula>"Towel"</formula>
    </cfRule>
    <cfRule type="cellIs" dxfId="9298" priority="11420" stopIfTrue="1" operator="equal">
      <formula>"Napkin Hs"</formula>
    </cfRule>
  </conditionalFormatting>
  <conditionalFormatting sqref="C51">
    <cfRule type="cellIs" dxfId="9297" priority="11418" stopIfTrue="1" operator="equal">
      <formula>"Napkin Hs"</formula>
    </cfRule>
  </conditionalFormatting>
  <conditionalFormatting sqref="C51">
    <cfRule type="cellIs" dxfId="9296" priority="11415" stopIfTrue="1" operator="equal">
      <formula>"Towel"</formula>
    </cfRule>
    <cfRule type="cellIs" dxfId="9295" priority="11416" stopIfTrue="1" operator="equal">
      <formula>"Napkin Hs"</formula>
    </cfRule>
  </conditionalFormatting>
  <conditionalFormatting sqref="C51">
    <cfRule type="cellIs" dxfId="9294" priority="11417" stopIfTrue="1" operator="equal">
      <formula>"Towel"</formula>
    </cfRule>
  </conditionalFormatting>
  <conditionalFormatting sqref="B51:C52">
    <cfRule type="cellIs" dxfId="9293" priority="11401" stopIfTrue="1" operator="equal">
      <formula>"Towel"</formula>
    </cfRule>
    <cfRule type="cellIs" dxfId="9292" priority="11402" stopIfTrue="1" operator="equal">
      <formula>"Napkin Hs"</formula>
    </cfRule>
    <cfRule type="cellIs" dxfId="9291" priority="11407" stopIfTrue="1" operator="equal">
      <formula>"Towel"</formula>
    </cfRule>
    <cfRule type="cellIs" dxfId="9290" priority="11408" stopIfTrue="1" operator="equal">
      <formula>"Napkin Hs"</formula>
    </cfRule>
    <cfRule type="cellIs" dxfId="9289" priority="11413" stopIfTrue="1" operator="equal">
      <formula>"Towel"</formula>
    </cfRule>
    <cfRule type="cellIs" dxfId="9288" priority="11414" stopIfTrue="1" operator="equal">
      <formula>"Napkin Hs"</formula>
    </cfRule>
  </conditionalFormatting>
  <conditionalFormatting sqref="C51:C52">
    <cfRule type="cellIs" dxfId="9287" priority="11395" stopIfTrue="1" operator="equal">
      <formula>"Towel"</formula>
    </cfRule>
    <cfRule type="cellIs" dxfId="9286" priority="11396" stopIfTrue="1" operator="equal">
      <formula>"Napkin Hs"</formula>
    </cfRule>
    <cfRule type="cellIs" dxfId="9285" priority="11397" stopIfTrue="1" operator="equal">
      <formula>"Towel"</formula>
    </cfRule>
    <cfRule type="cellIs" dxfId="9284" priority="11398" stopIfTrue="1" operator="equal">
      <formula>"Napkin Hs"</formula>
    </cfRule>
    <cfRule type="cellIs" dxfId="9283" priority="11405" stopIfTrue="1" operator="equal">
      <formula>"Towel"</formula>
    </cfRule>
    <cfRule type="cellIs" dxfId="9282" priority="11406" stopIfTrue="1" operator="equal">
      <formula>"Napkin Hs"</formula>
    </cfRule>
    <cfRule type="cellIs" dxfId="9281" priority="11409" stopIfTrue="1" operator="equal">
      <formula>"Towel"</formula>
    </cfRule>
    <cfRule type="cellIs" dxfId="9280" priority="11410" stopIfTrue="1" operator="equal">
      <formula>"Napkin Hs"</formula>
    </cfRule>
  </conditionalFormatting>
  <conditionalFormatting sqref="C51:C52">
    <cfRule type="cellIs" dxfId="9279" priority="11399" stopIfTrue="1" operator="equal">
      <formula>"Towel"</formula>
    </cfRule>
    <cfRule type="cellIs" dxfId="9278" priority="11400" stopIfTrue="1" operator="equal">
      <formula>"Napkin Hs"</formula>
    </cfRule>
    <cfRule type="cellIs" dxfId="9277" priority="11403" stopIfTrue="1" operator="equal">
      <formula>"Towel"</formula>
    </cfRule>
    <cfRule type="cellIs" dxfId="9276" priority="11404" stopIfTrue="1" operator="equal">
      <formula>"Napkin Hs"</formula>
    </cfRule>
    <cfRule type="cellIs" dxfId="9275" priority="11411" stopIfTrue="1" operator="equal">
      <formula>"Towel"</formula>
    </cfRule>
    <cfRule type="cellIs" dxfId="9274" priority="11412" stopIfTrue="1" operator="equal">
      <formula>"Napkin Hs"</formula>
    </cfRule>
  </conditionalFormatting>
  <conditionalFormatting sqref="B51:C52">
    <cfRule type="cellIs" dxfId="9273" priority="11393" stopIfTrue="1" operator="equal">
      <formula>"Towel"</formula>
    </cfRule>
    <cfRule type="cellIs" dxfId="9272" priority="11394" stopIfTrue="1" operator="equal">
      <formula>"Napkin Hs"</formula>
    </cfRule>
  </conditionalFormatting>
  <conditionalFormatting sqref="B51:C52">
    <cfRule type="cellIs" dxfId="9271" priority="11385" stopIfTrue="1" operator="equal">
      <formula>"Towel"</formula>
    </cfRule>
    <cfRule type="cellIs" dxfId="9270" priority="11386" stopIfTrue="1" operator="equal">
      <formula>"Napkin Hs"</formula>
    </cfRule>
    <cfRule type="cellIs" dxfId="9269" priority="11391" stopIfTrue="1" operator="equal">
      <formula>"Towel"</formula>
    </cfRule>
    <cfRule type="cellIs" dxfId="9268" priority="11392" stopIfTrue="1" operator="equal">
      <formula>"Napkin Hs"</formula>
    </cfRule>
  </conditionalFormatting>
  <conditionalFormatting sqref="C51:C52">
    <cfRule type="cellIs" dxfId="9267" priority="11381" stopIfTrue="1" operator="equal">
      <formula>"Towel"</formula>
    </cfRule>
    <cfRule type="cellIs" dxfId="9266" priority="11382" stopIfTrue="1" operator="equal">
      <formula>"Napkin Hs"</formula>
    </cfRule>
  </conditionalFormatting>
  <conditionalFormatting sqref="C51:C52">
    <cfRule type="cellIs" dxfId="9265" priority="11379" stopIfTrue="1" operator="equal">
      <formula>"Towel"</formula>
    </cfRule>
    <cfRule type="cellIs" dxfId="9264" priority="11380" stopIfTrue="1" operator="equal">
      <formula>"Napkin Hs"</formula>
    </cfRule>
    <cfRule type="cellIs" dxfId="9263" priority="11389" stopIfTrue="1" operator="equal">
      <formula>"Towel"</formula>
    </cfRule>
    <cfRule type="cellIs" dxfId="9262" priority="11390" stopIfTrue="1" operator="equal">
      <formula>"Napkin Hs"</formula>
    </cfRule>
  </conditionalFormatting>
  <conditionalFormatting sqref="C51:C52">
    <cfRule type="cellIs" dxfId="9261" priority="11383" stopIfTrue="1" operator="equal">
      <formula>"Towel"</formula>
    </cfRule>
    <cfRule type="cellIs" dxfId="9260" priority="11384" stopIfTrue="1" operator="equal">
      <formula>"Napkin Hs"</formula>
    </cfRule>
    <cfRule type="cellIs" dxfId="9259" priority="11387" stopIfTrue="1" operator="equal">
      <formula>"Towel"</formula>
    </cfRule>
    <cfRule type="cellIs" dxfId="9258" priority="11388" stopIfTrue="1" operator="equal">
      <formula>"Napkin Hs"</formula>
    </cfRule>
  </conditionalFormatting>
  <conditionalFormatting sqref="C51:C52">
    <cfRule type="cellIs" dxfId="9257" priority="11378" stopIfTrue="1" operator="equal">
      <formula>"Napkin Hs"</formula>
    </cfRule>
  </conditionalFormatting>
  <conditionalFormatting sqref="C51:C52">
    <cfRule type="cellIs" dxfId="9256" priority="11377" stopIfTrue="1" operator="equal">
      <formula>"Towel"</formula>
    </cfRule>
  </conditionalFormatting>
  <conditionalFormatting sqref="C51:C52">
    <cfRule type="cellIs" dxfId="9255" priority="11373" stopIfTrue="1" operator="equal">
      <formula>"Towel"</formula>
    </cfRule>
    <cfRule type="cellIs" dxfId="9254" priority="11374" stopIfTrue="1" operator="equal">
      <formula>"Napkin Hs"</formula>
    </cfRule>
    <cfRule type="cellIs" dxfId="9253" priority="11375" stopIfTrue="1" operator="equal">
      <formula>"Towel"</formula>
    </cfRule>
    <cfRule type="cellIs" dxfId="9252" priority="11376" stopIfTrue="1" operator="equal">
      <formula>"Napkin Hs"</formula>
    </cfRule>
  </conditionalFormatting>
  <conditionalFormatting sqref="B51:C52">
    <cfRule type="cellIs" dxfId="9251" priority="11371" stopIfTrue="1" operator="equal">
      <formula>"Towel"</formula>
    </cfRule>
    <cfRule type="cellIs" dxfId="9250" priority="11372" stopIfTrue="1" operator="equal">
      <formula>"Napkin Hs"</formula>
    </cfRule>
  </conditionalFormatting>
  <conditionalFormatting sqref="C51:C52">
    <cfRule type="cellIs" dxfId="9249" priority="11367" stopIfTrue="1" operator="equal">
      <formula>"Towel"</formula>
    </cfRule>
    <cfRule type="cellIs" dxfId="9248" priority="11368" stopIfTrue="1" operator="equal">
      <formula>"Napkin Hs"</formula>
    </cfRule>
  </conditionalFormatting>
  <conditionalFormatting sqref="C51:C52">
    <cfRule type="cellIs" dxfId="9247" priority="11369" stopIfTrue="1" operator="equal">
      <formula>"Towel"</formula>
    </cfRule>
    <cfRule type="cellIs" dxfId="9246" priority="11370" stopIfTrue="1" operator="equal">
      <formula>"Napkin Hs"</formula>
    </cfRule>
  </conditionalFormatting>
  <conditionalFormatting sqref="B51:C52">
    <cfRule type="cellIs" dxfId="9245" priority="11365" stopIfTrue="1" operator="equal">
      <formula>"Towel"</formula>
    </cfRule>
    <cfRule type="cellIs" dxfId="9244" priority="11366" stopIfTrue="1" operator="equal">
      <formula>"Napkin Hs"</formula>
    </cfRule>
  </conditionalFormatting>
  <conditionalFormatting sqref="C51:C52">
    <cfRule type="cellIs" dxfId="9243" priority="11361" stopIfTrue="1" operator="equal">
      <formula>"Towel"</formula>
    </cfRule>
    <cfRule type="cellIs" dxfId="9242" priority="11362" stopIfTrue="1" operator="equal">
      <formula>"Napkin Hs"</formula>
    </cfRule>
  </conditionalFormatting>
  <conditionalFormatting sqref="C51:C52">
    <cfRule type="cellIs" dxfId="9241" priority="11363" stopIfTrue="1" operator="equal">
      <formula>"Towel"</formula>
    </cfRule>
    <cfRule type="cellIs" dxfId="9240" priority="11364" stopIfTrue="1" operator="equal">
      <formula>"Napkin Hs"</formula>
    </cfRule>
  </conditionalFormatting>
  <conditionalFormatting sqref="B51:C52">
    <cfRule type="cellIs" dxfId="9239" priority="11359" stopIfTrue="1" operator="equal">
      <formula>"Towel"</formula>
    </cfRule>
    <cfRule type="cellIs" dxfId="9238" priority="11360" stopIfTrue="1" operator="equal">
      <formula>"Napkin Hs"</formula>
    </cfRule>
  </conditionalFormatting>
  <conditionalFormatting sqref="C51:C52">
    <cfRule type="cellIs" dxfId="9237" priority="11355" stopIfTrue="1" operator="equal">
      <formula>"Towel"</formula>
    </cfRule>
    <cfRule type="cellIs" dxfId="9236" priority="11356" stopIfTrue="1" operator="equal">
      <formula>"Napkin Hs"</formula>
    </cfRule>
  </conditionalFormatting>
  <conditionalFormatting sqref="C51:C52">
    <cfRule type="cellIs" dxfId="9235" priority="11357" stopIfTrue="1" operator="equal">
      <formula>"Towel"</formula>
    </cfRule>
    <cfRule type="cellIs" dxfId="9234" priority="11358" stopIfTrue="1" operator="equal">
      <formula>"Napkin Hs"</formula>
    </cfRule>
  </conditionalFormatting>
  <conditionalFormatting sqref="B51:C52">
    <cfRule type="cellIs" dxfId="9233" priority="11353" stopIfTrue="1" operator="equal">
      <formula>"Towel"</formula>
    </cfRule>
    <cfRule type="cellIs" dxfId="9232" priority="11354" stopIfTrue="1" operator="equal">
      <formula>"Napkin Hs"</formula>
    </cfRule>
  </conditionalFormatting>
  <conditionalFormatting sqref="C51:C52">
    <cfRule type="cellIs" dxfId="9231" priority="11351" stopIfTrue="1" operator="equal">
      <formula>"Towel"</formula>
    </cfRule>
    <cfRule type="cellIs" dxfId="9230" priority="11352" stopIfTrue="1" operator="equal">
      <formula>"Napkin Hs"</formula>
    </cfRule>
  </conditionalFormatting>
  <conditionalFormatting sqref="C51:C52">
    <cfRule type="cellIs" dxfId="9229" priority="11349" stopIfTrue="1" operator="equal">
      <formula>"Towel"</formula>
    </cfRule>
    <cfRule type="cellIs" dxfId="9228" priority="11350" stopIfTrue="1" operator="equal">
      <formula>"Napkin Hs"</formula>
    </cfRule>
  </conditionalFormatting>
  <conditionalFormatting sqref="B51:C52">
    <cfRule type="cellIs" dxfId="9227" priority="11347" stopIfTrue="1" operator="equal">
      <formula>"Towel"</formula>
    </cfRule>
    <cfRule type="cellIs" dxfId="9226" priority="11348" stopIfTrue="1" operator="equal">
      <formula>"Napkin Hs"</formula>
    </cfRule>
  </conditionalFormatting>
  <conditionalFormatting sqref="C51:C52">
    <cfRule type="cellIs" dxfId="9225" priority="11346" stopIfTrue="1" operator="equal">
      <formula>"Napkin Hs"</formula>
    </cfRule>
  </conditionalFormatting>
  <conditionalFormatting sqref="C51:C52">
    <cfRule type="cellIs" dxfId="9224" priority="11343" stopIfTrue="1" operator="equal">
      <formula>"Towel"</formula>
    </cfRule>
    <cfRule type="cellIs" dxfId="9223" priority="11344" stopIfTrue="1" operator="equal">
      <formula>"Napkin Hs"</formula>
    </cfRule>
  </conditionalFormatting>
  <conditionalFormatting sqref="C51:C52">
    <cfRule type="cellIs" dxfId="9222" priority="11345" stopIfTrue="1" operator="equal">
      <formula>"Towel"</formula>
    </cfRule>
  </conditionalFormatting>
  <conditionalFormatting sqref="B50:C50">
    <cfRule type="cellIs" dxfId="9221" priority="11299" stopIfTrue="1" operator="equal">
      <formula>"Towel"</formula>
    </cfRule>
    <cfRule type="cellIs" dxfId="9220" priority="11300" stopIfTrue="1" operator="equal">
      <formula>"Napkin Hs"</formula>
    </cfRule>
    <cfRule type="cellIs" dxfId="9219" priority="11305" stopIfTrue="1" operator="equal">
      <formula>"Towel"</formula>
    </cfRule>
    <cfRule type="cellIs" dxfId="9218" priority="11306" stopIfTrue="1" operator="equal">
      <formula>"Napkin Hs"</formula>
    </cfRule>
    <cfRule type="cellIs" dxfId="9217" priority="11311" stopIfTrue="1" operator="equal">
      <formula>"Towel"</formula>
    </cfRule>
    <cfRule type="cellIs" dxfId="9216" priority="11312" stopIfTrue="1" operator="equal">
      <formula>"Napkin Hs"</formula>
    </cfRule>
    <cfRule type="cellIs" dxfId="9215" priority="11317" stopIfTrue="1" operator="equal">
      <formula>"Towel"</formula>
    </cfRule>
    <cfRule type="cellIs" dxfId="9214" priority="11318" stopIfTrue="1" operator="equal">
      <formula>"Napkin Hs"</formula>
    </cfRule>
    <cfRule type="cellIs" dxfId="9213" priority="11323" stopIfTrue="1" operator="equal">
      <formula>"Towel"</formula>
    </cfRule>
    <cfRule type="cellIs" dxfId="9212" priority="11324" stopIfTrue="1" operator="equal">
      <formula>"Napkin Hs"</formula>
    </cfRule>
    <cfRule type="cellIs" dxfId="9211" priority="11329" stopIfTrue="1" operator="equal">
      <formula>"Towel"</formula>
    </cfRule>
    <cfRule type="cellIs" dxfId="9210" priority="11330" stopIfTrue="1" operator="equal">
      <formula>"Napkin Hs"</formula>
    </cfRule>
    <cfRule type="cellIs" dxfId="9209" priority="11335" stopIfTrue="1" operator="equal">
      <formula>"Towel"</formula>
    </cfRule>
    <cfRule type="cellIs" dxfId="9208" priority="11336" stopIfTrue="1" operator="equal">
      <formula>"Napkin Hs"</formula>
    </cfRule>
    <cfRule type="cellIs" dxfId="9207" priority="11341" stopIfTrue="1" operator="equal">
      <formula>"Towel"</formula>
    </cfRule>
    <cfRule type="cellIs" dxfId="9206" priority="11342" stopIfTrue="1" operator="equal">
      <formula>"Napkin Hs"</formula>
    </cfRule>
  </conditionalFormatting>
  <conditionalFormatting sqref="C50">
    <cfRule type="cellIs" dxfId="9205" priority="11295" stopIfTrue="1" operator="equal">
      <formula>"Towel"</formula>
    </cfRule>
    <cfRule type="cellIs" dxfId="9204" priority="11296" stopIfTrue="1" operator="equal">
      <formula>"Napkin Hs"</formula>
    </cfRule>
    <cfRule type="cellIs" dxfId="9203" priority="11297" stopIfTrue="1" operator="equal">
      <formula>"Towel"</formula>
    </cfRule>
    <cfRule type="cellIs" dxfId="9202" priority="11298" stopIfTrue="1" operator="equal">
      <formula>"Napkin Hs"</formula>
    </cfRule>
    <cfRule type="cellIs" dxfId="9201" priority="11301" stopIfTrue="1" operator="equal">
      <formula>"Towel"</formula>
    </cfRule>
    <cfRule type="cellIs" dxfId="9200" priority="11302" stopIfTrue="1" operator="equal">
      <formula>"Napkin Hs"</formula>
    </cfRule>
    <cfRule type="cellIs" dxfId="9199" priority="11303" stopIfTrue="1" operator="equal">
      <formula>"Towel"</formula>
    </cfRule>
    <cfRule type="cellIs" dxfId="9198" priority="11304" stopIfTrue="1" operator="equal">
      <formula>"Napkin Hs"</formula>
    </cfRule>
    <cfRule type="cellIs" dxfId="9197" priority="11307" stopIfTrue="1" operator="equal">
      <formula>"Towel"</formula>
    </cfRule>
    <cfRule type="cellIs" dxfId="9196" priority="11308" stopIfTrue="1" operator="equal">
      <formula>"Napkin Hs"</formula>
    </cfRule>
    <cfRule type="cellIs" dxfId="9195" priority="11309" stopIfTrue="1" operator="equal">
      <formula>"Towel"</formula>
    </cfRule>
    <cfRule type="cellIs" dxfId="9194" priority="11310" stopIfTrue="1" operator="equal">
      <formula>"Napkin Hs"</formula>
    </cfRule>
    <cfRule type="cellIs" dxfId="9193" priority="11313" stopIfTrue="1" operator="equal">
      <formula>"Towel"</formula>
    </cfRule>
    <cfRule type="cellIs" dxfId="9192" priority="11314" stopIfTrue="1" operator="equal">
      <formula>"Napkin Hs"</formula>
    </cfRule>
    <cfRule type="cellIs" dxfId="9191" priority="11315" stopIfTrue="1" operator="equal">
      <formula>"Towel"</formula>
    </cfRule>
    <cfRule type="cellIs" dxfId="9190" priority="11316" stopIfTrue="1" operator="equal">
      <formula>"Napkin Hs"</formula>
    </cfRule>
    <cfRule type="cellIs" dxfId="9189" priority="11319" stopIfTrue="1" operator="equal">
      <formula>"Towel"</formula>
    </cfRule>
    <cfRule type="cellIs" dxfId="9188" priority="11320" stopIfTrue="1" operator="equal">
      <formula>"Napkin Hs"</formula>
    </cfRule>
    <cfRule type="cellIs" dxfId="9187" priority="11321" stopIfTrue="1" operator="equal">
      <formula>"Towel"</formula>
    </cfRule>
    <cfRule type="cellIs" dxfId="9186" priority="11322" stopIfTrue="1" operator="equal">
      <formula>"Napkin Hs"</formula>
    </cfRule>
    <cfRule type="cellIs" dxfId="9185" priority="11325" stopIfTrue="1" operator="equal">
      <formula>"Towel"</formula>
    </cfRule>
    <cfRule type="cellIs" dxfId="9184" priority="11326" stopIfTrue="1" operator="equal">
      <formula>"Napkin Hs"</formula>
    </cfRule>
    <cfRule type="cellIs" dxfId="9183" priority="11327" stopIfTrue="1" operator="equal">
      <formula>"Towel"</formula>
    </cfRule>
    <cfRule type="cellIs" dxfId="9182" priority="11328" stopIfTrue="1" operator="equal">
      <formula>"Napkin Hs"</formula>
    </cfRule>
    <cfRule type="cellIs" dxfId="9181" priority="11331" stopIfTrue="1" operator="equal">
      <formula>"Towel"</formula>
    </cfRule>
    <cfRule type="cellIs" dxfId="9180" priority="11332" stopIfTrue="1" operator="equal">
      <formula>"Napkin Hs"</formula>
    </cfRule>
    <cfRule type="cellIs" dxfId="9179" priority="11333" stopIfTrue="1" operator="equal">
      <formula>"Towel"</formula>
    </cfRule>
    <cfRule type="cellIs" dxfId="9178" priority="11334" stopIfTrue="1" operator="equal">
      <formula>"Napkin Hs"</formula>
    </cfRule>
    <cfRule type="cellIs" dxfId="9177" priority="11337" stopIfTrue="1" operator="equal">
      <formula>"Towel"</formula>
    </cfRule>
    <cfRule type="cellIs" dxfId="9176" priority="11338" stopIfTrue="1" operator="equal">
      <formula>"Napkin Hs"</formula>
    </cfRule>
  </conditionalFormatting>
  <conditionalFormatting sqref="C50">
    <cfRule type="cellIs" dxfId="9175" priority="11339" stopIfTrue="1" operator="equal">
      <formula>"Towel"</formula>
    </cfRule>
    <cfRule type="cellIs" dxfId="9174" priority="11340" stopIfTrue="1" operator="equal">
      <formula>"Napkin Hs"</formula>
    </cfRule>
  </conditionalFormatting>
  <conditionalFormatting sqref="B50">
    <cfRule type="cellIs" dxfId="9173" priority="11289" stopIfTrue="1" operator="equal">
      <formula>"Towel"</formula>
    </cfRule>
    <cfRule type="cellIs" dxfId="9172" priority="11290" stopIfTrue="1" operator="equal">
      <formula>"Napkin Hs"</formula>
    </cfRule>
    <cfRule type="cellIs" dxfId="9171" priority="11291" stopIfTrue="1" operator="equal">
      <formula>"Towel"</formula>
    </cfRule>
    <cfRule type="cellIs" dxfId="9170" priority="11292" stopIfTrue="1" operator="equal">
      <formula>"Napkin Hs"</formula>
    </cfRule>
    <cfRule type="cellIs" dxfId="9169" priority="11293" stopIfTrue="1" operator="equal">
      <formula>"Towel"</formula>
    </cfRule>
    <cfRule type="cellIs" dxfId="9168" priority="11294" stopIfTrue="1" operator="equal">
      <formula>"Napkin Hs"</formula>
    </cfRule>
  </conditionalFormatting>
  <conditionalFormatting sqref="B50:C50">
    <cfRule type="cellIs" dxfId="9167" priority="11251" stopIfTrue="1" operator="equal">
      <formula>"Towel"</formula>
    </cfRule>
    <cfRule type="cellIs" dxfId="9166" priority="11252" stopIfTrue="1" operator="equal">
      <formula>"Napkin Hs"</formula>
    </cfRule>
    <cfRule type="cellIs" dxfId="9165" priority="11257" stopIfTrue="1" operator="equal">
      <formula>"Towel"</formula>
    </cfRule>
    <cfRule type="cellIs" dxfId="9164" priority="11258" stopIfTrue="1" operator="equal">
      <formula>"Napkin Hs"</formula>
    </cfRule>
    <cfRule type="cellIs" dxfId="9163" priority="11263" stopIfTrue="1" operator="equal">
      <formula>"Towel"</formula>
    </cfRule>
    <cfRule type="cellIs" dxfId="9162" priority="11264" stopIfTrue="1" operator="equal">
      <formula>"Napkin Hs"</formula>
    </cfRule>
    <cfRule type="cellIs" dxfId="9161" priority="11269" stopIfTrue="1" operator="equal">
      <formula>"Towel"</formula>
    </cfRule>
    <cfRule type="cellIs" dxfId="9160" priority="11270" stopIfTrue="1" operator="equal">
      <formula>"Napkin Hs"</formula>
    </cfRule>
    <cfRule type="cellIs" dxfId="9159" priority="11275" stopIfTrue="1" operator="equal">
      <formula>"Towel"</formula>
    </cfRule>
    <cfRule type="cellIs" dxfId="9158" priority="11276" stopIfTrue="1" operator="equal">
      <formula>"Napkin Hs"</formula>
    </cfRule>
    <cfRule type="cellIs" dxfId="9157" priority="11281" stopIfTrue="1" operator="equal">
      <formula>"Towel"</formula>
    </cfRule>
    <cfRule type="cellIs" dxfId="9156" priority="11282" stopIfTrue="1" operator="equal">
      <formula>"Napkin Hs"</formula>
    </cfRule>
    <cfRule type="cellIs" dxfId="9155" priority="11287" stopIfTrue="1" operator="equal">
      <formula>"Towel"</formula>
    </cfRule>
    <cfRule type="cellIs" dxfId="9154" priority="11288" stopIfTrue="1" operator="equal">
      <formula>"Napkin Hs"</formula>
    </cfRule>
  </conditionalFormatting>
  <conditionalFormatting sqref="C50">
    <cfRule type="cellIs" dxfId="9153" priority="11247" stopIfTrue="1" operator="equal">
      <formula>"Towel"</formula>
    </cfRule>
    <cfRule type="cellIs" dxfId="9152" priority="11248" stopIfTrue="1" operator="equal">
      <formula>"Napkin Hs"</formula>
    </cfRule>
    <cfRule type="cellIs" dxfId="9151" priority="11249" stopIfTrue="1" operator="equal">
      <formula>"Towel"</formula>
    </cfRule>
    <cfRule type="cellIs" dxfId="9150" priority="11250" stopIfTrue="1" operator="equal">
      <formula>"Napkin Hs"</formula>
    </cfRule>
    <cfRule type="cellIs" dxfId="9149" priority="11253" stopIfTrue="1" operator="equal">
      <formula>"Towel"</formula>
    </cfRule>
    <cfRule type="cellIs" dxfId="9148" priority="11254" stopIfTrue="1" operator="equal">
      <formula>"Napkin Hs"</formula>
    </cfRule>
    <cfRule type="cellIs" dxfId="9147" priority="11255" stopIfTrue="1" operator="equal">
      <formula>"Towel"</formula>
    </cfRule>
    <cfRule type="cellIs" dxfId="9146" priority="11256" stopIfTrue="1" operator="equal">
      <formula>"Napkin Hs"</formula>
    </cfRule>
    <cfRule type="cellIs" dxfId="9145" priority="11259" stopIfTrue="1" operator="equal">
      <formula>"Towel"</formula>
    </cfRule>
    <cfRule type="cellIs" dxfId="9144" priority="11260" stopIfTrue="1" operator="equal">
      <formula>"Napkin Hs"</formula>
    </cfRule>
    <cfRule type="cellIs" dxfId="9143" priority="11261" stopIfTrue="1" operator="equal">
      <formula>"Towel"</formula>
    </cfRule>
    <cfRule type="cellIs" dxfId="9142" priority="11262" stopIfTrue="1" operator="equal">
      <formula>"Napkin Hs"</formula>
    </cfRule>
    <cfRule type="cellIs" dxfId="9141" priority="11265" stopIfTrue="1" operator="equal">
      <formula>"Towel"</formula>
    </cfRule>
    <cfRule type="cellIs" dxfId="9140" priority="11266" stopIfTrue="1" operator="equal">
      <formula>"Napkin Hs"</formula>
    </cfRule>
    <cfRule type="cellIs" dxfId="9139" priority="11267" stopIfTrue="1" operator="equal">
      <formula>"Towel"</formula>
    </cfRule>
    <cfRule type="cellIs" dxfId="9138" priority="11268" stopIfTrue="1" operator="equal">
      <formula>"Napkin Hs"</formula>
    </cfRule>
    <cfRule type="cellIs" dxfId="9137" priority="11271" stopIfTrue="1" operator="equal">
      <formula>"Towel"</formula>
    </cfRule>
    <cfRule type="cellIs" dxfId="9136" priority="11272" stopIfTrue="1" operator="equal">
      <formula>"Napkin Hs"</formula>
    </cfRule>
    <cfRule type="cellIs" dxfId="9135" priority="11273" stopIfTrue="1" operator="equal">
      <formula>"Towel"</formula>
    </cfRule>
    <cfRule type="cellIs" dxfId="9134" priority="11274" stopIfTrue="1" operator="equal">
      <formula>"Napkin Hs"</formula>
    </cfRule>
    <cfRule type="cellIs" dxfId="9133" priority="11277" stopIfTrue="1" operator="equal">
      <formula>"Towel"</formula>
    </cfRule>
    <cfRule type="cellIs" dxfId="9132" priority="11278" stopIfTrue="1" operator="equal">
      <formula>"Napkin Hs"</formula>
    </cfRule>
    <cfRule type="cellIs" dxfId="9131" priority="11279" stopIfTrue="1" operator="equal">
      <formula>"Towel"</formula>
    </cfRule>
    <cfRule type="cellIs" dxfId="9130" priority="11280" stopIfTrue="1" operator="equal">
      <formula>"Napkin Hs"</formula>
    </cfRule>
    <cfRule type="cellIs" dxfId="9129" priority="11283" stopIfTrue="1" operator="equal">
      <formula>"Towel"</formula>
    </cfRule>
    <cfRule type="cellIs" dxfId="9128" priority="11284" stopIfTrue="1" operator="equal">
      <formula>"Napkin Hs"</formula>
    </cfRule>
  </conditionalFormatting>
  <conditionalFormatting sqref="C50">
    <cfRule type="cellIs" dxfId="9127" priority="11285" stopIfTrue="1" operator="equal">
      <formula>"Towel"</formula>
    </cfRule>
    <cfRule type="cellIs" dxfId="9126" priority="11286" stopIfTrue="1" operator="equal">
      <formula>"Napkin Hs"</formula>
    </cfRule>
  </conditionalFormatting>
  <conditionalFormatting sqref="B50:C50">
    <cfRule type="cellIs" dxfId="9125" priority="11245" stopIfTrue="1" operator="equal">
      <formula>"Towel"</formula>
    </cfRule>
    <cfRule type="cellIs" dxfId="9124" priority="11246" stopIfTrue="1" operator="equal">
      <formula>"Napkin Hs"</formula>
    </cfRule>
  </conditionalFormatting>
  <conditionalFormatting sqref="B50:C50">
    <cfRule type="cellIs" dxfId="9123" priority="11209" stopIfTrue="1" operator="equal">
      <formula>"Towel"</formula>
    </cfRule>
    <cfRule type="cellIs" dxfId="9122" priority="11210" stopIfTrue="1" operator="equal">
      <formula>"Napkin Hs"</formula>
    </cfRule>
    <cfRule type="cellIs" dxfId="9121" priority="11215" stopIfTrue="1" operator="equal">
      <formula>"Towel"</formula>
    </cfRule>
    <cfRule type="cellIs" dxfId="9120" priority="11216" stopIfTrue="1" operator="equal">
      <formula>"Napkin Hs"</formula>
    </cfRule>
    <cfRule type="cellIs" dxfId="9119" priority="11221" stopIfTrue="1" operator="equal">
      <formula>"Towel"</formula>
    </cfRule>
    <cfRule type="cellIs" dxfId="9118" priority="11222" stopIfTrue="1" operator="equal">
      <formula>"Napkin Hs"</formula>
    </cfRule>
    <cfRule type="cellIs" dxfId="9117" priority="11227" stopIfTrue="1" operator="equal">
      <formula>"Towel"</formula>
    </cfRule>
    <cfRule type="cellIs" dxfId="9116" priority="11228" stopIfTrue="1" operator="equal">
      <formula>"Napkin Hs"</formula>
    </cfRule>
    <cfRule type="cellIs" dxfId="9115" priority="11233" stopIfTrue="1" operator="equal">
      <formula>"Towel"</formula>
    </cfRule>
    <cfRule type="cellIs" dxfId="9114" priority="11234" stopIfTrue="1" operator="equal">
      <formula>"Napkin Hs"</formula>
    </cfRule>
    <cfRule type="cellIs" dxfId="9113" priority="11239" stopIfTrue="1" operator="equal">
      <formula>"Towel"</formula>
    </cfRule>
    <cfRule type="cellIs" dxfId="9112" priority="11240" stopIfTrue="1" operator="equal">
      <formula>"Napkin Hs"</formula>
    </cfRule>
  </conditionalFormatting>
  <conditionalFormatting sqref="C50">
    <cfRule type="cellIs" dxfId="9111" priority="11244" stopIfTrue="1" operator="equal">
      <formula>"Napkin Hs"</formula>
    </cfRule>
  </conditionalFormatting>
  <conditionalFormatting sqref="C50">
    <cfRule type="cellIs" dxfId="9110" priority="11243" stopIfTrue="1" operator="equal">
      <formula>"Towel"</formula>
    </cfRule>
  </conditionalFormatting>
  <conditionalFormatting sqref="C50">
    <cfRule type="cellIs" dxfId="9109" priority="11237" stopIfTrue="1" operator="equal">
      <formula>"Towel"</formula>
    </cfRule>
    <cfRule type="cellIs" dxfId="9108" priority="11238" stopIfTrue="1" operator="equal">
      <formula>"Napkin Hs"</formula>
    </cfRule>
  </conditionalFormatting>
  <conditionalFormatting sqref="C50">
    <cfRule type="cellIs" dxfId="9107" priority="11235" stopIfTrue="1" operator="equal">
      <formula>"Towel"</formula>
    </cfRule>
    <cfRule type="cellIs" dxfId="9106" priority="11236" stopIfTrue="1" operator="equal">
      <formula>"Napkin Hs"</formula>
    </cfRule>
    <cfRule type="cellIs" dxfId="9105" priority="11241" stopIfTrue="1" operator="equal">
      <formula>"Towel"</formula>
    </cfRule>
    <cfRule type="cellIs" dxfId="9104" priority="11242" stopIfTrue="1" operator="equal">
      <formula>"Napkin Hs"</formula>
    </cfRule>
  </conditionalFormatting>
  <conditionalFormatting sqref="C50">
    <cfRule type="cellIs" dxfId="9103" priority="11207" stopIfTrue="1" operator="equal">
      <formula>"Towel"</formula>
    </cfRule>
    <cfRule type="cellIs" dxfId="9102" priority="11208" stopIfTrue="1" operator="equal">
      <formula>"Napkin Hs"</formula>
    </cfRule>
    <cfRule type="cellIs" dxfId="9101" priority="11211" stopIfTrue="1" operator="equal">
      <formula>"Towel"</formula>
    </cfRule>
    <cfRule type="cellIs" dxfId="9100" priority="11212" stopIfTrue="1" operator="equal">
      <formula>"Napkin Hs"</formula>
    </cfRule>
    <cfRule type="cellIs" dxfId="9099" priority="11213" stopIfTrue="1" operator="equal">
      <formula>"Towel"</formula>
    </cfRule>
    <cfRule type="cellIs" dxfId="9098" priority="11214" stopIfTrue="1" operator="equal">
      <formula>"Napkin Hs"</formula>
    </cfRule>
    <cfRule type="cellIs" dxfId="9097" priority="11217" stopIfTrue="1" operator="equal">
      <formula>"Towel"</formula>
    </cfRule>
    <cfRule type="cellIs" dxfId="9096" priority="11218" stopIfTrue="1" operator="equal">
      <formula>"Napkin Hs"</formula>
    </cfRule>
    <cfRule type="cellIs" dxfId="9095" priority="11219" stopIfTrue="1" operator="equal">
      <formula>"Towel"</formula>
    </cfRule>
    <cfRule type="cellIs" dxfId="9094" priority="11220" stopIfTrue="1" operator="equal">
      <formula>"Napkin Hs"</formula>
    </cfRule>
    <cfRule type="cellIs" dxfId="9093" priority="11223" stopIfTrue="1" operator="equal">
      <formula>"Towel"</formula>
    </cfRule>
    <cfRule type="cellIs" dxfId="9092" priority="11224" stopIfTrue="1" operator="equal">
      <formula>"Napkin Hs"</formula>
    </cfRule>
    <cfRule type="cellIs" dxfId="9091" priority="11225" stopIfTrue="1" operator="equal">
      <formula>"Towel"</formula>
    </cfRule>
    <cfRule type="cellIs" dxfId="9090" priority="11226" stopIfTrue="1" operator="equal">
      <formula>"Napkin Hs"</formula>
    </cfRule>
    <cfRule type="cellIs" dxfId="9089" priority="11229" stopIfTrue="1" operator="equal">
      <formula>"Towel"</formula>
    </cfRule>
    <cfRule type="cellIs" dxfId="9088" priority="11230" stopIfTrue="1" operator="equal">
      <formula>"Napkin Hs"</formula>
    </cfRule>
    <cfRule type="cellIs" dxfId="9087" priority="11231" stopIfTrue="1" operator="equal">
      <formula>"Towel"</formula>
    </cfRule>
    <cfRule type="cellIs" dxfId="9086" priority="11232" stopIfTrue="1" operator="equal">
      <formula>"Napkin Hs"</formula>
    </cfRule>
  </conditionalFormatting>
  <conditionalFormatting sqref="C50">
    <cfRule type="cellIs" dxfId="9085" priority="11205" stopIfTrue="1" operator="equal">
      <formula>"Towel"</formula>
    </cfRule>
    <cfRule type="cellIs" dxfId="9084" priority="11206" stopIfTrue="1" operator="equal">
      <formula>"Napkin Hs"</formula>
    </cfRule>
  </conditionalFormatting>
  <conditionalFormatting sqref="C50">
    <cfRule type="cellIs" dxfId="9083" priority="11185" stopIfTrue="1" operator="equal">
      <formula>"Towel"</formula>
    </cfRule>
    <cfRule type="cellIs" dxfId="9082" priority="11186" stopIfTrue="1" operator="equal">
      <formula>"Napkin Hs"</formula>
    </cfRule>
    <cfRule type="cellIs" dxfId="9081" priority="11191" stopIfTrue="1" operator="equal">
      <formula>"Towel"</formula>
    </cfRule>
    <cfRule type="cellIs" dxfId="9080" priority="11192" stopIfTrue="1" operator="equal">
      <formula>"Napkin Hs"</formula>
    </cfRule>
    <cfRule type="cellIs" dxfId="9079" priority="11197" stopIfTrue="1" operator="equal">
      <formula>"Towel"</formula>
    </cfRule>
    <cfRule type="cellIs" dxfId="9078" priority="11198" stopIfTrue="1" operator="equal">
      <formula>"Napkin Hs"</formula>
    </cfRule>
    <cfRule type="cellIs" dxfId="9077" priority="11203" stopIfTrue="1" operator="equal">
      <formula>"Towel"</formula>
    </cfRule>
    <cfRule type="cellIs" dxfId="9076" priority="11204" stopIfTrue="1" operator="equal">
      <formula>"Napkin Hs"</formula>
    </cfRule>
  </conditionalFormatting>
  <conditionalFormatting sqref="C50">
    <cfRule type="cellIs" dxfId="9075" priority="11195" stopIfTrue="1" operator="equal">
      <formula>"Towel"</formula>
    </cfRule>
    <cfRule type="cellIs" dxfId="9074" priority="11196" stopIfTrue="1" operator="equal">
      <formula>"Napkin Hs"</formula>
    </cfRule>
    <cfRule type="cellIs" dxfId="9073" priority="11201" stopIfTrue="1" operator="equal">
      <formula>"Towel"</formula>
    </cfRule>
    <cfRule type="cellIs" dxfId="9072" priority="11202" stopIfTrue="1" operator="equal">
      <formula>"Napkin Hs"</formula>
    </cfRule>
  </conditionalFormatting>
  <conditionalFormatting sqref="C50">
    <cfRule type="cellIs" dxfId="9071" priority="11181" stopIfTrue="1" operator="equal">
      <formula>"Towel"</formula>
    </cfRule>
    <cfRule type="cellIs" dxfId="9070" priority="11182" stopIfTrue="1" operator="equal">
      <formula>"Napkin Hs"</formula>
    </cfRule>
    <cfRule type="cellIs" dxfId="9069" priority="11189" stopIfTrue="1" operator="equal">
      <formula>"Towel"</formula>
    </cfRule>
    <cfRule type="cellIs" dxfId="9068" priority="11190" stopIfTrue="1" operator="equal">
      <formula>"Napkin Hs"</formula>
    </cfRule>
    <cfRule type="cellIs" dxfId="9067" priority="11193" stopIfTrue="1" operator="equal">
      <formula>"Towel"</formula>
    </cfRule>
    <cfRule type="cellIs" dxfId="9066" priority="11194" stopIfTrue="1" operator="equal">
      <formula>"Napkin Hs"</formula>
    </cfRule>
  </conditionalFormatting>
  <conditionalFormatting sqref="C50">
    <cfRule type="cellIs" dxfId="9065" priority="11183" stopIfTrue="1" operator="equal">
      <formula>"Towel"</formula>
    </cfRule>
    <cfRule type="cellIs" dxfId="9064" priority="11184" stopIfTrue="1" operator="equal">
      <formula>"Napkin Hs"</formula>
    </cfRule>
    <cfRule type="cellIs" dxfId="9063" priority="11187" stopIfTrue="1" operator="equal">
      <formula>"Towel"</formula>
    </cfRule>
    <cfRule type="cellIs" dxfId="9062" priority="11188" stopIfTrue="1" operator="equal">
      <formula>"Napkin Hs"</formula>
    </cfRule>
    <cfRule type="cellIs" dxfId="9061" priority="11199" stopIfTrue="1" operator="equal">
      <formula>"Towel"</formula>
    </cfRule>
    <cfRule type="cellIs" dxfId="9060" priority="11200" stopIfTrue="1" operator="equal">
      <formula>"Napkin Hs"</formula>
    </cfRule>
  </conditionalFormatting>
  <conditionalFormatting sqref="C50">
    <cfRule type="cellIs" dxfId="9059" priority="11179" stopIfTrue="1" operator="equal">
      <formula>"Towel"</formula>
    </cfRule>
    <cfRule type="cellIs" dxfId="9058" priority="11180" stopIfTrue="1" operator="equal">
      <formula>"Napkin Hs"</formula>
    </cfRule>
  </conditionalFormatting>
  <conditionalFormatting sqref="C50">
    <cfRule type="cellIs" dxfId="9057" priority="11175" stopIfTrue="1" operator="equal">
      <formula>"Towel"</formula>
    </cfRule>
    <cfRule type="cellIs" dxfId="9056" priority="11176" stopIfTrue="1" operator="equal">
      <formula>"Napkin Hs"</formula>
    </cfRule>
  </conditionalFormatting>
  <conditionalFormatting sqref="C50">
    <cfRule type="cellIs" dxfId="9055" priority="11177" stopIfTrue="1" operator="equal">
      <formula>"Towel"</formula>
    </cfRule>
    <cfRule type="cellIs" dxfId="9054" priority="11178" stopIfTrue="1" operator="equal">
      <formula>"Napkin Hs"</formula>
    </cfRule>
  </conditionalFormatting>
  <conditionalFormatting sqref="C50">
    <cfRule type="cellIs" dxfId="9053" priority="11173" stopIfTrue="1" operator="equal">
      <formula>"Towel"</formula>
    </cfRule>
    <cfRule type="cellIs" dxfId="9052" priority="11174" stopIfTrue="1" operator="equal">
      <formula>"Napkin Hs"</formula>
    </cfRule>
  </conditionalFormatting>
  <conditionalFormatting sqref="C50">
    <cfRule type="cellIs" dxfId="9051" priority="11169" stopIfTrue="1" operator="equal">
      <formula>"Towel"</formula>
    </cfRule>
    <cfRule type="cellIs" dxfId="9050" priority="11170" stopIfTrue="1" operator="equal">
      <formula>"Napkin Hs"</formula>
    </cfRule>
  </conditionalFormatting>
  <conditionalFormatting sqref="C50">
    <cfRule type="cellIs" dxfId="9049" priority="11171" stopIfTrue="1" operator="equal">
      <formula>"Towel"</formula>
    </cfRule>
    <cfRule type="cellIs" dxfId="9048" priority="11172" stopIfTrue="1" operator="equal">
      <formula>"Napkin Hs"</formula>
    </cfRule>
  </conditionalFormatting>
  <conditionalFormatting sqref="C50">
    <cfRule type="cellIs" dxfId="9047" priority="11167" stopIfTrue="1" operator="equal">
      <formula>"Towel"</formula>
    </cfRule>
    <cfRule type="cellIs" dxfId="9046" priority="11168" stopIfTrue="1" operator="equal">
      <formula>"Napkin Hs"</formula>
    </cfRule>
  </conditionalFormatting>
  <conditionalFormatting sqref="C50">
    <cfRule type="cellIs" dxfId="9045" priority="11163" stopIfTrue="1" operator="equal">
      <formula>"Towel"</formula>
    </cfRule>
    <cfRule type="cellIs" dxfId="9044" priority="11164" stopIfTrue="1" operator="equal">
      <formula>"Napkin Hs"</formula>
    </cfRule>
  </conditionalFormatting>
  <conditionalFormatting sqref="C50">
    <cfRule type="cellIs" dxfId="9043" priority="11165" stopIfTrue="1" operator="equal">
      <formula>"Towel"</formula>
    </cfRule>
    <cfRule type="cellIs" dxfId="9042" priority="11166" stopIfTrue="1" operator="equal">
      <formula>"Napkin Hs"</formula>
    </cfRule>
  </conditionalFormatting>
  <conditionalFormatting sqref="C50">
    <cfRule type="cellIs" dxfId="9041" priority="11161" stopIfTrue="1" operator="equal">
      <formula>"Towel"</formula>
    </cfRule>
    <cfRule type="cellIs" dxfId="9040" priority="11162" stopIfTrue="1" operator="equal">
      <formula>"Napkin Hs"</formula>
    </cfRule>
  </conditionalFormatting>
  <conditionalFormatting sqref="C50">
    <cfRule type="cellIs" dxfId="9039" priority="11159" stopIfTrue="1" operator="equal">
      <formula>"Towel"</formula>
    </cfRule>
    <cfRule type="cellIs" dxfId="9038" priority="11160" stopIfTrue="1" operator="equal">
      <formula>"Napkin Hs"</formula>
    </cfRule>
  </conditionalFormatting>
  <conditionalFormatting sqref="C50">
    <cfRule type="cellIs" dxfId="9037" priority="11157" stopIfTrue="1" operator="equal">
      <formula>"Towel"</formula>
    </cfRule>
    <cfRule type="cellIs" dxfId="9036" priority="11158" stopIfTrue="1" operator="equal">
      <formula>"Napkin Hs"</formula>
    </cfRule>
  </conditionalFormatting>
  <conditionalFormatting sqref="C50">
    <cfRule type="cellIs" dxfId="9035" priority="11155" stopIfTrue="1" operator="equal">
      <formula>"Towel"</formula>
    </cfRule>
    <cfRule type="cellIs" dxfId="9034" priority="11156" stopIfTrue="1" operator="equal">
      <formula>"Napkin Hs"</formula>
    </cfRule>
  </conditionalFormatting>
  <conditionalFormatting sqref="C50">
    <cfRule type="cellIs" dxfId="9033" priority="11154" stopIfTrue="1" operator="equal">
      <formula>"Napkin Hs"</formula>
    </cfRule>
  </conditionalFormatting>
  <conditionalFormatting sqref="C50">
    <cfRule type="cellIs" dxfId="9032" priority="11151" stopIfTrue="1" operator="equal">
      <formula>"Towel"</formula>
    </cfRule>
    <cfRule type="cellIs" dxfId="9031" priority="11152" stopIfTrue="1" operator="equal">
      <formula>"Napkin Hs"</formula>
    </cfRule>
  </conditionalFormatting>
  <conditionalFormatting sqref="C50">
    <cfRule type="cellIs" dxfId="9030" priority="11153" stopIfTrue="1" operator="equal">
      <formula>"Towel"</formula>
    </cfRule>
  </conditionalFormatting>
  <conditionalFormatting sqref="B50">
    <cfRule type="cellIs" dxfId="9029" priority="11149" stopIfTrue="1" operator="equal">
      <formula>"Towel"</formula>
    </cfRule>
    <cfRule type="cellIs" dxfId="9028" priority="11150" stopIfTrue="1" operator="equal">
      <formula>"Napkin Hs"</formula>
    </cfRule>
  </conditionalFormatting>
  <conditionalFormatting sqref="B50">
    <cfRule type="cellIs" dxfId="9027" priority="11147" stopIfTrue="1" operator="equal">
      <formula>"Towel"</formula>
    </cfRule>
    <cfRule type="cellIs" dxfId="9026" priority="11148" stopIfTrue="1" operator="equal">
      <formula>"Napkin Hs"</formula>
    </cfRule>
  </conditionalFormatting>
  <conditionalFormatting sqref="B50">
    <cfRule type="cellIs" dxfId="9025" priority="11145" stopIfTrue="1" operator="equal">
      <formula>"Towel"</formula>
    </cfRule>
    <cfRule type="cellIs" dxfId="9024" priority="11146" stopIfTrue="1" operator="equal">
      <formula>"Napkin Hs"</formula>
    </cfRule>
  </conditionalFormatting>
  <conditionalFormatting sqref="B50">
    <cfRule type="cellIs" dxfId="9023" priority="11143" stopIfTrue="1" operator="equal">
      <formula>"Towel"</formula>
    </cfRule>
    <cfRule type="cellIs" dxfId="9022" priority="11144" stopIfTrue="1" operator="equal">
      <formula>"Napkin Hs"</formula>
    </cfRule>
  </conditionalFormatting>
  <conditionalFormatting sqref="B50">
    <cfRule type="cellIs" dxfId="9021" priority="11141" stopIfTrue="1" operator="equal">
      <formula>"Towel"</formula>
    </cfRule>
    <cfRule type="cellIs" dxfId="9020" priority="11142" stopIfTrue="1" operator="equal">
      <formula>"Napkin Hs"</formula>
    </cfRule>
  </conditionalFormatting>
  <conditionalFormatting sqref="B50">
    <cfRule type="cellIs" dxfId="9019" priority="11139" stopIfTrue="1" operator="equal">
      <formula>"Towel"</formula>
    </cfRule>
    <cfRule type="cellIs" dxfId="9018" priority="11140" stopIfTrue="1" operator="equal">
      <formula>"Napkin Hs"</formula>
    </cfRule>
  </conditionalFormatting>
  <conditionalFormatting sqref="B50">
    <cfRule type="cellIs" dxfId="9017" priority="11135" stopIfTrue="1" operator="equal">
      <formula>"Towel"</formula>
    </cfRule>
    <cfRule type="cellIs" dxfId="9016" priority="11136" stopIfTrue="1" operator="equal">
      <formula>"Napkin Hs"</formula>
    </cfRule>
    <cfRule type="cellIs" dxfId="9015" priority="11137" stopIfTrue="1" operator="equal">
      <formula>"Towel"</formula>
    </cfRule>
    <cfRule type="cellIs" dxfId="9014" priority="11138" stopIfTrue="1" operator="equal">
      <formula>"Napkin Hs"</formula>
    </cfRule>
  </conditionalFormatting>
  <conditionalFormatting sqref="B50">
    <cfRule type="cellIs" dxfId="9013" priority="11133" stopIfTrue="1" operator="equal">
      <formula>"Towel"</formula>
    </cfRule>
    <cfRule type="cellIs" dxfId="9012" priority="11134" stopIfTrue="1" operator="equal">
      <formula>"Napkin Hs"</formula>
    </cfRule>
  </conditionalFormatting>
  <conditionalFormatting sqref="B50">
    <cfRule type="cellIs" dxfId="9011" priority="11131" stopIfTrue="1" operator="equal">
      <formula>"Towel"</formula>
    </cfRule>
    <cfRule type="cellIs" dxfId="9010" priority="11132" stopIfTrue="1" operator="equal">
      <formula>"Napkin Hs"</formula>
    </cfRule>
  </conditionalFormatting>
  <conditionalFormatting sqref="B50">
    <cfRule type="cellIs" dxfId="9009" priority="11129" stopIfTrue="1" operator="equal">
      <formula>"Towel"</formula>
    </cfRule>
    <cfRule type="cellIs" dxfId="9008" priority="11130" stopIfTrue="1" operator="equal">
      <formula>"Napkin Hs"</formula>
    </cfRule>
  </conditionalFormatting>
  <conditionalFormatting sqref="B50">
    <cfRule type="cellIs" dxfId="9007" priority="11127" stopIfTrue="1" operator="equal">
      <formula>"Towel"</formula>
    </cfRule>
    <cfRule type="cellIs" dxfId="9006" priority="11128" stopIfTrue="1" operator="equal">
      <formula>"Napkin Hs"</formula>
    </cfRule>
  </conditionalFormatting>
  <conditionalFormatting sqref="B50">
    <cfRule type="cellIs" dxfId="9005" priority="11125" stopIfTrue="1" operator="equal">
      <formula>"Towel"</formula>
    </cfRule>
    <cfRule type="cellIs" dxfId="9004" priority="11126" stopIfTrue="1" operator="equal">
      <formula>"Napkin Hs"</formula>
    </cfRule>
  </conditionalFormatting>
  <conditionalFormatting sqref="B50:C50">
    <cfRule type="cellIs" dxfId="9003" priority="11111" stopIfTrue="1" operator="equal">
      <formula>"Towel"</formula>
    </cfRule>
    <cfRule type="cellIs" dxfId="9002" priority="11112" stopIfTrue="1" operator="equal">
      <formula>"Napkin Hs"</formula>
    </cfRule>
    <cfRule type="cellIs" dxfId="9001" priority="11117" stopIfTrue="1" operator="equal">
      <formula>"Towel"</formula>
    </cfRule>
    <cfRule type="cellIs" dxfId="9000" priority="11118" stopIfTrue="1" operator="equal">
      <formula>"Napkin Hs"</formula>
    </cfRule>
    <cfRule type="cellIs" dxfId="8999" priority="11123" stopIfTrue="1" operator="equal">
      <formula>"Towel"</formula>
    </cfRule>
    <cfRule type="cellIs" dxfId="8998" priority="11124" stopIfTrue="1" operator="equal">
      <formula>"Napkin Hs"</formula>
    </cfRule>
  </conditionalFormatting>
  <conditionalFormatting sqref="C50">
    <cfRule type="cellIs" dxfId="8997" priority="11105" stopIfTrue="1" operator="equal">
      <formula>"Towel"</formula>
    </cfRule>
    <cfRule type="cellIs" dxfId="8996" priority="11106" stopIfTrue="1" operator="equal">
      <formula>"Napkin Hs"</formula>
    </cfRule>
    <cfRule type="cellIs" dxfId="8995" priority="11107" stopIfTrue="1" operator="equal">
      <formula>"Towel"</formula>
    </cfRule>
    <cfRule type="cellIs" dxfId="8994" priority="11108" stopIfTrue="1" operator="equal">
      <formula>"Napkin Hs"</formula>
    </cfRule>
    <cfRule type="cellIs" dxfId="8993" priority="11115" stopIfTrue="1" operator="equal">
      <formula>"Towel"</formula>
    </cfRule>
    <cfRule type="cellIs" dxfId="8992" priority="11116" stopIfTrue="1" operator="equal">
      <formula>"Napkin Hs"</formula>
    </cfRule>
    <cfRule type="cellIs" dxfId="8991" priority="11119" stopIfTrue="1" operator="equal">
      <formula>"Towel"</formula>
    </cfRule>
    <cfRule type="cellIs" dxfId="8990" priority="11120" stopIfTrue="1" operator="equal">
      <formula>"Napkin Hs"</formula>
    </cfRule>
  </conditionalFormatting>
  <conditionalFormatting sqref="C50">
    <cfRule type="cellIs" dxfId="8989" priority="11109" stopIfTrue="1" operator="equal">
      <formula>"Towel"</formula>
    </cfRule>
    <cfRule type="cellIs" dxfId="8988" priority="11110" stopIfTrue="1" operator="equal">
      <formula>"Napkin Hs"</formula>
    </cfRule>
    <cfRule type="cellIs" dxfId="8987" priority="11113" stopIfTrue="1" operator="equal">
      <formula>"Towel"</formula>
    </cfRule>
    <cfRule type="cellIs" dxfId="8986" priority="11114" stopIfTrue="1" operator="equal">
      <formula>"Napkin Hs"</formula>
    </cfRule>
    <cfRule type="cellIs" dxfId="8985" priority="11121" stopIfTrue="1" operator="equal">
      <formula>"Towel"</formula>
    </cfRule>
    <cfRule type="cellIs" dxfId="8984" priority="11122" stopIfTrue="1" operator="equal">
      <formula>"Napkin Hs"</formula>
    </cfRule>
  </conditionalFormatting>
  <conditionalFormatting sqref="B50:C50">
    <cfRule type="cellIs" dxfId="8983" priority="11103" stopIfTrue="1" operator="equal">
      <formula>"Towel"</formula>
    </cfRule>
    <cfRule type="cellIs" dxfId="8982" priority="11104" stopIfTrue="1" operator="equal">
      <formula>"Napkin Hs"</formula>
    </cfRule>
  </conditionalFormatting>
  <conditionalFormatting sqref="B50:C50">
    <cfRule type="cellIs" dxfId="8981" priority="11095" stopIfTrue="1" operator="equal">
      <formula>"Towel"</formula>
    </cfRule>
    <cfRule type="cellIs" dxfId="8980" priority="11096" stopIfTrue="1" operator="equal">
      <formula>"Napkin Hs"</formula>
    </cfRule>
    <cfRule type="cellIs" dxfId="8979" priority="11101" stopIfTrue="1" operator="equal">
      <formula>"Towel"</formula>
    </cfRule>
    <cfRule type="cellIs" dxfId="8978" priority="11102" stopIfTrue="1" operator="equal">
      <formula>"Napkin Hs"</formula>
    </cfRule>
  </conditionalFormatting>
  <conditionalFormatting sqref="C50">
    <cfRule type="cellIs" dxfId="8977" priority="11091" stopIfTrue="1" operator="equal">
      <formula>"Towel"</formula>
    </cfRule>
    <cfRule type="cellIs" dxfId="8976" priority="11092" stopIfTrue="1" operator="equal">
      <formula>"Napkin Hs"</formula>
    </cfRule>
  </conditionalFormatting>
  <conditionalFormatting sqref="C50">
    <cfRule type="cellIs" dxfId="8975" priority="11089" stopIfTrue="1" operator="equal">
      <formula>"Towel"</formula>
    </cfRule>
    <cfRule type="cellIs" dxfId="8974" priority="11090" stopIfTrue="1" operator="equal">
      <formula>"Napkin Hs"</formula>
    </cfRule>
    <cfRule type="cellIs" dxfId="8973" priority="11099" stopIfTrue="1" operator="equal">
      <formula>"Towel"</formula>
    </cfRule>
    <cfRule type="cellIs" dxfId="8972" priority="11100" stopIfTrue="1" operator="equal">
      <formula>"Napkin Hs"</formula>
    </cfRule>
  </conditionalFormatting>
  <conditionalFormatting sqref="C50">
    <cfRule type="cellIs" dxfId="8971" priority="11093" stopIfTrue="1" operator="equal">
      <formula>"Towel"</formula>
    </cfRule>
    <cfRule type="cellIs" dxfId="8970" priority="11094" stopIfTrue="1" operator="equal">
      <formula>"Napkin Hs"</formula>
    </cfRule>
    <cfRule type="cellIs" dxfId="8969" priority="11097" stopIfTrue="1" operator="equal">
      <formula>"Towel"</formula>
    </cfRule>
    <cfRule type="cellIs" dxfId="8968" priority="11098" stopIfTrue="1" operator="equal">
      <formula>"Napkin Hs"</formula>
    </cfRule>
  </conditionalFormatting>
  <conditionalFormatting sqref="C50">
    <cfRule type="cellIs" dxfId="8967" priority="11088" stopIfTrue="1" operator="equal">
      <formula>"Napkin Hs"</formula>
    </cfRule>
  </conditionalFormatting>
  <conditionalFormatting sqref="C50">
    <cfRule type="cellIs" dxfId="8966" priority="11087" stopIfTrue="1" operator="equal">
      <formula>"Towel"</formula>
    </cfRule>
  </conditionalFormatting>
  <conditionalFormatting sqref="C50">
    <cfRule type="cellIs" dxfId="8965" priority="11083" stopIfTrue="1" operator="equal">
      <formula>"Towel"</formula>
    </cfRule>
    <cfRule type="cellIs" dxfId="8964" priority="11084" stopIfTrue="1" operator="equal">
      <formula>"Napkin Hs"</formula>
    </cfRule>
    <cfRule type="cellIs" dxfId="8963" priority="11085" stopIfTrue="1" operator="equal">
      <formula>"Towel"</formula>
    </cfRule>
    <cfRule type="cellIs" dxfId="8962" priority="11086" stopIfTrue="1" operator="equal">
      <formula>"Napkin Hs"</formula>
    </cfRule>
  </conditionalFormatting>
  <conditionalFormatting sqref="B50:C50">
    <cfRule type="cellIs" dxfId="8961" priority="11081" stopIfTrue="1" operator="equal">
      <formula>"Towel"</formula>
    </cfRule>
    <cfRule type="cellIs" dxfId="8960" priority="11082" stopIfTrue="1" operator="equal">
      <formula>"Napkin Hs"</formula>
    </cfRule>
  </conditionalFormatting>
  <conditionalFormatting sqref="C50">
    <cfRule type="cellIs" dxfId="8959" priority="11077" stopIfTrue="1" operator="equal">
      <formula>"Towel"</formula>
    </cfRule>
    <cfRule type="cellIs" dxfId="8958" priority="11078" stopIfTrue="1" operator="equal">
      <formula>"Napkin Hs"</formula>
    </cfRule>
  </conditionalFormatting>
  <conditionalFormatting sqref="C50">
    <cfRule type="cellIs" dxfId="8957" priority="11079" stopIfTrue="1" operator="equal">
      <formula>"Towel"</formula>
    </cfRule>
    <cfRule type="cellIs" dxfId="8956" priority="11080" stopIfTrue="1" operator="equal">
      <formula>"Napkin Hs"</formula>
    </cfRule>
  </conditionalFormatting>
  <conditionalFormatting sqref="B50:C50">
    <cfRule type="cellIs" dxfId="8955" priority="11075" stopIfTrue="1" operator="equal">
      <formula>"Towel"</formula>
    </cfRule>
    <cfRule type="cellIs" dxfId="8954" priority="11076" stopIfTrue="1" operator="equal">
      <formula>"Napkin Hs"</formula>
    </cfRule>
  </conditionalFormatting>
  <conditionalFormatting sqref="C50">
    <cfRule type="cellIs" dxfId="8953" priority="11071" stopIfTrue="1" operator="equal">
      <formula>"Towel"</formula>
    </cfRule>
    <cfRule type="cellIs" dxfId="8952" priority="11072" stopIfTrue="1" operator="equal">
      <formula>"Napkin Hs"</formula>
    </cfRule>
  </conditionalFormatting>
  <conditionalFormatting sqref="C50">
    <cfRule type="cellIs" dxfId="8951" priority="11073" stopIfTrue="1" operator="equal">
      <formula>"Towel"</formula>
    </cfRule>
    <cfRule type="cellIs" dxfId="8950" priority="11074" stopIfTrue="1" operator="equal">
      <formula>"Napkin Hs"</formula>
    </cfRule>
  </conditionalFormatting>
  <conditionalFormatting sqref="B50:C50">
    <cfRule type="cellIs" dxfId="8949" priority="11069" stopIfTrue="1" operator="equal">
      <formula>"Towel"</formula>
    </cfRule>
    <cfRule type="cellIs" dxfId="8948" priority="11070" stopIfTrue="1" operator="equal">
      <formula>"Napkin Hs"</formula>
    </cfRule>
  </conditionalFormatting>
  <conditionalFormatting sqref="C50">
    <cfRule type="cellIs" dxfId="8947" priority="11065" stopIfTrue="1" operator="equal">
      <formula>"Towel"</formula>
    </cfRule>
    <cfRule type="cellIs" dxfId="8946" priority="11066" stopIfTrue="1" operator="equal">
      <formula>"Napkin Hs"</formula>
    </cfRule>
  </conditionalFormatting>
  <conditionalFormatting sqref="C50">
    <cfRule type="cellIs" dxfId="8945" priority="11067" stopIfTrue="1" operator="equal">
      <formula>"Towel"</formula>
    </cfRule>
    <cfRule type="cellIs" dxfId="8944" priority="11068" stopIfTrue="1" operator="equal">
      <formula>"Napkin Hs"</formula>
    </cfRule>
  </conditionalFormatting>
  <conditionalFormatting sqref="B50:C50">
    <cfRule type="cellIs" dxfId="8943" priority="11063" stopIfTrue="1" operator="equal">
      <formula>"Towel"</formula>
    </cfRule>
    <cfRule type="cellIs" dxfId="8942" priority="11064" stopIfTrue="1" operator="equal">
      <formula>"Napkin Hs"</formula>
    </cfRule>
  </conditionalFormatting>
  <conditionalFormatting sqref="C50">
    <cfRule type="cellIs" dxfId="8941" priority="11061" stopIfTrue="1" operator="equal">
      <formula>"Towel"</formula>
    </cfRule>
    <cfRule type="cellIs" dxfId="8940" priority="11062" stopIfTrue="1" operator="equal">
      <formula>"Napkin Hs"</formula>
    </cfRule>
  </conditionalFormatting>
  <conditionalFormatting sqref="C50">
    <cfRule type="cellIs" dxfId="8939" priority="11059" stopIfTrue="1" operator="equal">
      <formula>"Towel"</formula>
    </cfRule>
    <cfRule type="cellIs" dxfId="8938" priority="11060" stopIfTrue="1" operator="equal">
      <formula>"Napkin Hs"</formula>
    </cfRule>
  </conditionalFormatting>
  <conditionalFormatting sqref="B50:C50">
    <cfRule type="cellIs" dxfId="8937" priority="11057" stopIfTrue="1" operator="equal">
      <formula>"Towel"</formula>
    </cfRule>
    <cfRule type="cellIs" dxfId="8936" priority="11058" stopIfTrue="1" operator="equal">
      <formula>"Napkin Hs"</formula>
    </cfRule>
  </conditionalFormatting>
  <conditionalFormatting sqref="C50">
    <cfRule type="cellIs" dxfId="8935" priority="11056" stopIfTrue="1" operator="equal">
      <formula>"Napkin Hs"</formula>
    </cfRule>
  </conditionalFormatting>
  <conditionalFormatting sqref="C50">
    <cfRule type="cellIs" dxfId="8934" priority="11053" stopIfTrue="1" operator="equal">
      <formula>"Towel"</formula>
    </cfRule>
    <cfRule type="cellIs" dxfId="8933" priority="11054" stopIfTrue="1" operator="equal">
      <formula>"Napkin Hs"</formula>
    </cfRule>
  </conditionalFormatting>
  <conditionalFormatting sqref="C50">
    <cfRule type="cellIs" dxfId="8932" priority="11055" stopIfTrue="1" operator="equal">
      <formula>"Towel"</formula>
    </cfRule>
  </conditionalFormatting>
  <conditionalFormatting sqref="B56:C56">
    <cfRule type="cellIs" dxfId="8931" priority="10963" stopIfTrue="1" operator="equal">
      <formula>"Towel"</formula>
    </cfRule>
    <cfRule type="cellIs" dxfId="8930" priority="10964" stopIfTrue="1" operator="equal">
      <formula>"Napkin Hs"</formula>
    </cfRule>
    <cfRule type="cellIs" dxfId="8929" priority="10969" stopIfTrue="1" operator="equal">
      <formula>"Towel"</formula>
    </cfRule>
    <cfRule type="cellIs" dxfId="8928" priority="10970" stopIfTrue="1" operator="equal">
      <formula>"Napkin Hs"</formula>
    </cfRule>
    <cfRule type="cellIs" dxfId="8927" priority="10975" stopIfTrue="1" operator="equal">
      <formula>"Towel"</formula>
    </cfRule>
    <cfRule type="cellIs" dxfId="8926" priority="10976" stopIfTrue="1" operator="equal">
      <formula>"Napkin Hs"</formula>
    </cfRule>
    <cfRule type="cellIs" dxfId="8925" priority="10981" stopIfTrue="1" operator="equal">
      <formula>"Towel"</formula>
    </cfRule>
    <cfRule type="cellIs" dxfId="8924" priority="10982" stopIfTrue="1" operator="equal">
      <formula>"Napkin Hs"</formula>
    </cfRule>
    <cfRule type="cellIs" dxfId="8923" priority="10987" stopIfTrue="1" operator="equal">
      <formula>"Towel"</formula>
    </cfRule>
    <cfRule type="cellIs" dxfId="8922" priority="10988" stopIfTrue="1" operator="equal">
      <formula>"Napkin Hs"</formula>
    </cfRule>
    <cfRule type="cellIs" dxfId="8921" priority="10993" stopIfTrue="1" operator="equal">
      <formula>"Towel"</formula>
    </cfRule>
    <cfRule type="cellIs" dxfId="8920" priority="10994" stopIfTrue="1" operator="equal">
      <formula>"Napkin Hs"</formula>
    </cfRule>
    <cfRule type="cellIs" dxfId="8919" priority="10999" stopIfTrue="1" operator="equal">
      <formula>"Towel"</formula>
    </cfRule>
    <cfRule type="cellIs" dxfId="8918" priority="11000" stopIfTrue="1" operator="equal">
      <formula>"Napkin Hs"</formula>
    </cfRule>
    <cfRule type="cellIs" dxfId="8917" priority="11005" stopIfTrue="1" operator="equal">
      <formula>"Towel"</formula>
    </cfRule>
    <cfRule type="cellIs" dxfId="8916" priority="11006" stopIfTrue="1" operator="equal">
      <formula>"Napkin Hs"</formula>
    </cfRule>
  </conditionalFormatting>
  <conditionalFormatting sqref="B57:C57">
    <cfRule type="cellIs" dxfId="8915" priority="11009" stopIfTrue="1" operator="equal">
      <formula>"Towel"</formula>
    </cfRule>
    <cfRule type="cellIs" dxfId="8914" priority="11010" stopIfTrue="1" operator="equal">
      <formula>"Napkin Hs"</formula>
    </cfRule>
    <cfRule type="cellIs" dxfId="8913" priority="11015" stopIfTrue="1" operator="equal">
      <formula>"Towel"</formula>
    </cfRule>
    <cfRule type="cellIs" dxfId="8912" priority="11016" stopIfTrue="1" operator="equal">
      <formula>"Napkin Hs"</formula>
    </cfRule>
    <cfRule type="cellIs" dxfId="8911" priority="11021" stopIfTrue="1" operator="equal">
      <formula>"Towel"</formula>
    </cfRule>
    <cfRule type="cellIs" dxfId="8910" priority="11022" stopIfTrue="1" operator="equal">
      <formula>"Napkin Hs"</formula>
    </cfRule>
    <cfRule type="cellIs" dxfId="8909" priority="11027" stopIfTrue="1" operator="equal">
      <formula>"Towel"</formula>
    </cfRule>
    <cfRule type="cellIs" dxfId="8908" priority="11028" stopIfTrue="1" operator="equal">
      <formula>"Napkin Hs"</formula>
    </cfRule>
    <cfRule type="cellIs" dxfId="8907" priority="11033" stopIfTrue="1" operator="equal">
      <formula>"Towel"</formula>
    </cfRule>
    <cfRule type="cellIs" dxfId="8906" priority="11034" stopIfTrue="1" operator="equal">
      <formula>"Napkin Hs"</formula>
    </cfRule>
    <cfRule type="cellIs" dxfId="8905" priority="11039" stopIfTrue="1" operator="equal">
      <formula>"Towel"</formula>
    </cfRule>
    <cfRule type="cellIs" dxfId="8904" priority="11040" stopIfTrue="1" operator="equal">
      <formula>"Napkin Hs"</formula>
    </cfRule>
    <cfRule type="cellIs" dxfId="8903" priority="11045" stopIfTrue="1" operator="equal">
      <formula>"Towel"</formula>
    </cfRule>
    <cfRule type="cellIs" dxfId="8902" priority="11046" stopIfTrue="1" operator="equal">
      <formula>"Napkin Hs"</formula>
    </cfRule>
    <cfRule type="cellIs" dxfId="8901" priority="11051" stopIfTrue="1" operator="equal">
      <formula>"Towel"</formula>
    </cfRule>
    <cfRule type="cellIs" dxfId="8900" priority="11052" stopIfTrue="1" operator="equal">
      <formula>"Napkin Hs"</formula>
    </cfRule>
  </conditionalFormatting>
  <conditionalFormatting sqref="C56">
    <cfRule type="cellIs" dxfId="8899" priority="10959" stopIfTrue="1" operator="equal">
      <formula>"Towel"</formula>
    </cfRule>
    <cfRule type="cellIs" dxfId="8898" priority="10960" stopIfTrue="1" operator="equal">
      <formula>"Napkin Hs"</formula>
    </cfRule>
    <cfRule type="cellIs" dxfId="8897" priority="10961" stopIfTrue="1" operator="equal">
      <formula>"Towel"</formula>
    </cfRule>
    <cfRule type="cellIs" dxfId="8896" priority="10962" stopIfTrue="1" operator="equal">
      <formula>"Napkin Hs"</formula>
    </cfRule>
    <cfRule type="cellIs" dxfId="8895" priority="10965" stopIfTrue="1" operator="equal">
      <formula>"Towel"</formula>
    </cfRule>
    <cfRule type="cellIs" dxfId="8894" priority="10966" stopIfTrue="1" operator="equal">
      <formula>"Napkin Hs"</formula>
    </cfRule>
    <cfRule type="cellIs" dxfId="8893" priority="10967" stopIfTrue="1" operator="equal">
      <formula>"Towel"</formula>
    </cfRule>
    <cfRule type="cellIs" dxfId="8892" priority="10968" stopIfTrue="1" operator="equal">
      <formula>"Napkin Hs"</formula>
    </cfRule>
    <cfRule type="cellIs" dxfId="8891" priority="10971" stopIfTrue="1" operator="equal">
      <formula>"Towel"</formula>
    </cfRule>
    <cfRule type="cellIs" dxfId="8890" priority="10972" stopIfTrue="1" operator="equal">
      <formula>"Napkin Hs"</formula>
    </cfRule>
    <cfRule type="cellIs" dxfId="8889" priority="10973" stopIfTrue="1" operator="equal">
      <formula>"Towel"</formula>
    </cfRule>
    <cfRule type="cellIs" dxfId="8888" priority="10974" stopIfTrue="1" operator="equal">
      <formula>"Napkin Hs"</formula>
    </cfRule>
    <cfRule type="cellIs" dxfId="8887" priority="10977" stopIfTrue="1" operator="equal">
      <formula>"Towel"</formula>
    </cfRule>
    <cfRule type="cellIs" dxfId="8886" priority="10978" stopIfTrue="1" operator="equal">
      <formula>"Napkin Hs"</formula>
    </cfRule>
    <cfRule type="cellIs" dxfId="8885" priority="10979" stopIfTrue="1" operator="equal">
      <formula>"Towel"</formula>
    </cfRule>
    <cfRule type="cellIs" dxfId="8884" priority="10980" stopIfTrue="1" operator="equal">
      <formula>"Napkin Hs"</formula>
    </cfRule>
    <cfRule type="cellIs" dxfId="8883" priority="10983" stopIfTrue="1" operator="equal">
      <formula>"Towel"</formula>
    </cfRule>
    <cfRule type="cellIs" dxfId="8882" priority="10984" stopIfTrue="1" operator="equal">
      <formula>"Napkin Hs"</formula>
    </cfRule>
    <cfRule type="cellIs" dxfId="8881" priority="10985" stopIfTrue="1" operator="equal">
      <formula>"Towel"</formula>
    </cfRule>
    <cfRule type="cellIs" dxfId="8880" priority="10986" stopIfTrue="1" operator="equal">
      <formula>"Napkin Hs"</formula>
    </cfRule>
    <cfRule type="cellIs" dxfId="8879" priority="10989" stopIfTrue="1" operator="equal">
      <formula>"Towel"</formula>
    </cfRule>
    <cfRule type="cellIs" dxfId="8878" priority="10990" stopIfTrue="1" operator="equal">
      <formula>"Napkin Hs"</formula>
    </cfRule>
    <cfRule type="cellIs" dxfId="8877" priority="10991" stopIfTrue="1" operator="equal">
      <formula>"Towel"</formula>
    </cfRule>
    <cfRule type="cellIs" dxfId="8876" priority="10992" stopIfTrue="1" operator="equal">
      <formula>"Napkin Hs"</formula>
    </cfRule>
    <cfRule type="cellIs" dxfId="8875" priority="10995" stopIfTrue="1" operator="equal">
      <formula>"Towel"</formula>
    </cfRule>
    <cfRule type="cellIs" dxfId="8874" priority="10996" stopIfTrue="1" operator="equal">
      <formula>"Napkin Hs"</formula>
    </cfRule>
    <cfRule type="cellIs" dxfId="8873" priority="10997" stopIfTrue="1" operator="equal">
      <formula>"Towel"</formula>
    </cfRule>
    <cfRule type="cellIs" dxfId="8872" priority="10998" stopIfTrue="1" operator="equal">
      <formula>"Napkin Hs"</formula>
    </cfRule>
    <cfRule type="cellIs" dxfId="8871" priority="11001" stopIfTrue="1" operator="equal">
      <formula>"Towel"</formula>
    </cfRule>
    <cfRule type="cellIs" dxfId="8870" priority="11002" stopIfTrue="1" operator="equal">
      <formula>"Napkin Hs"</formula>
    </cfRule>
  </conditionalFormatting>
  <conditionalFormatting sqref="C56:C57">
    <cfRule type="cellIs" dxfId="8869" priority="11003" stopIfTrue="1" operator="equal">
      <formula>"Towel"</formula>
    </cfRule>
    <cfRule type="cellIs" dxfId="8868" priority="11004" stopIfTrue="1" operator="equal">
      <formula>"Napkin Hs"</formula>
    </cfRule>
  </conditionalFormatting>
  <conditionalFormatting sqref="C57">
    <cfRule type="cellIs" dxfId="8867" priority="11007" stopIfTrue="1" operator="equal">
      <formula>"Towel"</formula>
    </cfRule>
    <cfRule type="cellIs" dxfId="8866" priority="11008" stopIfTrue="1" operator="equal">
      <formula>"Napkin Hs"</formula>
    </cfRule>
    <cfRule type="cellIs" dxfId="8865" priority="11011" stopIfTrue="1" operator="equal">
      <formula>"Towel"</formula>
    </cfRule>
    <cfRule type="cellIs" dxfId="8864" priority="11012" stopIfTrue="1" operator="equal">
      <formula>"Napkin Hs"</formula>
    </cfRule>
    <cfRule type="cellIs" dxfId="8863" priority="11013" stopIfTrue="1" operator="equal">
      <formula>"Towel"</formula>
    </cfRule>
    <cfRule type="cellIs" dxfId="8862" priority="11014" stopIfTrue="1" operator="equal">
      <formula>"Napkin Hs"</formula>
    </cfRule>
    <cfRule type="cellIs" dxfId="8861" priority="11017" stopIfTrue="1" operator="equal">
      <formula>"Towel"</formula>
    </cfRule>
    <cfRule type="cellIs" dxfId="8860" priority="11018" stopIfTrue="1" operator="equal">
      <formula>"Napkin Hs"</formula>
    </cfRule>
    <cfRule type="cellIs" dxfId="8859" priority="11019" stopIfTrue="1" operator="equal">
      <formula>"Towel"</formula>
    </cfRule>
    <cfRule type="cellIs" dxfId="8858" priority="11020" stopIfTrue="1" operator="equal">
      <formula>"Napkin Hs"</formula>
    </cfRule>
    <cfRule type="cellIs" dxfId="8857" priority="11023" stopIfTrue="1" operator="equal">
      <formula>"Towel"</formula>
    </cfRule>
    <cfRule type="cellIs" dxfId="8856" priority="11024" stopIfTrue="1" operator="equal">
      <formula>"Napkin Hs"</formula>
    </cfRule>
    <cfRule type="cellIs" dxfId="8855" priority="11025" stopIfTrue="1" operator="equal">
      <formula>"Towel"</formula>
    </cfRule>
    <cfRule type="cellIs" dxfId="8854" priority="11026" stopIfTrue="1" operator="equal">
      <formula>"Napkin Hs"</formula>
    </cfRule>
    <cfRule type="cellIs" dxfId="8853" priority="11029" stopIfTrue="1" operator="equal">
      <formula>"Towel"</formula>
    </cfRule>
    <cfRule type="cellIs" dxfId="8852" priority="11030" stopIfTrue="1" operator="equal">
      <formula>"Napkin Hs"</formula>
    </cfRule>
    <cfRule type="cellIs" dxfId="8851" priority="11031" stopIfTrue="1" operator="equal">
      <formula>"Towel"</formula>
    </cfRule>
    <cfRule type="cellIs" dxfId="8850" priority="11032" stopIfTrue="1" operator="equal">
      <formula>"Napkin Hs"</formula>
    </cfRule>
    <cfRule type="cellIs" dxfId="8849" priority="11035" stopIfTrue="1" operator="equal">
      <formula>"Towel"</formula>
    </cfRule>
    <cfRule type="cellIs" dxfId="8848" priority="11036" stopIfTrue="1" operator="equal">
      <formula>"Napkin Hs"</formula>
    </cfRule>
    <cfRule type="cellIs" dxfId="8847" priority="11037" stopIfTrue="1" operator="equal">
      <formula>"Towel"</formula>
    </cfRule>
    <cfRule type="cellIs" dxfId="8846" priority="11038" stopIfTrue="1" operator="equal">
      <formula>"Napkin Hs"</formula>
    </cfRule>
    <cfRule type="cellIs" dxfId="8845" priority="11041" stopIfTrue="1" operator="equal">
      <formula>"Towel"</formula>
    </cfRule>
    <cfRule type="cellIs" dxfId="8844" priority="11042" stopIfTrue="1" operator="equal">
      <formula>"Napkin Hs"</formula>
    </cfRule>
  </conditionalFormatting>
  <conditionalFormatting sqref="C57">
    <cfRule type="cellIs" dxfId="8843" priority="11043" stopIfTrue="1" operator="equal">
      <formula>"Towel"</formula>
    </cfRule>
    <cfRule type="cellIs" dxfId="8842" priority="11044" stopIfTrue="1" operator="equal">
      <formula>"Napkin Hs"</formula>
    </cfRule>
  </conditionalFormatting>
  <conditionalFormatting sqref="C57">
    <cfRule type="cellIs" dxfId="8841" priority="11047" stopIfTrue="1" operator="equal">
      <formula>"Towel"</formula>
    </cfRule>
    <cfRule type="cellIs" dxfId="8840" priority="11048" stopIfTrue="1" operator="equal">
      <formula>"Napkin Hs"</formula>
    </cfRule>
    <cfRule type="cellIs" dxfId="8839" priority="11049" stopIfTrue="1" operator="equal">
      <formula>"Towel"</formula>
    </cfRule>
    <cfRule type="cellIs" dxfId="8838" priority="11050" stopIfTrue="1" operator="equal">
      <formula>"Napkin Hs"</formula>
    </cfRule>
  </conditionalFormatting>
  <conditionalFormatting sqref="B56">
    <cfRule type="cellIs" dxfId="8837" priority="10953" stopIfTrue="1" operator="equal">
      <formula>"Towel"</formula>
    </cfRule>
    <cfRule type="cellIs" dxfId="8836" priority="10954" stopIfTrue="1" operator="equal">
      <formula>"Napkin Hs"</formula>
    </cfRule>
    <cfRule type="cellIs" dxfId="8835" priority="10955" stopIfTrue="1" operator="equal">
      <formula>"Towel"</formula>
    </cfRule>
    <cfRule type="cellIs" dxfId="8834" priority="10956" stopIfTrue="1" operator="equal">
      <formula>"Napkin Hs"</formula>
    </cfRule>
    <cfRule type="cellIs" dxfId="8833" priority="10957" stopIfTrue="1" operator="equal">
      <formula>"Towel"</formula>
    </cfRule>
    <cfRule type="cellIs" dxfId="8832" priority="10958" stopIfTrue="1" operator="equal">
      <formula>"Napkin Hs"</formula>
    </cfRule>
  </conditionalFormatting>
  <conditionalFormatting sqref="B56:C57">
    <cfRule type="cellIs" dxfId="8831" priority="10915" stopIfTrue="1" operator="equal">
      <formula>"Towel"</formula>
    </cfRule>
    <cfRule type="cellIs" dxfId="8830" priority="10916" stopIfTrue="1" operator="equal">
      <formula>"Napkin Hs"</formula>
    </cfRule>
    <cfRule type="cellIs" dxfId="8829" priority="10921" stopIfTrue="1" operator="equal">
      <formula>"Towel"</formula>
    </cfRule>
    <cfRule type="cellIs" dxfId="8828" priority="10922" stopIfTrue="1" operator="equal">
      <formula>"Napkin Hs"</formula>
    </cfRule>
    <cfRule type="cellIs" dxfId="8827" priority="10927" stopIfTrue="1" operator="equal">
      <formula>"Towel"</formula>
    </cfRule>
    <cfRule type="cellIs" dxfId="8826" priority="10928" stopIfTrue="1" operator="equal">
      <formula>"Napkin Hs"</formula>
    </cfRule>
    <cfRule type="cellIs" dxfId="8825" priority="10933" stopIfTrue="1" operator="equal">
      <formula>"Towel"</formula>
    </cfRule>
    <cfRule type="cellIs" dxfId="8824" priority="10934" stopIfTrue="1" operator="equal">
      <formula>"Napkin Hs"</formula>
    </cfRule>
    <cfRule type="cellIs" dxfId="8823" priority="10939" stopIfTrue="1" operator="equal">
      <formula>"Towel"</formula>
    </cfRule>
    <cfRule type="cellIs" dxfId="8822" priority="10940" stopIfTrue="1" operator="equal">
      <formula>"Napkin Hs"</formula>
    </cfRule>
    <cfRule type="cellIs" dxfId="8821" priority="10945" stopIfTrue="1" operator="equal">
      <formula>"Towel"</formula>
    </cfRule>
    <cfRule type="cellIs" dxfId="8820" priority="10946" stopIfTrue="1" operator="equal">
      <formula>"Napkin Hs"</formula>
    </cfRule>
    <cfRule type="cellIs" dxfId="8819" priority="10951" stopIfTrue="1" operator="equal">
      <formula>"Towel"</formula>
    </cfRule>
    <cfRule type="cellIs" dxfId="8818" priority="10952" stopIfTrue="1" operator="equal">
      <formula>"Napkin Hs"</formula>
    </cfRule>
  </conditionalFormatting>
  <conditionalFormatting sqref="C56:C57">
    <cfRule type="cellIs" dxfId="8817" priority="10911" stopIfTrue="1" operator="equal">
      <formula>"Towel"</formula>
    </cfRule>
    <cfRule type="cellIs" dxfId="8816" priority="10912" stopIfTrue="1" operator="equal">
      <formula>"Napkin Hs"</formula>
    </cfRule>
    <cfRule type="cellIs" dxfId="8815" priority="10913" stopIfTrue="1" operator="equal">
      <formula>"Towel"</formula>
    </cfRule>
    <cfRule type="cellIs" dxfId="8814" priority="10914" stopIfTrue="1" operator="equal">
      <formula>"Napkin Hs"</formula>
    </cfRule>
    <cfRule type="cellIs" dxfId="8813" priority="10917" stopIfTrue="1" operator="equal">
      <formula>"Towel"</formula>
    </cfRule>
    <cfRule type="cellIs" dxfId="8812" priority="10918" stopIfTrue="1" operator="equal">
      <formula>"Napkin Hs"</formula>
    </cfRule>
    <cfRule type="cellIs" dxfId="8811" priority="10919" stopIfTrue="1" operator="equal">
      <formula>"Towel"</formula>
    </cfRule>
    <cfRule type="cellIs" dxfId="8810" priority="10920" stopIfTrue="1" operator="equal">
      <formula>"Napkin Hs"</formula>
    </cfRule>
    <cfRule type="cellIs" dxfId="8809" priority="10923" stopIfTrue="1" operator="equal">
      <formula>"Towel"</formula>
    </cfRule>
    <cfRule type="cellIs" dxfId="8808" priority="10924" stopIfTrue="1" operator="equal">
      <formula>"Napkin Hs"</formula>
    </cfRule>
    <cfRule type="cellIs" dxfId="8807" priority="10925" stopIfTrue="1" operator="equal">
      <formula>"Towel"</formula>
    </cfRule>
    <cfRule type="cellIs" dxfId="8806" priority="10926" stopIfTrue="1" operator="equal">
      <formula>"Napkin Hs"</formula>
    </cfRule>
    <cfRule type="cellIs" dxfId="8805" priority="10929" stopIfTrue="1" operator="equal">
      <formula>"Towel"</formula>
    </cfRule>
    <cfRule type="cellIs" dxfId="8804" priority="10930" stopIfTrue="1" operator="equal">
      <formula>"Napkin Hs"</formula>
    </cfRule>
    <cfRule type="cellIs" dxfId="8803" priority="10931" stopIfTrue="1" operator="equal">
      <formula>"Towel"</formula>
    </cfRule>
    <cfRule type="cellIs" dxfId="8802" priority="10932" stopIfTrue="1" operator="equal">
      <formula>"Napkin Hs"</formula>
    </cfRule>
    <cfRule type="cellIs" dxfId="8801" priority="10935" stopIfTrue="1" operator="equal">
      <formula>"Towel"</formula>
    </cfRule>
    <cfRule type="cellIs" dxfId="8800" priority="10936" stopIfTrue="1" operator="equal">
      <formula>"Napkin Hs"</formula>
    </cfRule>
    <cfRule type="cellIs" dxfId="8799" priority="10937" stopIfTrue="1" operator="equal">
      <formula>"Towel"</formula>
    </cfRule>
    <cfRule type="cellIs" dxfId="8798" priority="10938" stopIfTrue="1" operator="equal">
      <formula>"Napkin Hs"</formula>
    </cfRule>
    <cfRule type="cellIs" dxfId="8797" priority="10941" stopIfTrue="1" operator="equal">
      <formula>"Towel"</formula>
    </cfRule>
    <cfRule type="cellIs" dxfId="8796" priority="10942" stopIfTrue="1" operator="equal">
      <formula>"Napkin Hs"</formula>
    </cfRule>
    <cfRule type="cellIs" dxfId="8795" priority="10943" stopIfTrue="1" operator="equal">
      <formula>"Towel"</formula>
    </cfRule>
    <cfRule type="cellIs" dxfId="8794" priority="10944" stopIfTrue="1" operator="equal">
      <formula>"Napkin Hs"</formula>
    </cfRule>
    <cfRule type="cellIs" dxfId="8793" priority="10947" stopIfTrue="1" operator="equal">
      <formula>"Towel"</formula>
    </cfRule>
    <cfRule type="cellIs" dxfId="8792" priority="10948" stopIfTrue="1" operator="equal">
      <formula>"Napkin Hs"</formula>
    </cfRule>
  </conditionalFormatting>
  <conditionalFormatting sqref="C56:C57">
    <cfRule type="cellIs" dxfId="8791" priority="10949" stopIfTrue="1" operator="equal">
      <formula>"Towel"</formula>
    </cfRule>
    <cfRule type="cellIs" dxfId="8790" priority="10950" stopIfTrue="1" operator="equal">
      <formula>"Napkin Hs"</formula>
    </cfRule>
  </conditionalFormatting>
  <conditionalFormatting sqref="B56:C56">
    <cfRule type="cellIs" dxfId="8789" priority="10909" stopIfTrue="1" operator="equal">
      <formula>"Towel"</formula>
    </cfRule>
    <cfRule type="cellIs" dxfId="8788" priority="10910" stopIfTrue="1" operator="equal">
      <formula>"Napkin Hs"</formula>
    </cfRule>
  </conditionalFormatting>
  <conditionalFormatting sqref="B56:C56">
    <cfRule type="cellIs" dxfId="8787" priority="10873" stopIfTrue="1" operator="equal">
      <formula>"Towel"</formula>
    </cfRule>
    <cfRule type="cellIs" dxfId="8786" priority="10874" stopIfTrue="1" operator="equal">
      <formula>"Napkin Hs"</formula>
    </cfRule>
    <cfRule type="cellIs" dxfId="8785" priority="10879" stopIfTrue="1" operator="equal">
      <formula>"Towel"</formula>
    </cfRule>
    <cfRule type="cellIs" dxfId="8784" priority="10880" stopIfTrue="1" operator="equal">
      <formula>"Napkin Hs"</formula>
    </cfRule>
    <cfRule type="cellIs" dxfId="8783" priority="10885" stopIfTrue="1" operator="equal">
      <formula>"Towel"</formula>
    </cfRule>
    <cfRule type="cellIs" dxfId="8782" priority="10886" stopIfTrue="1" operator="equal">
      <formula>"Napkin Hs"</formula>
    </cfRule>
    <cfRule type="cellIs" dxfId="8781" priority="10891" stopIfTrue="1" operator="equal">
      <formula>"Towel"</formula>
    </cfRule>
    <cfRule type="cellIs" dxfId="8780" priority="10892" stopIfTrue="1" operator="equal">
      <formula>"Napkin Hs"</formula>
    </cfRule>
    <cfRule type="cellIs" dxfId="8779" priority="10897" stopIfTrue="1" operator="equal">
      <formula>"Towel"</formula>
    </cfRule>
    <cfRule type="cellIs" dxfId="8778" priority="10898" stopIfTrue="1" operator="equal">
      <formula>"Napkin Hs"</formula>
    </cfRule>
    <cfRule type="cellIs" dxfId="8777" priority="10903" stopIfTrue="1" operator="equal">
      <formula>"Towel"</formula>
    </cfRule>
    <cfRule type="cellIs" dxfId="8776" priority="10904" stopIfTrue="1" operator="equal">
      <formula>"Napkin Hs"</formula>
    </cfRule>
  </conditionalFormatting>
  <conditionalFormatting sqref="B57:C57">
    <cfRule type="cellIs" dxfId="8775" priority="10833" stopIfTrue="1" operator="equal">
      <formula>"Towel"</formula>
    </cfRule>
    <cfRule type="cellIs" dxfId="8774" priority="10834" stopIfTrue="1" operator="equal">
      <formula>"Napkin Hs"</formula>
    </cfRule>
    <cfRule type="cellIs" dxfId="8773" priority="10839" stopIfTrue="1" operator="equal">
      <formula>"Towel"</formula>
    </cfRule>
    <cfRule type="cellIs" dxfId="8772" priority="10840" stopIfTrue="1" operator="equal">
      <formula>"Napkin Hs"</formula>
    </cfRule>
    <cfRule type="cellIs" dxfId="8771" priority="10845" stopIfTrue="1" operator="equal">
      <formula>"Towel"</formula>
    </cfRule>
    <cfRule type="cellIs" dxfId="8770" priority="10846" stopIfTrue="1" operator="equal">
      <formula>"Napkin Hs"</formula>
    </cfRule>
    <cfRule type="cellIs" dxfId="8769" priority="10851" stopIfTrue="1" operator="equal">
      <formula>"Towel"</formula>
    </cfRule>
    <cfRule type="cellIs" dxfId="8768" priority="10852" stopIfTrue="1" operator="equal">
      <formula>"Napkin Hs"</formula>
    </cfRule>
    <cfRule type="cellIs" dxfId="8767" priority="10857" stopIfTrue="1" operator="equal">
      <formula>"Towel"</formula>
    </cfRule>
    <cfRule type="cellIs" dxfId="8766" priority="10858" stopIfTrue="1" operator="equal">
      <formula>"Napkin Hs"</formula>
    </cfRule>
    <cfRule type="cellIs" dxfId="8765" priority="10863" stopIfTrue="1" operator="equal">
      <formula>"Towel"</formula>
    </cfRule>
    <cfRule type="cellIs" dxfId="8764" priority="10864" stopIfTrue="1" operator="equal">
      <formula>"Napkin Hs"</formula>
    </cfRule>
    <cfRule type="cellIs" dxfId="8763" priority="10869" stopIfTrue="1" operator="equal">
      <formula>"Towel"</formula>
    </cfRule>
    <cfRule type="cellIs" dxfId="8762" priority="10870" stopIfTrue="1" operator="equal">
      <formula>"Napkin Hs"</formula>
    </cfRule>
  </conditionalFormatting>
  <conditionalFormatting sqref="C56">
    <cfRule type="cellIs" dxfId="8761" priority="10908" stopIfTrue="1" operator="equal">
      <formula>"Napkin Hs"</formula>
    </cfRule>
  </conditionalFormatting>
  <conditionalFormatting sqref="C56">
    <cfRule type="cellIs" dxfId="8760" priority="10907" stopIfTrue="1" operator="equal">
      <formula>"Towel"</formula>
    </cfRule>
  </conditionalFormatting>
  <conditionalFormatting sqref="C56">
    <cfRule type="cellIs" dxfId="8759" priority="10901" stopIfTrue="1" operator="equal">
      <formula>"Towel"</formula>
    </cfRule>
    <cfRule type="cellIs" dxfId="8758" priority="10902" stopIfTrue="1" operator="equal">
      <formula>"Napkin Hs"</formula>
    </cfRule>
  </conditionalFormatting>
  <conditionalFormatting sqref="C56">
    <cfRule type="cellIs" dxfId="8757" priority="10899" stopIfTrue="1" operator="equal">
      <formula>"Towel"</formula>
    </cfRule>
    <cfRule type="cellIs" dxfId="8756" priority="10900" stopIfTrue="1" operator="equal">
      <formula>"Napkin Hs"</formula>
    </cfRule>
    <cfRule type="cellIs" dxfId="8755" priority="10905" stopIfTrue="1" operator="equal">
      <formula>"Towel"</formula>
    </cfRule>
    <cfRule type="cellIs" dxfId="8754" priority="10906" stopIfTrue="1" operator="equal">
      <formula>"Napkin Hs"</formula>
    </cfRule>
  </conditionalFormatting>
  <conditionalFormatting sqref="C56">
    <cfRule type="cellIs" dxfId="8753" priority="10871" stopIfTrue="1" operator="equal">
      <formula>"Towel"</formula>
    </cfRule>
    <cfRule type="cellIs" dxfId="8752" priority="10872" stopIfTrue="1" operator="equal">
      <formula>"Napkin Hs"</formula>
    </cfRule>
    <cfRule type="cellIs" dxfId="8751" priority="10875" stopIfTrue="1" operator="equal">
      <formula>"Towel"</formula>
    </cfRule>
    <cfRule type="cellIs" dxfId="8750" priority="10876" stopIfTrue="1" operator="equal">
      <formula>"Napkin Hs"</formula>
    </cfRule>
    <cfRule type="cellIs" dxfId="8749" priority="10877" stopIfTrue="1" operator="equal">
      <formula>"Towel"</formula>
    </cfRule>
    <cfRule type="cellIs" dxfId="8748" priority="10878" stopIfTrue="1" operator="equal">
      <formula>"Napkin Hs"</formula>
    </cfRule>
    <cfRule type="cellIs" dxfId="8747" priority="10881" stopIfTrue="1" operator="equal">
      <formula>"Towel"</formula>
    </cfRule>
    <cfRule type="cellIs" dxfId="8746" priority="10882" stopIfTrue="1" operator="equal">
      <formula>"Napkin Hs"</formula>
    </cfRule>
    <cfRule type="cellIs" dxfId="8745" priority="10883" stopIfTrue="1" operator="equal">
      <formula>"Towel"</formula>
    </cfRule>
    <cfRule type="cellIs" dxfId="8744" priority="10884" stopIfTrue="1" operator="equal">
      <formula>"Napkin Hs"</formula>
    </cfRule>
    <cfRule type="cellIs" dxfId="8743" priority="10887" stopIfTrue="1" operator="equal">
      <formula>"Towel"</formula>
    </cfRule>
    <cfRule type="cellIs" dxfId="8742" priority="10888" stopIfTrue="1" operator="equal">
      <formula>"Napkin Hs"</formula>
    </cfRule>
    <cfRule type="cellIs" dxfId="8741" priority="10889" stopIfTrue="1" operator="equal">
      <formula>"Towel"</formula>
    </cfRule>
    <cfRule type="cellIs" dxfId="8740" priority="10890" stopIfTrue="1" operator="equal">
      <formula>"Napkin Hs"</formula>
    </cfRule>
    <cfRule type="cellIs" dxfId="8739" priority="10893" stopIfTrue="1" operator="equal">
      <formula>"Towel"</formula>
    </cfRule>
    <cfRule type="cellIs" dxfId="8738" priority="10894" stopIfTrue="1" operator="equal">
      <formula>"Napkin Hs"</formula>
    </cfRule>
    <cfRule type="cellIs" dxfId="8737" priority="10895" stopIfTrue="1" operator="equal">
      <formula>"Towel"</formula>
    </cfRule>
    <cfRule type="cellIs" dxfId="8736" priority="10896" stopIfTrue="1" operator="equal">
      <formula>"Napkin Hs"</formula>
    </cfRule>
  </conditionalFormatting>
  <conditionalFormatting sqref="C56:C57">
    <cfRule type="cellIs" dxfId="8735" priority="10867" stopIfTrue="1" operator="equal">
      <formula>"Towel"</formula>
    </cfRule>
    <cfRule type="cellIs" dxfId="8734" priority="10868" stopIfTrue="1" operator="equal">
      <formula>"Napkin Hs"</formula>
    </cfRule>
  </conditionalFormatting>
  <conditionalFormatting sqref="C57">
    <cfRule type="cellIs" dxfId="8733" priority="10829" stopIfTrue="1" operator="equal">
      <formula>"Towel"</formula>
    </cfRule>
    <cfRule type="cellIs" dxfId="8732" priority="10830" stopIfTrue="1" operator="equal">
      <formula>"Napkin Hs"</formula>
    </cfRule>
    <cfRule type="cellIs" dxfId="8731" priority="10831" stopIfTrue="1" operator="equal">
      <formula>"Towel"</formula>
    </cfRule>
    <cfRule type="cellIs" dxfId="8730" priority="10832" stopIfTrue="1" operator="equal">
      <formula>"Napkin Hs"</formula>
    </cfRule>
    <cfRule type="cellIs" dxfId="8729" priority="10835" stopIfTrue="1" operator="equal">
      <formula>"Towel"</formula>
    </cfRule>
    <cfRule type="cellIs" dxfId="8728" priority="10836" stopIfTrue="1" operator="equal">
      <formula>"Napkin Hs"</formula>
    </cfRule>
    <cfRule type="cellIs" dxfId="8727" priority="10837" stopIfTrue="1" operator="equal">
      <formula>"Towel"</formula>
    </cfRule>
    <cfRule type="cellIs" dxfId="8726" priority="10838" stopIfTrue="1" operator="equal">
      <formula>"Napkin Hs"</formula>
    </cfRule>
    <cfRule type="cellIs" dxfId="8725" priority="10841" stopIfTrue="1" operator="equal">
      <formula>"Towel"</formula>
    </cfRule>
    <cfRule type="cellIs" dxfId="8724" priority="10842" stopIfTrue="1" operator="equal">
      <formula>"Napkin Hs"</formula>
    </cfRule>
    <cfRule type="cellIs" dxfId="8723" priority="10843" stopIfTrue="1" operator="equal">
      <formula>"Towel"</formula>
    </cfRule>
    <cfRule type="cellIs" dxfId="8722" priority="10844" stopIfTrue="1" operator="equal">
      <formula>"Napkin Hs"</formula>
    </cfRule>
    <cfRule type="cellIs" dxfId="8721" priority="10847" stopIfTrue="1" operator="equal">
      <formula>"Towel"</formula>
    </cfRule>
    <cfRule type="cellIs" dxfId="8720" priority="10848" stopIfTrue="1" operator="equal">
      <formula>"Napkin Hs"</formula>
    </cfRule>
    <cfRule type="cellIs" dxfId="8719" priority="10849" stopIfTrue="1" operator="equal">
      <formula>"Towel"</formula>
    </cfRule>
    <cfRule type="cellIs" dxfId="8718" priority="10850" stopIfTrue="1" operator="equal">
      <formula>"Napkin Hs"</formula>
    </cfRule>
    <cfRule type="cellIs" dxfId="8717" priority="10853" stopIfTrue="1" operator="equal">
      <formula>"Towel"</formula>
    </cfRule>
    <cfRule type="cellIs" dxfId="8716" priority="10854" stopIfTrue="1" operator="equal">
      <formula>"Napkin Hs"</formula>
    </cfRule>
    <cfRule type="cellIs" dxfId="8715" priority="10855" stopIfTrue="1" operator="equal">
      <formula>"Towel"</formula>
    </cfRule>
    <cfRule type="cellIs" dxfId="8714" priority="10856" stopIfTrue="1" operator="equal">
      <formula>"Napkin Hs"</formula>
    </cfRule>
    <cfRule type="cellIs" dxfId="8713" priority="10859" stopIfTrue="1" operator="equal">
      <formula>"Towel"</formula>
    </cfRule>
    <cfRule type="cellIs" dxfId="8712" priority="10860" stopIfTrue="1" operator="equal">
      <formula>"Napkin Hs"</formula>
    </cfRule>
    <cfRule type="cellIs" dxfId="8711" priority="10861" stopIfTrue="1" operator="equal">
      <formula>"Towel"</formula>
    </cfRule>
    <cfRule type="cellIs" dxfId="8710" priority="10862" stopIfTrue="1" operator="equal">
      <formula>"Napkin Hs"</formula>
    </cfRule>
    <cfRule type="cellIs" dxfId="8709" priority="10865" stopIfTrue="1" operator="equal">
      <formula>"Towel"</formula>
    </cfRule>
    <cfRule type="cellIs" dxfId="8708" priority="10866" stopIfTrue="1" operator="equal">
      <formula>"Napkin Hs"</formula>
    </cfRule>
  </conditionalFormatting>
  <conditionalFormatting sqref="C56">
    <cfRule type="cellIs" dxfId="8707" priority="10797" stopIfTrue="1" operator="equal">
      <formula>"Towel"</formula>
    </cfRule>
    <cfRule type="cellIs" dxfId="8706" priority="10798" stopIfTrue="1" operator="equal">
      <formula>"Napkin Hs"</formula>
    </cfRule>
    <cfRule type="cellIs" dxfId="8705" priority="10811" stopIfTrue="1" operator="equal">
      <formula>"Towel"</formula>
    </cfRule>
    <cfRule type="cellIs" dxfId="8704" priority="10812" stopIfTrue="1" operator="equal">
      <formula>"Napkin Hs"</formula>
    </cfRule>
    <cfRule type="cellIs" dxfId="8703" priority="10817" stopIfTrue="1" operator="equal">
      <formula>"Towel"</formula>
    </cfRule>
    <cfRule type="cellIs" dxfId="8702" priority="10818" stopIfTrue="1" operator="equal">
      <formula>"Napkin Hs"</formula>
    </cfRule>
    <cfRule type="cellIs" dxfId="8701" priority="10827" stopIfTrue="1" operator="equal">
      <formula>"Towel"</formula>
    </cfRule>
    <cfRule type="cellIs" dxfId="8700" priority="10828" stopIfTrue="1" operator="equal">
      <formula>"Napkin Hs"</formula>
    </cfRule>
  </conditionalFormatting>
  <conditionalFormatting sqref="B57:C57">
    <cfRule type="cellIs" dxfId="8699" priority="10801" stopIfTrue="1" operator="equal">
      <formula>"Towel"</formula>
    </cfRule>
    <cfRule type="cellIs" dxfId="8698" priority="10802" stopIfTrue="1" operator="equal">
      <formula>"Napkin Hs"</formula>
    </cfRule>
    <cfRule type="cellIs" dxfId="8697" priority="10807" stopIfTrue="1" operator="equal">
      <formula>"Towel"</formula>
    </cfRule>
    <cfRule type="cellIs" dxfId="8696" priority="10808" stopIfTrue="1" operator="equal">
      <formula>"Napkin Hs"</formula>
    </cfRule>
    <cfRule type="cellIs" dxfId="8695" priority="10823" stopIfTrue="1" operator="equal">
      <formula>"Towel"</formula>
    </cfRule>
    <cfRule type="cellIs" dxfId="8694" priority="10824" stopIfTrue="1" operator="equal">
      <formula>"Napkin Hs"</formula>
    </cfRule>
  </conditionalFormatting>
  <conditionalFormatting sqref="C56">
    <cfRule type="cellIs" dxfId="8693" priority="10815" stopIfTrue="1" operator="equal">
      <formula>"Towel"</formula>
    </cfRule>
    <cfRule type="cellIs" dxfId="8692" priority="10816" stopIfTrue="1" operator="equal">
      <formula>"Napkin Hs"</formula>
    </cfRule>
    <cfRule type="cellIs" dxfId="8691" priority="10825" stopIfTrue="1" operator="equal">
      <formula>"Towel"</formula>
    </cfRule>
    <cfRule type="cellIs" dxfId="8690" priority="10826" stopIfTrue="1" operator="equal">
      <formula>"Napkin Hs"</formula>
    </cfRule>
  </conditionalFormatting>
  <conditionalFormatting sqref="C56">
    <cfRule type="cellIs" dxfId="8689" priority="10793" stopIfTrue="1" operator="equal">
      <formula>"Towel"</formula>
    </cfRule>
    <cfRule type="cellIs" dxfId="8688" priority="10794" stopIfTrue="1" operator="equal">
      <formula>"Napkin Hs"</formula>
    </cfRule>
    <cfRule type="cellIs" dxfId="8687" priority="10809" stopIfTrue="1" operator="equal">
      <formula>"Towel"</formula>
    </cfRule>
    <cfRule type="cellIs" dxfId="8686" priority="10810" stopIfTrue="1" operator="equal">
      <formula>"Napkin Hs"</formula>
    </cfRule>
    <cfRule type="cellIs" dxfId="8685" priority="10813" stopIfTrue="1" operator="equal">
      <formula>"Towel"</formula>
    </cfRule>
    <cfRule type="cellIs" dxfId="8684" priority="10814" stopIfTrue="1" operator="equal">
      <formula>"Napkin Hs"</formula>
    </cfRule>
  </conditionalFormatting>
  <conditionalFormatting sqref="C56:C57">
    <cfRule type="cellIs" dxfId="8683" priority="10795" stopIfTrue="1" operator="equal">
      <formula>"Towel"</formula>
    </cfRule>
    <cfRule type="cellIs" dxfId="8682" priority="10796" stopIfTrue="1" operator="equal">
      <formula>"Napkin Hs"</formula>
    </cfRule>
    <cfRule type="cellIs" dxfId="8681" priority="10805" stopIfTrue="1" operator="equal">
      <formula>"Towel"</formula>
    </cfRule>
    <cfRule type="cellIs" dxfId="8680" priority="10806" stopIfTrue="1" operator="equal">
      <formula>"Napkin Hs"</formula>
    </cfRule>
    <cfRule type="cellIs" dxfId="8679" priority="10821" stopIfTrue="1" operator="equal">
      <formula>"Towel"</formula>
    </cfRule>
    <cfRule type="cellIs" dxfId="8678" priority="10822" stopIfTrue="1" operator="equal">
      <formula>"Napkin Hs"</formula>
    </cfRule>
  </conditionalFormatting>
  <conditionalFormatting sqref="C57">
    <cfRule type="cellIs" dxfId="8677" priority="10799" stopIfTrue="1" operator="equal">
      <formula>"Towel"</formula>
    </cfRule>
    <cfRule type="cellIs" dxfId="8676" priority="10800" stopIfTrue="1" operator="equal">
      <formula>"Napkin Hs"</formula>
    </cfRule>
    <cfRule type="cellIs" dxfId="8675" priority="10819" stopIfTrue="1" operator="equal">
      <formula>"Towel"</formula>
    </cfRule>
    <cfRule type="cellIs" dxfId="8674" priority="10820" stopIfTrue="1" operator="equal">
      <formula>"Napkin Hs"</formula>
    </cfRule>
  </conditionalFormatting>
  <conditionalFormatting sqref="C57">
    <cfRule type="cellIs" dxfId="8673" priority="10803" stopIfTrue="1" operator="equal">
      <formula>"Towel"</formula>
    </cfRule>
    <cfRule type="cellIs" dxfId="8672" priority="10804" stopIfTrue="1" operator="equal">
      <formula>"Napkin Hs"</formula>
    </cfRule>
  </conditionalFormatting>
  <conditionalFormatting sqref="B57:C57">
    <cfRule type="cellIs" dxfId="8671" priority="10791" stopIfTrue="1" operator="equal">
      <formula>"Towel"</formula>
    </cfRule>
    <cfRule type="cellIs" dxfId="8670" priority="10792" stopIfTrue="1" operator="equal">
      <formula>"Napkin Hs"</formula>
    </cfRule>
  </conditionalFormatting>
  <conditionalFormatting sqref="B57:C57">
    <cfRule type="cellIs" dxfId="8669" priority="10785" stopIfTrue="1" operator="equal">
      <formula>"Towel"</formula>
    </cfRule>
    <cfRule type="cellIs" dxfId="8668" priority="10786" stopIfTrue="1" operator="equal">
      <formula>"Napkin Hs"</formula>
    </cfRule>
  </conditionalFormatting>
  <conditionalFormatting sqref="C57">
    <cfRule type="cellIs" dxfId="8667" priority="10790" stopIfTrue="1" operator="equal">
      <formula>"Napkin Hs"</formula>
    </cfRule>
  </conditionalFormatting>
  <conditionalFormatting sqref="C57">
    <cfRule type="cellIs" dxfId="8666" priority="10787" stopIfTrue="1" operator="equal">
      <formula>"Towel"</formula>
    </cfRule>
    <cfRule type="cellIs" dxfId="8665" priority="10788" stopIfTrue="1" operator="equal">
      <formula>"Napkin Hs"</formula>
    </cfRule>
  </conditionalFormatting>
  <conditionalFormatting sqref="C57">
    <cfRule type="cellIs" dxfId="8664" priority="10781" stopIfTrue="1" operator="equal">
      <formula>"Towel"</formula>
    </cfRule>
    <cfRule type="cellIs" dxfId="8663" priority="10782" stopIfTrue="1" operator="equal">
      <formula>"Napkin Hs"</formula>
    </cfRule>
  </conditionalFormatting>
  <conditionalFormatting sqref="C57">
    <cfRule type="cellIs" dxfId="8662" priority="10783" stopIfTrue="1" operator="equal">
      <formula>"Towel"</formula>
    </cfRule>
    <cfRule type="cellIs" dxfId="8661" priority="10784" stopIfTrue="1" operator="equal">
      <formula>"Napkin Hs"</formula>
    </cfRule>
  </conditionalFormatting>
  <conditionalFormatting sqref="C57">
    <cfRule type="cellIs" dxfId="8660" priority="10789" stopIfTrue="1" operator="equal">
      <formula>"Towel"</formula>
    </cfRule>
  </conditionalFormatting>
  <conditionalFormatting sqref="B57:C57">
    <cfRule type="cellIs" dxfId="8659" priority="10779" stopIfTrue="1" operator="equal">
      <formula>"Towel"</formula>
    </cfRule>
    <cfRule type="cellIs" dxfId="8658" priority="10780" stopIfTrue="1" operator="equal">
      <formula>"Napkin Hs"</formula>
    </cfRule>
  </conditionalFormatting>
  <conditionalFormatting sqref="C57">
    <cfRule type="cellIs" dxfId="8657" priority="10775" stopIfTrue="1" operator="equal">
      <formula>"Towel"</formula>
    </cfRule>
    <cfRule type="cellIs" dxfId="8656" priority="10776" stopIfTrue="1" operator="equal">
      <formula>"Napkin Hs"</formula>
    </cfRule>
  </conditionalFormatting>
  <conditionalFormatting sqref="C57">
    <cfRule type="cellIs" dxfId="8655" priority="10777" stopIfTrue="1" operator="equal">
      <formula>"Towel"</formula>
    </cfRule>
    <cfRule type="cellIs" dxfId="8654" priority="10778" stopIfTrue="1" operator="equal">
      <formula>"Napkin Hs"</formula>
    </cfRule>
  </conditionalFormatting>
  <conditionalFormatting sqref="B57:C57">
    <cfRule type="cellIs" dxfId="8653" priority="10771" stopIfTrue="1" operator="equal">
      <formula>"Towel"</formula>
    </cfRule>
    <cfRule type="cellIs" dxfId="8652" priority="10772" stopIfTrue="1" operator="equal">
      <formula>"Napkin Hs"</formula>
    </cfRule>
  </conditionalFormatting>
  <conditionalFormatting sqref="C57">
    <cfRule type="cellIs" dxfId="8651" priority="10773" stopIfTrue="1" operator="equal">
      <formula>"Towel"</formula>
    </cfRule>
    <cfRule type="cellIs" dxfId="8650" priority="10774" stopIfTrue="1" operator="equal">
      <formula>"Napkin Hs"</formula>
    </cfRule>
  </conditionalFormatting>
  <conditionalFormatting sqref="C57">
    <cfRule type="cellIs" dxfId="8649" priority="10767" stopIfTrue="1" operator="equal">
      <formula>"Towel"</formula>
    </cfRule>
    <cfRule type="cellIs" dxfId="8648" priority="10768" stopIfTrue="1" operator="equal">
      <formula>"Napkin Hs"</formula>
    </cfRule>
  </conditionalFormatting>
  <conditionalFormatting sqref="C57">
    <cfRule type="cellIs" dxfId="8647" priority="10769" stopIfTrue="1" operator="equal">
      <formula>"Towel"</formula>
    </cfRule>
    <cfRule type="cellIs" dxfId="8646" priority="10770" stopIfTrue="1" operator="equal">
      <formula>"Napkin Hs"</formula>
    </cfRule>
  </conditionalFormatting>
  <conditionalFormatting sqref="B57:C57">
    <cfRule type="cellIs" dxfId="8645" priority="10765" stopIfTrue="1" operator="equal">
      <formula>"Towel"</formula>
    </cfRule>
    <cfRule type="cellIs" dxfId="8644" priority="10766" stopIfTrue="1" operator="equal">
      <formula>"Napkin Hs"</formula>
    </cfRule>
  </conditionalFormatting>
  <conditionalFormatting sqref="C57">
    <cfRule type="cellIs" dxfId="8643" priority="10764" stopIfTrue="1" operator="equal">
      <formula>"Napkin Hs"</formula>
    </cfRule>
  </conditionalFormatting>
  <conditionalFormatting sqref="C57">
    <cfRule type="cellIs" dxfId="8642" priority="10763" stopIfTrue="1" operator="equal">
      <formula>"Towel"</formula>
    </cfRule>
  </conditionalFormatting>
  <conditionalFormatting sqref="C56">
    <cfRule type="cellIs" dxfId="8641" priority="10761" stopIfTrue="1" operator="equal">
      <formula>"Towel"</formula>
    </cfRule>
    <cfRule type="cellIs" dxfId="8640" priority="10762" stopIfTrue="1" operator="equal">
      <formula>"Napkin Hs"</formula>
    </cfRule>
  </conditionalFormatting>
  <conditionalFormatting sqref="C56">
    <cfRule type="cellIs" dxfId="8639" priority="10757" stopIfTrue="1" operator="equal">
      <formula>"Towel"</formula>
    </cfRule>
    <cfRule type="cellIs" dxfId="8638" priority="10758" stopIfTrue="1" operator="equal">
      <formula>"Napkin Hs"</formula>
    </cfRule>
  </conditionalFormatting>
  <conditionalFormatting sqref="C56">
    <cfRule type="cellIs" dxfId="8637" priority="10759" stopIfTrue="1" operator="equal">
      <formula>"Towel"</formula>
    </cfRule>
    <cfRule type="cellIs" dxfId="8636" priority="10760" stopIfTrue="1" operator="equal">
      <formula>"Napkin Hs"</formula>
    </cfRule>
  </conditionalFormatting>
  <conditionalFormatting sqref="C56">
    <cfRule type="cellIs" dxfId="8635" priority="10755" stopIfTrue="1" operator="equal">
      <formula>"Towel"</formula>
    </cfRule>
    <cfRule type="cellIs" dxfId="8634" priority="10756" stopIfTrue="1" operator="equal">
      <formula>"Napkin Hs"</formula>
    </cfRule>
  </conditionalFormatting>
  <conditionalFormatting sqref="C56">
    <cfRule type="cellIs" dxfId="8633" priority="10751" stopIfTrue="1" operator="equal">
      <formula>"Towel"</formula>
    </cfRule>
    <cfRule type="cellIs" dxfId="8632" priority="10752" stopIfTrue="1" operator="equal">
      <formula>"Napkin Hs"</formula>
    </cfRule>
  </conditionalFormatting>
  <conditionalFormatting sqref="C56">
    <cfRule type="cellIs" dxfId="8631" priority="10753" stopIfTrue="1" operator="equal">
      <formula>"Towel"</formula>
    </cfRule>
    <cfRule type="cellIs" dxfId="8630" priority="10754" stopIfTrue="1" operator="equal">
      <formula>"Napkin Hs"</formula>
    </cfRule>
  </conditionalFormatting>
  <conditionalFormatting sqref="C56">
    <cfRule type="cellIs" dxfId="8629" priority="10749" stopIfTrue="1" operator="equal">
      <formula>"Towel"</formula>
    </cfRule>
    <cfRule type="cellIs" dxfId="8628" priority="10750" stopIfTrue="1" operator="equal">
      <formula>"Napkin Hs"</formula>
    </cfRule>
  </conditionalFormatting>
  <conditionalFormatting sqref="C56">
    <cfRule type="cellIs" dxfId="8627" priority="10745" stopIfTrue="1" operator="equal">
      <formula>"Towel"</formula>
    </cfRule>
    <cfRule type="cellIs" dxfId="8626" priority="10746" stopIfTrue="1" operator="equal">
      <formula>"Napkin Hs"</formula>
    </cfRule>
  </conditionalFormatting>
  <conditionalFormatting sqref="C56">
    <cfRule type="cellIs" dxfId="8625" priority="10747" stopIfTrue="1" operator="equal">
      <formula>"Towel"</formula>
    </cfRule>
    <cfRule type="cellIs" dxfId="8624" priority="10748" stopIfTrue="1" operator="equal">
      <formula>"Napkin Hs"</formula>
    </cfRule>
  </conditionalFormatting>
  <conditionalFormatting sqref="C56">
    <cfRule type="cellIs" dxfId="8623" priority="10743" stopIfTrue="1" operator="equal">
      <formula>"Towel"</formula>
    </cfRule>
    <cfRule type="cellIs" dxfId="8622" priority="10744" stopIfTrue="1" operator="equal">
      <formula>"Napkin Hs"</formula>
    </cfRule>
  </conditionalFormatting>
  <conditionalFormatting sqref="C56">
    <cfRule type="cellIs" dxfId="8621" priority="10741" stopIfTrue="1" operator="equal">
      <formula>"Towel"</formula>
    </cfRule>
    <cfRule type="cellIs" dxfId="8620" priority="10742" stopIfTrue="1" operator="equal">
      <formula>"Napkin Hs"</formula>
    </cfRule>
  </conditionalFormatting>
  <conditionalFormatting sqref="C56">
    <cfRule type="cellIs" dxfId="8619" priority="10739" stopIfTrue="1" operator="equal">
      <formula>"Towel"</formula>
    </cfRule>
    <cfRule type="cellIs" dxfId="8618" priority="10740" stopIfTrue="1" operator="equal">
      <formula>"Napkin Hs"</formula>
    </cfRule>
  </conditionalFormatting>
  <conditionalFormatting sqref="C56">
    <cfRule type="cellIs" dxfId="8617" priority="10737" stopIfTrue="1" operator="equal">
      <formula>"Towel"</formula>
    </cfRule>
    <cfRule type="cellIs" dxfId="8616" priority="10738" stopIfTrue="1" operator="equal">
      <formula>"Napkin Hs"</formula>
    </cfRule>
  </conditionalFormatting>
  <conditionalFormatting sqref="C56">
    <cfRule type="cellIs" dxfId="8615" priority="10736" stopIfTrue="1" operator="equal">
      <formula>"Napkin Hs"</formula>
    </cfRule>
  </conditionalFormatting>
  <conditionalFormatting sqref="C56">
    <cfRule type="cellIs" dxfId="8614" priority="10733" stopIfTrue="1" operator="equal">
      <formula>"Towel"</formula>
    </cfRule>
    <cfRule type="cellIs" dxfId="8613" priority="10734" stopIfTrue="1" operator="equal">
      <formula>"Napkin Hs"</formula>
    </cfRule>
  </conditionalFormatting>
  <conditionalFormatting sqref="C56">
    <cfRule type="cellIs" dxfId="8612" priority="10735" stopIfTrue="1" operator="equal">
      <formula>"Towel"</formula>
    </cfRule>
  </conditionalFormatting>
  <conditionalFormatting sqref="B56">
    <cfRule type="cellIs" dxfId="8611" priority="10731" stopIfTrue="1" operator="equal">
      <formula>"Towel"</formula>
    </cfRule>
    <cfRule type="cellIs" dxfId="8610" priority="10732" stopIfTrue="1" operator="equal">
      <formula>"Napkin Hs"</formula>
    </cfRule>
  </conditionalFormatting>
  <conditionalFormatting sqref="B56">
    <cfRule type="cellIs" dxfId="8609" priority="10729" stopIfTrue="1" operator="equal">
      <formula>"Towel"</formula>
    </cfRule>
    <cfRule type="cellIs" dxfId="8608" priority="10730" stopIfTrue="1" operator="equal">
      <formula>"Napkin Hs"</formula>
    </cfRule>
  </conditionalFormatting>
  <conditionalFormatting sqref="B56">
    <cfRule type="cellIs" dxfId="8607" priority="10727" stopIfTrue="1" operator="equal">
      <formula>"Towel"</formula>
    </cfRule>
    <cfRule type="cellIs" dxfId="8606" priority="10728" stopIfTrue="1" operator="equal">
      <formula>"Napkin Hs"</formula>
    </cfRule>
  </conditionalFormatting>
  <conditionalFormatting sqref="B56">
    <cfRule type="cellIs" dxfId="8605" priority="10725" stopIfTrue="1" operator="equal">
      <formula>"Towel"</formula>
    </cfRule>
    <cfRule type="cellIs" dxfId="8604" priority="10726" stopIfTrue="1" operator="equal">
      <formula>"Napkin Hs"</formula>
    </cfRule>
  </conditionalFormatting>
  <conditionalFormatting sqref="B56">
    <cfRule type="cellIs" dxfId="8603" priority="10723" stopIfTrue="1" operator="equal">
      <formula>"Towel"</formula>
    </cfRule>
    <cfRule type="cellIs" dxfId="8602" priority="10724" stopIfTrue="1" operator="equal">
      <formula>"Napkin Hs"</formula>
    </cfRule>
  </conditionalFormatting>
  <conditionalFormatting sqref="B56">
    <cfRule type="cellIs" dxfId="8601" priority="10721" stopIfTrue="1" operator="equal">
      <formula>"Towel"</formula>
    </cfRule>
    <cfRule type="cellIs" dxfId="8600" priority="10722" stopIfTrue="1" operator="equal">
      <formula>"Napkin Hs"</formula>
    </cfRule>
  </conditionalFormatting>
  <conditionalFormatting sqref="B56">
    <cfRule type="cellIs" dxfId="8599" priority="10717" stopIfTrue="1" operator="equal">
      <formula>"Towel"</formula>
    </cfRule>
    <cfRule type="cellIs" dxfId="8598" priority="10718" stopIfTrue="1" operator="equal">
      <formula>"Napkin Hs"</formula>
    </cfRule>
    <cfRule type="cellIs" dxfId="8597" priority="10719" stopIfTrue="1" operator="equal">
      <formula>"Towel"</formula>
    </cfRule>
    <cfRule type="cellIs" dxfId="8596" priority="10720" stopIfTrue="1" operator="equal">
      <formula>"Napkin Hs"</formula>
    </cfRule>
  </conditionalFormatting>
  <conditionalFormatting sqref="B56">
    <cfRule type="cellIs" dxfId="8595" priority="10715" stopIfTrue="1" operator="equal">
      <formula>"Towel"</formula>
    </cfRule>
    <cfRule type="cellIs" dxfId="8594" priority="10716" stopIfTrue="1" operator="equal">
      <formula>"Napkin Hs"</formula>
    </cfRule>
  </conditionalFormatting>
  <conditionalFormatting sqref="B56">
    <cfRule type="cellIs" dxfId="8593" priority="10713" stopIfTrue="1" operator="equal">
      <formula>"Towel"</formula>
    </cfRule>
    <cfRule type="cellIs" dxfId="8592" priority="10714" stopIfTrue="1" operator="equal">
      <formula>"Napkin Hs"</formula>
    </cfRule>
  </conditionalFormatting>
  <conditionalFormatting sqref="B56">
    <cfRule type="cellIs" dxfId="8591" priority="10711" stopIfTrue="1" operator="equal">
      <formula>"Towel"</formula>
    </cfRule>
    <cfRule type="cellIs" dxfId="8590" priority="10712" stopIfTrue="1" operator="equal">
      <formula>"Napkin Hs"</formula>
    </cfRule>
  </conditionalFormatting>
  <conditionalFormatting sqref="B56">
    <cfRule type="cellIs" dxfId="8589" priority="10709" stopIfTrue="1" operator="equal">
      <formula>"Towel"</formula>
    </cfRule>
    <cfRule type="cellIs" dxfId="8588" priority="10710" stopIfTrue="1" operator="equal">
      <formula>"Napkin Hs"</formula>
    </cfRule>
  </conditionalFormatting>
  <conditionalFormatting sqref="B56">
    <cfRule type="cellIs" dxfId="8587" priority="10707" stopIfTrue="1" operator="equal">
      <formula>"Towel"</formula>
    </cfRule>
    <cfRule type="cellIs" dxfId="8586" priority="10708" stopIfTrue="1" operator="equal">
      <formula>"Napkin Hs"</formula>
    </cfRule>
  </conditionalFormatting>
  <conditionalFormatting sqref="B56:C56">
    <cfRule type="cellIs" dxfId="8585" priority="10693" stopIfTrue="1" operator="equal">
      <formula>"Towel"</formula>
    </cfRule>
    <cfRule type="cellIs" dxfId="8584" priority="10694" stopIfTrue="1" operator="equal">
      <formula>"Napkin Hs"</formula>
    </cfRule>
    <cfRule type="cellIs" dxfId="8583" priority="10699" stopIfTrue="1" operator="equal">
      <formula>"Towel"</formula>
    </cfRule>
    <cfRule type="cellIs" dxfId="8582" priority="10700" stopIfTrue="1" operator="equal">
      <formula>"Napkin Hs"</formula>
    </cfRule>
    <cfRule type="cellIs" dxfId="8581" priority="10705" stopIfTrue="1" operator="equal">
      <formula>"Towel"</formula>
    </cfRule>
    <cfRule type="cellIs" dxfId="8580" priority="10706" stopIfTrue="1" operator="equal">
      <formula>"Napkin Hs"</formula>
    </cfRule>
  </conditionalFormatting>
  <conditionalFormatting sqref="C56">
    <cfRule type="cellIs" dxfId="8579" priority="10687" stopIfTrue="1" operator="equal">
      <formula>"Towel"</formula>
    </cfRule>
    <cfRule type="cellIs" dxfId="8578" priority="10688" stopIfTrue="1" operator="equal">
      <formula>"Napkin Hs"</formula>
    </cfRule>
    <cfRule type="cellIs" dxfId="8577" priority="10689" stopIfTrue="1" operator="equal">
      <formula>"Towel"</formula>
    </cfRule>
    <cfRule type="cellIs" dxfId="8576" priority="10690" stopIfTrue="1" operator="equal">
      <formula>"Napkin Hs"</formula>
    </cfRule>
    <cfRule type="cellIs" dxfId="8575" priority="10697" stopIfTrue="1" operator="equal">
      <formula>"Towel"</formula>
    </cfRule>
    <cfRule type="cellIs" dxfId="8574" priority="10698" stopIfTrue="1" operator="equal">
      <formula>"Napkin Hs"</formula>
    </cfRule>
    <cfRule type="cellIs" dxfId="8573" priority="10701" stopIfTrue="1" operator="equal">
      <formula>"Towel"</formula>
    </cfRule>
    <cfRule type="cellIs" dxfId="8572" priority="10702" stopIfTrue="1" operator="equal">
      <formula>"Napkin Hs"</formula>
    </cfRule>
  </conditionalFormatting>
  <conditionalFormatting sqref="C56">
    <cfRule type="cellIs" dxfId="8571" priority="10691" stopIfTrue="1" operator="equal">
      <formula>"Towel"</formula>
    </cfRule>
    <cfRule type="cellIs" dxfId="8570" priority="10692" stopIfTrue="1" operator="equal">
      <formula>"Napkin Hs"</formula>
    </cfRule>
    <cfRule type="cellIs" dxfId="8569" priority="10695" stopIfTrue="1" operator="equal">
      <formula>"Towel"</formula>
    </cfRule>
    <cfRule type="cellIs" dxfId="8568" priority="10696" stopIfTrue="1" operator="equal">
      <formula>"Napkin Hs"</formula>
    </cfRule>
    <cfRule type="cellIs" dxfId="8567" priority="10703" stopIfTrue="1" operator="equal">
      <formula>"Towel"</formula>
    </cfRule>
    <cfRule type="cellIs" dxfId="8566" priority="10704" stopIfTrue="1" operator="equal">
      <formula>"Napkin Hs"</formula>
    </cfRule>
  </conditionalFormatting>
  <conditionalFormatting sqref="B56:C56">
    <cfRule type="cellIs" dxfId="8565" priority="10685" stopIfTrue="1" operator="equal">
      <formula>"Towel"</formula>
    </cfRule>
    <cfRule type="cellIs" dxfId="8564" priority="10686" stopIfTrue="1" operator="equal">
      <formula>"Napkin Hs"</formula>
    </cfRule>
  </conditionalFormatting>
  <conditionalFormatting sqref="B56:C56">
    <cfRule type="cellIs" dxfId="8563" priority="10677" stopIfTrue="1" operator="equal">
      <formula>"Towel"</formula>
    </cfRule>
    <cfRule type="cellIs" dxfId="8562" priority="10678" stopIfTrue="1" operator="equal">
      <formula>"Napkin Hs"</formula>
    </cfRule>
    <cfRule type="cellIs" dxfId="8561" priority="10683" stopIfTrue="1" operator="equal">
      <formula>"Towel"</formula>
    </cfRule>
    <cfRule type="cellIs" dxfId="8560" priority="10684" stopIfTrue="1" operator="equal">
      <formula>"Napkin Hs"</formula>
    </cfRule>
  </conditionalFormatting>
  <conditionalFormatting sqref="C56">
    <cfRule type="cellIs" dxfId="8559" priority="10673" stopIfTrue="1" operator="equal">
      <formula>"Towel"</formula>
    </cfRule>
    <cfRule type="cellIs" dxfId="8558" priority="10674" stopIfTrue="1" operator="equal">
      <formula>"Napkin Hs"</formula>
    </cfRule>
  </conditionalFormatting>
  <conditionalFormatting sqref="C56">
    <cfRule type="cellIs" dxfId="8557" priority="10671" stopIfTrue="1" operator="equal">
      <formula>"Towel"</formula>
    </cfRule>
    <cfRule type="cellIs" dxfId="8556" priority="10672" stopIfTrue="1" operator="equal">
      <formula>"Napkin Hs"</formula>
    </cfRule>
    <cfRule type="cellIs" dxfId="8555" priority="10681" stopIfTrue="1" operator="equal">
      <formula>"Towel"</formula>
    </cfRule>
    <cfRule type="cellIs" dxfId="8554" priority="10682" stopIfTrue="1" operator="equal">
      <formula>"Napkin Hs"</formula>
    </cfRule>
  </conditionalFormatting>
  <conditionalFormatting sqref="C56">
    <cfRule type="cellIs" dxfId="8553" priority="10675" stopIfTrue="1" operator="equal">
      <formula>"Towel"</formula>
    </cfRule>
    <cfRule type="cellIs" dxfId="8552" priority="10676" stopIfTrue="1" operator="equal">
      <formula>"Napkin Hs"</formula>
    </cfRule>
    <cfRule type="cellIs" dxfId="8551" priority="10679" stopIfTrue="1" operator="equal">
      <formula>"Towel"</formula>
    </cfRule>
    <cfRule type="cellIs" dxfId="8550" priority="10680" stopIfTrue="1" operator="equal">
      <formula>"Napkin Hs"</formula>
    </cfRule>
  </conditionalFormatting>
  <conditionalFormatting sqref="C56">
    <cfRule type="cellIs" dxfId="8549" priority="10670" stopIfTrue="1" operator="equal">
      <formula>"Napkin Hs"</formula>
    </cfRule>
  </conditionalFormatting>
  <conditionalFormatting sqref="C56">
    <cfRule type="cellIs" dxfId="8548" priority="10669" stopIfTrue="1" operator="equal">
      <formula>"Towel"</formula>
    </cfRule>
  </conditionalFormatting>
  <conditionalFormatting sqref="C56">
    <cfRule type="cellIs" dxfId="8547" priority="10665" stopIfTrue="1" operator="equal">
      <formula>"Towel"</formula>
    </cfRule>
    <cfRule type="cellIs" dxfId="8546" priority="10666" stopIfTrue="1" operator="equal">
      <formula>"Napkin Hs"</formula>
    </cfRule>
    <cfRule type="cellIs" dxfId="8545" priority="10667" stopIfTrue="1" operator="equal">
      <formula>"Towel"</formula>
    </cfRule>
    <cfRule type="cellIs" dxfId="8544" priority="10668" stopIfTrue="1" operator="equal">
      <formula>"Napkin Hs"</formula>
    </cfRule>
  </conditionalFormatting>
  <conditionalFormatting sqref="B56:C56">
    <cfRule type="cellIs" dxfId="8543" priority="10663" stopIfTrue="1" operator="equal">
      <formula>"Towel"</formula>
    </cfRule>
    <cfRule type="cellIs" dxfId="8542" priority="10664" stopIfTrue="1" operator="equal">
      <formula>"Napkin Hs"</formula>
    </cfRule>
  </conditionalFormatting>
  <conditionalFormatting sqref="C56">
    <cfRule type="cellIs" dxfId="8541" priority="10659" stopIfTrue="1" operator="equal">
      <formula>"Towel"</formula>
    </cfRule>
    <cfRule type="cellIs" dxfId="8540" priority="10660" stopIfTrue="1" operator="equal">
      <formula>"Napkin Hs"</formula>
    </cfRule>
  </conditionalFormatting>
  <conditionalFormatting sqref="C56">
    <cfRule type="cellIs" dxfId="8539" priority="10661" stopIfTrue="1" operator="equal">
      <formula>"Towel"</formula>
    </cfRule>
    <cfRule type="cellIs" dxfId="8538" priority="10662" stopIfTrue="1" operator="equal">
      <formula>"Napkin Hs"</formula>
    </cfRule>
  </conditionalFormatting>
  <conditionalFormatting sqref="B56:C56">
    <cfRule type="cellIs" dxfId="8537" priority="10657" stopIfTrue="1" operator="equal">
      <formula>"Towel"</formula>
    </cfRule>
    <cfRule type="cellIs" dxfId="8536" priority="10658" stopIfTrue="1" operator="equal">
      <formula>"Napkin Hs"</formula>
    </cfRule>
  </conditionalFormatting>
  <conditionalFormatting sqref="C56">
    <cfRule type="cellIs" dxfId="8535" priority="10653" stopIfTrue="1" operator="equal">
      <formula>"Towel"</formula>
    </cfRule>
    <cfRule type="cellIs" dxfId="8534" priority="10654" stopIfTrue="1" operator="equal">
      <formula>"Napkin Hs"</formula>
    </cfRule>
  </conditionalFormatting>
  <conditionalFormatting sqref="C56">
    <cfRule type="cellIs" dxfId="8533" priority="10655" stopIfTrue="1" operator="equal">
      <formula>"Towel"</formula>
    </cfRule>
    <cfRule type="cellIs" dxfId="8532" priority="10656" stopIfTrue="1" operator="equal">
      <formula>"Napkin Hs"</formula>
    </cfRule>
  </conditionalFormatting>
  <conditionalFormatting sqref="B56:C56">
    <cfRule type="cellIs" dxfId="8531" priority="10651" stopIfTrue="1" operator="equal">
      <formula>"Towel"</formula>
    </cfRule>
    <cfRule type="cellIs" dxfId="8530" priority="10652" stopIfTrue="1" operator="equal">
      <formula>"Napkin Hs"</formula>
    </cfRule>
  </conditionalFormatting>
  <conditionalFormatting sqref="C56">
    <cfRule type="cellIs" dxfId="8529" priority="10647" stopIfTrue="1" operator="equal">
      <formula>"Towel"</formula>
    </cfRule>
    <cfRule type="cellIs" dxfId="8528" priority="10648" stopIfTrue="1" operator="equal">
      <formula>"Napkin Hs"</formula>
    </cfRule>
  </conditionalFormatting>
  <conditionalFormatting sqref="C56">
    <cfRule type="cellIs" dxfId="8527" priority="10649" stopIfTrue="1" operator="equal">
      <formula>"Towel"</formula>
    </cfRule>
    <cfRule type="cellIs" dxfId="8526" priority="10650" stopIfTrue="1" operator="equal">
      <formula>"Napkin Hs"</formula>
    </cfRule>
  </conditionalFormatting>
  <conditionalFormatting sqref="B56:C56">
    <cfRule type="cellIs" dxfId="8525" priority="10645" stopIfTrue="1" operator="equal">
      <formula>"Towel"</formula>
    </cfRule>
    <cfRule type="cellIs" dxfId="8524" priority="10646" stopIfTrue="1" operator="equal">
      <formula>"Napkin Hs"</formula>
    </cfRule>
  </conditionalFormatting>
  <conditionalFormatting sqref="C56">
    <cfRule type="cellIs" dxfId="8523" priority="10643" stopIfTrue="1" operator="equal">
      <formula>"Towel"</formula>
    </cfRule>
    <cfRule type="cellIs" dxfId="8522" priority="10644" stopIfTrue="1" operator="equal">
      <formula>"Napkin Hs"</formula>
    </cfRule>
  </conditionalFormatting>
  <conditionalFormatting sqref="C56">
    <cfRule type="cellIs" dxfId="8521" priority="10641" stopIfTrue="1" operator="equal">
      <formula>"Towel"</formula>
    </cfRule>
    <cfRule type="cellIs" dxfId="8520" priority="10642" stopIfTrue="1" operator="equal">
      <formula>"Napkin Hs"</formula>
    </cfRule>
  </conditionalFormatting>
  <conditionalFormatting sqref="B56:C56">
    <cfRule type="cellIs" dxfId="8519" priority="10639" stopIfTrue="1" operator="equal">
      <formula>"Towel"</formula>
    </cfRule>
    <cfRule type="cellIs" dxfId="8518" priority="10640" stopIfTrue="1" operator="equal">
      <formula>"Napkin Hs"</formula>
    </cfRule>
  </conditionalFormatting>
  <conditionalFormatting sqref="C56">
    <cfRule type="cellIs" dxfId="8517" priority="10638" stopIfTrue="1" operator="equal">
      <formula>"Napkin Hs"</formula>
    </cfRule>
  </conditionalFormatting>
  <conditionalFormatting sqref="C56">
    <cfRule type="cellIs" dxfId="8516" priority="10635" stopIfTrue="1" operator="equal">
      <formula>"Towel"</formula>
    </cfRule>
    <cfRule type="cellIs" dxfId="8515" priority="10636" stopIfTrue="1" operator="equal">
      <formula>"Napkin Hs"</formula>
    </cfRule>
  </conditionalFormatting>
  <conditionalFormatting sqref="C56">
    <cfRule type="cellIs" dxfId="8514" priority="10637" stopIfTrue="1" operator="equal">
      <formula>"Towel"</formula>
    </cfRule>
  </conditionalFormatting>
  <conditionalFormatting sqref="B54:C54">
    <cfRule type="cellIs" dxfId="8513" priority="10591" stopIfTrue="1" operator="equal">
      <formula>"Towel"</formula>
    </cfRule>
    <cfRule type="cellIs" dxfId="8512" priority="10592" stopIfTrue="1" operator="equal">
      <formula>"Napkin Hs"</formula>
    </cfRule>
    <cfRule type="cellIs" dxfId="8511" priority="10597" stopIfTrue="1" operator="equal">
      <formula>"Towel"</formula>
    </cfRule>
    <cfRule type="cellIs" dxfId="8510" priority="10598" stopIfTrue="1" operator="equal">
      <formula>"Napkin Hs"</formula>
    </cfRule>
    <cfRule type="cellIs" dxfId="8509" priority="10603" stopIfTrue="1" operator="equal">
      <formula>"Towel"</formula>
    </cfRule>
    <cfRule type="cellIs" dxfId="8508" priority="10604" stopIfTrue="1" operator="equal">
      <formula>"Napkin Hs"</formula>
    </cfRule>
    <cfRule type="cellIs" dxfId="8507" priority="10609" stopIfTrue="1" operator="equal">
      <formula>"Towel"</formula>
    </cfRule>
    <cfRule type="cellIs" dxfId="8506" priority="10610" stopIfTrue="1" operator="equal">
      <formula>"Napkin Hs"</formula>
    </cfRule>
    <cfRule type="cellIs" dxfId="8505" priority="10615" stopIfTrue="1" operator="equal">
      <formula>"Towel"</formula>
    </cfRule>
    <cfRule type="cellIs" dxfId="8504" priority="10616" stopIfTrue="1" operator="equal">
      <formula>"Napkin Hs"</formula>
    </cfRule>
    <cfRule type="cellIs" dxfId="8503" priority="10621" stopIfTrue="1" operator="equal">
      <formula>"Towel"</formula>
    </cfRule>
    <cfRule type="cellIs" dxfId="8502" priority="10622" stopIfTrue="1" operator="equal">
      <formula>"Napkin Hs"</formula>
    </cfRule>
    <cfRule type="cellIs" dxfId="8501" priority="10627" stopIfTrue="1" operator="equal">
      <formula>"Towel"</formula>
    </cfRule>
    <cfRule type="cellIs" dxfId="8500" priority="10628" stopIfTrue="1" operator="equal">
      <formula>"Napkin Hs"</formula>
    </cfRule>
    <cfRule type="cellIs" dxfId="8499" priority="10633" stopIfTrue="1" operator="equal">
      <formula>"Towel"</formula>
    </cfRule>
    <cfRule type="cellIs" dxfId="8498" priority="10634" stopIfTrue="1" operator="equal">
      <formula>"Napkin Hs"</formula>
    </cfRule>
  </conditionalFormatting>
  <conditionalFormatting sqref="C54">
    <cfRule type="cellIs" dxfId="8497" priority="10587" stopIfTrue="1" operator="equal">
      <formula>"Towel"</formula>
    </cfRule>
    <cfRule type="cellIs" dxfId="8496" priority="10588" stopIfTrue="1" operator="equal">
      <formula>"Napkin Hs"</formula>
    </cfRule>
    <cfRule type="cellIs" dxfId="8495" priority="10589" stopIfTrue="1" operator="equal">
      <formula>"Towel"</formula>
    </cfRule>
    <cfRule type="cellIs" dxfId="8494" priority="10590" stopIfTrue="1" operator="equal">
      <formula>"Napkin Hs"</formula>
    </cfRule>
    <cfRule type="cellIs" dxfId="8493" priority="10593" stopIfTrue="1" operator="equal">
      <formula>"Towel"</formula>
    </cfRule>
    <cfRule type="cellIs" dxfId="8492" priority="10594" stopIfTrue="1" operator="equal">
      <formula>"Napkin Hs"</formula>
    </cfRule>
    <cfRule type="cellIs" dxfId="8491" priority="10595" stopIfTrue="1" operator="equal">
      <formula>"Towel"</formula>
    </cfRule>
    <cfRule type="cellIs" dxfId="8490" priority="10596" stopIfTrue="1" operator="equal">
      <formula>"Napkin Hs"</formula>
    </cfRule>
    <cfRule type="cellIs" dxfId="8489" priority="10599" stopIfTrue="1" operator="equal">
      <formula>"Towel"</formula>
    </cfRule>
    <cfRule type="cellIs" dxfId="8488" priority="10600" stopIfTrue="1" operator="equal">
      <formula>"Napkin Hs"</formula>
    </cfRule>
    <cfRule type="cellIs" dxfId="8487" priority="10601" stopIfTrue="1" operator="equal">
      <formula>"Towel"</formula>
    </cfRule>
    <cfRule type="cellIs" dxfId="8486" priority="10602" stopIfTrue="1" operator="equal">
      <formula>"Napkin Hs"</formula>
    </cfRule>
    <cfRule type="cellIs" dxfId="8485" priority="10605" stopIfTrue="1" operator="equal">
      <formula>"Towel"</formula>
    </cfRule>
    <cfRule type="cellIs" dxfId="8484" priority="10606" stopIfTrue="1" operator="equal">
      <formula>"Napkin Hs"</formula>
    </cfRule>
    <cfRule type="cellIs" dxfId="8483" priority="10607" stopIfTrue="1" operator="equal">
      <formula>"Towel"</formula>
    </cfRule>
    <cfRule type="cellIs" dxfId="8482" priority="10608" stopIfTrue="1" operator="equal">
      <formula>"Napkin Hs"</formula>
    </cfRule>
    <cfRule type="cellIs" dxfId="8481" priority="10611" stopIfTrue="1" operator="equal">
      <formula>"Towel"</formula>
    </cfRule>
    <cfRule type="cellIs" dxfId="8480" priority="10612" stopIfTrue="1" operator="equal">
      <formula>"Napkin Hs"</formula>
    </cfRule>
    <cfRule type="cellIs" dxfId="8479" priority="10613" stopIfTrue="1" operator="equal">
      <formula>"Towel"</formula>
    </cfRule>
    <cfRule type="cellIs" dxfId="8478" priority="10614" stopIfTrue="1" operator="equal">
      <formula>"Napkin Hs"</formula>
    </cfRule>
    <cfRule type="cellIs" dxfId="8477" priority="10617" stopIfTrue="1" operator="equal">
      <formula>"Towel"</formula>
    </cfRule>
    <cfRule type="cellIs" dxfId="8476" priority="10618" stopIfTrue="1" operator="equal">
      <formula>"Napkin Hs"</formula>
    </cfRule>
    <cfRule type="cellIs" dxfId="8475" priority="10619" stopIfTrue="1" operator="equal">
      <formula>"Towel"</formula>
    </cfRule>
    <cfRule type="cellIs" dxfId="8474" priority="10620" stopIfTrue="1" operator="equal">
      <formula>"Napkin Hs"</formula>
    </cfRule>
    <cfRule type="cellIs" dxfId="8473" priority="10623" stopIfTrue="1" operator="equal">
      <formula>"Towel"</formula>
    </cfRule>
    <cfRule type="cellIs" dxfId="8472" priority="10624" stopIfTrue="1" operator="equal">
      <formula>"Napkin Hs"</formula>
    </cfRule>
    <cfRule type="cellIs" dxfId="8471" priority="10625" stopIfTrue="1" operator="equal">
      <formula>"Towel"</formula>
    </cfRule>
    <cfRule type="cellIs" dxfId="8470" priority="10626" stopIfTrue="1" operator="equal">
      <formula>"Napkin Hs"</formula>
    </cfRule>
    <cfRule type="cellIs" dxfId="8469" priority="10629" stopIfTrue="1" operator="equal">
      <formula>"Towel"</formula>
    </cfRule>
    <cfRule type="cellIs" dxfId="8468" priority="10630" stopIfTrue="1" operator="equal">
      <formula>"Napkin Hs"</formula>
    </cfRule>
  </conditionalFormatting>
  <conditionalFormatting sqref="C54">
    <cfRule type="cellIs" dxfId="8467" priority="10631" stopIfTrue="1" operator="equal">
      <formula>"Towel"</formula>
    </cfRule>
    <cfRule type="cellIs" dxfId="8466" priority="10632" stopIfTrue="1" operator="equal">
      <formula>"Napkin Hs"</formula>
    </cfRule>
  </conditionalFormatting>
  <conditionalFormatting sqref="B54">
    <cfRule type="cellIs" dxfId="8465" priority="10581" stopIfTrue="1" operator="equal">
      <formula>"Towel"</formula>
    </cfRule>
    <cfRule type="cellIs" dxfId="8464" priority="10582" stopIfTrue="1" operator="equal">
      <formula>"Napkin Hs"</formula>
    </cfRule>
    <cfRule type="cellIs" dxfId="8463" priority="10583" stopIfTrue="1" operator="equal">
      <formula>"Towel"</formula>
    </cfRule>
    <cfRule type="cellIs" dxfId="8462" priority="10584" stopIfTrue="1" operator="equal">
      <formula>"Napkin Hs"</formula>
    </cfRule>
    <cfRule type="cellIs" dxfId="8461" priority="10585" stopIfTrue="1" operator="equal">
      <formula>"Towel"</formula>
    </cfRule>
    <cfRule type="cellIs" dxfId="8460" priority="10586" stopIfTrue="1" operator="equal">
      <formula>"Napkin Hs"</formula>
    </cfRule>
  </conditionalFormatting>
  <conditionalFormatting sqref="B54:C54">
    <cfRule type="cellIs" dxfId="8459" priority="10543" stopIfTrue="1" operator="equal">
      <formula>"Towel"</formula>
    </cfRule>
    <cfRule type="cellIs" dxfId="8458" priority="10544" stopIfTrue="1" operator="equal">
      <formula>"Napkin Hs"</formula>
    </cfRule>
    <cfRule type="cellIs" dxfId="8457" priority="10549" stopIfTrue="1" operator="equal">
      <formula>"Towel"</formula>
    </cfRule>
    <cfRule type="cellIs" dxfId="8456" priority="10550" stopIfTrue="1" operator="equal">
      <formula>"Napkin Hs"</formula>
    </cfRule>
    <cfRule type="cellIs" dxfId="8455" priority="10555" stopIfTrue="1" operator="equal">
      <formula>"Towel"</formula>
    </cfRule>
    <cfRule type="cellIs" dxfId="8454" priority="10556" stopIfTrue="1" operator="equal">
      <formula>"Napkin Hs"</formula>
    </cfRule>
    <cfRule type="cellIs" dxfId="8453" priority="10561" stopIfTrue="1" operator="equal">
      <formula>"Towel"</formula>
    </cfRule>
    <cfRule type="cellIs" dxfId="8452" priority="10562" stopIfTrue="1" operator="equal">
      <formula>"Napkin Hs"</formula>
    </cfRule>
    <cfRule type="cellIs" dxfId="8451" priority="10567" stopIfTrue="1" operator="equal">
      <formula>"Towel"</formula>
    </cfRule>
    <cfRule type="cellIs" dxfId="8450" priority="10568" stopIfTrue="1" operator="equal">
      <formula>"Napkin Hs"</formula>
    </cfRule>
    <cfRule type="cellIs" dxfId="8449" priority="10573" stopIfTrue="1" operator="equal">
      <formula>"Towel"</formula>
    </cfRule>
    <cfRule type="cellIs" dxfId="8448" priority="10574" stopIfTrue="1" operator="equal">
      <formula>"Napkin Hs"</formula>
    </cfRule>
    <cfRule type="cellIs" dxfId="8447" priority="10579" stopIfTrue="1" operator="equal">
      <formula>"Towel"</formula>
    </cfRule>
    <cfRule type="cellIs" dxfId="8446" priority="10580" stopIfTrue="1" operator="equal">
      <formula>"Napkin Hs"</formula>
    </cfRule>
  </conditionalFormatting>
  <conditionalFormatting sqref="C54">
    <cfRule type="cellIs" dxfId="8445" priority="10539" stopIfTrue="1" operator="equal">
      <formula>"Towel"</formula>
    </cfRule>
    <cfRule type="cellIs" dxfId="8444" priority="10540" stopIfTrue="1" operator="equal">
      <formula>"Napkin Hs"</formula>
    </cfRule>
    <cfRule type="cellIs" dxfId="8443" priority="10541" stopIfTrue="1" operator="equal">
      <formula>"Towel"</formula>
    </cfRule>
    <cfRule type="cellIs" dxfId="8442" priority="10542" stopIfTrue="1" operator="equal">
      <formula>"Napkin Hs"</formula>
    </cfRule>
    <cfRule type="cellIs" dxfId="8441" priority="10545" stopIfTrue="1" operator="equal">
      <formula>"Towel"</formula>
    </cfRule>
    <cfRule type="cellIs" dxfId="8440" priority="10546" stopIfTrue="1" operator="equal">
      <formula>"Napkin Hs"</formula>
    </cfRule>
    <cfRule type="cellIs" dxfId="8439" priority="10547" stopIfTrue="1" operator="equal">
      <formula>"Towel"</formula>
    </cfRule>
    <cfRule type="cellIs" dxfId="8438" priority="10548" stopIfTrue="1" operator="equal">
      <formula>"Napkin Hs"</formula>
    </cfRule>
    <cfRule type="cellIs" dxfId="8437" priority="10551" stopIfTrue="1" operator="equal">
      <formula>"Towel"</formula>
    </cfRule>
    <cfRule type="cellIs" dxfId="8436" priority="10552" stopIfTrue="1" operator="equal">
      <formula>"Napkin Hs"</formula>
    </cfRule>
    <cfRule type="cellIs" dxfId="8435" priority="10553" stopIfTrue="1" operator="equal">
      <formula>"Towel"</formula>
    </cfRule>
    <cfRule type="cellIs" dxfId="8434" priority="10554" stopIfTrue="1" operator="equal">
      <formula>"Napkin Hs"</formula>
    </cfRule>
    <cfRule type="cellIs" dxfId="8433" priority="10557" stopIfTrue="1" operator="equal">
      <formula>"Towel"</formula>
    </cfRule>
    <cfRule type="cellIs" dxfId="8432" priority="10558" stopIfTrue="1" operator="equal">
      <formula>"Napkin Hs"</formula>
    </cfRule>
    <cfRule type="cellIs" dxfId="8431" priority="10559" stopIfTrue="1" operator="equal">
      <formula>"Towel"</formula>
    </cfRule>
    <cfRule type="cellIs" dxfId="8430" priority="10560" stopIfTrue="1" operator="equal">
      <formula>"Napkin Hs"</formula>
    </cfRule>
    <cfRule type="cellIs" dxfId="8429" priority="10563" stopIfTrue="1" operator="equal">
      <formula>"Towel"</formula>
    </cfRule>
    <cfRule type="cellIs" dxfId="8428" priority="10564" stopIfTrue="1" operator="equal">
      <formula>"Napkin Hs"</formula>
    </cfRule>
    <cfRule type="cellIs" dxfId="8427" priority="10565" stopIfTrue="1" operator="equal">
      <formula>"Towel"</formula>
    </cfRule>
    <cfRule type="cellIs" dxfId="8426" priority="10566" stopIfTrue="1" operator="equal">
      <formula>"Napkin Hs"</formula>
    </cfRule>
    <cfRule type="cellIs" dxfId="8425" priority="10569" stopIfTrue="1" operator="equal">
      <formula>"Towel"</formula>
    </cfRule>
    <cfRule type="cellIs" dxfId="8424" priority="10570" stopIfTrue="1" operator="equal">
      <formula>"Napkin Hs"</formula>
    </cfRule>
    <cfRule type="cellIs" dxfId="8423" priority="10571" stopIfTrue="1" operator="equal">
      <formula>"Towel"</formula>
    </cfRule>
    <cfRule type="cellIs" dxfId="8422" priority="10572" stopIfTrue="1" operator="equal">
      <formula>"Napkin Hs"</formula>
    </cfRule>
    <cfRule type="cellIs" dxfId="8421" priority="10575" stopIfTrue="1" operator="equal">
      <formula>"Towel"</formula>
    </cfRule>
    <cfRule type="cellIs" dxfId="8420" priority="10576" stopIfTrue="1" operator="equal">
      <formula>"Napkin Hs"</formula>
    </cfRule>
  </conditionalFormatting>
  <conditionalFormatting sqref="C54">
    <cfRule type="cellIs" dxfId="8419" priority="10577" stopIfTrue="1" operator="equal">
      <formula>"Towel"</formula>
    </cfRule>
    <cfRule type="cellIs" dxfId="8418" priority="10578" stopIfTrue="1" operator="equal">
      <formula>"Napkin Hs"</formula>
    </cfRule>
  </conditionalFormatting>
  <conditionalFormatting sqref="B54:C54">
    <cfRule type="cellIs" dxfId="8417" priority="10537" stopIfTrue="1" operator="equal">
      <formula>"Towel"</formula>
    </cfRule>
    <cfRule type="cellIs" dxfId="8416" priority="10538" stopIfTrue="1" operator="equal">
      <formula>"Napkin Hs"</formula>
    </cfRule>
  </conditionalFormatting>
  <conditionalFormatting sqref="B54:C54">
    <cfRule type="cellIs" dxfId="8415" priority="10501" stopIfTrue="1" operator="equal">
      <formula>"Towel"</formula>
    </cfRule>
    <cfRule type="cellIs" dxfId="8414" priority="10502" stopIfTrue="1" operator="equal">
      <formula>"Napkin Hs"</formula>
    </cfRule>
    <cfRule type="cellIs" dxfId="8413" priority="10507" stopIfTrue="1" operator="equal">
      <formula>"Towel"</formula>
    </cfRule>
    <cfRule type="cellIs" dxfId="8412" priority="10508" stopIfTrue="1" operator="equal">
      <formula>"Napkin Hs"</formula>
    </cfRule>
    <cfRule type="cellIs" dxfId="8411" priority="10513" stopIfTrue="1" operator="equal">
      <formula>"Towel"</formula>
    </cfRule>
    <cfRule type="cellIs" dxfId="8410" priority="10514" stopIfTrue="1" operator="equal">
      <formula>"Napkin Hs"</formula>
    </cfRule>
    <cfRule type="cellIs" dxfId="8409" priority="10519" stopIfTrue="1" operator="equal">
      <formula>"Towel"</formula>
    </cfRule>
    <cfRule type="cellIs" dxfId="8408" priority="10520" stopIfTrue="1" operator="equal">
      <formula>"Napkin Hs"</formula>
    </cfRule>
    <cfRule type="cellIs" dxfId="8407" priority="10525" stopIfTrue="1" operator="equal">
      <formula>"Towel"</formula>
    </cfRule>
    <cfRule type="cellIs" dxfId="8406" priority="10526" stopIfTrue="1" operator="equal">
      <formula>"Napkin Hs"</formula>
    </cfRule>
    <cfRule type="cellIs" dxfId="8405" priority="10531" stopIfTrue="1" operator="equal">
      <formula>"Towel"</formula>
    </cfRule>
    <cfRule type="cellIs" dxfId="8404" priority="10532" stopIfTrue="1" operator="equal">
      <formula>"Napkin Hs"</formula>
    </cfRule>
  </conditionalFormatting>
  <conditionalFormatting sqref="C54">
    <cfRule type="cellIs" dxfId="8403" priority="10536" stopIfTrue="1" operator="equal">
      <formula>"Napkin Hs"</formula>
    </cfRule>
  </conditionalFormatting>
  <conditionalFormatting sqref="C54">
    <cfRule type="cellIs" dxfId="8402" priority="10535" stopIfTrue="1" operator="equal">
      <formula>"Towel"</formula>
    </cfRule>
  </conditionalFormatting>
  <conditionalFormatting sqref="C54">
    <cfRule type="cellIs" dxfId="8401" priority="10529" stopIfTrue="1" operator="equal">
      <formula>"Towel"</formula>
    </cfRule>
    <cfRule type="cellIs" dxfId="8400" priority="10530" stopIfTrue="1" operator="equal">
      <formula>"Napkin Hs"</formula>
    </cfRule>
  </conditionalFormatting>
  <conditionalFormatting sqref="C54">
    <cfRule type="cellIs" dxfId="8399" priority="10527" stopIfTrue="1" operator="equal">
      <formula>"Towel"</formula>
    </cfRule>
    <cfRule type="cellIs" dxfId="8398" priority="10528" stopIfTrue="1" operator="equal">
      <formula>"Napkin Hs"</formula>
    </cfRule>
    <cfRule type="cellIs" dxfId="8397" priority="10533" stopIfTrue="1" operator="equal">
      <formula>"Towel"</formula>
    </cfRule>
    <cfRule type="cellIs" dxfId="8396" priority="10534" stopIfTrue="1" operator="equal">
      <formula>"Napkin Hs"</formula>
    </cfRule>
  </conditionalFormatting>
  <conditionalFormatting sqref="C54">
    <cfRule type="cellIs" dxfId="8395" priority="10499" stopIfTrue="1" operator="equal">
      <formula>"Towel"</formula>
    </cfRule>
    <cfRule type="cellIs" dxfId="8394" priority="10500" stopIfTrue="1" operator="equal">
      <formula>"Napkin Hs"</formula>
    </cfRule>
    <cfRule type="cellIs" dxfId="8393" priority="10503" stopIfTrue="1" operator="equal">
      <formula>"Towel"</formula>
    </cfRule>
    <cfRule type="cellIs" dxfId="8392" priority="10504" stopIfTrue="1" operator="equal">
      <formula>"Napkin Hs"</formula>
    </cfRule>
    <cfRule type="cellIs" dxfId="8391" priority="10505" stopIfTrue="1" operator="equal">
      <formula>"Towel"</formula>
    </cfRule>
    <cfRule type="cellIs" dxfId="8390" priority="10506" stopIfTrue="1" operator="equal">
      <formula>"Napkin Hs"</formula>
    </cfRule>
    <cfRule type="cellIs" dxfId="8389" priority="10509" stopIfTrue="1" operator="equal">
      <formula>"Towel"</formula>
    </cfRule>
    <cfRule type="cellIs" dxfId="8388" priority="10510" stopIfTrue="1" operator="equal">
      <formula>"Napkin Hs"</formula>
    </cfRule>
    <cfRule type="cellIs" dxfId="8387" priority="10511" stopIfTrue="1" operator="equal">
      <formula>"Towel"</formula>
    </cfRule>
    <cfRule type="cellIs" dxfId="8386" priority="10512" stopIfTrue="1" operator="equal">
      <formula>"Napkin Hs"</formula>
    </cfRule>
    <cfRule type="cellIs" dxfId="8385" priority="10515" stopIfTrue="1" operator="equal">
      <formula>"Towel"</formula>
    </cfRule>
    <cfRule type="cellIs" dxfId="8384" priority="10516" stopIfTrue="1" operator="equal">
      <formula>"Napkin Hs"</formula>
    </cfRule>
    <cfRule type="cellIs" dxfId="8383" priority="10517" stopIfTrue="1" operator="equal">
      <formula>"Towel"</formula>
    </cfRule>
    <cfRule type="cellIs" dxfId="8382" priority="10518" stopIfTrue="1" operator="equal">
      <formula>"Napkin Hs"</formula>
    </cfRule>
    <cfRule type="cellIs" dxfId="8381" priority="10521" stopIfTrue="1" operator="equal">
      <formula>"Towel"</formula>
    </cfRule>
    <cfRule type="cellIs" dxfId="8380" priority="10522" stopIfTrue="1" operator="equal">
      <formula>"Napkin Hs"</formula>
    </cfRule>
    <cfRule type="cellIs" dxfId="8379" priority="10523" stopIfTrue="1" operator="equal">
      <formula>"Towel"</formula>
    </cfRule>
    <cfRule type="cellIs" dxfId="8378" priority="10524" stopIfTrue="1" operator="equal">
      <formula>"Napkin Hs"</formula>
    </cfRule>
  </conditionalFormatting>
  <conditionalFormatting sqref="C54">
    <cfRule type="cellIs" dxfId="8377" priority="10497" stopIfTrue="1" operator="equal">
      <formula>"Towel"</formula>
    </cfRule>
    <cfRule type="cellIs" dxfId="8376" priority="10498" stopIfTrue="1" operator="equal">
      <formula>"Napkin Hs"</formula>
    </cfRule>
  </conditionalFormatting>
  <conditionalFormatting sqref="C54">
    <cfRule type="cellIs" dxfId="8375" priority="10477" stopIfTrue="1" operator="equal">
      <formula>"Towel"</formula>
    </cfRule>
    <cfRule type="cellIs" dxfId="8374" priority="10478" stopIfTrue="1" operator="equal">
      <formula>"Napkin Hs"</formula>
    </cfRule>
    <cfRule type="cellIs" dxfId="8373" priority="10483" stopIfTrue="1" operator="equal">
      <formula>"Towel"</formula>
    </cfRule>
    <cfRule type="cellIs" dxfId="8372" priority="10484" stopIfTrue="1" operator="equal">
      <formula>"Napkin Hs"</formula>
    </cfRule>
    <cfRule type="cellIs" dxfId="8371" priority="10489" stopIfTrue="1" operator="equal">
      <formula>"Towel"</formula>
    </cfRule>
    <cfRule type="cellIs" dxfId="8370" priority="10490" stopIfTrue="1" operator="equal">
      <formula>"Napkin Hs"</formula>
    </cfRule>
    <cfRule type="cellIs" dxfId="8369" priority="10495" stopIfTrue="1" operator="equal">
      <formula>"Towel"</formula>
    </cfRule>
    <cfRule type="cellIs" dxfId="8368" priority="10496" stopIfTrue="1" operator="equal">
      <formula>"Napkin Hs"</formula>
    </cfRule>
  </conditionalFormatting>
  <conditionalFormatting sqref="C54">
    <cfRule type="cellIs" dxfId="8367" priority="10487" stopIfTrue="1" operator="equal">
      <formula>"Towel"</formula>
    </cfRule>
    <cfRule type="cellIs" dxfId="8366" priority="10488" stopIfTrue="1" operator="equal">
      <formula>"Napkin Hs"</formula>
    </cfRule>
    <cfRule type="cellIs" dxfId="8365" priority="10493" stopIfTrue="1" operator="equal">
      <formula>"Towel"</formula>
    </cfRule>
    <cfRule type="cellIs" dxfId="8364" priority="10494" stopIfTrue="1" operator="equal">
      <formula>"Napkin Hs"</formula>
    </cfRule>
  </conditionalFormatting>
  <conditionalFormatting sqref="C54">
    <cfRule type="cellIs" dxfId="8363" priority="10473" stopIfTrue="1" operator="equal">
      <formula>"Towel"</formula>
    </cfRule>
    <cfRule type="cellIs" dxfId="8362" priority="10474" stopIfTrue="1" operator="equal">
      <formula>"Napkin Hs"</formula>
    </cfRule>
    <cfRule type="cellIs" dxfId="8361" priority="10481" stopIfTrue="1" operator="equal">
      <formula>"Towel"</formula>
    </cfRule>
    <cfRule type="cellIs" dxfId="8360" priority="10482" stopIfTrue="1" operator="equal">
      <formula>"Napkin Hs"</formula>
    </cfRule>
    <cfRule type="cellIs" dxfId="8359" priority="10485" stopIfTrue="1" operator="equal">
      <formula>"Towel"</formula>
    </cfRule>
    <cfRule type="cellIs" dxfId="8358" priority="10486" stopIfTrue="1" operator="equal">
      <formula>"Napkin Hs"</formula>
    </cfRule>
  </conditionalFormatting>
  <conditionalFormatting sqref="C54">
    <cfRule type="cellIs" dxfId="8357" priority="10475" stopIfTrue="1" operator="equal">
      <formula>"Towel"</formula>
    </cfRule>
    <cfRule type="cellIs" dxfId="8356" priority="10476" stopIfTrue="1" operator="equal">
      <formula>"Napkin Hs"</formula>
    </cfRule>
    <cfRule type="cellIs" dxfId="8355" priority="10479" stopIfTrue="1" operator="equal">
      <formula>"Towel"</formula>
    </cfRule>
    <cfRule type="cellIs" dxfId="8354" priority="10480" stopIfTrue="1" operator="equal">
      <formula>"Napkin Hs"</formula>
    </cfRule>
    <cfRule type="cellIs" dxfId="8353" priority="10491" stopIfTrue="1" operator="equal">
      <formula>"Towel"</formula>
    </cfRule>
    <cfRule type="cellIs" dxfId="8352" priority="10492" stopIfTrue="1" operator="equal">
      <formula>"Napkin Hs"</formula>
    </cfRule>
  </conditionalFormatting>
  <conditionalFormatting sqref="C54">
    <cfRule type="cellIs" dxfId="8351" priority="10471" stopIfTrue="1" operator="equal">
      <formula>"Towel"</formula>
    </cfRule>
    <cfRule type="cellIs" dxfId="8350" priority="10472" stopIfTrue="1" operator="equal">
      <formula>"Napkin Hs"</formula>
    </cfRule>
  </conditionalFormatting>
  <conditionalFormatting sqref="C54">
    <cfRule type="cellIs" dxfId="8349" priority="10467" stopIfTrue="1" operator="equal">
      <formula>"Towel"</formula>
    </cfRule>
    <cfRule type="cellIs" dxfId="8348" priority="10468" stopIfTrue="1" operator="equal">
      <formula>"Napkin Hs"</formula>
    </cfRule>
  </conditionalFormatting>
  <conditionalFormatting sqref="C54">
    <cfRule type="cellIs" dxfId="8347" priority="10469" stopIfTrue="1" operator="equal">
      <formula>"Towel"</formula>
    </cfRule>
    <cfRule type="cellIs" dxfId="8346" priority="10470" stopIfTrue="1" operator="equal">
      <formula>"Napkin Hs"</formula>
    </cfRule>
  </conditionalFormatting>
  <conditionalFormatting sqref="C54">
    <cfRule type="cellIs" dxfId="8345" priority="10465" stopIfTrue="1" operator="equal">
      <formula>"Towel"</formula>
    </cfRule>
    <cfRule type="cellIs" dxfId="8344" priority="10466" stopIfTrue="1" operator="equal">
      <formula>"Napkin Hs"</formula>
    </cfRule>
  </conditionalFormatting>
  <conditionalFormatting sqref="C54">
    <cfRule type="cellIs" dxfId="8343" priority="10461" stopIfTrue="1" operator="equal">
      <formula>"Towel"</formula>
    </cfRule>
    <cfRule type="cellIs" dxfId="8342" priority="10462" stopIfTrue="1" operator="equal">
      <formula>"Napkin Hs"</formula>
    </cfRule>
  </conditionalFormatting>
  <conditionalFormatting sqref="C54">
    <cfRule type="cellIs" dxfId="8341" priority="10463" stopIfTrue="1" operator="equal">
      <formula>"Towel"</formula>
    </cfRule>
    <cfRule type="cellIs" dxfId="8340" priority="10464" stopIfTrue="1" operator="equal">
      <formula>"Napkin Hs"</formula>
    </cfRule>
  </conditionalFormatting>
  <conditionalFormatting sqref="C54">
    <cfRule type="cellIs" dxfId="8339" priority="10459" stopIfTrue="1" operator="equal">
      <formula>"Towel"</formula>
    </cfRule>
    <cfRule type="cellIs" dxfId="8338" priority="10460" stopIfTrue="1" operator="equal">
      <formula>"Napkin Hs"</formula>
    </cfRule>
  </conditionalFormatting>
  <conditionalFormatting sqref="C54">
    <cfRule type="cellIs" dxfId="8337" priority="10455" stopIfTrue="1" operator="equal">
      <formula>"Towel"</formula>
    </cfRule>
    <cfRule type="cellIs" dxfId="8336" priority="10456" stopIfTrue="1" operator="equal">
      <formula>"Napkin Hs"</formula>
    </cfRule>
  </conditionalFormatting>
  <conditionalFormatting sqref="C54">
    <cfRule type="cellIs" dxfId="8335" priority="10457" stopIfTrue="1" operator="equal">
      <formula>"Towel"</formula>
    </cfRule>
    <cfRule type="cellIs" dxfId="8334" priority="10458" stopIfTrue="1" operator="equal">
      <formula>"Napkin Hs"</formula>
    </cfRule>
  </conditionalFormatting>
  <conditionalFormatting sqref="C54">
    <cfRule type="cellIs" dxfId="8333" priority="10453" stopIfTrue="1" operator="equal">
      <formula>"Towel"</formula>
    </cfRule>
    <cfRule type="cellIs" dxfId="8332" priority="10454" stopIfTrue="1" operator="equal">
      <formula>"Napkin Hs"</formula>
    </cfRule>
  </conditionalFormatting>
  <conditionalFormatting sqref="C54">
    <cfRule type="cellIs" dxfId="8331" priority="10451" stopIfTrue="1" operator="equal">
      <formula>"Towel"</formula>
    </cfRule>
    <cfRule type="cellIs" dxfId="8330" priority="10452" stopIfTrue="1" operator="equal">
      <formula>"Napkin Hs"</formula>
    </cfRule>
  </conditionalFormatting>
  <conditionalFormatting sqref="C54">
    <cfRule type="cellIs" dxfId="8329" priority="10449" stopIfTrue="1" operator="equal">
      <formula>"Towel"</formula>
    </cfRule>
    <cfRule type="cellIs" dxfId="8328" priority="10450" stopIfTrue="1" operator="equal">
      <formula>"Napkin Hs"</formula>
    </cfRule>
  </conditionalFormatting>
  <conditionalFormatting sqref="C54">
    <cfRule type="cellIs" dxfId="8327" priority="10447" stopIfTrue="1" operator="equal">
      <formula>"Towel"</formula>
    </cfRule>
    <cfRule type="cellIs" dxfId="8326" priority="10448" stopIfTrue="1" operator="equal">
      <formula>"Napkin Hs"</formula>
    </cfRule>
  </conditionalFormatting>
  <conditionalFormatting sqref="C54">
    <cfRule type="cellIs" dxfId="8325" priority="10446" stopIfTrue="1" operator="equal">
      <formula>"Napkin Hs"</formula>
    </cfRule>
  </conditionalFormatting>
  <conditionalFormatting sqref="C54">
    <cfRule type="cellIs" dxfId="8324" priority="10443" stopIfTrue="1" operator="equal">
      <formula>"Towel"</formula>
    </cfRule>
    <cfRule type="cellIs" dxfId="8323" priority="10444" stopIfTrue="1" operator="equal">
      <formula>"Napkin Hs"</formula>
    </cfRule>
  </conditionalFormatting>
  <conditionalFormatting sqref="C54">
    <cfRule type="cellIs" dxfId="8322" priority="10445" stopIfTrue="1" operator="equal">
      <formula>"Towel"</formula>
    </cfRule>
  </conditionalFormatting>
  <conditionalFormatting sqref="B54">
    <cfRule type="cellIs" dxfId="8321" priority="10441" stopIfTrue="1" operator="equal">
      <formula>"Towel"</formula>
    </cfRule>
    <cfRule type="cellIs" dxfId="8320" priority="10442" stopIfTrue="1" operator="equal">
      <formula>"Napkin Hs"</formula>
    </cfRule>
  </conditionalFormatting>
  <conditionalFormatting sqref="B54">
    <cfRule type="cellIs" dxfId="8319" priority="10439" stopIfTrue="1" operator="equal">
      <formula>"Towel"</formula>
    </cfRule>
    <cfRule type="cellIs" dxfId="8318" priority="10440" stopIfTrue="1" operator="equal">
      <formula>"Napkin Hs"</formula>
    </cfRule>
  </conditionalFormatting>
  <conditionalFormatting sqref="B54">
    <cfRule type="cellIs" dxfId="8317" priority="10437" stopIfTrue="1" operator="equal">
      <formula>"Towel"</formula>
    </cfRule>
    <cfRule type="cellIs" dxfId="8316" priority="10438" stopIfTrue="1" operator="equal">
      <formula>"Napkin Hs"</formula>
    </cfRule>
  </conditionalFormatting>
  <conditionalFormatting sqref="B54">
    <cfRule type="cellIs" dxfId="8315" priority="10435" stopIfTrue="1" operator="equal">
      <formula>"Towel"</formula>
    </cfRule>
    <cfRule type="cellIs" dxfId="8314" priority="10436" stopIfTrue="1" operator="equal">
      <formula>"Napkin Hs"</formula>
    </cfRule>
  </conditionalFormatting>
  <conditionalFormatting sqref="B54">
    <cfRule type="cellIs" dxfId="8313" priority="10433" stopIfTrue="1" operator="equal">
      <formula>"Towel"</formula>
    </cfRule>
    <cfRule type="cellIs" dxfId="8312" priority="10434" stopIfTrue="1" operator="equal">
      <formula>"Napkin Hs"</formula>
    </cfRule>
  </conditionalFormatting>
  <conditionalFormatting sqref="B54">
    <cfRule type="cellIs" dxfId="8311" priority="10431" stopIfTrue="1" operator="equal">
      <formula>"Towel"</formula>
    </cfRule>
    <cfRule type="cellIs" dxfId="8310" priority="10432" stopIfTrue="1" operator="equal">
      <formula>"Napkin Hs"</formula>
    </cfRule>
  </conditionalFormatting>
  <conditionalFormatting sqref="B54">
    <cfRule type="cellIs" dxfId="8309" priority="10427" stopIfTrue="1" operator="equal">
      <formula>"Towel"</formula>
    </cfRule>
    <cfRule type="cellIs" dxfId="8308" priority="10428" stopIfTrue="1" operator="equal">
      <formula>"Napkin Hs"</formula>
    </cfRule>
    <cfRule type="cellIs" dxfId="8307" priority="10429" stopIfTrue="1" operator="equal">
      <formula>"Towel"</formula>
    </cfRule>
    <cfRule type="cellIs" dxfId="8306" priority="10430" stopIfTrue="1" operator="equal">
      <formula>"Napkin Hs"</formula>
    </cfRule>
  </conditionalFormatting>
  <conditionalFormatting sqref="B54">
    <cfRule type="cellIs" dxfId="8305" priority="10425" stopIfTrue="1" operator="equal">
      <formula>"Towel"</formula>
    </cfRule>
    <cfRule type="cellIs" dxfId="8304" priority="10426" stopIfTrue="1" operator="equal">
      <formula>"Napkin Hs"</formula>
    </cfRule>
  </conditionalFormatting>
  <conditionalFormatting sqref="B54">
    <cfRule type="cellIs" dxfId="8303" priority="10423" stopIfTrue="1" operator="equal">
      <formula>"Towel"</formula>
    </cfRule>
    <cfRule type="cellIs" dxfId="8302" priority="10424" stopIfTrue="1" operator="equal">
      <formula>"Napkin Hs"</formula>
    </cfRule>
  </conditionalFormatting>
  <conditionalFormatting sqref="B54">
    <cfRule type="cellIs" dxfId="8301" priority="10421" stopIfTrue="1" operator="equal">
      <formula>"Towel"</formula>
    </cfRule>
    <cfRule type="cellIs" dxfId="8300" priority="10422" stopIfTrue="1" operator="equal">
      <formula>"Napkin Hs"</formula>
    </cfRule>
  </conditionalFormatting>
  <conditionalFormatting sqref="B54">
    <cfRule type="cellIs" dxfId="8299" priority="10419" stopIfTrue="1" operator="equal">
      <formula>"Towel"</formula>
    </cfRule>
    <cfRule type="cellIs" dxfId="8298" priority="10420" stopIfTrue="1" operator="equal">
      <formula>"Napkin Hs"</formula>
    </cfRule>
  </conditionalFormatting>
  <conditionalFormatting sqref="B54">
    <cfRule type="cellIs" dxfId="8297" priority="10417" stopIfTrue="1" operator="equal">
      <formula>"Towel"</formula>
    </cfRule>
    <cfRule type="cellIs" dxfId="8296" priority="10418" stopIfTrue="1" operator="equal">
      <formula>"Napkin Hs"</formula>
    </cfRule>
  </conditionalFormatting>
  <conditionalFormatting sqref="B54:C54">
    <cfRule type="cellIs" dxfId="8295" priority="10403" stopIfTrue="1" operator="equal">
      <formula>"Towel"</formula>
    </cfRule>
    <cfRule type="cellIs" dxfId="8294" priority="10404" stopIfTrue="1" operator="equal">
      <formula>"Napkin Hs"</formula>
    </cfRule>
    <cfRule type="cellIs" dxfId="8293" priority="10409" stopIfTrue="1" operator="equal">
      <formula>"Towel"</formula>
    </cfRule>
    <cfRule type="cellIs" dxfId="8292" priority="10410" stopIfTrue="1" operator="equal">
      <formula>"Napkin Hs"</formula>
    </cfRule>
    <cfRule type="cellIs" dxfId="8291" priority="10415" stopIfTrue="1" operator="equal">
      <formula>"Towel"</formula>
    </cfRule>
    <cfRule type="cellIs" dxfId="8290" priority="10416" stopIfTrue="1" operator="equal">
      <formula>"Napkin Hs"</formula>
    </cfRule>
  </conditionalFormatting>
  <conditionalFormatting sqref="C54">
    <cfRule type="cellIs" dxfId="8289" priority="10397" stopIfTrue="1" operator="equal">
      <formula>"Towel"</formula>
    </cfRule>
    <cfRule type="cellIs" dxfId="8288" priority="10398" stopIfTrue="1" operator="equal">
      <formula>"Napkin Hs"</formula>
    </cfRule>
    <cfRule type="cellIs" dxfId="8287" priority="10399" stopIfTrue="1" operator="equal">
      <formula>"Towel"</formula>
    </cfRule>
    <cfRule type="cellIs" dxfId="8286" priority="10400" stopIfTrue="1" operator="equal">
      <formula>"Napkin Hs"</formula>
    </cfRule>
    <cfRule type="cellIs" dxfId="8285" priority="10407" stopIfTrue="1" operator="equal">
      <formula>"Towel"</formula>
    </cfRule>
    <cfRule type="cellIs" dxfId="8284" priority="10408" stopIfTrue="1" operator="equal">
      <formula>"Napkin Hs"</formula>
    </cfRule>
    <cfRule type="cellIs" dxfId="8283" priority="10411" stopIfTrue="1" operator="equal">
      <formula>"Towel"</formula>
    </cfRule>
    <cfRule type="cellIs" dxfId="8282" priority="10412" stopIfTrue="1" operator="equal">
      <formula>"Napkin Hs"</formula>
    </cfRule>
  </conditionalFormatting>
  <conditionalFormatting sqref="C54">
    <cfRule type="cellIs" dxfId="8281" priority="10401" stopIfTrue="1" operator="equal">
      <formula>"Towel"</formula>
    </cfRule>
    <cfRule type="cellIs" dxfId="8280" priority="10402" stopIfTrue="1" operator="equal">
      <formula>"Napkin Hs"</formula>
    </cfRule>
    <cfRule type="cellIs" dxfId="8279" priority="10405" stopIfTrue="1" operator="equal">
      <formula>"Towel"</formula>
    </cfRule>
    <cfRule type="cellIs" dxfId="8278" priority="10406" stopIfTrue="1" operator="equal">
      <formula>"Napkin Hs"</formula>
    </cfRule>
    <cfRule type="cellIs" dxfId="8277" priority="10413" stopIfTrue="1" operator="equal">
      <formula>"Towel"</formula>
    </cfRule>
    <cfRule type="cellIs" dxfId="8276" priority="10414" stopIfTrue="1" operator="equal">
      <formula>"Napkin Hs"</formula>
    </cfRule>
  </conditionalFormatting>
  <conditionalFormatting sqref="B54:C54">
    <cfRule type="cellIs" dxfId="8275" priority="10395" stopIfTrue="1" operator="equal">
      <formula>"Towel"</formula>
    </cfRule>
    <cfRule type="cellIs" dxfId="8274" priority="10396" stopIfTrue="1" operator="equal">
      <formula>"Napkin Hs"</formula>
    </cfRule>
  </conditionalFormatting>
  <conditionalFormatting sqref="B54:C54">
    <cfRule type="cellIs" dxfId="8273" priority="10387" stopIfTrue="1" operator="equal">
      <formula>"Towel"</formula>
    </cfRule>
    <cfRule type="cellIs" dxfId="8272" priority="10388" stopIfTrue="1" operator="equal">
      <formula>"Napkin Hs"</formula>
    </cfRule>
    <cfRule type="cellIs" dxfId="8271" priority="10393" stopIfTrue="1" operator="equal">
      <formula>"Towel"</formula>
    </cfRule>
    <cfRule type="cellIs" dxfId="8270" priority="10394" stopIfTrue="1" operator="equal">
      <formula>"Napkin Hs"</formula>
    </cfRule>
  </conditionalFormatting>
  <conditionalFormatting sqref="C54">
    <cfRule type="cellIs" dxfId="8269" priority="10383" stopIfTrue="1" operator="equal">
      <formula>"Towel"</formula>
    </cfRule>
    <cfRule type="cellIs" dxfId="8268" priority="10384" stopIfTrue="1" operator="equal">
      <formula>"Napkin Hs"</formula>
    </cfRule>
  </conditionalFormatting>
  <conditionalFormatting sqref="C54">
    <cfRule type="cellIs" dxfId="8267" priority="10381" stopIfTrue="1" operator="equal">
      <formula>"Towel"</formula>
    </cfRule>
    <cfRule type="cellIs" dxfId="8266" priority="10382" stopIfTrue="1" operator="equal">
      <formula>"Napkin Hs"</formula>
    </cfRule>
    <cfRule type="cellIs" dxfId="8265" priority="10391" stopIfTrue="1" operator="equal">
      <formula>"Towel"</formula>
    </cfRule>
    <cfRule type="cellIs" dxfId="8264" priority="10392" stopIfTrue="1" operator="equal">
      <formula>"Napkin Hs"</formula>
    </cfRule>
  </conditionalFormatting>
  <conditionalFormatting sqref="C54">
    <cfRule type="cellIs" dxfId="8263" priority="10385" stopIfTrue="1" operator="equal">
      <formula>"Towel"</formula>
    </cfRule>
    <cfRule type="cellIs" dxfId="8262" priority="10386" stopIfTrue="1" operator="equal">
      <formula>"Napkin Hs"</formula>
    </cfRule>
    <cfRule type="cellIs" dxfId="8261" priority="10389" stopIfTrue="1" operator="equal">
      <formula>"Towel"</formula>
    </cfRule>
    <cfRule type="cellIs" dxfId="8260" priority="10390" stopIfTrue="1" operator="equal">
      <formula>"Napkin Hs"</formula>
    </cfRule>
  </conditionalFormatting>
  <conditionalFormatting sqref="C54">
    <cfRule type="cellIs" dxfId="8259" priority="10380" stopIfTrue="1" operator="equal">
      <formula>"Napkin Hs"</formula>
    </cfRule>
  </conditionalFormatting>
  <conditionalFormatting sqref="C54">
    <cfRule type="cellIs" dxfId="8258" priority="10379" stopIfTrue="1" operator="equal">
      <formula>"Towel"</formula>
    </cfRule>
  </conditionalFormatting>
  <conditionalFormatting sqref="C54">
    <cfRule type="cellIs" dxfId="8257" priority="10375" stopIfTrue="1" operator="equal">
      <formula>"Towel"</formula>
    </cfRule>
    <cfRule type="cellIs" dxfId="8256" priority="10376" stopIfTrue="1" operator="equal">
      <formula>"Napkin Hs"</formula>
    </cfRule>
    <cfRule type="cellIs" dxfId="8255" priority="10377" stopIfTrue="1" operator="equal">
      <formula>"Towel"</formula>
    </cfRule>
    <cfRule type="cellIs" dxfId="8254" priority="10378" stopIfTrue="1" operator="equal">
      <formula>"Napkin Hs"</formula>
    </cfRule>
  </conditionalFormatting>
  <conditionalFormatting sqref="B54:C54">
    <cfRule type="cellIs" dxfId="8253" priority="10373" stopIfTrue="1" operator="equal">
      <formula>"Towel"</formula>
    </cfRule>
    <cfRule type="cellIs" dxfId="8252" priority="10374" stopIfTrue="1" operator="equal">
      <formula>"Napkin Hs"</formula>
    </cfRule>
  </conditionalFormatting>
  <conditionalFormatting sqref="C54">
    <cfRule type="cellIs" dxfId="8251" priority="10369" stopIfTrue="1" operator="equal">
      <formula>"Towel"</formula>
    </cfRule>
    <cfRule type="cellIs" dxfId="8250" priority="10370" stopIfTrue="1" operator="equal">
      <formula>"Napkin Hs"</formula>
    </cfRule>
  </conditionalFormatting>
  <conditionalFormatting sqref="C54">
    <cfRule type="cellIs" dxfId="8249" priority="10371" stopIfTrue="1" operator="equal">
      <formula>"Towel"</formula>
    </cfRule>
    <cfRule type="cellIs" dxfId="8248" priority="10372" stopIfTrue="1" operator="equal">
      <formula>"Napkin Hs"</formula>
    </cfRule>
  </conditionalFormatting>
  <conditionalFormatting sqref="B54:C54">
    <cfRule type="cellIs" dxfId="8247" priority="10367" stopIfTrue="1" operator="equal">
      <formula>"Towel"</formula>
    </cfRule>
    <cfRule type="cellIs" dxfId="8246" priority="10368" stopIfTrue="1" operator="equal">
      <formula>"Napkin Hs"</formula>
    </cfRule>
  </conditionalFormatting>
  <conditionalFormatting sqref="C54">
    <cfRule type="cellIs" dxfId="8245" priority="10363" stopIfTrue="1" operator="equal">
      <formula>"Towel"</formula>
    </cfRule>
    <cfRule type="cellIs" dxfId="8244" priority="10364" stopIfTrue="1" operator="equal">
      <formula>"Napkin Hs"</formula>
    </cfRule>
  </conditionalFormatting>
  <conditionalFormatting sqref="C54">
    <cfRule type="cellIs" dxfId="8243" priority="10365" stopIfTrue="1" operator="equal">
      <formula>"Towel"</formula>
    </cfRule>
    <cfRule type="cellIs" dxfId="8242" priority="10366" stopIfTrue="1" operator="equal">
      <formula>"Napkin Hs"</formula>
    </cfRule>
  </conditionalFormatting>
  <conditionalFormatting sqref="B54:C54">
    <cfRule type="cellIs" dxfId="8241" priority="10361" stopIfTrue="1" operator="equal">
      <formula>"Towel"</formula>
    </cfRule>
    <cfRule type="cellIs" dxfId="8240" priority="10362" stopIfTrue="1" operator="equal">
      <formula>"Napkin Hs"</formula>
    </cfRule>
  </conditionalFormatting>
  <conditionalFormatting sqref="C54">
    <cfRule type="cellIs" dxfId="8239" priority="10357" stopIfTrue="1" operator="equal">
      <formula>"Towel"</formula>
    </cfRule>
    <cfRule type="cellIs" dxfId="8238" priority="10358" stopIfTrue="1" operator="equal">
      <formula>"Napkin Hs"</formula>
    </cfRule>
  </conditionalFormatting>
  <conditionalFormatting sqref="C54">
    <cfRule type="cellIs" dxfId="8237" priority="10359" stopIfTrue="1" operator="equal">
      <formula>"Towel"</formula>
    </cfRule>
    <cfRule type="cellIs" dxfId="8236" priority="10360" stopIfTrue="1" operator="equal">
      <formula>"Napkin Hs"</formula>
    </cfRule>
  </conditionalFormatting>
  <conditionalFormatting sqref="B54:C54">
    <cfRule type="cellIs" dxfId="8235" priority="10355" stopIfTrue="1" operator="equal">
      <formula>"Towel"</formula>
    </cfRule>
    <cfRule type="cellIs" dxfId="8234" priority="10356" stopIfTrue="1" operator="equal">
      <formula>"Napkin Hs"</formula>
    </cfRule>
  </conditionalFormatting>
  <conditionalFormatting sqref="C54">
    <cfRule type="cellIs" dxfId="8233" priority="10353" stopIfTrue="1" operator="equal">
      <formula>"Towel"</formula>
    </cfRule>
    <cfRule type="cellIs" dxfId="8232" priority="10354" stopIfTrue="1" operator="equal">
      <formula>"Napkin Hs"</formula>
    </cfRule>
  </conditionalFormatting>
  <conditionalFormatting sqref="C54">
    <cfRule type="cellIs" dxfId="8231" priority="10351" stopIfTrue="1" operator="equal">
      <formula>"Towel"</formula>
    </cfRule>
    <cfRule type="cellIs" dxfId="8230" priority="10352" stopIfTrue="1" operator="equal">
      <formula>"Napkin Hs"</formula>
    </cfRule>
  </conditionalFormatting>
  <conditionalFormatting sqref="B54:C54">
    <cfRule type="cellIs" dxfId="8229" priority="10349" stopIfTrue="1" operator="equal">
      <formula>"Towel"</formula>
    </cfRule>
    <cfRule type="cellIs" dxfId="8228" priority="10350" stopIfTrue="1" operator="equal">
      <formula>"Napkin Hs"</formula>
    </cfRule>
  </conditionalFormatting>
  <conditionalFormatting sqref="C54">
    <cfRule type="cellIs" dxfId="8227" priority="10348" stopIfTrue="1" operator="equal">
      <formula>"Napkin Hs"</formula>
    </cfRule>
  </conditionalFormatting>
  <conditionalFormatting sqref="C54">
    <cfRule type="cellIs" dxfId="8226" priority="10345" stopIfTrue="1" operator="equal">
      <formula>"Towel"</formula>
    </cfRule>
    <cfRule type="cellIs" dxfId="8225" priority="10346" stopIfTrue="1" operator="equal">
      <formula>"Napkin Hs"</formula>
    </cfRule>
  </conditionalFormatting>
  <conditionalFormatting sqref="C54">
    <cfRule type="cellIs" dxfId="8224" priority="10347" stopIfTrue="1" operator="equal">
      <formula>"Towel"</formula>
    </cfRule>
  </conditionalFormatting>
  <conditionalFormatting sqref="B55:C55">
    <cfRule type="cellIs" dxfId="8223" priority="10301" stopIfTrue="1" operator="equal">
      <formula>"Towel"</formula>
    </cfRule>
    <cfRule type="cellIs" dxfId="8222" priority="10302" stopIfTrue="1" operator="equal">
      <formula>"Napkin Hs"</formula>
    </cfRule>
    <cfRule type="cellIs" dxfId="8221" priority="10307" stopIfTrue="1" operator="equal">
      <formula>"Towel"</formula>
    </cfRule>
    <cfRule type="cellIs" dxfId="8220" priority="10308" stopIfTrue="1" operator="equal">
      <formula>"Napkin Hs"</formula>
    </cfRule>
    <cfRule type="cellIs" dxfId="8219" priority="10313" stopIfTrue="1" operator="equal">
      <formula>"Towel"</formula>
    </cfRule>
    <cfRule type="cellIs" dxfId="8218" priority="10314" stopIfTrue="1" operator="equal">
      <formula>"Napkin Hs"</formula>
    </cfRule>
    <cfRule type="cellIs" dxfId="8217" priority="10319" stopIfTrue="1" operator="equal">
      <formula>"Towel"</formula>
    </cfRule>
    <cfRule type="cellIs" dxfId="8216" priority="10320" stopIfTrue="1" operator="equal">
      <formula>"Napkin Hs"</formula>
    </cfRule>
    <cfRule type="cellIs" dxfId="8215" priority="10325" stopIfTrue="1" operator="equal">
      <formula>"Towel"</formula>
    </cfRule>
    <cfRule type="cellIs" dxfId="8214" priority="10326" stopIfTrue="1" operator="equal">
      <formula>"Napkin Hs"</formula>
    </cfRule>
    <cfRule type="cellIs" dxfId="8213" priority="10331" stopIfTrue="1" operator="equal">
      <formula>"Towel"</formula>
    </cfRule>
    <cfRule type="cellIs" dxfId="8212" priority="10332" stopIfTrue="1" operator="equal">
      <formula>"Napkin Hs"</formula>
    </cfRule>
    <cfRule type="cellIs" dxfId="8211" priority="10337" stopIfTrue="1" operator="equal">
      <formula>"Towel"</formula>
    </cfRule>
    <cfRule type="cellIs" dxfId="8210" priority="10338" stopIfTrue="1" operator="equal">
      <formula>"Napkin Hs"</formula>
    </cfRule>
    <cfRule type="cellIs" dxfId="8209" priority="10343" stopIfTrue="1" operator="equal">
      <formula>"Towel"</formula>
    </cfRule>
    <cfRule type="cellIs" dxfId="8208" priority="10344" stopIfTrue="1" operator="equal">
      <formula>"Napkin Hs"</formula>
    </cfRule>
  </conditionalFormatting>
  <conditionalFormatting sqref="C55">
    <cfRule type="cellIs" dxfId="8207" priority="10297" stopIfTrue="1" operator="equal">
      <formula>"Towel"</formula>
    </cfRule>
    <cfRule type="cellIs" dxfId="8206" priority="10298" stopIfTrue="1" operator="equal">
      <formula>"Napkin Hs"</formula>
    </cfRule>
    <cfRule type="cellIs" dxfId="8205" priority="10299" stopIfTrue="1" operator="equal">
      <formula>"Towel"</formula>
    </cfRule>
    <cfRule type="cellIs" dxfId="8204" priority="10300" stopIfTrue="1" operator="equal">
      <formula>"Napkin Hs"</formula>
    </cfRule>
    <cfRule type="cellIs" dxfId="8203" priority="10303" stopIfTrue="1" operator="equal">
      <formula>"Towel"</formula>
    </cfRule>
    <cfRule type="cellIs" dxfId="8202" priority="10304" stopIfTrue="1" operator="equal">
      <formula>"Napkin Hs"</formula>
    </cfRule>
    <cfRule type="cellIs" dxfId="8201" priority="10305" stopIfTrue="1" operator="equal">
      <formula>"Towel"</formula>
    </cfRule>
    <cfRule type="cellIs" dxfId="8200" priority="10306" stopIfTrue="1" operator="equal">
      <formula>"Napkin Hs"</formula>
    </cfRule>
    <cfRule type="cellIs" dxfId="8199" priority="10309" stopIfTrue="1" operator="equal">
      <formula>"Towel"</formula>
    </cfRule>
    <cfRule type="cellIs" dxfId="8198" priority="10310" stopIfTrue="1" operator="equal">
      <formula>"Napkin Hs"</formula>
    </cfRule>
    <cfRule type="cellIs" dxfId="8197" priority="10311" stopIfTrue="1" operator="equal">
      <formula>"Towel"</formula>
    </cfRule>
    <cfRule type="cellIs" dxfId="8196" priority="10312" stopIfTrue="1" operator="equal">
      <formula>"Napkin Hs"</formula>
    </cfRule>
    <cfRule type="cellIs" dxfId="8195" priority="10315" stopIfTrue="1" operator="equal">
      <formula>"Towel"</formula>
    </cfRule>
    <cfRule type="cellIs" dxfId="8194" priority="10316" stopIfTrue="1" operator="equal">
      <formula>"Napkin Hs"</formula>
    </cfRule>
    <cfRule type="cellIs" dxfId="8193" priority="10317" stopIfTrue="1" operator="equal">
      <formula>"Towel"</formula>
    </cfRule>
    <cfRule type="cellIs" dxfId="8192" priority="10318" stopIfTrue="1" operator="equal">
      <formula>"Napkin Hs"</formula>
    </cfRule>
    <cfRule type="cellIs" dxfId="8191" priority="10321" stopIfTrue="1" operator="equal">
      <formula>"Towel"</formula>
    </cfRule>
    <cfRule type="cellIs" dxfId="8190" priority="10322" stopIfTrue="1" operator="equal">
      <formula>"Napkin Hs"</formula>
    </cfRule>
    <cfRule type="cellIs" dxfId="8189" priority="10323" stopIfTrue="1" operator="equal">
      <formula>"Towel"</formula>
    </cfRule>
    <cfRule type="cellIs" dxfId="8188" priority="10324" stopIfTrue="1" operator="equal">
      <formula>"Napkin Hs"</formula>
    </cfRule>
    <cfRule type="cellIs" dxfId="8187" priority="10327" stopIfTrue="1" operator="equal">
      <formula>"Towel"</formula>
    </cfRule>
    <cfRule type="cellIs" dxfId="8186" priority="10328" stopIfTrue="1" operator="equal">
      <formula>"Napkin Hs"</formula>
    </cfRule>
    <cfRule type="cellIs" dxfId="8185" priority="10329" stopIfTrue="1" operator="equal">
      <formula>"Towel"</formula>
    </cfRule>
    <cfRule type="cellIs" dxfId="8184" priority="10330" stopIfTrue="1" operator="equal">
      <formula>"Napkin Hs"</formula>
    </cfRule>
    <cfRule type="cellIs" dxfId="8183" priority="10333" stopIfTrue="1" operator="equal">
      <formula>"Towel"</formula>
    </cfRule>
    <cfRule type="cellIs" dxfId="8182" priority="10334" stopIfTrue="1" operator="equal">
      <formula>"Napkin Hs"</formula>
    </cfRule>
    <cfRule type="cellIs" dxfId="8181" priority="10335" stopIfTrue="1" operator="equal">
      <formula>"Towel"</formula>
    </cfRule>
    <cfRule type="cellIs" dxfId="8180" priority="10336" stopIfTrue="1" operator="equal">
      <formula>"Napkin Hs"</formula>
    </cfRule>
    <cfRule type="cellIs" dxfId="8179" priority="10339" stopIfTrue="1" operator="equal">
      <formula>"Towel"</formula>
    </cfRule>
    <cfRule type="cellIs" dxfId="8178" priority="10340" stopIfTrue="1" operator="equal">
      <formula>"Napkin Hs"</formula>
    </cfRule>
  </conditionalFormatting>
  <conditionalFormatting sqref="C55">
    <cfRule type="cellIs" dxfId="8177" priority="10341" stopIfTrue="1" operator="equal">
      <formula>"Towel"</formula>
    </cfRule>
    <cfRule type="cellIs" dxfId="8176" priority="10342" stopIfTrue="1" operator="equal">
      <formula>"Napkin Hs"</formula>
    </cfRule>
  </conditionalFormatting>
  <conditionalFormatting sqref="B55">
    <cfRule type="cellIs" dxfId="8175" priority="10291" stopIfTrue="1" operator="equal">
      <formula>"Towel"</formula>
    </cfRule>
    <cfRule type="cellIs" dxfId="8174" priority="10292" stopIfTrue="1" operator="equal">
      <formula>"Napkin Hs"</formula>
    </cfRule>
    <cfRule type="cellIs" dxfId="8173" priority="10293" stopIfTrue="1" operator="equal">
      <formula>"Towel"</formula>
    </cfRule>
    <cfRule type="cellIs" dxfId="8172" priority="10294" stopIfTrue="1" operator="equal">
      <formula>"Napkin Hs"</formula>
    </cfRule>
    <cfRule type="cellIs" dxfId="8171" priority="10295" stopIfTrue="1" operator="equal">
      <formula>"Towel"</formula>
    </cfRule>
    <cfRule type="cellIs" dxfId="8170" priority="10296" stopIfTrue="1" operator="equal">
      <formula>"Napkin Hs"</formula>
    </cfRule>
  </conditionalFormatting>
  <conditionalFormatting sqref="B55:C55">
    <cfRule type="cellIs" dxfId="8169" priority="10253" stopIfTrue="1" operator="equal">
      <formula>"Towel"</formula>
    </cfRule>
    <cfRule type="cellIs" dxfId="8168" priority="10254" stopIfTrue="1" operator="equal">
      <formula>"Napkin Hs"</formula>
    </cfRule>
    <cfRule type="cellIs" dxfId="8167" priority="10259" stopIfTrue="1" operator="equal">
      <formula>"Towel"</formula>
    </cfRule>
    <cfRule type="cellIs" dxfId="8166" priority="10260" stopIfTrue="1" operator="equal">
      <formula>"Napkin Hs"</formula>
    </cfRule>
    <cfRule type="cellIs" dxfId="8165" priority="10265" stopIfTrue="1" operator="equal">
      <formula>"Towel"</formula>
    </cfRule>
    <cfRule type="cellIs" dxfId="8164" priority="10266" stopIfTrue="1" operator="equal">
      <formula>"Napkin Hs"</formula>
    </cfRule>
    <cfRule type="cellIs" dxfId="8163" priority="10271" stopIfTrue="1" operator="equal">
      <formula>"Towel"</formula>
    </cfRule>
    <cfRule type="cellIs" dxfId="8162" priority="10272" stopIfTrue="1" operator="equal">
      <formula>"Napkin Hs"</formula>
    </cfRule>
    <cfRule type="cellIs" dxfId="8161" priority="10277" stopIfTrue="1" operator="equal">
      <formula>"Towel"</formula>
    </cfRule>
    <cfRule type="cellIs" dxfId="8160" priority="10278" stopIfTrue="1" operator="equal">
      <formula>"Napkin Hs"</formula>
    </cfRule>
    <cfRule type="cellIs" dxfId="8159" priority="10283" stopIfTrue="1" operator="equal">
      <formula>"Towel"</formula>
    </cfRule>
    <cfRule type="cellIs" dxfId="8158" priority="10284" stopIfTrue="1" operator="equal">
      <formula>"Napkin Hs"</formula>
    </cfRule>
    <cfRule type="cellIs" dxfId="8157" priority="10289" stopIfTrue="1" operator="equal">
      <formula>"Towel"</formula>
    </cfRule>
    <cfRule type="cellIs" dxfId="8156" priority="10290" stopIfTrue="1" operator="equal">
      <formula>"Napkin Hs"</formula>
    </cfRule>
  </conditionalFormatting>
  <conditionalFormatting sqref="C55">
    <cfRule type="cellIs" dxfId="8155" priority="10249" stopIfTrue="1" operator="equal">
      <formula>"Towel"</formula>
    </cfRule>
    <cfRule type="cellIs" dxfId="8154" priority="10250" stopIfTrue="1" operator="equal">
      <formula>"Napkin Hs"</formula>
    </cfRule>
    <cfRule type="cellIs" dxfId="8153" priority="10251" stopIfTrue="1" operator="equal">
      <formula>"Towel"</formula>
    </cfRule>
    <cfRule type="cellIs" dxfId="8152" priority="10252" stopIfTrue="1" operator="equal">
      <formula>"Napkin Hs"</formula>
    </cfRule>
    <cfRule type="cellIs" dxfId="8151" priority="10255" stopIfTrue="1" operator="equal">
      <formula>"Towel"</formula>
    </cfRule>
    <cfRule type="cellIs" dxfId="8150" priority="10256" stopIfTrue="1" operator="equal">
      <formula>"Napkin Hs"</formula>
    </cfRule>
    <cfRule type="cellIs" dxfId="8149" priority="10257" stopIfTrue="1" operator="equal">
      <formula>"Towel"</formula>
    </cfRule>
    <cfRule type="cellIs" dxfId="8148" priority="10258" stopIfTrue="1" operator="equal">
      <formula>"Napkin Hs"</formula>
    </cfRule>
    <cfRule type="cellIs" dxfId="8147" priority="10261" stopIfTrue="1" operator="equal">
      <formula>"Towel"</formula>
    </cfRule>
    <cfRule type="cellIs" dxfId="8146" priority="10262" stopIfTrue="1" operator="equal">
      <formula>"Napkin Hs"</formula>
    </cfRule>
    <cfRule type="cellIs" dxfId="8145" priority="10263" stopIfTrue="1" operator="equal">
      <formula>"Towel"</formula>
    </cfRule>
    <cfRule type="cellIs" dxfId="8144" priority="10264" stopIfTrue="1" operator="equal">
      <formula>"Napkin Hs"</formula>
    </cfRule>
    <cfRule type="cellIs" dxfId="8143" priority="10267" stopIfTrue="1" operator="equal">
      <formula>"Towel"</formula>
    </cfRule>
    <cfRule type="cellIs" dxfId="8142" priority="10268" stopIfTrue="1" operator="equal">
      <formula>"Napkin Hs"</formula>
    </cfRule>
    <cfRule type="cellIs" dxfId="8141" priority="10269" stopIfTrue="1" operator="equal">
      <formula>"Towel"</formula>
    </cfRule>
    <cfRule type="cellIs" dxfId="8140" priority="10270" stopIfTrue="1" operator="equal">
      <formula>"Napkin Hs"</formula>
    </cfRule>
    <cfRule type="cellIs" dxfId="8139" priority="10273" stopIfTrue="1" operator="equal">
      <formula>"Towel"</formula>
    </cfRule>
    <cfRule type="cellIs" dxfId="8138" priority="10274" stopIfTrue="1" operator="equal">
      <formula>"Napkin Hs"</formula>
    </cfRule>
    <cfRule type="cellIs" dxfId="8137" priority="10275" stopIfTrue="1" operator="equal">
      <formula>"Towel"</formula>
    </cfRule>
    <cfRule type="cellIs" dxfId="8136" priority="10276" stopIfTrue="1" operator="equal">
      <formula>"Napkin Hs"</formula>
    </cfRule>
    <cfRule type="cellIs" dxfId="8135" priority="10279" stopIfTrue="1" operator="equal">
      <formula>"Towel"</formula>
    </cfRule>
    <cfRule type="cellIs" dxfId="8134" priority="10280" stopIfTrue="1" operator="equal">
      <formula>"Napkin Hs"</formula>
    </cfRule>
    <cfRule type="cellIs" dxfId="8133" priority="10281" stopIfTrue="1" operator="equal">
      <formula>"Towel"</formula>
    </cfRule>
    <cfRule type="cellIs" dxfId="8132" priority="10282" stopIfTrue="1" operator="equal">
      <formula>"Napkin Hs"</formula>
    </cfRule>
    <cfRule type="cellIs" dxfId="8131" priority="10285" stopIfTrue="1" operator="equal">
      <formula>"Towel"</formula>
    </cfRule>
    <cfRule type="cellIs" dxfId="8130" priority="10286" stopIfTrue="1" operator="equal">
      <formula>"Napkin Hs"</formula>
    </cfRule>
  </conditionalFormatting>
  <conditionalFormatting sqref="C55">
    <cfRule type="cellIs" dxfId="8129" priority="10287" stopIfTrue="1" operator="equal">
      <formula>"Towel"</formula>
    </cfRule>
    <cfRule type="cellIs" dxfId="8128" priority="10288" stopIfTrue="1" operator="equal">
      <formula>"Napkin Hs"</formula>
    </cfRule>
  </conditionalFormatting>
  <conditionalFormatting sqref="B55:C55">
    <cfRule type="cellIs" dxfId="8127" priority="10247" stopIfTrue="1" operator="equal">
      <formula>"Towel"</formula>
    </cfRule>
    <cfRule type="cellIs" dxfId="8126" priority="10248" stopIfTrue="1" operator="equal">
      <formula>"Napkin Hs"</formula>
    </cfRule>
  </conditionalFormatting>
  <conditionalFormatting sqref="B55:C55">
    <cfRule type="cellIs" dxfId="8125" priority="10211" stopIfTrue="1" operator="equal">
      <formula>"Towel"</formula>
    </cfRule>
    <cfRule type="cellIs" dxfId="8124" priority="10212" stopIfTrue="1" operator="equal">
      <formula>"Napkin Hs"</formula>
    </cfRule>
    <cfRule type="cellIs" dxfId="8123" priority="10217" stopIfTrue="1" operator="equal">
      <formula>"Towel"</formula>
    </cfRule>
    <cfRule type="cellIs" dxfId="8122" priority="10218" stopIfTrue="1" operator="equal">
      <formula>"Napkin Hs"</formula>
    </cfRule>
    <cfRule type="cellIs" dxfId="8121" priority="10223" stopIfTrue="1" operator="equal">
      <formula>"Towel"</formula>
    </cfRule>
    <cfRule type="cellIs" dxfId="8120" priority="10224" stopIfTrue="1" operator="equal">
      <formula>"Napkin Hs"</formula>
    </cfRule>
    <cfRule type="cellIs" dxfId="8119" priority="10229" stopIfTrue="1" operator="equal">
      <formula>"Towel"</formula>
    </cfRule>
    <cfRule type="cellIs" dxfId="8118" priority="10230" stopIfTrue="1" operator="equal">
      <formula>"Napkin Hs"</formula>
    </cfRule>
    <cfRule type="cellIs" dxfId="8117" priority="10235" stopIfTrue="1" operator="equal">
      <formula>"Towel"</formula>
    </cfRule>
    <cfRule type="cellIs" dxfId="8116" priority="10236" stopIfTrue="1" operator="equal">
      <formula>"Napkin Hs"</formula>
    </cfRule>
    <cfRule type="cellIs" dxfId="8115" priority="10241" stopIfTrue="1" operator="equal">
      <formula>"Towel"</formula>
    </cfRule>
    <cfRule type="cellIs" dxfId="8114" priority="10242" stopIfTrue="1" operator="equal">
      <formula>"Napkin Hs"</formula>
    </cfRule>
  </conditionalFormatting>
  <conditionalFormatting sqref="C55">
    <cfRule type="cellIs" dxfId="8113" priority="10246" stopIfTrue="1" operator="equal">
      <formula>"Napkin Hs"</formula>
    </cfRule>
  </conditionalFormatting>
  <conditionalFormatting sqref="C55">
    <cfRule type="cellIs" dxfId="8112" priority="10245" stopIfTrue="1" operator="equal">
      <formula>"Towel"</formula>
    </cfRule>
  </conditionalFormatting>
  <conditionalFormatting sqref="C55">
    <cfRule type="cellIs" dxfId="8111" priority="10239" stopIfTrue="1" operator="equal">
      <formula>"Towel"</formula>
    </cfRule>
    <cfRule type="cellIs" dxfId="8110" priority="10240" stopIfTrue="1" operator="equal">
      <formula>"Napkin Hs"</formula>
    </cfRule>
  </conditionalFormatting>
  <conditionalFormatting sqref="C55">
    <cfRule type="cellIs" dxfId="8109" priority="10237" stopIfTrue="1" operator="equal">
      <formula>"Towel"</formula>
    </cfRule>
    <cfRule type="cellIs" dxfId="8108" priority="10238" stopIfTrue="1" operator="equal">
      <formula>"Napkin Hs"</formula>
    </cfRule>
    <cfRule type="cellIs" dxfId="8107" priority="10243" stopIfTrue="1" operator="equal">
      <formula>"Towel"</formula>
    </cfRule>
    <cfRule type="cellIs" dxfId="8106" priority="10244" stopIfTrue="1" operator="equal">
      <formula>"Napkin Hs"</formula>
    </cfRule>
  </conditionalFormatting>
  <conditionalFormatting sqref="C55">
    <cfRule type="cellIs" dxfId="8105" priority="10209" stopIfTrue="1" operator="equal">
      <formula>"Towel"</formula>
    </cfRule>
    <cfRule type="cellIs" dxfId="8104" priority="10210" stopIfTrue="1" operator="equal">
      <formula>"Napkin Hs"</formula>
    </cfRule>
    <cfRule type="cellIs" dxfId="8103" priority="10213" stopIfTrue="1" operator="equal">
      <formula>"Towel"</formula>
    </cfRule>
    <cfRule type="cellIs" dxfId="8102" priority="10214" stopIfTrue="1" operator="equal">
      <formula>"Napkin Hs"</formula>
    </cfRule>
    <cfRule type="cellIs" dxfId="8101" priority="10215" stopIfTrue="1" operator="equal">
      <formula>"Towel"</formula>
    </cfRule>
    <cfRule type="cellIs" dxfId="8100" priority="10216" stopIfTrue="1" operator="equal">
      <formula>"Napkin Hs"</formula>
    </cfRule>
    <cfRule type="cellIs" dxfId="8099" priority="10219" stopIfTrue="1" operator="equal">
      <formula>"Towel"</formula>
    </cfRule>
    <cfRule type="cellIs" dxfId="8098" priority="10220" stopIfTrue="1" operator="equal">
      <formula>"Napkin Hs"</formula>
    </cfRule>
    <cfRule type="cellIs" dxfId="8097" priority="10221" stopIfTrue="1" operator="equal">
      <formula>"Towel"</formula>
    </cfRule>
    <cfRule type="cellIs" dxfId="8096" priority="10222" stopIfTrue="1" operator="equal">
      <formula>"Napkin Hs"</formula>
    </cfRule>
    <cfRule type="cellIs" dxfId="8095" priority="10225" stopIfTrue="1" operator="equal">
      <formula>"Towel"</formula>
    </cfRule>
    <cfRule type="cellIs" dxfId="8094" priority="10226" stopIfTrue="1" operator="equal">
      <formula>"Napkin Hs"</formula>
    </cfRule>
    <cfRule type="cellIs" dxfId="8093" priority="10227" stopIfTrue="1" operator="equal">
      <formula>"Towel"</formula>
    </cfRule>
    <cfRule type="cellIs" dxfId="8092" priority="10228" stopIfTrue="1" operator="equal">
      <formula>"Napkin Hs"</formula>
    </cfRule>
    <cfRule type="cellIs" dxfId="8091" priority="10231" stopIfTrue="1" operator="equal">
      <formula>"Towel"</formula>
    </cfRule>
    <cfRule type="cellIs" dxfId="8090" priority="10232" stopIfTrue="1" operator="equal">
      <formula>"Napkin Hs"</formula>
    </cfRule>
    <cfRule type="cellIs" dxfId="8089" priority="10233" stopIfTrue="1" operator="equal">
      <formula>"Towel"</formula>
    </cfRule>
    <cfRule type="cellIs" dxfId="8088" priority="10234" stopIfTrue="1" operator="equal">
      <formula>"Napkin Hs"</formula>
    </cfRule>
  </conditionalFormatting>
  <conditionalFormatting sqref="C55">
    <cfRule type="cellIs" dxfId="8087" priority="10207" stopIfTrue="1" operator="equal">
      <formula>"Towel"</formula>
    </cfRule>
    <cfRule type="cellIs" dxfId="8086" priority="10208" stopIfTrue="1" operator="equal">
      <formula>"Napkin Hs"</formula>
    </cfRule>
  </conditionalFormatting>
  <conditionalFormatting sqref="C55">
    <cfRule type="cellIs" dxfId="8085" priority="10187" stopIfTrue="1" operator="equal">
      <formula>"Towel"</formula>
    </cfRule>
    <cfRule type="cellIs" dxfId="8084" priority="10188" stopIfTrue="1" operator="equal">
      <formula>"Napkin Hs"</formula>
    </cfRule>
    <cfRule type="cellIs" dxfId="8083" priority="10193" stopIfTrue="1" operator="equal">
      <formula>"Towel"</formula>
    </cfRule>
    <cfRule type="cellIs" dxfId="8082" priority="10194" stopIfTrue="1" operator="equal">
      <formula>"Napkin Hs"</formula>
    </cfRule>
    <cfRule type="cellIs" dxfId="8081" priority="10199" stopIfTrue="1" operator="equal">
      <formula>"Towel"</formula>
    </cfRule>
    <cfRule type="cellIs" dxfId="8080" priority="10200" stopIfTrue="1" operator="equal">
      <formula>"Napkin Hs"</formula>
    </cfRule>
    <cfRule type="cellIs" dxfId="8079" priority="10205" stopIfTrue="1" operator="equal">
      <formula>"Towel"</formula>
    </cfRule>
    <cfRule type="cellIs" dxfId="8078" priority="10206" stopIfTrue="1" operator="equal">
      <formula>"Napkin Hs"</formula>
    </cfRule>
  </conditionalFormatting>
  <conditionalFormatting sqref="C55">
    <cfRule type="cellIs" dxfId="8077" priority="10197" stopIfTrue="1" operator="equal">
      <formula>"Towel"</formula>
    </cfRule>
    <cfRule type="cellIs" dxfId="8076" priority="10198" stopIfTrue="1" operator="equal">
      <formula>"Napkin Hs"</formula>
    </cfRule>
    <cfRule type="cellIs" dxfId="8075" priority="10203" stopIfTrue="1" operator="equal">
      <formula>"Towel"</formula>
    </cfRule>
    <cfRule type="cellIs" dxfId="8074" priority="10204" stopIfTrue="1" operator="equal">
      <formula>"Napkin Hs"</formula>
    </cfRule>
  </conditionalFormatting>
  <conditionalFormatting sqref="C55">
    <cfRule type="cellIs" dxfId="8073" priority="10183" stopIfTrue="1" operator="equal">
      <formula>"Towel"</formula>
    </cfRule>
    <cfRule type="cellIs" dxfId="8072" priority="10184" stopIfTrue="1" operator="equal">
      <formula>"Napkin Hs"</formula>
    </cfRule>
    <cfRule type="cellIs" dxfId="8071" priority="10191" stopIfTrue="1" operator="equal">
      <formula>"Towel"</formula>
    </cfRule>
    <cfRule type="cellIs" dxfId="8070" priority="10192" stopIfTrue="1" operator="equal">
      <formula>"Napkin Hs"</formula>
    </cfRule>
    <cfRule type="cellIs" dxfId="8069" priority="10195" stopIfTrue="1" operator="equal">
      <formula>"Towel"</formula>
    </cfRule>
    <cfRule type="cellIs" dxfId="8068" priority="10196" stopIfTrue="1" operator="equal">
      <formula>"Napkin Hs"</formula>
    </cfRule>
  </conditionalFormatting>
  <conditionalFormatting sqref="C55">
    <cfRule type="cellIs" dxfId="8067" priority="10185" stopIfTrue="1" operator="equal">
      <formula>"Towel"</formula>
    </cfRule>
    <cfRule type="cellIs" dxfId="8066" priority="10186" stopIfTrue="1" operator="equal">
      <formula>"Napkin Hs"</formula>
    </cfRule>
    <cfRule type="cellIs" dxfId="8065" priority="10189" stopIfTrue="1" operator="equal">
      <formula>"Towel"</formula>
    </cfRule>
    <cfRule type="cellIs" dxfId="8064" priority="10190" stopIfTrue="1" operator="equal">
      <formula>"Napkin Hs"</formula>
    </cfRule>
    <cfRule type="cellIs" dxfId="8063" priority="10201" stopIfTrue="1" operator="equal">
      <formula>"Towel"</formula>
    </cfRule>
    <cfRule type="cellIs" dxfId="8062" priority="10202" stopIfTrue="1" operator="equal">
      <formula>"Napkin Hs"</formula>
    </cfRule>
  </conditionalFormatting>
  <conditionalFormatting sqref="C55">
    <cfRule type="cellIs" dxfId="8061" priority="10181" stopIfTrue="1" operator="equal">
      <formula>"Towel"</formula>
    </cfRule>
    <cfRule type="cellIs" dxfId="8060" priority="10182" stopIfTrue="1" operator="equal">
      <formula>"Napkin Hs"</formula>
    </cfRule>
  </conditionalFormatting>
  <conditionalFormatting sqref="C55">
    <cfRule type="cellIs" dxfId="8059" priority="10177" stopIfTrue="1" operator="equal">
      <formula>"Towel"</formula>
    </cfRule>
    <cfRule type="cellIs" dxfId="8058" priority="10178" stopIfTrue="1" operator="equal">
      <formula>"Napkin Hs"</formula>
    </cfRule>
  </conditionalFormatting>
  <conditionalFormatting sqref="C55">
    <cfRule type="cellIs" dxfId="8057" priority="10179" stopIfTrue="1" operator="equal">
      <formula>"Towel"</formula>
    </cfRule>
    <cfRule type="cellIs" dxfId="8056" priority="10180" stopIfTrue="1" operator="equal">
      <formula>"Napkin Hs"</formula>
    </cfRule>
  </conditionalFormatting>
  <conditionalFormatting sqref="C55">
    <cfRule type="cellIs" dxfId="8055" priority="10175" stopIfTrue="1" operator="equal">
      <formula>"Towel"</formula>
    </cfRule>
    <cfRule type="cellIs" dxfId="8054" priority="10176" stopIfTrue="1" operator="equal">
      <formula>"Napkin Hs"</formula>
    </cfRule>
  </conditionalFormatting>
  <conditionalFormatting sqref="C55">
    <cfRule type="cellIs" dxfId="8053" priority="10171" stopIfTrue="1" operator="equal">
      <formula>"Towel"</formula>
    </cfRule>
    <cfRule type="cellIs" dxfId="8052" priority="10172" stopIfTrue="1" operator="equal">
      <formula>"Napkin Hs"</formula>
    </cfRule>
  </conditionalFormatting>
  <conditionalFormatting sqref="C55">
    <cfRule type="cellIs" dxfId="8051" priority="10173" stopIfTrue="1" operator="equal">
      <formula>"Towel"</formula>
    </cfRule>
    <cfRule type="cellIs" dxfId="8050" priority="10174" stopIfTrue="1" operator="equal">
      <formula>"Napkin Hs"</formula>
    </cfRule>
  </conditionalFormatting>
  <conditionalFormatting sqref="C55">
    <cfRule type="cellIs" dxfId="8049" priority="10169" stopIfTrue="1" operator="equal">
      <formula>"Towel"</formula>
    </cfRule>
    <cfRule type="cellIs" dxfId="8048" priority="10170" stopIfTrue="1" operator="equal">
      <formula>"Napkin Hs"</formula>
    </cfRule>
  </conditionalFormatting>
  <conditionalFormatting sqref="C55">
    <cfRule type="cellIs" dxfId="8047" priority="10165" stopIfTrue="1" operator="equal">
      <formula>"Towel"</formula>
    </cfRule>
    <cfRule type="cellIs" dxfId="8046" priority="10166" stopIfTrue="1" operator="equal">
      <formula>"Napkin Hs"</formula>
    </cfRule>
  </conditionalFormatting>
  <conditionalFormatting sqref="C55">
    <cfRule type="cellIs" dxfId="8045" priority="10167" stopIfTrue="1" operator="equal">
      <formula>"Towel"</formula>
    </cfRule>
    <cfRule type="cellIs" dxfId="8044" priority="10168" stopIfTrue="1" operator="equal">
      <formula>"Napkin Hs"</formula>
    </cfRule>
  </conditionalFormatting>
  <conditionalFormatting sqref="C55">
    <cfRule type="cellIs" dxfId="8043" priority="10163" stopIfTrue="1" operator="equal">
      <formula>"Towel"</formula>
    </cfRule>
    <cfRule type="cellIs" dxfId="8042" priority="10164" stopIfTrue="1" operator="equal">
      <formula>"Napkin Hs"</formula>
    </cfRule>
  </conditionalFormatting>
  <conditionalFormatting sqref="C55">
    <cfRule type="cellIs" dxfId="8041" priority="10161" stopIfTrue="1" operator="equal">
      <formula>"Towel"</formula>
    </cfRule>
    <cfRule type="cellIs" dxfId="8040" priority="10162" stopIfTrue="1" operator="equal">
      <formula>"Napkin Hs"</formula>
    </cfRule>
  </conditionalFormatting>
  <conditionalFormatting sqref="C55">
    <cfRule type="cellIs" dxfId="8039" priority="10159" stopIfTrue="1" operator="equal">
      <formula>"Towel"</formula>
    </cfRule>
    <cfRule type="cellIs" dxfId="8038" priority="10160" stopIfTrue="1" operator="equal">
      <formula>"Napkin Hs"</formula>
    </cfRule>
  </conditionalFormatting>
  <conditionalFormatting sqref="C55">
    <cfRule type="cellIs" dxfId="8037" priority="10157" stopIfTrue="1" operator="equal">
      <formula>"Towel"</formula>
    </cfRule>
    <cfRule type="cellIs" dxfId="8036" priority="10158" stopIfTrue="1" operator="equal">
      <formula>"Napkin Hs"</formula>
    </cfRule>
  </conditionalFormatting>
  <conditionalFormatting sqref="C55">
    <cfRule type="cellIs" dxfId="8035" priority="10156" stopIfTrue="1" operator="equal">
      <formula>"Napkin Hs"</formula>
    </cfRule>
  </conditionalFormatting>
  <conditionalFormatting sqref="C55">
    <cfRule type="cellIs" dxfId="8034" priority="10153" stopIfTrue="1" operator="equal">
      <formula>"Towel"</formula>
    </cfRule>
    <cfRule type="cellIs" dxfId="8033" priority="10154" stopIfTrue="1" operator="equal">
      <formula>"Napkin Hs"</formula>
    </cfRule>
  </conditionalFormatting>
  <conditionalFormatting sqref="C55">
    <cfRule type="cellIs" dxfId="8032" priority="10155" stopIfTrue="1" operator="equal">
      <formula>"Towel"</formula>
    </cfRule>
  </conditionalFormatting>
  <conditionalFormatting sqref="B55">
    <cfRule type="cellIs" dxfId="8031" priority="10151" stopIfTrue="1" operator="equal">
      <formula>"Towel"</formula>
    </cfRule>
    <cfRule type="cellIs" dxfId="8030" priority="10152" stopIfTrue="1" operator="equal">
      <formula>"Napkin Hs"</formula>
    </cfRule>
  </conditionalFormatting>
  <conditionalFormatting sqref="B55">
    <cfRule type="cellIs" dxfId="8029" priority="10149" stopIfTrue="1" operator="equal">
      <formula>"Towel"</formula>
    </cfRule>
    <cfRule type="cellIs" dxfId="8028" priority="10150" stopIfTrue="1" operator="equal">
      <formula>"Napkin Hs"</formula>
    </cfRule>
  </conditionalFormatting>
  <conditionalFormatting sqref="B55">
    <cfRule type="cellIs" dxfId="8027" priority="10147" stopIfTrue="1" operator="equal">
      <formula>"Towel"</formula>
    </cfRule>
    <cfRule type="cellIs" dxfId="8026" priority="10148" stopIfTrue="1" operator="equal">
      <formula>"Napkin Hs"</formula>
    </cfRule>
  </conditionalFormatting>
  <conditionalFormatting sqref="B55">
    <cfRule type="cellIs" dxfId="8025" priority="10145" stopIfTrue="1" operator="equal">
      <formula>"Towel"</formula>
    </cfRule>
    <cfRule type="cellIs" dxfId="8024" priority="10146" stopIfTrue="1" operator="equal">
      <formula>"Napkin Hs"</formula>
    </cfRule>
  </conditionalFormatting>
  <conditionalFormatting sqref="B55">
    <cfRule type="cellIs" dxfId="8023" priority="10143" stopIfTrue="1" operator="equal">
      <formula>"Towel"</formula>
    </cfRule>
    <cfRule type="cellIs" dxfId="8022" priority="10144" stopIfTrue="1" operator="equal">
      <formula>"Napkin Hs"</formula>
    </cfRule>
  </conditionalFormatting>
  <conditionalFormatting sqref="B55">
    <cfRule type="cellIs" dxfId="8021" priority="10141" stopIfTrue="1" operator="equal">
      <formula>"Towel"</formula>
    </cfRule>
    <cfRule type="cellIs" dxfId="8020" priority="10142" stopIfTrue="1" operator="equal">
      <formula>"Napkin Hs"</formula>
    </cfRule>
  </conditionalFormatting>
  <conditionalFormatting sqref="B55">
    <cfRule type="cellIs" dxfId="8019" priority="10137" stopIfTrue="1" operator="equal">
      <formula>"Towel"</formula>
    </cfRule>
    <cfRule type="cellIs" dxfId="8018" priority="10138" stopIfTrue="1" operator="equal">
      <formula>"Napkin Hs"</formula>
    </cfRule>
    <cfRule type="cellIs" dxfId="8017" priority="10139" stopIfTrue="1" operator="equal">
      <formula>"Towel"</formula>
    </cfRule>
    <cfRule type="cellIs" dxfId="8016" priority="10140" stopIfTrue="1" operator="equal">
      <formula>"Napkin Hs"</formula>
    </cfRule>
  </conditionalFormatting>
  <conditionalFormatting sqref="B55">
    <cfRule type="cellIs" dxfId="8015" priority="10135" stopIfTrue="1" operator="equal">
      <formula>"Towel"</formula>
    </cfRule>
    <cfRule type="cellIs" dxfId="8014" priority="10136" stopIfTrue="1" operator="equal">
      <formula>"Napkin Hs"</formula>
    </cfRule>
  </conditionalFormatting>
  <conditionalFormatting sqref="B55">
    <cfRule type="cellIs" dxfId="8013" priority="10133" stopIfTrue="1" operator="equal">
      <formula>"Towel"</formula>
    </cfRule>
    <cfRule type="cellIs" dxfId="8012" priority="10134" stopIfTrue="1" operator="equal">
      <formula>"Napkin Hs"</formula>
    </cfRule>
  </conditionalFormatting>
  <conditionalFormatting sqref="B55">
    <cfRule type="cellIs" dxfId="8011" priority="10131" stopIfTrue="1" operator="equal">
      <formula>"Towel"</formula>
    </cfRule>
    <cfRule type="cellIs" dxfId="8010" priority="10132" stopIfTrue="1" operator="equal">
      <formula>"Napkin Hs"</formula>
    </cfRule>
  </conditionalFormatting>
  <conditionalFormatting sqref="B55">
    <cfRule type="cellIs" dxfId="8009" priority="10129" stopIfTrue="1" operator="equal">
      <formula>"Towel"</formula>
    </cfRule>
    <cfRule type="cellIs" dxfId="8008" priority="10130" stopIfTrue="1" operator="equal">
      <formula>"Napkin Hs"</formula>
    </cfRule>
  </conditionalFormatting>
  <conditionalFormatting sqref="B55">
    <cfRule type="cellIs" dxfId="8007" priority="10127" stopIfTrue="1" operator="equal">
      <formula>"Towel"</formula>
    </cfRule>
    <cfRule type="cellIs" dxfId="8006" priority="10128" stopIfTrue="1" operator="equal">
      <formula>"Napkin Hs"</formula>
    </cfRule>
  </conditionalFormatting>
  <conditionalFormatting sqref="B55:C55">
    <cfRule type="cellIs" dxfId="8005" priority="10113" stopIfTrue="1" operator="equal">
      <formula>"Towel"</formula>
    </cfRule>
    <cfRule type="cellIs" dxfId="8004" priority="10114" stopIfTrue="1" operator="equal">
      <formula>"Napkin Hs"</formula>
    </cfRule>
    <cfRule type="cellIs" dxfId="8003" priority="10119" stopIfTrue="1" operator="equal">
      <formula>"Towel"</formula>
    </cfRule>
    <cfRule type="cellIs" dxfId="8002" priority="10120" stopIfTrue="1" operator="equal">
      <formula>"Napkin Hs"</formula>
    </cfRule>
    <cfRule type="cellIs" dxfId="8001" priority="10125" stopIfTrue="1" operator="equal">
      <formula>"Towel"</formula>
    </cfRule>
    <cfRule type="cellIs" dxfId="8000" priority="10126" stopIfTrue="1" operator="equal">
      <formula>"Napkin Hs"</formula>
    </cfRule>
  </conditionalFormatting>
  <conditionalFormatting sqref="C55">
    <cfRule type="cellIs" dxfId="7999" priority="10107" stopIfTrue="1" operator="equal">
      <formula>"Towel"</formula>
    </cfRule>
    <cfRule type="cellIs" dxfId="7998" priority="10108" stopIfTrue="1" operator="equal">
      <formula>"Napkin Hs"</formula>
    </cfRule>
    <cfRule type="cellIs" dxfId="7997" priority="10109" stopIfTrue="1" operator="equal">
      <formula>"Towel"</formula>
    </cfRule>
    <cfRule type="cellIs" dxfId="7996" priority="10110" stopIfTrue="1" operator="equal">
      <formula>"Napkin Hs"</formula>
    </cfRule>
    <cfRule type="cellIs" dxfId="7995" priority="10117" stopIfTrue="1" operator="equal">
      <formula>"Towel"</formula>
    </cfRule>
    <cfRule type="cellIs" dxfId="7994" priority="10118" stopIfTrue="1" operator="equal">
      <formula>"Napkin Hs"</formula>
    </cfRule>
    <cfRule type="cellIs" dxfId="7993" priority="10121" stopIfTrue="1" operator="equal">
      <formula>"Towel"</formula>
    </cfRule>
    <cfRule type="cellIs" dxfId="7992" priority="10122" stopIfTrue="1" operator="equal">
      <formula>"Napkin Hs"</formula>
    </cfRule>
  </conditionalFormatting>
  <conditionalFormatting sqref="C55">
    <cfRule type="cellIs" dxfId="7991" priority="10111" stopIfTrue="1" operator="equal">
      <formula>"Towel"</formula>
    </cfRule>
    <cfRule type="cellIs" dxfId="7990" priority="10112" stopIfTrue="1" operator="equal">
      <formula>"Napkin Hs"</formula>
    </cfRule>
    <cfRule type="cellIs" dxfId="7989" priority="10115" stopIfTrue="1" operator="equal">
      <formula>"Towel"</formula>
    </cfRule>
    <cfRule type="cellIs" dxfId="7988" priority="10116" stopIfTrue="1" operator="equal">
      <formula>"Napkin Hs"</formula>
    </cfRule>
    <cfRule type="cellIs" dxfId="7987" priority="10123" stopIfTrue="1" operator="equal">
      <formula>"Towel"</formula>
    </cfRule>
    <cfRule type="cellIs" dxfId="7986" priority="10124" stopIfTrue="1" operator="equal">
      <formula>"Napkin Hs"</formula>
    </cfRule>
  </conditionalFormatting>
  <conditionalFormatting sqref="B55:C55">
    <cfRule type="cellIs" dxfId="7985" priority="10105" stopIfTrue="1" operator="equal">
      <formula>"Towel"</formula>
    </cfRule>
    <cfRule type="cellIs" dxfId="7984" priority="10106" stopIfTrue="1" operator="equal">
      <formula>"Napkin Hs"</formula>
    </cfRule>
  </conditionalFormatting>
  <conditionalFormatting sqref="B55:C55">
    <cfRule type="cellIs" dxfId="7983" priority="10097" stopIfTrue="1" operator="equal">
      <formula>"Towel"</formula>
    </cfRule>
    <cfRule type="cellIs" dxfId="7982" priority="10098" stopIfTrue="1" operator="equal">
      <formula>"Napkin Hs"</formula>
    </cfRule>
    <cfRule type="cellIs" dxfId="7981" priority="10103" stopIfTrue="1" operator="equal">
      <formula>"Towel"</formula>
    </cfRule>
    <cfRule type="cellIs" dxfId="7980" priority="10104" stopIfTrue="1" operator="equal">
      <formula>"Napkin Hs"</formula>
    </cfRule>
  </conditionalFormatting>
  <conditionalFormatting sqref="C55">
    <cfRule type="cellIs" dxfId="7979" priority="10093" stopIfTrue="1" operator="equal">
      <formula>"Towel"</formula>
    </cfRule>
    <cfRule type="cellIs" dxfId="7978" priority="10094" stopIfTrue="1" operator="equal">
      <formula>"Napkin Hs"</formula>
    </cfRule>
  </conditionalFormatting>
  <conditionalFormatting sqref="C55">
    <cfRule type="cellIs" dxfId="7977" priority="10091" stopIfTrue="1" operator="equal">
      <formula>"Towel"</formula>
    </cfRule>
    <cfRule type="cellIs" dxfId="7976" priority="10092" stopIfTrue="1" operator="equal">
      <formula>"Napkin Hs"</formula>
    </cfRule>
    <cfRule type="cellIs" dxfId="7975" priority="10101" stopIfTrue="1" operator="equal">
      <formula>"Towel"</formula>
    </cfRule>
    <cfRule type="cellIs" dxfId="7974" priority="10102" stopIfTrue="1" operator="equal">
      <formula>"Napkin Hs"</formula>
    </cfRule>
  </conditionalFormatting>
  <conditionalFormatting sqref="C55">
    <cfRule type="cellIs" dxfId="7973" priority="10095" stopIfTrue="1" operator="equal">
      <formula>"Towel"</formula>
    </cfRule>
    <cfRule type="cellIs" dxfId="7972" priority="10096" stopIfTrue="1" operator="equal">
      <formula>"Napkin Hs"</formula>
    </cfRule>
    <cfRule type="cellIs" dxfId="7971" priority="10099" stopIfTrue="1" operator="equal">
      <formula>"Towel"</formula>
    </cfRule>
    <cfRule type="cellIs" dxfId="7970" priority="10100" stopIfTrue="1" operator="equal">
      <formula>"Napkin Hs"</formula>
    </cfRule>
  </conditionalFormatting>
  <conditionalFormatting sqref="C55">
    <cfRule type="cellIs" dxfId="7969" priority="10090" stopIfTrue="1" operator="equal">
      <formula>"Napkin Hs"</formula>
    </cfRule>
  </conditionalFormatting>
  <conditionalFormatting sqref="C55">
    <cfRule type="cellIs" dxfId="7968" priority="10089" stopIfTrue="1" operator="equal">
      <formula>"Towel"</formula>
    </cfRule>
  </conditionalFormatting>
  <conditionalFormatting sqref="C55">
    <cfRule type="cellIs" dxfId="7967" priority="10085" stopIfTrue="1" operator="equal">
      <formula>"Towel"</formula>
    </cfRule>
    <cfRule type="cellIs" dxfId="7966" priority="10086" stopIfTrue="1" operator="equal">
      <formula>"Napkin Hs"</formula>
    </cfRule>
    <cfRule type="cellIs" dxfId="7965" priority="10087" stopIfTrue="1" operator="equal">
      <formula>"Towel"</formula>
    </cfRule>
    <cfRule type="cellIs" dxfId="7964" priority="10088" stopIfTrue="1" operator="equal">
      <formula>"Napkin Hs"</formula>
    </cfRule>
  </conditionalFormatting>
  <conditionalFormatting sqref="B55:C55">
    <cfRule type="cellIs" dxfId="7963" priority="10083" stopIfTrue="1" operator="equal">
      <formula>"Towel"</formula>
    </cfRule>
    <cfRule type="cellIs" dxfId="7962" priority="10084" stopIfTrue="1" operator="equal">
      <formula>"Napkin Hs"</formula>
    </cfRule>
  </conditionalFormatting>
  <conditionalFormatting sqref="C55">
    <cfRule type="cellIs" dxfId="7961" priority="10079" stopIfTrue="1" operator="equal">
      <formula>"Towel"</formula>
    </cfRule>
    <cfRule type="cellIs" dxfId="7960" priority="10080" stopIfTrue="1" operator="equal">
      <formula>"Napkin Hs"</formula>
    </cfRule>
  </conditionalFormatting>
  <conditionalFormatting sqref="C55">
    <cfRule type="cellIs" dxfId="7959" priority="10081" stopIfTrue="1" operator="equal">
      <formula>"Towel"</formula>
    </cfRule>
    <cfRule type="cellIs" dxfId="7958" priority="10082" stopIfTrue="1" operator="equal">
      <formula>"Napkin Hs"</formula>
    </cfRule>
  </conditionalFormatting>
  <conditionalFormatting sqref="B55:C55">
    <cfRule type="cellIs" dxfId="7957" priority="10077" stopIfTrue="1" operator="equal">
      <formula>"Towel"</formula>
    </cfRule>
    <cfRule type="cellIs" dxfId="7956" priority="10078" stopIfTrue="1" operator="equal">
      <formula>"Napkin Hs"</formula>
    </cfRule>
  </conditionalFormatting>
  <conditionalFormatting sqref="C55">
    <cfRule type="cellIs" dxfId="7955" priority="10073" stopIfTrue="1" operator="equal">
      <formula>"Towel"</formula>
    </cfRule>
    <cfRule type="cellIs" dxfId="7954" priority="10074" stopIfTrue="1" operator="equal">
      <formula>"Napkin Hs"</formula>
    </cfRule>
  </conditionalFormatting>
  <conditionalFormatting sqref="C55">
    <cfRule type="cellIs" dxfId="7953" priority="10075" stopIfTrue="1" operator="equal">
      <formula>"Towel"</formula>
    </cfRule>
    <cfRule type="cellIs" dxfId="7952" priority="10076" stopIfTrue="1" operator="equal">
      <formula>"Napkin Hs"</formula>
    </cfRule>
  </conditionalFormatting>
  <conditionalFormatting sqref="B55:C55">
    <cfRule type="cellIs" dxfId="7951" priority="10071" stopIfTrue="1" operator="equal">
      <formula>"Towel"</formula>
    </cfRule>
    <cfRule type="cellIs" dxfId="7950" priority="10072" stopIfTrue="1" operator="equal">
      <formula>"Napkin Hs"</formula>
    </cfRule>
  </conditionalFormatting>
  <conditionalFormatting sqref="C55">
    <cfRule type="cellIs" dxfId="7949" priority="10067" stopIfTrue="1" operator="equal">
      <formula>"Towel"</formula>
    </cfRule>
    <cfRule type="cellIs" dxfId="7948" priority="10068" stopIfTrue="1" operator="equal">
      <formula>"Napkin Hs"</formula>
    </cfRule>
  </conditionalFormatting>
  <conditionalFormatting sqref="C55">
    <cfRule type="cellIs" dxfId="7947" priority="10069" stopIfTrue="1" operator="equal">
      <formula>"Towel"</formula>
    </cfRule>
    <cfRule type="cellIs" dxfId="7946" priority="10070" stopIfTrue="1" operator="equal">
      <formula>"Napkin Hs"</formula>
    </cfRule>
  </conditionalFormatting>
  <conditionalFormatting sqref="B55:C55">
    <cfRule type="cellIs" dxfId="7945" priority="10065" stopIfTrue="1" operator="equal">
      <formula>"Towel"</formula>
    </cfRule>
    <cfRule type="cellIs" dxfId="7944" priority="10066" stopIfTrue="1" operator="equal">
      <formula>"Napkin Hs"</formula>
    </cfRule>
  </conditionalFormatting>
  <conditionalFormatting sqref="C55">
    <cfRule type="cellIs" dxfId="7943" priority="10063" stopIfTrue="1" operator="equal">
      <formula>"Towel"</formula>
    </cfRule>
    <cfRule type="cellIs" dxfId="7942" priority="10064" stopIfTrue="1" operator="equal">
      <formula>"Napkin Hs"</formula>
    </cfRule>
  </conditionalFormatting>
  <conditionalFormatting sqref="C55">
    <cfRule type="cellIs" dxfId="7941" priority="10061" stopIfTrue="1" operator="equal">
      <formula>"Towel"</formula>
    </cfRule>
    <cfRule type="cellIs" dxfId="7940" priority="10062" stopIfTrue="1" operator="equal">
      <formula>"Napkin Hs"</formula>
    </cfRule>
  </conditionalFormatting>
  <conditionalFormatting sqref="B55:C55">
    <cfRule type="cellIs" dxfId="7939" priority="10059" stopIfTrue="1" operator="equal">
      <formula>"Towel"</formula>
    </cfRule>
    <cfRule type="cellIs" dxfId="7938" priority="10060" stopIfTrue="1" operator="equal">
      <formula>"Napkin Hs"</formula>
    </cfRule>
  </conditionalFormatting>
  <conditionalFormatting sqref="C55">
    <cfRule type="cellIs" dxfId="7937" priority="10058" stopIfTrue="1" operator="equal">
      <formula>"Napkin Hs"</formula>
    </cfRule>
  </conditionalFormatting>
  <conditionalFormatting sqref="C55">
    <cfRule type="cellIs" dxfId="7936" priority="10055" stopIfTrue="1" operator="equal">
      <formula>"Towel"</formula>
    </cfRule>
    <cfRule type="cellIs" dxfId="7935" priority="10056" stopIfTrue="1" operator="equal">
      <formula>"Napkin Hs"</formula>
    </cfRule>
  </conditionalFormatting>
  <conditionalFormatting sqref="C55">
    <cfRule type="cellIs" dxfId="7934" priority="10057" stopIfTrue="1" operator="equal">
      <formula>"Towel"</formula>
    </cfRule>
  </conditionalFormatting>
  <conditionalFormatting sqref="B62:C62">
    <cfRule type="cellIs" dxfId="7933" priority="8947" stopIfTrue="1" operator="equal">
      <formula>"Towel"</formula>
    </cfRule>
    <cfRule type="cellIs" dxfId="7932" priority="8948" stopIfTrue="1" operator="equal">
      <formula>"Napkin Hs"</formula>
    </cfRule>
  </conditionalFormatting>
  <conditionalFormatting sqref="B59:C59">
    <cfRule type="cellIs" dxfId="7931" priority="8939" stopIfTrue="1" operator="equal">
      <formula>"Towel"</formula>
    </cfRule>
    <cfRule type="cellIs" dxfId="7930" priority="8940" stopIfTrue="1" operator="equal">
      <formula>"Napkin Hs"</formula>
    </cfRule>
  </conditionalFormatting>
  <conditionalFormatting sqref="B59:C59">
    <cfRule type="cellIs" dxfId="7929" priority="8915" stopIfTrue="1" operator="equal">
      <formula>"Towel"</formula>
    </cfRule>
    <cfRule type="cellIs" dxfId="7928" priority="8916" stopIfTrue="1" operator="equal">
      <formula>"Napkin Hs"</formula>
    </cfRule>
    <cfRule type="cellIs" dxfId="7927" priority="8921" stopIfTrue="1" operator="equal">
      <formula>"Towel"</formula>
    </cfRule>
    <cfRule type="cellIs" dxfId="7926" priority="8922" stopIfTrue="1" operator="equal">
      <formula>"Napkin Hs"</formula>
    </cfRule>
    <cfRule type="cellIs" dxfId="7925" priority="8927" stopIfTrue="1" operator="equal">
      <formula>"Towel"</formula>
    </cfRule>
    <cfRule type="cellIs" dxfId="7924" priority="8928" stopIfTrue="1" operator="equal">
      <formula>"Napkin Hs"</formula>
    </cfRule>
    <cfRule type="cellIs" dxfId="7923" priority="8933" stopIfTrue="1" operator="equal">
      <formula>"Towel"</formula>
    </cfRule>
    <cfRule type="cellIs" dxfId="7922" priority="8934" stopIfTrue="1" operator="equal">
      <formula>"Napkin Hs"</formula>
    </cfRule>
  </conditionalFormatting>
  <conditionalFormatting sqref="B60:C61">
    <cfRule type="cellIs" dxfId="7921" priority="8943" stopIfTrue="1" operator="equal">
      <formula>"Towel"</formula>
    </cfRule>
    <cfRule type="cellIs" dxfId="7920" priority="8944" stopIfTrue="1" operator="equal">
      <formula>"Napkin Hs"</formula>
    </cfRule>
  </conditionalFormatting>
  <conditionalFormatting sqref="C62">
    <cfRule type="cellIs" dxfId="7919" priority="8946" stopIfTrue="1" operator="equal">
      <formula>"Napkin Hs"</formula>
    </cfRule>
  </conditionalFormatting>
  <conditionalFormatting sqref="C62">
    <cfRule type="cellIs" dxfId="7918" priority="8945" stopIfTrue="1" operator="equal">
      <formula>"Towel"</formula>
    </cfRule>
  </conditionalFormatting>
  <conditionalFormatting sqref="C59">
    <cfRule type="cellIs" dxfId="7917" priority="8929" stopIfTrue="1" operator="equal">
      <formula>"Towel"</formula>
    </cfRule>
    <cfRule type="cellIs" dxfId="7916" priority="8930" stopIfTrue="1" operator="equal">
      <formula>"Napkin Hs"</formula>
    </cfRule>
    <cfRule type="cellIs" dxfId="7915" priority="8935" stopIfTrue="1" operator="equal">
      <formula>"Towel"</formula>
    </cfRule>
    <cfRule type="cellIs" dxfId="7914" priority="8936" stopIfTrue="1" operator="equal">
      <formula>"Napkin Hs"</formula>
    </cfRule>
  </conditionalFormatting>
  <conditionalFormatting sqref="C59">
    <cfRule type="cellIs" dxfId="7913" priority="8909" stopIfTrue="1" operator="equal">
      <formula>"Towel"</formula>
    </cfRule>
    <cfRule type="cellIs" dxfId="7912" priority="8910" stopIfTrue="1" operator="equal">
      <formula>"Napkin Hs"</formula>
    </cfRule>
    <cfRule type="cellIs" dxfId="7911" priority="8911" stopIfTrue="1" operator="equal">
      <formula>"Towel"</formula>
    </cfRule>
    <cfRule type="cellIs" dxfId="7910" priority="8912" stopIfTrue="1" operator="equal">
      <formula>"Napkin Hs"</formula>
    </cfRule>
    <cfRule type="cellIs" dxfId="7909" priority="8919" stopIfTrue="1" operator="equal">
      <formula>"Towel"</formula>
    </cfRule>
    <cfRule type="cellIs" dxfId="7908" priority="8920" stopIfTrue="1" operator="equal">
      <formula>"Napkin Hs"</formula>
    </cfRule>
    <cfRule type="cellIs" dxfId="7907" priority="8923" stopIfTrue="1" operator="equal">
      <formula>"Towel"</formula>
    </cfRule>
    <cfRule type="cellIs" dxfId="7906" priority="8924" stopIfTrue="1" operator="equal">
      <formula>"Napkin Hs"</formula>
    </cfRule>
    <cfRule type="cellIs" dxfId="7905" priority="8925" stopIfTrue="1" operator="equal">
      <formula>"Towel"</formula>
    </cfRule>
    <cfRule type="cellIs" dxfId="7904" priority="8926" stopIfTrue="1" operator="equal">
      <formula>"Napkin Hs"</formula>
    </cfRule>
  </conditionalFormatting>
  <conditionalFormatting sqref="C59:C61">
    <cfRule type="cellIs" dxfId="7903" priority="8937" stopIfTrue="1" operator="equal">
      <formula>"Towel"</formula>
    </cfRule>
    <cfRule type="cellIs" dxfId="7902" priority="8938" stopIfTrue="1" operator="equal">
      <formula>"Napkin Hs"</formula>
    </cfRule>
  </conditionalFormatting>
  <conditionalFormatting sqref="C59">
    <cfRule type="cellIs" dxfId="7901" priority="8913" stopIfTrue="1" operator="equal">
      <formula>"Towel"</formula>
    </cfRule>
    <cfRule type="cellIs" dxfId="7900" priority="8914" stopIfTrue="1" operator="equal">
      <formula>"Napkin Hs"</formula>
    </cfRule>
    <cfRule type="cellIs" dxfId="7899" priority="8917" stopIfTrue="1" operator="equal">
      <formula>"Towel"</formula>
    </cfRule>
    <cfRule type="cellIs" dxfId="7898" priority="8918" stopIfTrue="1" operator="equal">
      <formula>"Napkin Hs"</formula>
    </cfRule>
    <cfRule type="cellIs" dxfId="7897" priority="8931" stopIfTrue="1" operator="equal">
      <formula>"Towel"</formula>
    </cfRule>
    <cfRule type="cellIs" dxfId="7896" priority="8932" stopIfTrue="1" operator="equal">
      <formula>"Napkin Hs"</formula>
    </cfRule>
  </conditionalFormatting>
  <conditionalFormatting sqref="C60:C62">
    <cfRule type="cellIs" dxfId="7895" priority="8941" stopIfTrue="1" operator="equal">
      <formula>"Towel"</formula>
    </cfRule>
    <cfRule type="cellIs" dxfId="7894" priority="8942" stopIfTrue="1" operator="equal">
      <formula>"Napkin Hs"</formula>
    </cfRule>
  </conditionalFormatting>
  <conditionalFormatting sqref="B62:C62">
    <cfRule type="cellIs" dxfId="7893" priority="8877" stopIfTrue="1" operator="equal">
      <formula>"Towel"</formula>
    </cfRule>
    <cfRule type="cellIs" dxfId="7892" priority="8878" stopIfTrue="1" operator="equal">
      <formula>"Napkin Hs"</formula>
    </cfRule>
    <cfRule type="cellIs" dxfId="7891" priority="8883" stopIfTrue="1" operator="equal">
      <formula>"Towel"</formula>
    </cfRule>
    <cfRule type="cellIs" dxfId="7890" priority="8884" stopIfTrue="1" operator="equal">
      <formula>"Napkin Hs"</formula>
    </cfRule>
    <cfRule type="cellIs" dxfId="7889" priority="8889" stopIfTrue="1" operator="equal">
      <formula>"Towel"</formula>
    </cfRule>
    <cfRule type="cellIs" dxfId="7888" priority="8890" stopIfTrue="1" operator="equal">
      <formula>"Napkin Hs"</formula>
    </cfRule>
    <cfRule type="cellIs" dxfId="7887" priority="8895" stopIfTrue="1" operator="equal">
      <formula>"Towel"</formula>
    </cfRule>
    <cfRule type="cellIs" dxfId="7886" priority="8896" stopIfTrue="1" operator="equal">
      <formula>"Napkin Hs"</formula>
    </cfRule>
    <cfRule type="cellIs" dxfId="7885" priority="8901" stopIfTrue="1" operator="equal">
      <formula>"Towel"</formula>
    </cfRule>
    <cfRule type="cellIs" dxfId="7884" priority="8902" stopIfTrue="1" operator="equal">
      <formula>"Napkin Hs"</formula>
    </cfRule>
  </conditionalFormatting>
  <conditionalFormatting sqref="B62:C62">
    <cfRule type="cellIs" dxfId="7883" priority="8907" stopIfTrue="1" operator="equal">
      <formula>"Towel"</formula>
    </cfRule>
    <cfRule type="cellIs" dxfId="7882" priority="8908" stopIfTrue="1" operator="equal">
      <formula>"Napkin Hs"</formula>
    </cfRule>
  </conditionalFormatting>
  <conditionalFormatting sqref="C62">
    <cfRule type="cellIs" dxfId="7881" priority="8873" stopIfTrue="1" operator="equal">
      <formula>"Towel"</formula>
    </cfRule>
    <cfRule type="cellIs" dxfId="7880" priority="8874" stopIfTrue="1" operator="equal">
      <formula>"Napkin Hs"</formula>
    </cfRule>
  </conditionalFormatting>
  <conditionalFormatting sqref="C62">
    <cfRule type="cellIs" dxfId="7879" priority="8899" stopIfTrue="1" operator="equal">
      <formula>"Towel"</formula>
    </cfRule>
    <cfRule type="cellIs" dxfId="7878" priority="8900" stopIfTrue="1" operator="equal">
      <formula>"Napkin Hs"</formula>
    </cfRule>
    <cfRule type="cellIs" dxfId="7877" priority="8903" stopIfTrue="1" operator="equal">
      <formula>"Towel"</formula>
    </cfRule>
    <cfRule type="cellIs" dxfId="7876" priority="8904" stopIfTrue="1" operator="equal">
      <formula>"Napkin Hs"</formula>
    </cfRule>
  </conditionalFormatting>
  <conditionalFormatting sqref="C62">
    <cfRule type="cellIs" dxfId="7875" priority="8875" stopIfTrue="1" operator="equal">
      <formula>"Towel"</formula>
    </cfRule>
    <cfRule type="cellIs" dxfId="7874" priority="8876" stopIfTrue="1" operator="equal">
      <formula>"Napkin Hs"</formula>
    </cfRule>
    <cfRule type="cellIs" dxfId="7873" priority="8887" stopIfTrue="1" operator="equal">
      <formula>"Towel"</formula>
    </cfRule>
    <cfRule type="cellIs" dxfId="7872" priority="8888" stopIfTrue="1" operator="equal">
      <formula>"Napkin Hs"</formula>
    </cfRule>
    <cfRule type="cellIs" dxfId="7871" priority="8891" stopIfTrue="1" operator="equal">
      <formula>"Towel"</formula>
    </cfRule>
    <cfRule type="cellIs" dxfId="7870" priority="8892" stopIfTrue="1" operator="equal">
      <formula>"Napkin Hs"</formula>
    </cfRule>
  </conditionalFormatting>
  <conditionalFormatting sqref="C62">
    <cfRule type="cellIs" dxfId="7869" priority="8879" stopIfTrue="1" operator="equal">
      <formula>"Towel"</formula>
    </cfRule>
    <cfRule type="cellIs" dxfId="7868" priority="8880" stopIfTrue="1" operator="equal">
      <formula>"Napkin Hs"</formula>
    </cfRule>
    <cfRule type="cellIs" dxfId="7867" priority="8881" stopIfTrue="1" operator="equal">
      <formula>"Towel"</formula>
    </cfRule>
    <cfRule type="cellIs" dxfId="7866" priority="8882" stopIfTrue="1" operator="equal">
      <formula>"Napkin Hs"</formula>
    </cfRule>
    <cfRule type="cellIs" dxfId="7865" priority="8885" stopIfTrue="1" operator="equal">
      <formula>"Towel"</formula>
    </cfRule>
    <cfRule type="cellIs" dxfId="7864" priority="8886" stopIfTrue="1" operator="equal">
      <formula>"Napkin Hs"</formula>
    </cfRule>
    <cfRule type="cellIs" dxfId="7863" priority="8893" stopIfTrue="1" operator="equal">
      <formula>"Towel"</formula>
    </cfRule>
    <cfRule type="cellIs" dxfId="7862" priority="8894" stopIfTrue="1" operator="equal">
      <formula>"Napkin Hs"</formula>
    </cfRule>
    <cfRule type="cellIs" dxfId="7861" priority="8897" stopIfTrue="1" operator="equal">
      <formula>"Towel"</formula>
    </cfRule>
    <cfRule type="cellIs" dxfId="7860" priority="8898" stopIfTrue="1" operator="equal">
      <formula>"Napkin Hs"</formula>
    </cfRule>
  </conditionalFormatting>
  <conditionalFormatting sqref="C62">
    <cfRule type="cellIs" dxfId="7859" priority="8905" stopIfTrue="1" operator="equal">
      <formula>"Towel"</formula>
    </cfRule>
    <cfRule type="cellIs" dxfId="7858" priority="8906" stopIfTrue="1" operator="equal">
      <formula>"Napkin Hs"</formula>
    </cfRule>
  </conditionalFormatting>
  <conditionalFormatting sqref="B60:C60">
    <cfRule type="cellIs" dxfId="7857" priority="8783" stopIfTrue="1" operator="equal">
      <formula>"Towel"</formula>
    </cfRule>
    <cfRule type="cellIs" dxfId="7856" priority="8784" stopIfTrue="1" operator="equal">
      <formula>"Napkin Hs"</formula>
    </cfRule>
    <cfRule type="cellIs" dxfId="7855" priority="8789" stopIfTrue="1" operator="equal">
      <formula>"Towel"</formula>
    </cfRule>
    <cfRule type="cellIs" dxfId="7854" priority="8790" stopIfTrue="1" operator="equal">
      <formula>"Napkin Hs"</formula>
    </cfRule>
    <cfRule type="cellIs" dxfId="7853" priority="8795" stopIfTrue="1" operator="equal">
      <formula>"Towel"</formula>
    </cfRule>
    <cfRule type="cellIs" dxfId="7852" priority="8796" stopIfTrue="1" operator="equal">
      <formula>"Napkin Hs"</formula>
    </cfRule>
    <cfRule type="cellIs" dxfId="7851" priority="8801" stopIfTrue="1" operator="equal">
      <formula>"Towel"</formula>
    </cfRule>
    <cfRule type="cellIs" dxfId="7850" priority="8802" stopIfTrue="1" operator="equal">
      <formula>"Napkin Hs"</formula>
    </cfRule>
    <cfRule type="cellIs" dxfId="7849" priority="8807" stopIfTrue="1" operator="equal">
      <formula>"Towel"</formula>
    </cfRule>
    <cfRule type="cellIs" dxfId="7848" priority="8808" stopIfTrue="1" operator="equal">
      <formula>"Napkin Hs"</formula>
    </cfRule>
    <cfRule type="cellIs" dxfId="7847" priority="8813" stopIfTrue="1" operator="equal">
      <formula>"Towel"</formula>
    </cfRule>
    <cfRule type="cellIs" dxfId="7846" priority="8814" stopIfTrue="1" operator="equal">
      <formula>"Napkin Hs"</formula>
    </cfRule>
    <cfRule type="cellIs" dxfId="7845" priority="8819" stopIfTrue="1" operator="equal">
      <formula>"Towel"</formula>
    </cfRule>
    <cfRule type="cellIs" dxfId="7844" priority="8820" stopIfTrue="1" operator="equal">
      <formula>"Napkin Hs"</formula>
    </cfRule>
    <cfRule type="cellIs" dxfId="7843" priority="8825" stopIfTrue="1" operator="equal">
      <formula>"Towel"</formula>
    </cfRule>
    <cfRule type="cellIs" dxfId="7842" priority="8826" stopIfTrue="1" operator="equal">
      <formula>"Napkin Hs"</formula>
    </cfRule>
  </conditionalFormatting>
  <conditionalFormatting sqref="B61:C61">
    <cfRule type="cellIs" dxfId="7841" priority="8829" stopIfTrue="1" operator="equal">
      <formula>"Towel"</formula>
    </cfRule>
    <cfRule type="cellIs" dxfId="7840" priority="8830" stopIfTrue="1" operator="equal">
      <formula>"Napkin Hs"</formula>
    </cfRule>
    <cfRule type="cellIs" dxfId="7839" priority="8835" stopIfTrue="1" operator="equal">
      <formula>"Towel"</formula>
    </cfRule>
    <cfRule type="cellIs" dxfId="7838" priority="8836" stopIfTrue="1" operator="equal">
      <formula>"Napkin Hs"</formula>
    </cfRule>
    <cfRule type="cellIs" dxfId="7837" priority="8841" stopIfTrue="1" operator="equal">
      <formula>"Towel"</formula>
    </cfRule>
    <cfRule type="cellIs" dxfId="7836" priority="8842" stopIfTrue="1" operator="equal">
      <formula>"Napkin Hs"</formula>
    </cfRule>
    <cfRule type="cellIs" dxfId="7835" priority="8847" stopIfTrue="1" operator="equal">
      <formula>"Towel"</formula>
    </cfRule>
    <cfRule type="cellIs" dxfId="7834" priority="8848" stopIfTrue="1" operator="equal">
      <formula>"Napkin Hs"</formula>
    </cfRule>
    <cfRule type="cellIs" dxfId="7833" priority="8853" stopIfTrue="1" operator="equal">
      <formula>"Towel"</formula>
    </cfRule>
    <cfRule type="cellIs" dxfId="7832" priority="8854" stopIfTrue="1" operator="equal">
      <formula>"Napkin Hs"</formula>
    </cfRule>
    <cfRule type="cellIs" dxfId="7831" priority="8859" stopIfTrue="1" operator="equal">
      <formula>"Towel"</formula>
    </cfRule>
    <cfRule type="cellIs" dxfId="7830" priority="8860" stopIfTrue="1" operator="equal">
      <formula>"Napkin Hs"</formula>
    </cfRule>
    <cfRule type="cellIs" dxfId="7829" priority="8865" stopIfTrue="1" operator="equal">
      <formula>"Towel"</formula>
    </cfRule>
    <cfRule type="cellIs" dxfId="7828" priority="8866" stopIfTrue="1" operator="equal">
      <formula>"Napkin Hs"</formula>
    </cfRule>
    <cfRule type="cellIs" dxfId="7827" priority="8871" stopIfTrue="1" operator="equal">
      <formula>"Towel"</formula>
    </cfRule>
    <cfRule type="cellIs" dxfId="7826" priority="8872" stopIfTrue="1" operator="equal">
      <formula>"Napkin Hs"</formula>
    </cfRule>
  </conditionalFormatting>
  <conditionalFormatting sqref="C60">
    <cfRule type="cellIs" dxfId="7825" priority="8779" stopIfTrue="1" operator="equal">
      <formula>"Towel"</formula>
    </cfRule>
    <cfRule type="cellIs" dxfId="7824" priority="8780" stopIfTrue="1" operator="equal">
      <formula>"Napkin Hs"</formula>
    </cfRule>
    <cfRule type="cellIs" dxfId="7823" priority="8781" stopIfTrue="1" operator="equal">
      <formula>"Towel"</formula>
    </cfRule>
    <cfRule type="cellIs" dxfId="7822" priority="8782" stopIfTrue="1" operator="equal">
      <formula>"Napkin Hs"</formula>
    </cfRule>
    <cfRule type="cellIs" dxfId="7821" priority="8785" stopIfTrue="1" operator="equal">
      <formula>"Towel"</formula>
    </cfRule>
    <cfRule type="cellIs" dxfId="7820" priority="8786" stopIfTrue="1" operator="equal">
      <formula>"Napkin Hs"</formula>
    </cfRule>
    <cfRule type="cellIs" dxfId="7819" priority="8787" stopIfTrue="1" operator="equal">
      <formula>"Towel"</formula>
    </cfRule>
    <cfRule type="cellIs" dxfId="7818" priority="8788" stopIfTrue="1" operator="equal">
      <formula>"Napkin Hs"</formula>
    </cfRule>
    <cfRule type="cellIs" dxfId="7817" priority="8791" stopIfTrue="1" operator="equal">
      <formula>"Towel"</formula>
    </cfRule>
    <cfRule type="cellIs" dxfId="7816" priority="8792" stopIfTrue="1" operator="equal">
      <formula>"Napkin Hs"</formula>
    </cfRule>
    <cfRule type="cellIs" dxfId="7815" priority="8793" stopIfTrue="1" operator="equal">
      <formula>"Towel"</formula>
    </cfRule>
    <cfRule type="cellIs" dxfId="7814" priority="8794" stopIfTrue="1" operator="equal">
      <formula>"Napkin Hs"</formula>
    </cfRule>
    <cfRule type="cellIs" dxfId="7813" priority="8797" stopIfTrue="1" operator="equal">
      <formula>"Towel"</formula>
    </cfRule>
    <cfRule type="cellIs" dxfId="7812" priority="8798" stopIfTrue="1" operator="equal">
      <formula>"Napkin Hs"</formula>
    </cfRule>
    <cfRule type="cellIs" dxfId="7811" priority="8799" stopIfTrue="1" operator="equal">
      <formula>"Towel"</formula>
    </cfRule>
    <cfRule type="cellIs" dxfId="7810" priority="8800" stopIfTrue="1" operator="equal">
      <formula>"Napkin Hs"</formula>
    </cfRule>
    <cfRule type="cellIs" dxfId="7809" priority="8803" stopIfTrue="1" operator="equal">
      <formula>"Towel"</formula>
    </cfRule>
    <cfRule type="cellIs" dxfId="7808" priority="8804" stopIfTrue="1" operator="equal">
      <formula>"Napkin Hs"</formula>
    </cfRule>
    <cfRule type="cellIs" dxfId="7807" priority="8805" stopIfTrue="1" operator="equal">
      <formula>"Towel"</formula>
    </cfRule>
    <cfRule type="cellIs" dxfId="7806" priority="8806" stopIfTrue="1" operator="equal">
      <formula>"Napkin Hs"</formula>
    </cfRule>
    <cfRule type="cellIs" dxfId="7805" priority="8809" stopIfTrue="1" operator="equal">
      <formula>"Towel"</formula>
    </cfRule>
    <cfRule type="cellIs" dxfId="7804" priority="8810" stopIfTrue="1" operator="equal">
      <formula>"Napkin Hs"</formula>
    </cfRule>
    <cfRule type="cellIs" dxfId="7803" priority="8811" stopIfTrue="1" operator="equal">
      <formula>"Towel"</formula>
    </cfRule>
    <cfRule type="cellIs" dxfId="7802" priority="8812" stopIfTrue="1" operator="equal">
      <formula>"Napkin Hs"</formula>
    </cfRule>
    <cfRule type="cellIs" dxfId="7801" priority="8815" stopIfTrue="1" operator="equal">
      <formula>"Towel"</formula>
    </cfRule>
    <cfRule type="cellIs" dxfId="7800" priority="8816" stopIfTrue="1" operator="equal">
      <formula>"Napkin Hs"</formula>
    </cfRule>
    <cfRule type="cellIs" dxfId="7799" priority="8817" stopIfTrue="1" operator="equal">
      <formula>"Towel"</formula>
    </cfRule>
    <cfRule type="cellIs" dxfId="7798" priority="8818" stopIfTrue="1" operator="equal">
      <formula>"Napkin Hs"</formula>
    </cfRule>
    <cfRule type="cellIs" dxfId="7797" priority="8821" stopIfTrue="1" operator="equal">
      <formula>"Towel"</formula>
    </cfRule>
    <cfRule type="cellIs" dxfId="7796" priority="8822" stopIfTrue="1" operator="equal">
      <formula>"Napkin Hs"</formula>
    </cfRule>
  </conditionalFormatting>
  <conditionalFormatting sqref="C60:C61">
    <cfRule type="cellIs" dxfId="7795" priority="8823" stopIfTrue="1" operator="equal">
      <formula>"Towel"</formula>
    </cfRule>
    <cfRule type="cellIs" dxfId="7794" priority="8824" stopIfTrue="1" operator="equal">
      <formula>"Napkin Hs"</formula>
    </cfRule>
  </conditionalFormatting>
  <conditionalFormatting sqref="C61">
    <cfRule type="cellIs" dxfId="7793" priority="8827" stopIfTrue="1" operator="equal">
      <formula>"Towel"</formula>
    </cfRule>
    <cfRule type="cellIs" dxfId="7792" priority="8828" stopIfTrue="1" operator="equal">
      <formula>"Napkin Hs"</formula>
    </cfRule>
    <cfRule type="cellIs" dxfId="7791" priority="8831" stopIfTrue="1" operator="equal">
      <formula>"Towel"</formula>
    </cfRule>
    <cfRule type="cellIs" dxfId="7790" priority="8832" stopIfTrue="1" operator="equal">
      <formula>"Napkin Hs"</formula>
    </cfRule>
    <cfRule type="cellIs" dxfId="7789" priority="8833" stopIfTrue="1" operator="equal">
      <formula>"Towel"</formula>
    </cfRule>
    <cfRule type="cellIs" dxfId="7788" priority="8834" stopIfTrue="1" operator="equal">
      <formula>"Napkin Hs"</formula>
    </cfRule>
    <cfRule type="cellIs" dxfId="7787" priority="8837" stopIfTrue="1" operator="equal">
      <formula>"Towel"</formula>
    </cfRule>
    <cfRule type="cellIs" dxfId="7786" priority="8838" stopIfTrue="1" operator="equal">
      <formula>"Napkin Hs"</formula>
    </cfRule>
    <cfRule type="cellIs" dxfId="7785" priority="8839" stopIfTrue="1" operator="equal">
      <formula>"Towel"</formula>
    </cfRule>
    <cfRule type="cellIs" dxfId="7784" priority="8840" stopIfTrue="1" operator="equal">
      <formula>"Napkin Hs"</formula>
    </cfRule>
    <cfRule type="cellIs" dxfId="7783" priority="8843" stopIfTrue="1" operator="equal">
      <formula>"Towel"</formula>
    </cfRule>
    <cfRule type="cellIs" dxfId="7782" priority="8844" stopIfTrue="1" operator="equal">
      <formula>"Napkin Hs"</formula>
    </cfRule>
    <cfRule type="cellIs" dxfId="7781" priority="8845" stopIfTrue="1" operator="equal">
      <formula>"Towel"</formula>
    </cfRule>
    <cfRule type="cellIs" dxfId="7780" priority="8846" stopIfTrue="1" operator="equal">
      <formula>"Napkin Hs"</formula>
    </cfRule>
    <cfRule type="cellIs" dxfId="7779" priority="8849" stopIfTrue="1" operator="equal">
      <formula>"Towel"</formula>
    </cfRule>
    <cfRule type="cellIs" dxfId="7778" priority="8850" stopIfTrue="1" operator="equal">
      <formula>"Napkin Hs"</formula>
    </cfRule>
    <cfRule type="cellIs" dxfId="7777" priority="8851" stopIfTrue="1" operator="equal">
      <formula>"Towel"</formula>
    </cfRule>
    <cfRule type="cellIs" dxfId="7776" priority="8852" stopIfTrue="1" operator="equal">
      <formula>"Napkin Hs"</formula>
    </cfRule>
    <cfRule type="cellIs" dxfId="7775" priority="8855" stopIfTrue="1" operator="equal">
      <formula>"Towel"</formula>
    </cfRule>
    <cfRule type="cellIs" dxfId="7774" priority="8856" stopIfTrue="1" operator="equal">
      <formula>"Napkin Hs"</formula>
    </cfRule>
    <cfRule type="cellIs" dxfId="7773" priority="8857" stopIfTrue="1" operator="equal">
      <formula>"Towel"</formula>
    </cfRule>
    <cfRule type="cellIs" dxfId="7772" priority="8858" stopIfTrue="1" operator="equal">
      <formula>"Napkin Hs"</formula>
    </cfRule>
    <cfRule type="cellIs" dxfId="7771" priority="8861" stopIfTrue="1" operator="equal">
      <formula>"Towel"</formula>
    </cfRule>
    <cfRule type="cellIs" dxfId="7770" priority="8862" stopIfTrue="1" operator="equal">
      <formula>"Napkin Hs"</formula>
    </cfRule>
  </conditionalFormatting>
  <conditionalFormatting sqref="C61">
    <cfRule type="cellIs" dxfId="7769" priority="8863" stopIfTrue="1" operator="equal">
      <formula>"Towel"</formula>
    </cfRule>
    <cfRule type="cellIs" dxfId="7768" priority="8864" stopIfTrue="1" operator="equal">
      <formula>"Napkin Hs"</formula>
    </cfRule>
  </conditionalFormatting>
  <conditionalFormatting sqref="C61">
    <cfRule type="cellIs" dxfId="7767" priority="8867" stopIfTrue="1" operator="equal">
      <formula>"Towel"</formula>
    </cfRule>
    <cfRule type="cellIs" dxfId="7766" priority="8868" stopIfTrue="1" operator="equal">
      <formula>"Napkin Hs"</formula>
    </cfRule>
    <cfRule type="cellIs" dxfId="7765" priority="8869" stopIfTrue="1" operator="equal">
      <formula>"Towel"</formula>
    </cfRule>
    <cfRule type="cellIs" dxfId="7764" priority="8870" stopIfTrue="1" operator="equal">
      <formula>"Napkin Hs"</formula>
    </cfRule>
  </conditionalFormatting>
  <conditionalFormatting sqref="B60">
    <cfRule type="cellIs" dxfId="7763" priority="8773" stopIfTrue="1" operator="equal">
      <formula>"Towel"</formula>
    </cfRule>
    <cfRule type="cellIs" dxfId="7762" priority="8774" stopIfTrue="1" operator="equal">
      <formula>"Napkin Hs"</formula>
    </cfRule>
    <cfRule type="cellIs" dxfId="7761" priority="8775" stopIfTrue="1" operator="equal">
      <formula>"Towel"</formula>
    </cfRule>
    <cfRule type="cellIs" dxfId="7760" priority="8776" stopIfTrue="1" operator="equal">
      <formula>"Napkin Hs"</formula>
    </cfRule>
    <cfRule type="cellIs" dxfId="7759" priority="8777" stopIfTrue="1" operator="equal">
      <formula>"Towel"</formula>
    </cfRule>
    <cfRule type="cellIs" dxfId="7758" priority="8778" stopIfTrue="1" operator="equal">
      <formula>"Napkin Hs"</formula>
    </cfRule>
  </conditionalFormatting>
  <conditionalFormatting sqref="B60:C61">
    <cfRule type="cellIs" dxfId="7757" priority="8735" stopIfTrue="1" operator="equal">
      <formula>"Towel"</formula>
    </cfRule>
    <cfRule type="cellIs" dxfId="7756" priority="8736" stopIfTrue="1" operator="equal">
      <formula>"Napkin Hs"</formula>
    </cfRule>
    <cfRule type="cellIs" dxfId="7755" priority="8741" stopIfTrue="1" operator="equal">
      <formula>"Towel"</formula>
    </cfRule>
    <cfRule type="cellIs" dxfId="7754" priority="8742" stopIfTrue="1" operator="equal">
      <formula>"Napkin Hs"</formula>
    </cfRule>
    <cfRule type="cellIs" dxfId="7753" priority="8747" stopIfTrue="1" operator="equal">
      <formula>"Towel"</formula>
    </cfRule>
    <cfRule type="cellIs" dxfId="7752" priority="8748" stopIfTrue="1" operator="equal">
      <formula>"Napkin Hs"</formula>
    </cfRule>
    <cfRule type="cellIs" dxfId="7751" priority="8753" stopIfTrue="1" operator="equal">
      <formula>"Towel"</formula>
    </cfRule>
    <cfRule type="cellIs" dxfId="7750" priority="8754" stopIfTrue="1" operator="equal">
      <formula>"Napkin Hs"</formula>
    </cfRule>
    <cfRule type="cellIs" dxfId="7749" priority="8759" stopIfTrue="1" operator="equal">
      <formula>"Towel"</formula>
    </cfRule>
    <cfRule type="cellIs" dxfId="7748" priority="8760" stopIfTrue="1" operator="equal">
      <formula>"Napkin Hs"</formula>
    </cfRule>
    <cfRule type="cellIs" dxfId="7747" priority="8765" stopIfTrue="1" operator="equal">
      <formula>"Towel"</formula>
    </cfRule>
    <cfRule type="cellIs" dxfId="7746" priority="8766" stopIfTrue="1" operator="equal">
      <formula>"Napkin Hs"</formula>
    </cfRule>
    <cfRule type="cellIs" dxfId="7745" priority="8771" stopIfTrue="1" operator="equal">
      <formula>"Towel"</formula>
    </cfRule>
    <cfRule type="cellIs" dxfId="7744" priority="8772" stopIfTrue="1" operator="equal">
      <formula>"Napkin Hs"</formula>
    </cfRule>
  </conditionalFormatting>
  <conditionalFormatting sqref="C60:C61">
    <cfRule type="cellIs" dxfId="7743" priority="8731" stopIfTrue="1" operator="equal">
      <formula>"Towel"</formula>
    </cfRule>
    <cfRule type="cellIs" dxfId="7742" priority="8732" stopIfTrue="1" operator="equal">
      <formula>"Napkin Hs"</formula>
    </cfRule>
    <cfRule type="cellIs" dxfId="7741" priority="8733" stopIfTrue="1" operator="equal">
      <formula>"Towel"</formula>
    </cfRule>
    <cfRule type="cellIs" dxfId="7740" priority="8734" stopIfTrue="1" operator="equal">
      <formula>"Napkin Hs"</formula>
    </cfRule>
    <cfRule type="cellIs" dxfId="7739" priority="8737" stopIfTrue="1" operator="equal">
      <formula>"Towel"</formula>
    </cfRule>
    <cfRule type="cellIs" dxfId="7738" priority="8738" stopIfTrue="1" operator="equal">
      <formula>"Napkin Hs"</formula>
    </cfRule>
    <cfRule type="cellIs" dxfId="7737" priority="8739" stopIfTrue="1" operator="equal">
      <formula>"Towel"</formula>
    </cfRule>
    <cfRule type="cellIs" dxfId="7736" priority="8740" stopIfTrue="1" operator="equal">
      <formula>"Napkin Hs"</formula>
    </cfRule>
    <cfRule type="cellIs" dxfId="7735" priority="8743" stopIfTrue="1" operator="equal">
      <formula>"Towel"</formula>
    </cfRule>
    <cfRule type="cellIs" dxfId="7734" priority="8744" stopIfTrue="1" operator="equal">
      <formula>"Napkin Hs"</formula>
    </cfRule>
    <cfRule type="cellIs" dxfId="7733" priority="8745" stopIfTrue="1" operator="equal">
      <formula>"Towel"</formula>
    </cfRule>
    <cfRule type="cellIs" dxfId="7732" priority="8746" stopIfTrue="1" operator="equal">
      <formula>"Napkin Hs"</formula>
    </cfRule>
    <cfRule type="cellIs" dxfId="7731" priority="8749" stopIfTrue="1" operator="equal">
      <formula>"Towel"</formula>
    </cfRule>
    <cfRule type="cellIs" dxfId="7730" priority="8750" stopIfTrue="1" operator="equal">
      <formula>"Napkin Hs"</formula>
    </cfRule>
    <cfRule type="cellIs" dxfId="7729" priority="8751" stopIfTrue="1" operator="equal">
      <formula>"Towel"</formula>
    </cfRule>
    <cfRule type="cellIs" dxfId="7728" priority="8752" stopIfTrue="1" operator="equal">
      <formula>"Napkin Hs"</formula>
    </cfRule>
    <cfRule type="cellIs" dxfId="7727" priority="8755" stopIfTrue="1" operator="equal">
      <formula>"Towel"</formula>
    </cfRule>
    <cfRule type="cellIs" dxfId="7726" priority="8756" stopIfTrue="1" operator="equal">
      <formula>"Napkin Hs"</formula>
    </cfRule>
    <cfRule type="cellIs" dxfId="7725" priority="8757" stopIfTrue="1" operator="equal">
      <formula>"Towel"</formula>
    </cfRule>
    <cfRule type="cellIs" dxfId="7724" priority="8758" stopIfTrue="1" operator="equal">
      <formula>"Napkin Hs"</formula>
    </cfRule>
    <cfRule type="cellIs" dxfId="7723" priority="8761" stopIfTrue="1" operator="equal">
      <formula>"Towel"</formula>
    </cfRule>
    <cfRule type="cellIs" dxfId="7722" priority="8762" stopIfTrue="1" operator="equal">
      <formula>"Napkin Hs"</formula>
    </cfRule>
    <cfRule type="cellIs" dxfId="7721" priority="8763" stopIfTrue="1" operator="equal">
      <formula>"Towel"</formula>
    </cfRule>
    <cfRule type="cellIs" dxfId="7720" priority="8764" stopIfTrue="1" operator="equal">
      <formula>"Napkin Hs"</formula>
    </cfRule>
    <cfRule type="cellIs" dxfId="7719" priority="8767" stopIfTrue="1" operator="equal">
      <formula>"Towel"</formula>
    </cfRule>
    <cfRule type="cellIs" dxfId="7718" priority="8768" stopIfTrue="1" operator="equal">
      <formula>"Napkin Hs"</formula>
    </cfRule>
  </conditionalFormatting>
  <conditionalFormatting sqref="C60:C61">
    <cfRule type="cellIs" dxfId="7717" priority="8769" stopIfTrue="1" operator="equal">
      <formula>"Towel"</formula>
    </cfRule>
    <cfRule type="cellIs" dxfId="7716" priority="8770" stopIfTrue="1" operator="equal">
      <formula>"Napkin Hs"</formula>
    </cfRule>
  </conditionalFormatting>
  <conditionalFormatting sqref="B60:C60">
    <cfRule type="cellIs" dxfId="7715" priority="8729" stopIfTrue="1" operator="equal">
      <formula>"Towel"</formula>
    </cfRule>
    <cfRule type="cellIs" dxfId="7714" priority="8730" stopIfTrue="1" operator="equal">
      <formula>"Napkin Hs"</formula>
    </cfRule>
  </conditionalFormatting>
  <conditionalFormatting sqref="B60:C60">
    <cfRule type="cellIs" dxfId="7713" priority="8693" stopIfTrue="1" operator="equal">
      <formula>"Towel"</formula>
    </cfRule>
    <cfRule type="cellIs" dxfId="7712" priority="8694" stopIfTrue="1" operator="equal">
      <formula>"Napkin Hs"</formula>
    </cfRule>
    <cfRule type="cellIs" dxfId="7711" priority="8699" stopIfTrue="1" operator="equal">
      <formula>"Towel"</formula>
    </cfRule>
    <cfRule type="cellIs" dxfId="7710" priority="8700" stopIfTrue="1" operator="equal">
      <formula>"Napkin Hs"</formula>
    </cfRule>
    <cfRule type="cellIs" dxfId="7709" priority="8705" stopIfTrue="1" operator="equal">
      <formula>"Towel"</formula>
    </cfRule>
    <cfRule type="cellIs" dxfId="7708" priority="8706" stopIfTrue="1" operator="equal">
      <formula>"Napkin Hs"</formula>
    </cfRule>
    <cfRule type="cellIs" dxfId="7707" priority="8711" stopIfTrue="1" operator="equal">
      <formula>"Towel"</formula>
    </cfRule>
    <cfRule type="cellIs" dxfId="7706" priority="8712" stopIfTrue="1" operator="equal">
      <formula>"Napkin Hs"</formula>
    </cfRule>
    <cfRule type="cellIs" dxfId="7705" priority="8717" stopIfTrue="1" operator="equal">
      <formula>"Towel"</formula>
    </cfRule>
    <cfRule type="cellIs" dxfId="7704" priority="8718" stopIfTrue="1" operator="equal">
      <formula>"Napkin Hs"</formula>
    </cfRule>
    <cfRule type="cellIs" dxfId="7703" priority="8723" stopIfTrue="1" operator="equal">
      <formula>"Towel"</formula>
    </cfRule>
    <cfRule type="cellIs" dxfId="7702" priority="8724" stopIfTrue="1" operator="equal">
      <formula>"Napkin Hs"</formula>
    </cfRule>
  </conditionalFormatting>
  <conditionalFormatting sqref="B61:C61">
    <cfRule type="cellIs" dxfId="7701" priority="8653" stopIfTrue="1" operator="equal">
      <formula>"Towel"</formula>
    </cfRule>
    <cfRule type="cellIs" dxfId="7700" priority="8654" stopIfTrue="1" operator="equal">
      <formula>"Napkin Hs"</formula>
    </cfRule>
    <cfRule type="cellIs" dxfId="7699" priority="8659" stopIfTrue="1" operator="equal">
      <formula>"Towel"</formula>
    </cfRule>
    <cfRule type="cellIs" dxfId="7698" priority="8660" stopIfTrue="1" operator="equal">
      <formula>"Napkin Hs"</formula>
    </cfRule>
    <cfRule type="cellIs" dxfId="7697" priority="8665" stopIfTrue="1" operator="equal">
      <formula>"Towel"</formula>
    </cfRule>
    <cfRule type="cellIs" dxfId="7696" priority="8666" stopIfTrue="1" operator="equal">
      <formula>"Napkin Hs"</formula>
    </cfRule>
    <cfRule type="cellIs" dxfId="7695" priority="8671" stopIfTrue="1" operator="equal">
      <formula>"Towel"</formula>
    </cfRule>
    <cfRule type="cellIs" dxfId="7694" priority="8672" stopIfTrue="1" operator="equal">
      <formula>"Napkin Hs"</formula>
    </cfRule>
    <cfRule type="cellIs" dxfId="7693" priority="8677" stopIfTrue="1" operator="equal">
      <formula>"Towel"</formula>
    </cfRule>
    <cfRule type="cellIs" dxfId="7692" priority="8678" stopIfTrue="1" operator="equal">
      <formula>"Napkin Hs"</formula>
    </cfRule>
    <cfRule type="cellIs" dxfId="7691" priority="8683" stopIfTrue="1" operator="equal">
      <formula>"Towel"</formula>
    </cfRule>
    <cfRule type="cellIs" dxfId="7690" priority="8684" stopIfTrue="1" operator="equal">
      <formula>"Napkin Hs"</formula>
    </cfRule>
    <cfRule type="cellIs" dxfId="7689" priority="8689" stopIfTrue="1" operator="equal">
      <formula>"Towel"</formula>
    </cfRule>
    <cfRule type="cellIs" dxfId="7688" priority="8690" stopIfTrue="1" operator="equal">
      <formula>"Napkin Hs"</formula>
    </cfRule>
  </conditionalFormatting>
  <conditionalFormatting sqref="C60">
    <cfRule type="cellIs" dxfId="7687" priority="8728" stopIfTrue="1" operator="equal">
      <formula>"Napkin Hs"</formula>
    </cfRule>
  </conditionalFormatting>
  <conditionalFormatting sqref="C60">
    <cfRule type="cellIs" dxfId="7686" priority="8727" stopIfTrue="1" operator="equal">
      <formula>"Towel"</formula>
    </cfRule>
  </conditionalFormatting>
  <conditionalFormatting sqref="C60">
    <cfRule type="cellIs" dxfId="7685" priority="8721" stopIfTrue="1" operator="equal">
      <formula>"Towel"</formula>
    </cfRule>
    <cfRule type="cellIs" dxfId="7684" priority="8722" stopIfTrue="1" operator="equal">
      <formula>"Napkin Hs"</formula>
    </cfRule>
  </conditionalFormatting>
  <conditionalFormatting sqref="C60">
    <cfRule type="cellIs" dxfId="7683" priority="8719" stopIfTrue="1" operator="equal">
      <formula>"Towel"</formula>
    </cfRule>
    <cfRule type="cellIs" dxfId="7682" priority="8720" stopIfTrue="1" operator="equal">
      <formula>"Napkin Hs"</formula>
    </cfRule>
    <cfRule type="cellIs" dxfId="7681" priority="8725" stopIfTrue="1" operator="equal">
      <formula>"Towel"</formula>
    </cfRule>
    <cfRule type="cellIs" dxfId="7680" priority="8726" stopIfTrue="1" operator="equal">
      <formula>"Napkin Hs"</formula>
    </cfRule>
  </conditionalFormatting>
  <conditionalFormatting sqref="C60">
    <cfRule type="cellIs" dxfId="7679" priority="8691" stopIfTrue="1" operator="equal">
      <formula>"Towel"</formula>
    </cfRule>
    <cfRule type="cellIs" dxfId="7678" priority="8692" stopIfTrue="1" operator="equal">
      <formula>"Napkin Hs"</formula>
    </cfRule>
    <cfRule type="cellIs" dxfId="7677" priority="8695" stopIfTrue="1" operator="equal">
      <formula>"Towel"</formula>
    </cfRule>
    <cfRule type="cellIs" dxfId="7676" priority="8696" stopIfTrue="1" operator="equal">
      <formula>"Napkin Hs"</formula>
    </cfRule>
    <cfRule type="cellIs" dxfId="7675" priority="8697" stopIfTrue="1" operator="equal">
      <formula>"Towel"</formula>
    </cfRule>
    <cfRule type="cellIs" dxfId="7674" priority="8698" stopIfTrue="1" operator="equal">
      <formula>"Napkin Hs"</formula>
    </cfRule>
    <cfRule type="cellIs" dxfId="7673" priority="8701" stopIfTrue="1" operator="equal">
      <formula>"Towel"</formula>
    </cfRule>
    <cfRule type="cellIs" dxfId="7672" priority="8702" stopIfTrue="1" operator="equal">
      <formula>"Napkin Hs"</formula>
    </cfRule>
    <cfRule type="cellIs" dxfId="7671" priority="8703" stopIfTrue="1" operator="equal">
      <formula>"Towel"</formula>
    </cfRule>
    <cfRule type="cellIs" dxfId="7670" priority="8704" stopIfTrue="1" operator="equal">
      <formula>"Napkin Hs"</formula>
    </cfRule>
    <cfRule type="cellIs" dxfId="7669" priority="8707" stopIfTrue="1" operator="equal">
      <formula>"Towel"</formula>
    </cfRule>
    <cfRule type="cellIs" dxfId="7668" priority="8708" stopIfTrue="1" operator="equal">
      <formula>"Napkin Hs"</formula>
    </cfRule>
    <cfRule type="cellIs" dxfId="7667" priority="8709" stopIfTrue="1" operator="equal">
      <formula>"Towel"</formula>
    </cfRule>
    <cfRule type="cellIs" dxfId="7666" priority="8710" stopIfTrue="1" operator="equal">
      <formula>"Napkin Hs"</formula>
    </cfRule>
    <cfRule type="cellIs" dxfId="7665" priority="8713" stopIfTrue="1" operator="equal">
      <formula>"Towel"</formula>
    </cfRule>
    <cfRule type="cellIs" dxfId="7664" priority="8714" stopIfTrue="1" operator="equal">
      <formula>"Napkin Hs"</formula>
    </cfRule>
    <cfRule type="cellIs" dxfId="7663" priority="8715" stopIfTrue="1" operator="equal">
      <formula>"Towel"</formula>
    </cfRule>
    <cfRule type="cellIs" dxfId="7662" priority="8716" stopIfTrue="1" operator="equal">
      <formula>"Napkin Hs"</formula>
    </cfRule>
  </conditionalFormatting>
  <conditionalFormatting sqref="C60:C61">
    <cfRule type="cellIs" dxfId="7661" priority="8687" stopIfTrue="1" operator="equal">
      <formula>"Towel"</formula>
    </cfRule>
    <cfRule type="cellIs" dxfId="7660" priority="8688" stopIfTrue="1" operator="equal">
      <formula>"Napkin Hs"</formula>
    </cfRule>
  </conditionalFormatting>
  <conditionalFormatting sqref="C61">
    <cfRule type="cellIs" dxfId="7659" priority="8649" stopIfTrue="1" operator="equal">
      <formula>"Towel"</formula>
    </cfRule>
    <cfRule type="cellIs" dxfId="7658" priority="8650" stopIfTrue="1" operator="equal">
      <formula>"Napkin Hs"</formula>
    </cfRule>
    <cfRule type="cellIs" dxfId="7657" priority="8651" stopIfTrue="1" operator="equal">
      <formula>"Towel"</formula>
    </cfRule>
    <cfRule type="cellIs" dxfId="7656" priority="8652" stopIfTrue="1" operator="equal">
      <formula>"Napkin Hs"</formula>
    </cfRule>
    <cfRule type="cellIs" dxfId="7655" priority="8655" stopIfTrue="1" operator="equal">
      <formula>"Towel"</formula>
    </cfRule>
    <cfRule type="cellIs" dxfId="7654" priority="8656" stopIfTrue="1" operator="equal">
      <formula>"Napkin Hs"</formula>
    </cfRule>
    <cfRule type="cellIs" dxfId="7653" priority="8657" stopIfTrue="1" operator="equal">
      <formula>"Towel"</formula>
    </cfRule>
    <cfRule type="cellIs" dxfId="7652" priority="8658" stopIfTrue="1" operator="equal">
      <formula>"Napkin Hs"</formula>
    </cfRule>
    <cfRule type="cellIs" dxfId="7651" priority="8661" stopIfTrue="1" operator="equal">
      <formula>"Towel"</formula>
    </cfRule>
    <cfRule type="cellIs" dxfId="7650" priority="8662" stopIfTrue="1" operator="equal">
      <formula>"Napkin Hs"</formula>
    </cfRule>
    <cfRule type="cellIs" dxfId="7649" priority="8663" stopIfTrue="1" operator="equal">
      <formula>"Towel"</formula>
    </cfRule>
    <cfRule type="cellIs" dxfId="7648" priority="8664" stopIfTrue="1" operator="equal">
      <formula>"Napkin Hs"</formula>
    </cfRule>
    <cfRule type="cellIs" dxfId="7647" priority="8667" stopIfTrue="1" operator="equal">
      <formula>"Towel"</formula>
    </cfRule>
    <cfRule type="cellIs" dxfId="7646" priority="8668" stopIfTrue="1" operator="equal">
      <formula>"Napkin Hs"</formula>
    </cfRule>
    <cfRule type="cellIs" dxfId="7645" priority="8669" stopIfTrue="1" operator="equal">
      <formula>"Towel"</formula>
    </cfRule>
    <cfRule type="cellIs" dxfId="7644" priority="8670" stopIfTrue="1" operator="equal">
      <formula>"Napkin Hs"</formula>
    </cfRule>
    <cfRule type="cellIs" dxfId="7643" priority="8673" stopIfTrue="1" operator="equal">
      <formula>"Towel"</formula>
    </cfRule>
    <cfRule type="cellIs" dxfId="7642" priority="8674" stopIfTrue="1" operator="equal">
      <formula>"Napkin Hs"</formula>
    </cfRule>
    <cfRule type="cellIs" dxfId="7641" priority="8675" stopIfTrue="1" operator="equal">
      <formula>"Towel"</formula>
    </cfRule>
    <cfRule type="cellIs" dxfId="7640" priority="8676" stopIfTrue="1" operator="equal">
      <formula>"Napkin Hs"</formula>
    </cfRule>
    <cfRule type="cellIs" dxfId="7639" priority="8679" stopIfTrue="1" operator="equal">
      <formula>"Towel"</formula>
    </cfRule>
    <cfRule type="cellIs" dxfId="7638" priority="8680" stopIfTrue="1" operator="equal">
      <formula>"Napkin Hs"</formula>
    </cfRule>
    <cfRule type="cellIs" dxfId="7637" priority="8681" stopIfTrue="1" operator="equal">
      <formula>"Towel"</formula>
    </cfRule>
    <cfRule type="cellIs" dxfId="7636" priority="8682" stopIfTrue="1" operator="equal">
      <formula>"Napkin Hs"</formula>
    </cfRule>
    <cfRule type="cellIs" dxfId="7635" priority="8685" stopIfTrue="1" operator="equal">
      <formula>"Towel"</formula>
    </cfRule>
    <cfRule type="cellIs" dxfId="7634" priority="8686" stopIfTrue="1" operator="equal">
      <formula>"Napkin Hs"</formula>
    </cfRule>
  </conditionalFormatting>
  <conditionalFormatting sqref="C60">
    <cfRule type="cellIs" dxfId="7633" priority="8617" stopIfTrue="1" operator="equal">
      <formula>"Towel"</formula>
    </cfRule>
    <cfRule type="cellIs" dxfId="7632" priority="8618" stopIfTrue="1" operator="equal">
      <formula>"Napkin Hs"</formula>
    </cfRule>
    <cfRule type="cellIs" dxfId="7631" priority="8631" stopIfTrue="1" operator="equal">
      <formula>"Towel"</formula>
    </cfRule>
    <cfRule type="cellIs" dxfId="7630" priority="8632" stopIfTrue="1" operator="equal">
      <formula>"Napkin Hs"</formula>
    </cfRule>
    <cfRule type="cellIs" dxfId="7629" priority="8637" stopIfTrue="1" operator="equal">
      <formula>"Towel"</formula>
    </cfRule>
    <cfRule type="cellIs" dxfId="7628" priority="8638" stopIfTrue="1" operator="equal">
      <formula>"Napkin Hs"</formula>
    </cfRule>
    <cfRule type="cellIs" dxfId="7627" priority="8647" stopIfTrue="1" operator="equal">
      <formula>"Towel"</formula>
    </cfRule>
    <cfRule type="cellIs" dxfId="7626" priority="8648" stopIfTrue="1" operator="equal">
      <formula>"Napkin Hs"</formula>
    </cfRule>
  </conditionalFormatting>
  <conditionalFormatting sqref="B61:C61">
    <cfRule type="cellIs" dxfId="7625" priority="8621" stopIfTrue="1" operator="equal">
      <formula>"Towel"</formula>
    </cfRule>
    <cfRule type="cellIs" dxfId="7624" priority="8622" stopIfTrue="1" operator="equal">
      <formula>"Napkin Hs"</formula>
    </cfRule>
    <cfRule type="cellIs" dxfId="7623" priority="8627" stopIfTrue="1" operator="equal">
      <formula>"Towel"</formula>
    </cfRule>
    <cfRule type="cellIs" dxfId="7622" priority="8628" stopIfTrue="1" operator="equal">
      <formula>"Napkin Hs"</formula>
    </cfRule>
    <cfRule type="cellIs" dxfId="7621" priority="8643" stopIfTrue="1" operator="equal">
      <formula>"Towel"</formula>
    </cfRule>
    <cfRule type="cellIs" dxfId="7620" priority="8644" stopIfTrue="1" operator="equal">
      <formula>"Napkin Hs"</formula>
    </cfRule>
  </conditionalFormatting>
  <conditionalFormatting sqref="C60">
    <cfRule type="cellIs" dxfId="7619" priority="8635" stopIfTrue="1" operator="equal">
      <formula>"Towel"</formula>
    </cfRule>
    <cfRule type="cellIs" dxfId="7618" priority="8636" stopIfTrue="1" operator="equal">
      <formula>"Napkin Hs"</formula>
    </cfRule>
    <cfRule type="cellIs" dxfId="7617" priority="8645" stopIfTrue="1" operator="equal">
      <formula>"Towel"</formula>
    </cfRule>
    <cfRule type="cellIs" dxfId="7616" priority="8646" stopIfTrue="1" operator="equal">
      <formula>"Napkin Hs"</formula>
    </cfRule>
  </conditionalFormatting>
  <conditionalFormatting sqref="C60">
    <cfRule type="cellIs" dxfId="7615" priority="8613" stopIfTrue="1" operator="equal">
      <formula>"Towel"</formula>
    </cfRule>
    <cfRule type="cellIs" dxfId="7614" priority="8614" stopIfTrue="1" operator="equal">
      <formula>"Napkin Hs"</formula>
    </cfRule>
    <cfRule type="cellIs" dxfId="7613" priority="8629" stopIfTrue="1" operator="equal">
      <formula>"Towel"</formula>
    </cfRule>
    <cfRule type="cellIs" dxfId="7612" priority="8630" stopIfTrue="1" operator="equal">
      <formula>"Napkin Hs"</formula>
    </cfRule>
    <cfRule type="cellIs" dxfId="7611" priority="8633" stopIfTrue="1" operator="equal">
      <formula>"Towel"</formula>
    </cfRule>
    <cfRule type="cellIs" dxfId="7610" priority="8634" stopIfTrue="1" operator="equal">
      <formula>"Napkin Hs"</formula>
    </cfRule>
  </conditionalFormatting>
  <conditionalFormatting sqref="C60:C61">
    <cfRule type="cellIs" dxfId="7609" priority="8615" stopIfTrue="1" operator="equal">
      <formula>"Towel"</formula>
    </cfRule>
    <cfRule type="cellIs" dxfId="7608" priority="8616" stopIfTrue="1" operator="equal">
      <formula>"Napkin Hs"</formula>
    </cfRule>
    <cfRule type="cellIs" dxfId="7607" priority="8625" stopIfTrue="1" operator="equal">
      <formula>"Towel"</formula>
    </cfRule>
    <cfRule type="cellIs" dxfId="7606" priority="8626" stopIfTrue="1" operator="equal">
      <formula>"Napkin Hs"</formula>
    </cfRule>
    <cfRule type="cellIs" dxfId="7605" priority="8641" stopIfTrue="1" operator="equal">
      <formula>"Towel"</formula>
    </cfRule>
    <cfRule type="cellIs" dxfId="7604" priority="8642" stopIfTrue="1" operator="equal">
      <formula>"Napkin Hs"</formula>
    </cfRule>
  </conditionalFormatting>
  <conditionalFormatting sqref="C61">
    <cfRule type="cellIs" dxfId="7603" priority="8619" stopIfTrue="1" operator="equal">
      <formula>"Towel"</formula>
    </cfRule>
    <cfRule type="cellIs" dxfId="7602" priority="8620" stopIfTrue="1" operator="equal">
      <formula>"Napkin Hs"</formula>
    </cfRule>
    <cfRule type="cellIs" dxfId="7601" priority="8639" stopIfTrue="1" operator="equal">
      <formula>"Towel"</formula>
    </cfRule>
    <cfRule type="cellIs" dxfId="7600" priority="8640" stopIfTrue="1" operator="equal">
      <formula>"Napkin Hs"</formula>
    </cfRule>
  </conditionalFormatting>
  <conditionalFormatting sqref="C61">
    <cfRule type="cellIs" dxfId="7599" priority="8623" stopIfTrue="1" operator="equal">
      <formula>"Towel"</formula>
    </cfRule>
    <cfRule type="cellIs" dxfId="7598" priority="8624" stopIfTrue="1" operator="equal">
      <formula>"Napkin Hs"</formula>
    </cfRule>
  </conditionalFormatting>
  <conditionalFormatting sqref="B61:C61">
    <cfRule type="cellIs" dxfId="7597" priority="8611" stopIfTrue="1" operator="equal">
      <formula>"Towel"</formula>
    </cfRule>
    <cfRule type="cellIs" dxfId="7596" priority="8612" stopIfTrue="1" operator="equal">
      <formula>"Napkin Hs"</formula>
    </cfRule>
  </conditionalFormatting>
  <conditionalFormatting sqref="B61:C61">
    <cfRule type="cellIs" dxfId="7595" priority="8605" stopIfTrue="1" operator="equal">
      <formula>"Towel"</formula>
    </cfRule>
    <cfRule type="cellIs" dxfId="7594" priority="8606" stopIfTrue="1" operator="equal">
      <formula>"Napkin Hs"</formula>
    </cfRule>
  </conditionalFormatting>
  <conditionalFormatting sqref="C61">
    <cfRule type="cellIs" dxfId="7593" priority="8610" stopIfTrue="1" operator="equal">
      <formula>"Napkin Hs"</formula>
    </cfRule>
  </conditionalFormatting>
  <conditionalFormatting sqref="C61">
    <cfRule type="cellIs" dxfId="7592" priority="8607" stopIfTrue="1" operator="equal">
      <formula>"Towel"</formula>
    </cfRule>
    <cfRule type="cellIs" dxfId="7591" priority="8608" stopIfTrue="1" operator="equal">
      <formula>"Napkin Hs"</formula>
    </cfRule>
  </conditionalFormatting>
  <conditionalFormatting sqref="C61">
    <cfRule type="cellIs" dxfId="7590" priority="8601" stopIfTrue="1" operator="equal">
      <formula>"Towel"</formula>
    </cfRule>
    <cfRule type="cellIs" dxfId="7589" priority="8602" stopIfTrue="1" operator="equal">
      <formula>"Napkin Hs"</formula>
    </cfRule>
  </conditionalFormatting>
  <conditionalFormatting sqref="C61">
    <cfRule type="cellIs" dxfId="7588" priority="8603" stopIfTrue="1" operator="equal">
      <formula>"Towel"</formula>
    </cfRule>
    <cfRule type="cellIs" dxfId="7587" priority="8604" stopIfTrue="1" operator="equal">
      <formula>"Napkin Hs"</formula>
    </cfRule>
  </conditionalFormatting>
  <conditionalFormatting sqref="C61">
    <cfRule type="cellIs" dxfId="7586" priority="8609" stopIfTrue="1" operator="equal">
      <formula>"Towel"</formula>
    </cfRule>
  </conditionalFormatting>
  <conditionalFormatting sqref="B61:C61">
    <cfRule type="cellIs" dxfId="7585" priority="8599" stopIfTrue="1" operator="equal">
      <formula>"Towel"</formula>
    </cfRule>
    <cfRule type="cellIs" dxfId="7584" priority="8600" stopIfTrue="1" operator="equal">
      <formula>"Napkin Hs"</formula>
    </cfRule>
  </conditionalFormatting>
  <conditionalFormatting sqref="C61">
    <cfRule type="cellIs" dxfId="7583" priority="8595" stopIfTrue="1" operator="equal">
      <formula>"Towel"</formula>
    </cfRule>
    <cfRule type="cellIs" dxfId="7582" priority="8596" stopIfTrue="1" operator="equal">
      <formula>"Napkin Hs"</formula>
    </cfRule>
  </conditionalFormatting>
  <conditionalFormatting sqref="C61">
    <cfRule type="cellIs" dxfId="7581" priority="8597" stopIfTrue="1" operator="equal">
      <formula>"Towel"</formula>
    </cfRule>
    <cfRule type="cellIs" dxfId="7580" priority="8598" stopIfTrue="1" operator="equal">
      <formula>"Napkin Hs"</formula>
    </cfRule>
  </conditionalFormatting>
  <conditionalFormatting sqref="B61:C61">
    <cfRule type="cellIs" dxfId="7579" priority="8591" stopIfTrue="1" operator="equal">
      <formula>"Towel"</formula>
    </cfRule>
    <cfRule type="cellIs" dxfId="7578" priority="8592" stopIfTrue="1" operator="equal">
      <formula>"Napkin Hs"</formula>
    </cfRule>
  </conditionalFormatting>
  <conditionalFormatting sqref="C61">
    <cfRule type="cellIs" dxfId="7577" priority="8593" stopIfTrue="1" operator="equal">
      <formula>"Towel"</formula>
    </cfRule>
    <cfRule type="cellIs" dxfId="7576" priority="8594" stopIfTrue="1" operator="equal">
      <formula>"Napkin Hs"</formula>
    </cfRule>
  </conditionalFormatting>
  <conditionalFormatting sqref="C61">
    <cfRule type="cellIs" dxfId="7575" priority="8587" stopIfTrue="1" operator="equal">
      <formula>"Towel"</formula>
    </cfRule>
    <cfRule type="cellIs" dxfId="7574" priority="8588" stopIfTrue="1" operator="equal">
      <formula>"Napkin Hs"</formula>
    </cfRule>
  </conditionalFormatting>
  <conditionalFormatting sqref="C61">
    <cfRule type="cellIs" dxfId="7573" priority="8589" stopIfTrue="1" operator="equal">
      <formula>"Towel"</formula>
    </cfRule>
    <cfRule type="cellIs" dxfId="7572" priority="8590" stopIfTrue="1" operator="equal">
      <formula>"Napkin Hs"</formula>
    </cfRule>
  </conditionalFormatting>
  <conditionalFormatting sqref="B61:C61">
    <cfRule type="cellIs" dxfId="7571" priority="8585" stopIfTrue="1" operator="equal">
      <formula>"Towel"</formula>
    </cfRule>
    <cfRule type="cellIs" dxfId="7570" priority="8586" stopIfTrue="1" operator="equal">
      <formula>"Napkin Hs"</formula>
    </cfRule>
  </conditionalFormatting>
  <conditionalFormatting sqref="C61">
    <cfRule type="cellIs" dxfId="7569" priority="8584" stopIfTrue="1" operator="equal">
      <formula>"Napkin Hs"</formula>
    </cfRule>
  </conditionalFormatting>
  <conditionalFormatting sqref="C61">
    <cfRule type="cellIs" dxfId="7568" priority="8583" stopIfTrue="1" operator="equal">
      <formula>"Towel"</formula>
    </cfRule>
  </conditionalFormatting>
  <conditionalFormatting sqref="C60">
    <cfRule type="cellIs" dxfId="7567" priority="8581" stopIfTrue="1" operator="equal">
      <formula>"Towel"</formula>
    </cfRule>
    <cfRule type="cellIs" dxfId="7566" priority="8582" stopIfTrue="1" operator="equal">
      <formula>"Napkin Hs"</formula>
    </cfRule>
  </conditionalFormatting>
  <conditionalFormatting sqref="C60">
    <cfRule type="cellIs" dxfId="7565" priority="8577" stopIfTrue="1" operator="equal">
      <formula>"Towel"</formula>
    </cfRule>
    <cfRule type="cellIs" dxfId="7564" priority="8578" stopIfTrue="1" operator="equal">
      <formula>"Napkin Hs"</formula>
    </cfRule>
  </conditionalFormatting>
  <conditionalFormatting sqref="C60">
    <cfRule type="cellIs" dxfId="7563" priority="8579" stopIfTrue="1" operator="equal">
      <formula>"Towel"</formula>
    </cfRule>
    <cfRule type="cellIs" dxfId="7562" priority="8580" stopIfTrue="1" operator="equal">
      <formula>"Napkin Hs"</formula>
    </cfRule>
  </conditionalFormatting>
  <conditionalFormatting sqref="C60">
    <cfRule type="cellIs" dxfId="7561" priority="8575" stopIfTrue="1" operator="equal">
      <formula>"Towel"</formula>
    </cfRule>
    <cfRule type="cellIs" dxfId="7560" priority="8576" stopIfTrue="1" operator="equal">
      <formula>"Napkin Hs"</formula>
    </cfRule>
  </conditionalFormatting>
  <conditionalFormatting sqref="C60">
    <cfRule type="cellIs" dxfId="7559" priority="8571" stopIfTrue="1" operator="equal">
      <formula>"Towel"</formula>
    </cfRule>
    <cfRule type="cellIs" dxfId="7558" priority="8572" stopIfTrue="1" operator="equal">
      <formula>"Napkin Hs"</formula>
    </cfRule>
  </conditionalFormatting>
  <conditionalFormatting sqref="C60">
    <cfRule type="cellIs" dxfId="7557" priority="8573" stopIfTrue="1" operator="equal">
      <formula>"Towel"</formula>
    </cfRule>
    <cfRule type="cellIs" dxfId="7556" priority="8574" stopIfTrue="1" operator="equal">
      <formula>"Napkin Hs"</formula>
    </cfRule>
  </conditionalFormatting>
  <conditionalFormatting sqref="C60">
    <cfRule type="cellIs" dxfId="7555" priority="8569" stopIfTrue="1" operator="equal">
      <formula>"Towel"</formula>
    </cfRule>
    <cfRule type="cellIs" dxfId="7554" priority="8570" stopIfTrue="1" operator="equal">
      <formula>"Napkin Hs"</formula>
    </cfRule>
  </conditionalFormatting>
  <conditionalFormatting sqref="C60">
    <cfRule type="cellIs" dxfId="7553" priority="8565" stopIfTrue="1" operator="equal">
      <formula>"Towel"</formula>
    </cfRule>
    <cfRule type="cellIs" dxfId="7552" priority="8566" stopIfTrue="1" operator="equal">
      <formula>"Napkin Hs"</formula>
    </cfRule>
  </conditionalFormatting>
  <conditionalFormatting sqref="C60">
    <cfRule type="cellIs" dxfId="7551" priority="8567" stopIfTrue="1" operator="equal">
      <formula>"Towel"</formula>
    </cfRule>
    <cfRule type="cellIs" dxfId="7550" priority="8568" stopIfTrue="1" operator="equal">
      <formula>"Napkin Hs"</formula>
    </cfRule>
  </conditionalFormatting>
  <conditionalFormatting sqref="C60">
    <cfRule type="cellIs" dxfId="7549" priority="8563" stopIfTrue="1" operator="equal">
      <formula>"Towel"</formula>
    </cfRule>
    <cfRule type="cellIs" dxfId="7548" priority="8564" stopIfTrue="1" operator="equal">
      <formula>"Napkin Hs"</formula>
    </cfRule>
  </conditionalFormatting>
  <conditionalFormatting sqref="C60">
    <cfRule type="cellIs" dxfId="7547" priority="8561" stopIfTrue="1" operator="equal">
      <formula>"Towel"</formula>
    </cfRule>
    <cfRule type="cellIs" dxfId="7546" priority="8562" stopIfTrue="1" operator="equal">
      <formula>"Napkin Hs"</formula>
    </cfRule>
  </conditionalFormatting>
  <conditionalFormatting sqref="C60">
    <cfRule type="cellIs" dxfId="7545" priority="8559" stopIfTrue="1" operator="equal">
      <formula>"Towel"</formula>
    </cfRule>
    <cfRule type="cellIs" dxfId="7544" priority="8560" stopIfTrue="1" operator="equal">
      <formula>"Napkin Hs"</formula>
    </cfRule>
  </conditionalFormatting>
  <conditionalFormatting sqref="C60">
    <cfRule type="cellIs" dxfId="7543" priority="8557" stopIfTrue="1" operator="equal">
      <formula>"Towel"</formula>
    </cfRule>
    <cfRule type="cellIs" dxfId="7542" priority="8558" stopIfTrue="1" operator="equal">
      <formula>"Napkin Hs"</formula>
    </cfRule>
  </conditionalFormatting>
  <conditionalFormatting sqref="C60">
    <cfRule type="cellIs" dxfId="7541" priority="8556" stopIfTrue="1" operator="equal">
      <formula>"Napkin Hs"</formula>
    </cfRule>
  </conditionalFormatting>
  <conditionalFormatting sqref="C60">
    <cfRule type="cellIs" dxfId="7540" priority="8553" stopIfTrue="1" operator="equal">
      <formula>"Towel"</formula>
    </cfRule>
    <cfRule type="cellIs" dxfId="7539" priority="8554" stopIfTrue="1" operator="equal">
      <formula>"Napkin Hs"</formula>
    </cfRule>
  </conditionalFormatting>
  <conditionalFormatting sqref="C60">
    <cfRule type="cellIs" dxfId="7538" priority="8555" stopIfTrue="1" operator="equal">
      <formula>"Towel"</formula>
    </cfRule>
  </conditionalFormatting>
  <conditionalFormatting sqref="B60">
    <cfRule type="cellIs" dxfId="7537" priority="8551" stopIfTrue="1" operator="equal">
      <formula>"Towel"</formula>
    </cfRule>
    <cfRule type="cellIs" dxfId="7536" priority="8552" stopIfTrue="1" operator="equal">
      <formula>"Napkin Hs"</formula>
    </cfRule>
  </conditionalFormatting>
  <conditionalFormatting sqref="B60">
    <cfRule type="cellIs" dxfId="7535" priority="8549" stopIfTrue="1" operator="equal">
      <formula>"Towel"</formula>
    </cfRule>
    <cfRule type="cellIs" dxfId="7534" priority="8550" stopIfTrue="1" operator="equal">
      <formula>"Napkin Hs"</formula>
    </cfRule>
  </conditionalFormatting>
  <conditionalFormatting sqref="B60">
    <cfRule type="cellIs" dxfId="7533" priority="8547" stopIfTrue="1" operator="equal">
      <formula>"Towel"</formula>
    </cfRule>
    <cfRule type="cellIs" dxfId="7532" priority="8548" stopIfTrue="1" operator="equal">
      <formula>"Napkin Hs"</formula>
    </cfRule>
  </conditionalFormatting>
  <conditionalFormatting sqref="B60">
    <cfRule type="cellIs" dxfId="7531" priority="8545" stopIfTrue="1" operator="equal">
      <formula>"Towel"</formula>
    </cfRule>
    <cfRule type="cellIs" dxfId="7530" priority="8546" stopIfTrue="1" operator="equal">
      <formula>"Napkin Hs"</formula>
    </cfRule>
  </conditionalFormatting>
  <conditionalFormatting sqref="B60">
    <cfRule type="cellIs" dxfId="7529" priority="8543" stopIfTrue="1" operator="equal">
      <formula>"Towel"</formula>
    </cfRule>
    <cfRule type="cellIs" dxfId="7528" priority="8544" stopIfTrue="1" operator="equal">
      <formula>"Napkin Hs"</formula>
    </cfRule>
  </conditionalFormatting>
  <conditionalFormatting sqref="B60">
    <cfRule type="cellIs" dxfId="7527" priority="8541" stopIfTrue="1" operator="equal">
      <formula>"Towel"</formula>
    </cfRule>
    <cfRule type="cellIs" dxfId="7526" priority="8542" stopIfTrue="1" operator="equal">
      <formula>"Napkin Hs"</formula>
    </cfRule>
  </conditionalFormatting>
  <conditionalFormatting sqref="B60">
    <cfRule type="cellIs" dxfId="7525" priority="8537" stopIfTrue="1" operator="equal">
      <formula>"Towel"</formula>
    </cfRule>
    <cfRule type="cellIs" dxfId="7524" priority="8538" stopIfTrue="1" operator="equal">
      <formula>"Napkin Hs"</formula>
    </cfRule>
    <cfRule type="cellIs" dxfId="7523" priority="8539" stopIfTrue="1" operator="equal">
      <formula>"Towel"</formula>
    </cfRule>
    <cfRule type="cellIs" dxfId="7522" priority="8540" stopIfTrue="1" operator="equal">
      <formula>"Napkin Hs"</formula>
    </cfRule>
  </conditionalFormatting>
  <conditionalFormatting sqref="B60">
    <cfRule type="cellIs" dxfId="7521" priority="8535" stopIfTrue="1" operator="equal">
      <formula>"Towel"</formula>
    </cfRule>
    <cfRule type="cellIs" dxfId="7520" priority="8536" stopIfTrue="1" operator="equal">
      <formula>"Napkin Hs"</formula>
    </cfRule>
  </conditionalFormatting>
  <conditionalFormatting sqref="B60">
    <cfRule type="cellIs" dxfId="7519" priority="8533" stopIfTrue="1" operator="equal">
      <formula>"Towel"</formula>
    </cfRule>
    <cfRule type="cellIs" dxfId="7518" priority="8534" stopIfTrue="1" operator="equal">
      <formula>"Napkin Hs"</formula>
    </cfRule>
  </conditionalFormatting>
  <conditionalFormatting sqref="B60">
    <cfRule type="cellIs" dxfId="7517" priority="8531" stopIfTrue="1" operator="equal">
      <formula>"Towel"</formula>
    </cfRule>
    <cfRule type="cellIs" dxfId="7516" priority="8532" stopIfTrue="1" operator="equal">
      <formula>"Napkin Hs"</formula>
    </cfRule>
  </conditionalFormatting>
  <conditionalFormatting sqref="B60">
    <cfRule type="cellIs" dxfId="7515" priority="8529" stopIfTrue="1" operator="equal">
      <formula>"Towel"</formula>
    </cfRule>
    <cfRule type="cellIs" dxfId="7514" priority="8530" stopIfTrue="1" operator="equal">
      <formula>"Napkin Hs"</formula>
    </cfRule>
  </conditionalFormatting>
  <conditionalFormatting sqref="B60">
    <cfRule type="cellIs" dxfId="7513" priority="8527" stopIfTrue="1" operator="equal">
      <formula>"Towel"</formula>
    </cfRule>
    <cfRule type="cellIs" dxfId="7512" priority="8528" stopIfTrue="1" operator="equal">
      <formula>"Napkin Hs"</formula>
    </cfRule>
  </conditionalFormatting>
  <conditionalFormatting sqref="B60:C60">
    <cfRule type="cellIs" dxfId="7511" priority="8513" stopIfTrue="1" operator="equal">
      <formula>"Towel"</formula>
    </cfRule>
    <cfRule type="cellIs" dxfId="7510" priority="8514" stopIfTrue="1" operator="equal">
      <formula>"Napkin Hs"</formula>
    </cfRule>
    <cfRule type="cellIs" dxfId="7509" priority="8519" stopIfTrue="1" operator="equal">
      <formula>"Towel"</formula>
    </cfRule>
    <cfRule type="cellIs" dxfId="7508" priority="8520" stopIfTrue="1" operator="equal">
      <formula>"Napkin Hs"</formula>
    </cfRule>
    <cfRule type="cellIs" dxfId="7507" priority="8525" stopIfTrue="1" operator="equal">
      <formula>"Towel"</formula>
    </cfRule>
    <cfRule type="cellIs" dxfId="7506" priority="8526" stopIfTrue="1" operator="equal">
      <formula>"Napkin Hs"</formula>
    </cfRule>
  </conditionalFormatting>
  <conditionalFormatting sqref="C60">
    <cfRule type="cellIs" dxfId="7505" priority="8507" stopIfTrue="1" operator="equal">
      <formula>"Towel"</formula>
    </cfRule>
    <cfRule type="cellIs" dxfId="7504" priority="8508" stopIfTrue="1" operator="equal">
      <formula>"Napkin Hs"</formula>
    </cfRule>
    <cfRule type="cellIs" dxfId="7503" priority="8509" stopIfTrue="1" operator="equal">
      <formula>"Towel"</formula>
    </cfRule>
    <cfRule type="cellIs" dxfId="7502" priority="8510" stopIfTrue="1" operator="equal">
      <formula>"Napkin Hs"</formula>
    </cfRule>
    <cfRule type="cellIs" dxfId="7501" priority="8517" stopIfTrue="1" operator="equal">
      <formula>"Towel"</formula>
    </cfRule>
    <cfRule type="cellIs" dxfId="7500" priority="8518" stopIfTrue="1" operator="equal">
      <formula>"Napkin Hs"</formula>
    </cfRule>
    <cfRule type="cellIs" dxfId="7499" priority="8521" stopIfTrue="1" operator="equal">
      <formula>"Towel"</formula>
    </cfRule>
    <cfRule type="cellIs" dxfId="7498" priority="8522" stopIfTrue="1" operator="equal">
      <formula>"Napkin Hs"</formula>
    </cfRule>
  </conditionalFormatting>
  <conditionalFormatting sqref="C60">
    <cfRule type="cellIs" dxfId="7497" priority="8511" stopIfTrue="1" operator="equal">
      <formula>"Towel"</formula>
    </cfRule>
    <cfRule type="cellIs" dxfId="7496" priority="8512" stopIfTrue="1" operator="equal">
      <formula>"Napkin Hs"</formula>
    </cfRule>
    <cfRule type="cellIs" dxfId="7495" priority="8515" stopIfTrue="1" operator="equal">
      <formula>"Towel"</formula>
    </cfRule>
    <cfRule type="cellIs" dxfId="7494" priority="8516" stopIfTrue="1" operator="equal">
      <formula>"Napkin Hs"</formula>
    </cfRule>
    <cfRule type="cellIs" dxfId="7493" priority="8523" stopIfTrue="1" operator="equal">
      <formula>"Towel"</formula>
    </cfRule>
    <cfRule type="cellIs" dxfId="7492" priority="8524" stopIfTrue="1" operator="equal">
      <formula>"Napkin Hs"</formula>
    </cfRule>
  </conditionalFormatting>
  <conditionalFormatting sqref="B60:C60">
    <cfRule type="cellIs" dxfId="7491" priority="8505" stopIfTrue="1" operator="equal">
      <formula>"Towel"</formula>
    </cfRule>
    <cfRule type="cellIs" dxfId="7490" priority="8506" stopIfTrue="1" operator="equal">
      <formula>"Napkin Hs"</formula>
    </cfRule>
  </conditionalFormatting>
  <conditionalFormatting sqref="B60:C60">
    <cfRule type="cellIs" dxfId="7489" priority="8497" stopIfTrue="1" operator="equal">
      <formula>"Towel"</formula>
    </cfRule>
    <cfRule type="cellIs" dxfId="7488" priority="8498" stopIfTrue="1" operator="equal">
      <formula>"Napkin Hs"</formula>
    </cfRule>
    <cfRule type="cellIs" dxfId="7487" priority="8503" stopIfTrue="1" operator="equal">
      <formula>"Towel"</formula>
    </cfRule>
    <cfRule type="cellIs" dxfId="7486" priority="8504" stopIfTrue="1" operator="equal">
      <formula>"Napkin Hs"</formula>
    </cfRule>
  </conditionalFormatting>
  <conditionalFormatting sqref="C60">
    <cfRule type="cellIs" dxfId="7485" priority="8493" stopIfTrue="1" operator="equal">
      <formula>"Towel"</formula>
    </cfRule>
    <cfRule type="cellIs" dxfId="7484" priority="8494" stopIfTrue="1" operator="equal">
      <formula>"Napkin Hs"</formula>
    </cfRule>
  </conditionalFormatting>
  <conditionalFormatting sqref="C60">
    <cfRule type="cellIs" dxfId="7483" priority="8491" stopIfTrue="1" operator="equal">
      <formula>"Towel"</formula>
    </cfRule>
    <cfRule type="cellIs" dxfId="7482" priority="8492" stopIfTrue="1" operator="equal">
      <formula>"Napkin Hs"</formula>
    </cfRule>
    <cfRule type="cellIs" dxfId="7481" priority="8501" stopIfTrue="1" operator="equal">
      <formula>"Towel"</formula>
    </cfRule>
    <cfRule type="cellIs" dxfId="7480" priority="8502" stopIfTrue="1" operator="equal">
      <formula>"Napkin Hs"</formula>
    </cfRule>
  </conditionalFormatting>
  <conditionalFormatting sqref="C60">
    <cfRule type="cellIs" dxfId="7479" priority="8495" stopIfTrue="1" operator="equal">
      <formula>"Towel"</formula>
    </cfRule>
    <cfRule type="cellIs" dxfId="7478" priority="8496" stopIfTrue="1" operator="equal">
      <formula>"Napkin Hs"</formula>
    </cfRule>
    <cfRule type="cellIs" dxfId="7477" priority="8499" stopIfTrue="1" operator="equal">
      <formula>"Towel"</formula>
    </cfRule>
    <cfRule type="cellIs" dxfId="7476" priority="8500" stopIfTrue="1" operator="equal">
      <formula>"Napkin Hs"</formula>
    </cfRule>
  </conditionalFormatting>
  <conditionalFormatting sqref="C60">
    <cfRule type="cellIs" dxfId="7475" priority="8490" stopIfTrue="1" operator="equal">
      <formula>"Napkin Hs"</formula>
    </cfRule>
  </conditionalFormatting>
  <conditionalFormatting sqref="C60">
    <cfRule type="cellIs" dxfId="7474" priority="8489" stopIfTrue="1" operator="equal">
      <formula>"Towel"</formula>
    </cfRule>
  </conditionalFormatting>
  <conditionalFormatting sqref="C60">
    <cfRule type="cellIs" dxfId="7473" priority="8485" stopIfTrue="1" operator="equal">
      <formula>"Towel"</formula>
    </cfRule>
    <cfRule type="cellIs" dxfId="7472" priority="8486" stopIfTrue="1" operator="equal">
      <formula>"Napkin Hs"</formula>
    </cfRule>
    <cfRule type="cellIs" dxfId="7471" priority="8487" stopIfTrue="1" operator="equal">
      <formula>"Towel"</formula>
    </cfRule>
    <cfRule type="cellIs" dxfId="7470" priority="8488" stopIfTrue="1" operator="equal">
      <formula>"Napkin Hs"</formula>
    </cfRule>
  </conditionalFormatting>
  <conditionalFormatting sqref="B60:C60">
    <cfRule type="cellIs" dxfId="7469" priority="8483" stopIfTrue="1" operator="equal">
      <formula>"Towel"</formula>
    </cfRule>
    <cfRule type="cellIs" dxfId="7468" priority="8484" stopIfTrue="1" operator="equal">
      <formula>"Napkin Hs"</formula>
    </cfRule>
  </conditionalFormatting>
  <conditionalFormatting sqref="C60">
    <cfRule type="cellIs" dxfId="7467" priority="8479" stopIfTrue="1" operator="equal">
      <formula>"Towel"</formula>
    </cfRule>
    <cfRule type="cellIs" dxfId="7466" priority="8480" stopIfTrue="1" operator="equal">
      <formula>"Napkin Hs"</formula>
    </cfRule>
  </conditionalFormatting>
  <conditionalFormatting sqref="C60">
    <cfRule type="cellIs" dxfId="7465" priority="8481" stopIfTrue="1" operator="equal">
      <formula>"Towel"</formula>
    </cfRule>
    <cfRule type="cellIs" dxfId="7464" priority="8482" stopIfTrue="1" operator="equal">
      <formula>"Napkin Hs"</formula>
    </cfRule>
  </conditionalFormatting>
  <conditionalFormatting sqref="B60:C60">
    <cfRule type="cellIs" dxfId="7463" priority="8477" stopIfTrue="1" operator="equal">
      <formula>"Towel"</formula>
    </cfRule>
    <cfRule type="cellIs" dxfId="7462" priority="8478" stopIfTrue="1" operator="equal">
      <formula>"Napkin Hs"</formula>
    </cfRule>
  </conditionalFormatting>
  <conditionalFormatting sqref="C60">
    <cfRule type="cellIs" dxfId="7461" priority="8473" stopIfTrue="1" operator="equal">
      <formula>"Towel"</formula>
    </cfRule>
    <cfRule type="cellIs" dxfId="7460" priority="8474" stopIfTrue="1" operator="equal">
      <formula>"Napkin Hs"</formula>
    </cfRule>
  </conditionalFormatting>
  <conditionalFormatting sqref="C60">
    <cfRule type="cellIs" dxfId="7459" priority="8475" stopIfTrue="1" operator="equal">
      <formula>"Towel"</formula>
    </cfRule>
    <cfRule type="cellIs" dxfId="7458" priority="8476" stopIfTrue="1" operator="equal">
      <formula>"Napkin Hs"</formula>
    </cfRule>
  </conditionalFormatting>
  <conditionalFormatting sqref="B60:C60">
    <cfRule type="cellIs" dxfId="7457" priority="8471" stopIfTrue="1" operator="equal">
      <formula>"Towel"</formula>
    </cfRule>
    <cfRule type="cellIs" dxfId="7456" priority="8472" stopIfTrue="1" operator="equal">
      <formula>"Napkin Hs"</formula>
    </cfRule>
  </conditionalFormatting>
  <conditionalFormatting sqref="C60">
    <cfRule type="cellIs" dxfId="7455" priority="8467" stopIfTrue="1" operator="equal">
      <formula>"Towel"</formula>
    </cfRule>
    <cfRule type="cellIs" dxfId="7454" priority="8468" stopIfTrue="1" operator="equal">
      <formula>"Napkin Hs"</formula>
    </cfRule>
  </conditionalFormatting>
  <conditionalFormatting sqref="C60">
    <cfRule type="cellIs" dxfId="7453" priority="8469" stopIfTrue="1" operator="equal">
      <formula>"Towel"</formula>
    </cfRule>
    <cfRule type="cellIs" dxfId="7452" priority="8470" stopIfTrue="1" operator="equal">
      <formula>"Napkin Hs"</formula>
    </cfRule>
  </conditionalFormatting>
  <conditionalFormatting sqref="B60:C60">
    <cfRule type="cellIs" dxfId="7451" priority="8465" stopIfTrue="1" operator="equal">
      <formula>"Towel"</formula>
    </cfRule>
    <cfRule type="cellIs" dxfId="7450" priority="8466" stopIfTrue="1" operator="equal">
      <formula>"Napkin Hs"</formula>
    </cfRule>
  </conditionalFormatting>
  <conditionalFormatting sqref="C60">
    <cfRule type="cellIs" dxfId="7449" priority="8463" stopIfTrue="1" operator="equal">
      <formula>"Towel"</formula>
    </cfRule>
    <cfRule type="cellIs" dxfId="7448" priority="8464" stopIfTrue="1" operator="equal">
      <formula>"Napkin Hs"</formula>
    </cfRule>
  </conditionalFormatting>
  <conditionalFormatting sqref="C60">
    <cfRule type="cellIs" dxfId="7447" priority="8461" stopIfTrue="1" operator="equal">
      <formula>"Towel"</formula>
    </cfRule>
    <cfRule type="cellIs" dxfId="7446" priority="8462" stopIfTrue="1" operator="equal">
      <formula>"Napkin Hs"</formula>
    </cfRule>
  </conditionalFormatting>
  <conditionalFormatting sqref="B60:C60">
    <cfRule type="cellIs" dxfId="7445" priority="8459" stopIfTrue="1" operator="equal">
      <formula>"Towel"</formula>
    </cfRule>
    <cfRule type="cellIs" dxfId="7444" priority="8460" stopIfTrue="1" operator="equal">
      <formula>"Napkin Hs"</formula>
    </cfRule>
  </conditionalFormatting>
  <conditionalFormatting sqref="C60">
    <cfRule type="cellIs" dxfId="7443" priority="8458" stopIfTrue="1" operator="equal">
      <formula>"Napkin Hs"</formula>
    </cfRule>
  </conditionalFormatting>
  <conditionalFormatting sqref="C60">
    <cfRule type="cellIs" dxfId="7442" priority="8455" stopIfTrue="1" operator="equal">
      <formula>"Towel"</formula>
    </cfRule>
    <cfRule type="cellIs" dxfId="7441" priority="8456" stopIfTrue="1" operator="equal">
      <formula>"Napkin Hs"</formula>
    </cfRule>
  </conditionalFormatting>
  <conditionalFormatting sqref="C60">
    <cfRule type="cellIs" dxfId="7440" priority="8457" stopIfTrue="1" operator="equal">
      <formula>"Towel"</formula>
    </cfRule>
  </conditionalFormatting>
  <conditionalFormatting sqref="B59:C59">
    <cfRule type="cellIs" dxfId="7439" priority="8411" stopIfTrue="1" operator="equal">
      <formula>"Towel"</formula>
    </cfRule>
    <cfRule type="cellIs" dxfId="7438" priority="8412" stopIfTrue="1" operator="equal">
      <formula>"Napkin Hs"</formula>
    </cfRule>
    <cfRule type="cellIs" dxfId="7437" priority="8417" stopIfTrue="1" operator="equal">
      <formula>"Towel"</formula>
    </cfRule>
    <cfRule type="cellIs" dxfId="7436" priority="8418" stopIfTrue="1" operator="equal">
      <formula>"Napkin Hs"</formula>
    </cfRule>
    <cfRule type="cellIs" dxfId="7435" priority="8423" stopIfTrue="1" operator="equal">
      <formula>"Towel"</formula>
    </cfRule>
    <cfRule type="cellIs" dxfId="7434" priority="8424" stopIfTrue="1" operator="equal">
      <formula>"Napkin Hs"</formula>
    </cfRule>
    <cfRule type="cellIs" dxfId="7433" priority="8429" stopIfTrue="1" operator="equal">
      <formula>"Towel"</formula>
    </cfRule>
    <cfRule type="cellIs" dxfId="7432" priority="8430" stopIfTrue="1" operator="equal">
      <formula>"Napkin Hs"</formula>
    </cfRule>
    <cfRule type="cellIs" dxfId="7431" priority="8435" stopIfTrue="1" operator="equal">
      <formula>"Towel"</formula>
    </cfRule>
    <cfRule type="cellIs" dxfId="7430" priority="8436" stopIfTrue="1" operator="equal">
      <formula>"Napkin Hs"</formula>
    </cfRule>
    <cfRule type="cellIs" dxfId="7429" priority="8441" stopIfTrue="1" operator="equal">
      <formula>"Towel"</formula>
    </cfRule>
    <cfRule type="cellIs" dxfId="7428" priority="8442" stopIfTrue="1" operator="equal">
      <formula>"Napkin Hs"</formula>
    </cfRule>
    <cfRule type="cellIs" dxfId="7427" priority="8447" stopIfTrue="1" operator="equal">
      <formula>"Towel"</formula>
    </cfRule>
    <cfRule type="cellIs" dxfId="7426" priority="8448" stopIfTrue="1" operator="equal">
      <formula>"Napkin Hs"</formula>
    </cfRule>
    <cfRule type="cellIs" dxfId="7425" priority="8453" stopIfTrue="1" operator="equal">
      <formula>"Towel"</formula>
    </cfRule>
    <cfRule type="cellIs" dxfId="7424" priority="8454" stopIfTrue="1" operator="equal">
      <formula>"Napkin Hs"</formula>
    </cfRule>
  </conditionalFormatting>
  <conditionalFormatting sqref="C59">
    <cfRule type="cellIs" dxfId="7423" priority="8407" stopIfTrue="1" operator="equal">
      <formula>"Towel"</formula>
    </cfRule>
    <cfRule type="cellIs" dxfId="7422" priority="8408" stopIfTrue="1" operator="equal">
      <formula>"Napkin Hs"</formula>
    </cfRule>
    <cfRule type="cellIs" dxfId="7421" priority="8409" stopIfTrue="1" operator="equal">
      <formula>"Towel"</formula>
    </cfRule>
    <cfRule type="cellIs" dxfId="7420" priority="8410" stopIfTrue="1" operator="equal">
      <formula>"Napkin Hs"</formula>
    </cfRule>
    <cfRule type="cellIs" dxfId="7419" priority="8413" stopIfTrue="1" operator="equal">
      <formula>"Towel"</formula>
    </cfRule>
    <cfRule type="cellIs" dxfId="7418" priority="8414" stopIfTrue="1" operator="equal">
      <formula>"Napkin Hs"</formula>
    </cfRule>
    <cfRule type="cellIs" dxfId="7417" priority="8415" stopIfTrue="1" operator="equal">
      <formula>"Towel"</formula>
    </cfRule>
    <cfRule type="cellIs" dxfId="7416" priority="8416" stopIfTrue="1" operator="equal">
      <formula>"Napkin Hs"</formula>
    </cfRule>
    <cfRule type="cellIs" dxfId="7415" priority="8419" stopIfTrue="1" operator="equal">
      <formula>"Towel"</formula>
    </cfRule>
    <cfRule type="cellIs" dxfId="7414" priority="8420" stopIfTrue="1" operator="equal">
      <formula>"Napkin Hs"</formula>
    </cfRule>
    <cfRule type="cellIs" dxfId="7413" priority="8421" stopIfTrue="1" operator="equal">
      <formula>"Towel"</formula>
    </cfRule>
    <cfRule type="cellIs" dxfId="7412" priority="8422" stopIfTrue="1" operator="equal">
      <formula>"Napkin Hs"</formula>
    </cfRule>
    <cfRule type="cellIs" dxfId="7411" priority="8425" stopIfTrue="1" operator="equal">
      <formula>"Towel"</formula>
    </cfRule>
    <cfRule type="cellIs" dxfId="7410" priority="8426" stopIfTrue="1" operator="equal">
      <formula>"Napkin Hs"</formula>
    </cfRule>
    <cfRule type="cellIs" dxfId="7409" priority="8427" stopIfTrue="1" operator="equal">
      <formula>"Towel"</formula>
    </cfRule>
    <cfRule type="cellIs" dxfId="7408" priority="8428" stopIfTrue="1" operator="equal">
      <formula>"Napkin Hs"</formula>
    </cfRule>
    <cfRule type="cellIs" dxfId="7407" priority="8431" stopIfTrue="1" operator="equal">
      <formula>"Towel"</formula>
    </cfRule>
    <cfRule type="cellIs" dxfId="7406" priority="8432" stopIfTrue="1" operator="equal">
      <formula>"Napkin Hs"</formula>
    </cfRule>
    <cfRule type="cellIs" dxfId="7405" priority="8433" stopIfTrue="1" operator="equal">
      <formula>"Towel"</formula>
    </cfRule>
    <cfRule type="cellIs" dxfId="7404" priority="8434" stopIfTrue="1" operator="equal">
      <formula>"Napkin Hs"</formula>
    </cfRule>
    <cfRule type="cellIs" dxfId="7403" priority="8437" stopIfTrue="1" operator="equal">
      <formula>"Towel"</formula>
    </cfRule>
    <cfRule type="cellIs" dxfId="7402" priority="8438" stopIfTrue="1" operator="equal">
      <formula>"Napkin Hs"</formula>
    </cfRule>
    <cfRule type="cellIs" dxfId="7401" priority="8439" stopIfTrue="1" operator="equal">
      <formula>"Towel"</formula>
    </cfRule>
    <cfRule type="cellIs" dxfId="7400" priority="8440" stopIfTrue="1" operator="equal">
      <formula>"Napkin Hs"</formula>
    </cfRule>
    <cfRule type="cellIs" dxfId="7399" priority="8443" stopIfTrue="1" operator="equal">
      <formula>"Towel"</formula>
    </cfRule>
    <cfRule type="cellIs" dxfId="7398" priority="8444" stopIfTrue="1" operator="equal">
      <formula>"Napkin Hs"</formula>
    </cfRule>
    <cfRule type="cellIs" dxfId="7397" priority="8445" stopIfTrue="1" operator="equal">
      <formula>"Towel"</formula>
    </cfRule>
    <cfRule type="cellIs" dxfId="7396" priority="8446" stopIfTrue="1" operator="equal">
      <formula>"Napkin Hs"</formula>
    </cfRule>
    <cfRule type="cellIs" dxfId="7395" priority="8449" stopIfTrue="1" operator="equal">
      <formula>"Towel"</formula>
    </cfRule>
    <cfRule type="cellIs" dxfId="7394" priority="8450" stopIfTrue="1" operator="equal">
      <formula>"Napkin Hs"</formula>
    </cfRule>
  </conditionalFormatting>
  <conditionalFormatting sqref="C59">
    <cfRule type="cellIs" dxfId="7393" priority="8451" stopIfTrue="1" operator="equal">
      <formula>"Towel"</formula>
    </cfRule>
    <cfRule type="cellIs" dxfId="7392" priority="8452" stopIfTrue="1" operator="equal">
      <formula>"Napkin Hs"</formula>
    </cfRule>
  </conditionalFormatting>
  <conditionalFormatting sqref="B59">
    <cfRule type="cellIs" dxfId="7391" priority="8401" stopIfTrue="1" operator="equal">
      <formula>"Towel"</formula>
    </cfRule>
    <cfRule type="cellIs" dxfId="7390" priority="8402" stopIfTrue="1" operator="equal">
      <formula>"Napkin Hs"</formula>
    </cfRule>
    <cfRule type="cellIs" dxfId="7389" priority="8403" stopIfTrue="1" operator="equal">
      <formula>"Towel"</formula>
    </cfRule>
    <cfRule type="cellIs" dxfId="7388" priority="8404" stopIfTrue="1" operator="equal">
      <formula>"Napkin Hs"</formula>
    </cfRule>
    <cfRule type="cellIs" dxfId="7387" priority="8405" stopIfTrue="1" operator="equal">
      <formula>"Towel"</formula>
    </cfRule>
    <cfRule type="cellIs" dxfId="7386" priority="8406" stopIfTrue="1" operator="equal">
      <formula>"Napkin Hs"</formula>
    </cfRule>
  </conditionalFormatting>
  <conditionalFormatting sqref="B59:C59">
    <cfRule type="cellIs" dxfId="7385" priority="8363" stopIfTrue="1" operator="equal">
      <formula>"Towel"</formula>
    </cfRule>
    <cfRule type="cellIs" dxfId="7384" priority="8364" stopIfTrue="1" operator="equal">
      <formula>"Napkin Hs"</formula>
    </cfRule>
    <cfRule type="cellIs" dxfId="7383" priority="8369" stopIfTrue="1" operator="equal">
      <formula>"Towel"</formula>
    </cfRule>
    <cfRule type="cellIs" dxfId="7382" priority="8370" stopIfTrue="1" operator="equal">
      <formula>"Napkin Hs"</formula>
    </cfRule>
    <cfRule type="cellIs" dxfId="7381" priority="8375" stopIfTrue="1" operator="equal">
      <formula>"Towel"</formula>
    </cfRule>
    <cfRule type="cellIs" dxfId="7380" priority="8376" stopIfTrue="1" operator="equal">
      <formula>"Napkin Hs"</formula>
    </cfRule>
    <cfRule type="cellIs" dxfId="7379" priority="8381" stopIfTrue="1" operator="equal">
      <formula>"Towel"</formula>
    </cfRule>
    <cfRule type="cellIs" dxfId="7378" priority="8382" stopIfTrue="1" operator="equal">
      <formula>"Napkin Hs"</formula>
    </cfRule>
    <cfRule type="cellIs" dxfId="7377" priority="8387" stopIfTrue="1" operator="equal">
      <formula>"Towel"</formula>
    </cfRule>
    <cfRule type="cellIs" dxfId="7376" priority="8388" stopIfTrue="1" operator="equal">
      <formula>"Napkin Hs"</formula>
    </cfRule>
    <cfRule type="cellIs" dxfId="7375" priority="8393" stopIfTrue="1" operator="equal">
      <formula>"Towel"</formula>
    </cfRule>
    <cfRule type="cellIs" dxfId="7374" priority="8394" stopIfTrue="1" operator="equal">
      <formula>"Napkin Hs"</formula>
    </cfRule>
    <cfRule type="cellIs" dxfId="7373" priority="8399" stopIfTrue="1" operator="equal">
      <formula>"Towel"</formula>
    </cfRule>
    <cfRule type="cellIs" dxfId="7372" priority="8400" stopIfTrue="1" operator="equal">
      <formula>"Napkin Hs"</formula>
    </cfRule>
  </conditionalFormatting>
  <conditionalFormatting sqref="C59">
    <cfRule type="cellIs" dxfId="7371" priority="8359" stopIfTrue="1" operator="equal">
      <formula>"Towel"</formula>
    </cfRule>
    <cfRule type="cellIs" dxfId="7370" priority="8360" stopIfTrue="1" operator="equal">
      <formula>"Napkin Hs"</formula>
    </cfRule>
    <cfRule type="cellIs" dxfId="7369" priority="8361" stopIfTrue="1" operator="equal">
      <formula>"Towel"</formula>
    </cfRule>
    <cfRule type="cellIs" dxfId="7368" priority="8362" stopIfTrue="1" operator="equal">
      <formula>"Napkin Hs"</formula>
    </cfRule>
    <cfRule type="cellIs" dxfId="7367" priority="8365" stopIfTrue="1" operator="equal">
      <formula>"Towel"</formula>
    </cfRule>
    <cfRule type="cellIs" dxfId="7366" priority="8366" stopIfTrue="1" operator="equal">
      <formula>"Napkin Hs"</formula>
    </cfRule>
    <cfRule type="cellIs" dxfId="7365" priority="8367" stopIfTrue="1" operator="equal">
      <formula>"Towel"</formula>
    </cfRule>
    <cfRule type="cellIs" dxfId="7364" priority="8368" stopIfTrue="1" operator="equal">
      <formula>"Napkin Hs"</formula>
    </cfRule>
    <cfRule type="cellIs" dxfId="7363" priority="8371" stopIfTrue="1" operator="equal">
      <formula>"Towel"</formula>
    </cfRule>
    <cfRule type="cellIs" dxfId="7362" priority="8372" stopIfTrue="1" operator="equal">
      <formula>"Napkin Hs"</formula>
    </cfRule>
    <cfRule type="cellIs" dxfId="7361" priority="8373" stopIfTrue="1" operator="equal">
      <formula>"Towel"</formula>
    </cfRule>
    <cfRule type="cellIs" dxfId="7360" priority="8374" stopIfTrue="1" operator="equal">
      <formula>"Napkin Hs"</formula>
    </cfRule>
    <cfRule type="cellIs" dxfId="7359" priority="8377" stopIfTrue="1" operator="equal">
      <formula>"Towel"</formula>
    </cfRule>
    <cfRule type="cellIs" dxfId="7358" priority="8378" stopIfTrue="1" operator="equal">
      <formula>"Napkin Hs"</formula>
    </cfRule>
    <cfRule type="cellIs" dxfId="7357" priority="8379" stopIfTrue="1" operator="equal">
      <formula>"Towel"</formula>
    </cfRule>
    <cfRule type="cellIs" dxfId="7356" priority="8380" stopIfTrue="1" operator="equal">
      <formula>"Napkin Hs"</formula>
    </cfRule>
    <cfRule type="cellIs" dxfId="7355" priority="8383" stopIfTrue="1" operator="equal">
      <formula>"Towel"</formula>
    </cfRule>
    <cfRule type="cellIs" dxfId="7354" priority="8384" stopIfTrue="1" operator="equal">
      <formula>"Napkin Hs"</formula>
    </cfRule>
    <cfRule type="cellIs" dxfId="7353" priority="8385" stopIfTrue="1" operator="equal">
      <formula>"Towel"</formula>
    </cfRule>
    <cfRule type="cellIs" dxfId="7352" priority="8386" stopIfTrue="1" operator="equal">
      <formula>"Napkin Hs"</formula>
    </cfRule>
    <cfRule type="cellIs" dxfId="7351" priority="8389" stopIfTrue="1" operator="equal">
      <formula>"Towel"</formula>
    </cfRule>
    <cfRule type="cellIs" dxfId="7350" priority="8390" stopIfTrue="1" operator="equal">
      <formula>"Napkin Hs"</formula>
    </cfRule>
    <cfRule type="cellIs" dxfId="7349" priority="8391" stopIfTrue="1" operator="equal">
      <formula>"Towel"</formula>
    </cfRule>
    <cfRule type="cellIs" dxfId="7348" priority="8392" stopIfTrue="1" operator="equal">
      <formula>"Napkin Hs"</formula>
    </cfRule>
    <cfRule type="cellIs" dxfId="7347" priority="8395" stopIfTrue="1" operator="equal">
      <formula>"Towel"</formula>
    </cfRule>
    <cfRule type="cellIs" dxfId="7346" priority="8396" stopIfTrue="1" operator="equal">
      <formula>"Napkin Hs"</formula>
    </cfRule>
  </conditionalFormatting>
  <conditionalFormatting sqref="C59">
    <cfRule type="cellIs" dxfId="7345" priority="8397" stopIfTrue="1" operator="equal">
      <formula>"Towel"</formula>
    </cfRule>
    <cfRule type="cellIs" dxfId="7344" priority="8398" stopIfTrue="1" operator="equal">
      <formula>"Napkin Hs"</formula>
    </cfRule>
  </conditionalFormatting>
  <conditionalFormatting sqref="B59:C59">
    <cfRule type="cellIs" dxfId="7343" priority="8357" stopIfTrue="1" operator="equal">
      <formula>"Towel"</formula>
    </cfRule>
    <cfRule type="cellIs" dxfId="7342" priority="8358" stopIfTrue="1" operator="equal">
      <formula>"Napkin Hs"</formula>
    </cfRule>
  </conditionalFormatting>
  <conditionalFormatting sqref="B59:C59">
    <cfRule type="cellIs" dxfId="7341" priority="8321" stopIfTrue="1" operator="equal">
      <formula>"Towel"</formula>
    </cfRule>
    <cfRule type="cellIs" dxfId="7340" priority="8322" stopIfTrue="1" operator="equal">
      <formula>"Napkin Hs"</formula>
    </cfRule>
    <cfRule type="cellIs" dxfId="7339" priority="8327" stopIfTrue="1" operator="equal">
      <formula>"Towel"</formula>
    </cfRule>
    <cfRule type="cellIs" dxfId="7338" priority="8328" stopIfTrue="1" operator="equal">
      <formula>"Napkin Hs"</formula>
    </cfRule>
    <cfRule type="cellIs" dxfId="7337" priority="8333" stopIfTrue="1" operator="equal">
      <formula>"Towel"</formula>
    </cfRule>
    <cfRule type="cellIs" dxfId="7336" priority="8334" stopIfTrue="1" operator="equal">
      <formula>"Napkin Hs"</formula>
    </cfRule>
    <cfRule type="cellIs" dxfId="7335" priority="8339" stopIfTrue="1" operator="equal">
      <formula>"Towel"</formula>
    </cfRule>
    <cfRule type="cellIs" dxfId="7334" priority="8340" stopIfTrue="1" operator="equal">
      <formula>"Napkin Hs"</formula>
    </cfRule>
    <cfRule type="cellIs" dxfId="7333" priority="8345" stopIfTrue="1" operator="equal">
      <formula>"Towel"</formula>
    </cfRule>
    <cfRule type="cellIs" dxfId="7332" priority="8346" stopIfTrue="1" operator="equal">
      <formula>"Napkin Hs"</formula>
    </cfRule>
    <cfRule type="cellIs" dxfId="7331" priority="8351" stopIfTrue="1" operator="equal">
      <formula>"Towel"</formula>
    </cfRule>
    <cfRule type="cellIs" dxfId="7330" priority="8352" stopIfTrue="1" operator="equal">
      <formula>"Napkin Hs"</formula>
    </cfRule>
  </conditionalFormatting>
  <conditionalFormatting sqref="C59">
    <cfRule type="cellIs" dxfId="7329" priority="8356" stopIfTrue="1" operator="equal">
      <formula>"Napkin Hs"</formula>
    </cfRule>
  </conditionalFormatting>
  <conditionalFormatting sqref="C59">
    <cfRule type="cellIs" dxfId="7328" priority="8355" stopIfTrue="1" operator="equal">
      <formula>"Towel"</formula>
    </cfRule>
  </conditionalFormatting>
  <conditionalFormatting sqref="C59">
    <cfRule type="cellIs" dxfId="7327" priority="8349" stopIfTrue="1" operator="equal">
      <formula>"Towel"</formula>
    </cfRule>
    <cfRule type="cellIs" dxfId="7326" priority="8350" stopIfTrue="1" operator="equal">
      <formula>"Napkin Hs"</formula>
    </cfRule>
  </conditionalFormatting>
  <conditionalFormatting sqref="C59">
    <cfRule type="cellIs" dxfId="7325" priority="8347" stopIfTrue="1" operator="equal">
      <formula>"Towel"</formula>
    </cfRule>
    <cfRule type="cellIs" dxfId="7324" priority="8348" stopIfTrue="1" operator="equal">
      <formula>"Napkin Hs"</formula>
    </cfRule>
    <cfRule type="cellIs" dxfId="7323" priority="8353" stopIfTrue="1" operator="equal">
      <formula>"Towel"</formula>
    </cfRule>
    <cfRule type="cellIs" dxfId="7322" priority="8354" stopIfTrue="1" operator="equal">
      <formula>"Napkin Hs"</formula>
    </cfRule>
  </conditionalFormatting>
  <conditionalFormatting sqref="C59">
    <cfRule type="cellIs" dxfId="7321" priority="8319" stopIfTrue="1" operator="equal">
      <formula>"Towel"</formula>
    </cfRule>
    <cfRule type="cellIs" dxfId="7320" priority="8320" stopIfTrue="1" operator="equal">
      <formula>"Napkin Hs"</formula>
    </cfRule>
    <cfRule type="cellIs" dxfId="7319" priority="8323" stopIfTrue="1" operator="equal">
      <formula>"Towel"</formula>
    </cfRule>
    <cfRule type="cellIs" dxfId="7318" priority="8324" stopIfTrue="1" operator="equal">
      <formula>"Napkin Hs"</formula>
    </cfRule>
    <cfRule type="cellIs" dxfId="7317" priority="8325" stopIfTrue="1" operator="equal">
      <formula>"Towel"</formula>
    </cfRule>
    <cfRule type="cellIs" dxfId="7316" priority="8326" stopIfTrue="1" operator="equal">
      <formula>"Napkin Hs"</formula>
    </cfRule>
    <cfRule type="cellIs" dxfId="7315" priority="8329" stopIfTrue="1" operator="equal">
      <formula>"Towel"</formula>
    </cfRule>
    <cfRule type="cellIs" dxfId="7314" priority="8330" stopIfTrue="1" operator="equal">
      <formula>"Napkin Hs"</formula>
    </cfRule>
    <cfRule type="cellIs" dxfId="7313" priority="8331" stopIfTrue="1" operator="equal">
      <formula>"Towel"</formula>
    </cfRule>
    <cfRule type="cellIs" dxfId="7312" priority="8332" stopIfTrue="1" operator="equal">
      <formula>"Napkin Hs"</formula>
    </cfRule>
    <cfRule type="cellIs" dxfId="7311" priority="8335" stopIfTrue="1" operator="equal">
      <formula>"Towel"</formula>
    </cfRule>
    <cfRule type="cellIs" dxfId="7310" priority="8336" stopIfTrue="1" operator="equal">
      <formula>"Napkin Hs"</formula>
    </cfRule>
    <cfRule type="cellIs" dxfId="7309" priority="8337" stopIfTrue="1" operator="equal">
      <formula>"Towel"</formula>
    </cfRule>
    <cfRule type="cellIs" dxfId="7308" priority="8338" stopIfTrue="1" operator="equal">
      <formula>"Napkin Hs"</formula>
    </cfRule>
    <cfRule type="cellIs" dxfId="7307" priority="8341" stopIfTrue="1" operator="equal">
      <formula>"Towel"</formula>
    </cfRule>
    <cfRule type="cellIs" dxfId="7306" priority="8342" stopIfTrue="1" operator="equal">
      <formula>"Napkin Hs"</formula>
    </cfRule>
    <cfRule type="cellIs" dxfId="7305" priority="8343" stopIfTrue="1" operator="equal">
      <formula>"Towel"</formula>
    </cfRule>
    <cfRule type="cellIs" dxfId="7304" priority="8344" stopIfTrue="1" operator="equal">
      <formula>"Napkin Hs"</formula>
    </cfRule>
  </conditionalFormatting>
  <conditionalFormatting sqref="C59">
    <cfRule type="cellIs" dxfId="7303" priority="8317" stopIfTrue="1" operator="equal">
      <formula>"Towel"</formula>
    </cfRule>
    <cfRule type="cellIs" dxfId="7302" priority="8318" stopIfTrue="1" operator="equal">
      <formula>"Napkin Hs"</formula>
    </cfRule>
  </conditionalFormatting>
  <conditionalFormatting sqref="C59">
    <cfRule type="cellIs" dxfId="7301" priority="8297" stopIfTrue="1" operator="equal">
      <formula>"Towel"</formula>
    </cfRule>
    <cfRule type="cellIs" dxfId="7300" priority="8298" stopIfTrue="1" operator="equal">
      <formula>"Napkin Hs"</formula>
    </cfRule>
    <cfRule type="cellIs" dxfId="7299" priority="8303" stopIfTrue="1" operator="equal">
      <formula>"Towel"</formula>
    </cfRule>
    <cfRule type="cellIs" dxfId="7298" priority="8304" stopIfTrue="1" operator="equal">
      <formula>"Napkin Hs"</formula>
    </cfRule>
    <cfRule type="cellIs" dxfId="7297" priority="8309" stopIfTrue="1" operator="equal">
      <formula>"Towel"</formula>
    </cfRule>
    <cfRule type="cellIs" dxfId="7296" priority="8310" stopIfTrue="1" operator="equal">
      <formula>"Napkin Hs"</formula>
    </cfRule>
    <cfRule type="cellIs" dxfId="7295" priority="8315" stopIfTrue="1" operator="equal">
      <formula>"Towel"</formula>
    </cfRule>
    <cfRule type="cellIs" dxfId="7294" priority="8316" stopIfTrue="1" operator="equal">
      <formula>"Napkin Hs"</formula>
    </cfRule>
  </conditionalFormatting>
  <conditionalFormatting sqref="C59">
    <cfRule type="cellIs" dxfId="7293" priority="8307" stopIfTrue="1" operator="equal">
      <formula>"Towel"</formula>
    </cfRule>
    <cfRule type="cellIs" dxfId="7292" priority="8308" stopIfTrue="1" operator="equal">
      <formula>"Napkin Hs"</formula>
    </cfRule>
    <cfRule type="cellIs" dxfId="7291" priority="8313" stopIfTrue="1" operator="equal">
      <formula>"Towel"</formula>
    </cfRule>
    <cfRule type="cellIs" dxfId="7290" priority="8314" stopIfTrue="1" operator="equal">
      <formula>"Napkin Hs"</formula>
    </cfRule>
  </conditionalFormatting>
  <conditionalFormatting sqref="C59">
    <cfRule type="cellIs" dxfId="7289" priority="8293" stopIfTrue="1" operator="equal">
      <formula>"Towel"</formula>
    </cfRule>
    <cfRule type="cellIs" dxfId="7288" priority="8294" stopIfTrue="1" operator="equal">
      <formula>"Napkin Hs"</formula>
    </cfRule>
    <cfRule type="cellIs" dxfId="7287" priority="8301" stopIfTrue="1" operator="equal">
      <formula>"Towel"</formula>
    </cfRule>
    <cfRule type="cellIs" dxfId="7286" priority="8302" stopIfTrue="1" operator="equal">
      <formula>"Napkin Hs"</formula>
    </cfRule>
    <cfRule type="cellIs" dxfId="7285" priority="8305" stopIfTrue="1" operator="equal">
      <formula>"Towel"</formula>
    </cfRule>
    <cfRule type="cellIs" dxfId="7284" priority="8306" stopIfTrue="1" operator="equal">
      <formula>"Napkin Hs"</formula>
    </cfRule>
  </conditionalFormatting>
  <conditionalFormatting sqref="C59">
    <cfRule type="cellIs" dxfId="7283" priority="8295" stopIfTrue="1" operator="equal">
      <formula>"Towel"</formula>
    </cfRule>
    <cfRule type="cellIs" dxfId="7282" priority="8296" stopIfTrue="1" operator="equal">
      <formula>"Napkin Hs"</formula>
    </cfRule>
    <cfRule type="cellIs" dxfId="7281" priority="8299" stopIfTrue="1" operator="equal">
      <formula>"Towel"</formula>
    </cfRule>
    <cfRule type="cellIs" dxfId="7280" priority="8300" stopIfTrue="1" operator="equal">
      <formula>"Napkin Hs"</formula>
    </cfRule>
    <cfRule type="cellIs" dxfId="7279" priority="8311" stopIfTrue="1" operator="equal">
      <formula>"Towel"</formula>
    </cfRule>
    <cfRule type="cellIs" dxfId="7278" priority="8312" stopIfTrue="1" operator="equal">
      <formula>"Napkin Hs"</formula>
    </cfRule>
  </conditionalFormatting>
  <conditionalFormatting sqref="C59">
    <cfRule type="cellIs" dxfId="7277" priority="8291" stopIfTrue="1" operator="equal">
      <formula>"Towel"</formula>
    </cfRule>
    <cfRule type="cellIs" dxfId="7276" priority="8292" stopIfTrue="1" operator="equal">
      <formula>"Napkin Hs"</formula>
    </cfRule>
  </conditionalFormatting>
  <conditionalFormatting sqref="C59">
    <cfRule type="cellIs" dxfId="7275" priority="8287" stopIfTrue="1" operator="equal">
      <formula>"Towel"</formula>
    </cfRule>
    <cfRule type="cellIs" dxfId="7274" priority="8288" stopIfTrue="1" operator="equal">
      <formula>"Napkin Hs"</formula>
    </cfRule>
  </conditionalFormatting>
  <conditionalFormatting sqref="C59">
    <cfRule type="cellIs" dxfId="7273" priority="8289" stopIfTrue="1" operator="equal">
      <formula>"Towel"</formula>
    </cfRule>
    <cfRule type="cellIs" dxfId="7272" priority="8290" stopIfTrue="1" operator="equal">
      <formula>"Napkin Hs"</formula>
    </cfRule>
  </conditionalFormatting>
  <conditionalFormatting sqref="C59">
    <cfRule type="cellIs" dxfId="7271" priority="8285" stopIfTrue="1" operator="equal">
      <formula>"Towel"</formula>
    </cfRule>
    <cfRule type="cellIs" dxfId="7270" priority="8286" stopIfTrue="1" operator="equal">
      <formula>"Napkin Hs"</formula>
    </cfRule>
  </conditionalFormatting>
  <conditionalFormatting sqref="C59">
    <cfRule type="cellIs" dxfId="7269" priority="8281" stopIfTrue="1" operator="equal">
      <formula>"Towel"</formula>
    </cfRule>
    <cfRule type="cellIs" dxfId="7268" priority="8282" stopIfTrue="1" operator="equal">
      <formula>"Napkin Hs"</formula>
    </cfRule>
  </conditionalFormatting>
  <conditionalFormatting sqref="C59">
    <cfRule type="cellIs" dxfId="7267" priority="8283" stopIfTrue="1" operator="equal">
      <formula>"Towel"</formula>
    </cfRule>
    <cfRule type="cellIs" dxfId="7266" priority="8284" stopIfTrue="1" operator="equal">
      <formula>"Napkin Hs"</formula>
    </cfRule>
  </conditionalFormatting>
  <conditionalFormatting sqref="C59">
    <cfRule type="cellIs" dxfId="7265" priority="8279" stopIfTrue="1" operator="equal">
      <formula>"Towel"</formula>
    </cfRule>
    <cfRule type="cellIs" dxfId="7264" priority="8280" stopIfTrue="1" operator="equal">
      <formula>"Napkin Hs"</formula>
    </cfRule>
  </conditionalFormatting>
  <conditionalFormatting sqref="C59">
    <cfRule type="cellIs" dxfId="7263" priority="8275" stopIfTrue="1" operator="equal">
      <formula>"Towel"</formula>
    </cfRule>
    <cfRule type="cellIs" dxfId="7262" priority="8276" stopIfTrue="1" operator="equal">
      <formula>"Napkin Hs"</formula>
    </cfRule>
  </conditionalFormatting>
  <conditionalFormatting sqref="C59">
    <cfRule type="cellIs" dxfId="7261" priority="8277" stopIfTrue="1" operator="equal">
      <formula>"Towel"</formula>
    </cfRule>
    <cfRule type="cellIs" dxfId="7260" priority="8278" stopIfTrue="1" operator="equal">
      <formula>"Napkin Hs"</formula>
    </cfRule>
  </conditionalFormatting>
  <conditionalFormatting sqref="C59">
    <cfRule type="cellIs" dxfId="7259" priority="8273" stopIfTrue="1" operator="equal">
      <formula>"Towel"</formula>
    </cfRule>
    <cfRule type="cellIs" dxfId="7258" priority="8274" stopIfTrue="1" operator="equal">
      <formula>"Napkin Hs"</formula>
    </cfRule>
  </conditionalFormatting>
  <conditionalFormatting sqref="C59">
    <cfRule type="cellIs" dxfId="7257" priority="8271" stopIfTrue="1" operator="equal">
      <formula>"Towel"</formula>
    </cfRule>
    <cfRule type="cellIs" dxfId="7256" priority="8272" stopIfTrue="1" operator="equal">
      <formula>"Napkin Hs"</formula>
    </cfRule>
  </conditionalFormatting>
  <conditionalFormatting sqref="C59">
    <cfRule type="cellIs" dxfId="7255" priority="8269" stopIfTrue="1" operator="equal">
      <formula>"Towel"</formula>
    </cfRule>
    <cfRule type="cellIs" dxfId="7254" priority="8270" stopIfTrue="1" operator="equal">
      <formula>"Napkin Hs"</formula>
    </cfRule>
  </conditionalFormatting>
  <conditionalFormatting sqref="C59">
    <cfRule type="cellIs" dxfId="7253" priority="8267" stopIfTrue="1" operator="equal">
      <formula>"Towel"</formula>
    </cfRule>
    <cfRule type="cellIs" dxfId="7252" priority="8268" stopIfTrue="1" operator="equal">
      <formula>"Napkin Hs"</formula>
    </cfRule>
  </conditionalFormatting>
  <conditionalFormatting sqref="C59">
    <cfRule type="cellIs" dxfId="7251" priority="8266" stopIfTrue="1" operator="equal">
      <formula>"Napkin Hs"</formula>
    </cfRule>
  </conditionalFormatting>
  <conditionalFormatting sqref="C59">
    <cfRule type="cellIs" dxfId="7250" priority="8263" stopIfTrue="1" operator="equal">
      <formula>"Towel"</formula>
    </cfRule>
    <cfRule type="cellIs" dxfId="7249" priority="8264" stopIfTrue="1" operator="equal">
      <formula>"Napkin Hs"</formula>
    </cfRule>
  </conditionalFormatting>
  <conditionalFormatting sqref="C59">
    <cfRule type="cellIs" dxfId="7248" priority="8265" stopIfTrue="1" operator="equal">
      <formula>"Towel"</formula>
    </cfRule>
  </conditionalFormatting>
  <conditionalFormatting sqref="B59">
    <cfRule type="cellIs" dxfId="7247" priority="8261" stopIfTrue="1" operator="equal">
      <formula>"Towel"</formula>
    </cfRule>
    <cfRule type="cellIs" dxfId="7246" priority="8262" stopIfTrue="1" operator="equal">
      <formula>"Napkin Hs"</formula>
    </cfRule>
  </conditionalFormatting>
  <conditionalFormatting sqref="B59">
    <cfRule type="cellIs" dxfId="7245" priority="8259" stopIfTrue="1" operator="equal">
      <formula>"Towel"</formula>
    </cfRule>
    <cfRule type="cellIs" dxfId="7244" priority="8260" stopIfTrue="1" operator="equal">
      <formula>"Napkin Hs"</formula>
    </cfRule>
  </conditionalFormatting>
  <conditionalFormatting sqref="B59">
    <cfRule type="cellIs" dxfId="7243" priority="8257" stopIfTrue="1" operator="equal">
      <formula>"Towel"</formula>
    </cfRule>
    <cfRule type="cellIs" dxfId="7242" priority="8258" stopIfTrue="1" operator="equal">
      <formula>"Napkin Hs"</formula>
    </cfRule>
  </conditionalFormatting>
  <conditionalFormatting sqref="B59">
    <cfRule type="cellIs" dxfId="7241" priority="8255" stopIfTrue="1" operator="equal">
      <formula>"Towel"</formula>
    </cfRule>
    <cfRule type="cellIs" dxfId="7240" priority="8256" stopIfTrue="1" operator="equal">
      <formula>"Napkin Hs"</formula>
    </cfRule>
  </conditionalFormatting>
  <conditionalFormatting sqref="B59">
    <cfRule type="cellIs" dxfId="7239" priority="8253" stopIfTrue="1" operator="equal">
      <formula>"Towel"</formula>
    </cfRule>
    <cfRule type="cellIs" dxfId="7238" priority="8254" stopIfTrue="1" operator="equal">
      <formula>"Napkin Hs"</formula>
    </cfRule>
  </conditionalFormatting>
  <conditionalFormatting sqref="B59">
    <cfRule type="cellIs" dxfId="7237" priority="8251" stopIfTrue="1" operator="equal">
      <formula>"Towel"</formula>
    </cfRule>
    <cfRule type="cellIs" dxfId="7236" priority="8252" stopIfTrue="1" operator="equal">
      <formula>"Napkin Hs"</formula>
    </cfRule>
  </conditionalFormatting>
  <conditionalFormatting sqref="B59">
    <cfRule type="cellIs" dxfId="7235" priority="8247" stopIfTrue="1" operator="equal">
      <formula>"Towel"</formula>
    </cfRule>
    <cfRule type="cellIs" dxfId="7234" priority="8248" stopIfTrue="1" operator="equal">
      <formula>"Napkin Hs"</formula>
    </cfRule>
    <cfRule type="cellIs" dxfId="7233" priority="8249" stopIfTrue="1" operator="equal">
      <formula>"Towel"</formula>
    </cfRule>
    <cfRule type="cellIs" dxfId="7232" priority="8250" stopIfTrue="1" operator="equal">
      <formula>"Napkin Hs"</formula>
    </cfRule>
  </conditionalFormatting>
  <conditionalFormatting sqref="B59">
    <cfRule type="cellIs" dxfId="7231" priority="8245" stopIfTrue="1" operator="equal">
      <formula>"Towel"</formula>
    </cfRule>
    <cfRule type="cellIs" dxfId="7230" priority="8246" stopIfTrue="1" operator="equal">
      <formula>"Napkin Hs"</formula>
    </cfRule>
  </conditionalFormatting>
  <conditionalFormatting sqref="B59">
    <cfRule type="cellIs" dxfId="7229" priority="8243" stopIfTrue="1" operator="equal">
      <formula>"Towel"</formula>
    </cfRule>
    <cfRule type="cellIs" dxfId="7228" priority="8244" stopIfTrue="1" operator="equal">
      <formula>"Napkin Hs"</formula>
    </cfRule>
  </conditionalFormatting>
  <conditionalFormatting sqref="B59">
    <cfRule type="cellIs" dxfId="7227" priority="8241" stopIfTrue="1" operator="equal">
      <formula>"Towel"</formula>
    </cfRule>
    <cfRule type="cellIs" dxfId="7226" priority="8242" stopIfTrue="1" operator="equal">
      <formula>"Napkin Hs"</formula>
    </cfRule>
  </conditionalFormatting>
  <conditionalFormatting sqref="B59">
    <cfRule type="cellIs" dxfId="7225" priority="8239" stopIfTrue="1" operator="equal">
      <formula>"Towel"</formula>
    </cfRule>
    <cfRule type="cellIs" dxfId="7224" priority="8240" stopIfTrue="1" operator="equal">
      <formula>"Napkin Hs"</formula>
    </cfRule>
  </conditionalFormatting>
  <conditionalFormatting sqref="B59">
    <cfRule type="cellIs" dxfId="7223" priority="8237" stopIfTrue="1" operator="equal">
      <formula>"Towel"</formula>
    </cfRule>
    <cfRule type="cellIs" dxfId="7222" priority="8238" stopIfTrue="1" operator="equal">
      <formula>"Napkin Hs"</formula>
    </cfRule>
  </conditionalFormatting>
  <conditionalFormatting sqref="B59:C59">
    <cfRule type="cellIs" dxfId="7221" priority="8223" stopIfTrue="1" operator="equal">
      <formula>"Towel"</formula>
    </cfRule>
    <cfRule type="cellIs" dxfId="7220" priority="8224" stopIfTrue="1" operator="equal">
      <formula>"Napkin Hs"</formula>
    </cfRule>
    <cfRule type="cellIs" dxfId="7219" priority="8229" stopIfTrue="1" operator="equal">
      <formula>"Towel"</formula>
    </cfRule>
    <cfRule type="cellIs" dxfId="7218" priority="8230" stopIfTrue="1" operator="equal">
      <formula>"Napkin Hs"</formula>
    </cfRule>
    <cfRule type="cellIs" dxfId="7217" priority="8235" stopIfTrue="1" operator="equal">
      <formula>"Towel"</formula>
    </cfRule>
    <cfRule type="cellIs" dxfId="7216" priority="8236" stopIfTrue="1" operator="equal">
      <formula>"Napkin Hs"</formula>
    </cfRule>
  </conditionalFormatting>
  <conditionalFormatting sqref="C59">
    <cfRule type="cellIs" dxfId="7215" priority="8217" stopIfTrue="1" operator="equal">
      <formula>"Towel"</formula>
    </cfRule>
    <cfRule type="cellIs" dxfId="7214" priority="8218" stopIfTrue="1" operator="equal">
      <formula>"Napkin Hs"</formula>
    </cfRule>
    <cfRule type="cellIs" dxfId="7213" priority="8219" stopIfTrue="1" operator="equal">
      <formula>"Towel"</formula>
    </cfRule>
    <cfRule type="cellIs" dxfId="7212" priority="8220" stopIfTrue="1" operator="equal">
      <formula>"Napkin Hs"</formula>
    </cfRule>
    <cfRule type="cellIs" dxfId="7211" priority="8227" stopIfTrue="1" operator="equal">
      <formula>"Towel"</formula>
    </cfRule>
    <cfRule type="cellIs" dxfId="7210" priority="8228" stopIfTrue="1" operator="equal">
      <formula>"Napkin Hs"</formula>
    </cfRule>
    <cfRule type="cellIs" dxfId="7209" priority="8231" stopIfTrue="1" operator="equal">
      <formula>"Towel"</formula>
    </cfRule>
    <cfRule type="cellIs" dxfId="7208" priority="8232" stopIfTrue="1" operator="equal">
      <formula>"Napkin Hs"</formula>
    </cfRule>
  </conditionalFormatting>
  <conditionalFormatting sqref="C59">
    <cfRule type="cellIs" dxfId="7207" priority="8221" stopIfTrue="1" operator="equal">
      <formula>"Towel"</formula>
    </cfRule>
    <cfRule type="cellIs" dxfId="7206" priority="8222" stopIfTrue="1" operator="equal">
      <formula>"Napkin Hs"</formula>
    </cfRule>
    <cfRule type="cellIs" dxfId="7205" priority="8225" stopIfTrue="1" operator="equal">
      <formula>"Towel"</formula>
    </cfRule>
    <cfRule type="cellIs" dxfId="7204" priority="8226" stopIfTrue="1" operator="equal">
      <formula>"Napkin Hs"</formula>
    </cfRule>
    <cfRule type="cellIs" dxfId="7203" priority="8233" stopIfTrue="1" operator="equal">
      <formula>"Towel"</formula>
    </cfRule>
    <cfRule type="cellIs" dxfId="7202" priority="8234" stopIfTrue="1" operator="equal">
      <formula>"Napkin Hs"</formula>
    </cfRule>
  </conditionalFormatting>
  <conditionalFormatting sqref="B59:C59">
    <cfRule type="cellIs" dxfId="7201" priority="8215" stopIfTrue="1" operator="equal">
      <formula>"Towel"</formula>
    </cfRule>
    <cfRule type="cellIs" dxfId="7200" priority="8216" stopIfTrue="1" operator="equal">
      <formula>"Napkin Hs"</formula>
    </cfRule>
  </conditionalFormatting>
  <conditionalFormatting sqref="B59:C59">
    <cfRule type="cellIs" dxfId="7199" priority="8207" stopIfTrue="1" operator="equal">
      <formula>"Towel"</formula>
    </cfRule>
    <cfRule type="cellIs" dxfId="7198" priority="8208" stopIfTrue="1" operator="equal">
      <formula>"Napkin Hs"</formula>
    </cfRule>
    <cfRule type="cellIs" dxfId="7197" priority="8213" stopIfTrue="1" operator="equal">
      <formula>"Towel"</formula>
    </cfRule>
    <cfRule type="cellIs" dxfId="7196" priority="8214" stopIfTrue="1" operator="equal">
      <formula>"Napkin Hs"</formula>
    </cfRule>
  </conditionalFormatting>
  <conditionalFormatting sqref="C59">
    <cfRule type="cellIs" dxfId="7195" priority="8203" stopIfTrue="1" operator="equal">
      <formula>"Towel"</formula>
    </cfRule>
    <cfRule type="cellIs" dxfId="7194" priority="8204" stopIfTrue="1" operator="equal">
      <formula>"Napkin Hs"</formula>
    </cfRule>
  </conditionalFormatting>
  <conditionalFormatting sqref="C59">
    <cfRule type="cellIs" dxfId="7193" priority="8201" stopIfTrue="1" operator="equal">
      <formula>"Towel"</formula>
    </cfRule>
    <cfRule type="cellIs" dxfId="7192" priority="8202" stopIfTrue="1" operator="equal">
      <formula>"Napkin Hs"</formula>
    </cfRule>
    <cfRule type="cellIs" dxfId="7191" priority="8211" stopIfTrue="1" operator="equal">
      <formula>"Towel"</formula>
    </cfRule>
    <cfRule type="cellIs" dxfId="7190" priority="8212" stopIfTrue="1" operator="equal">
      <formula>"Napkin Hs"</formula>
    </cfRule>
  </conditionalFormatting>
  <conditionalFormatting sqref="C59">
    <cfRule type="cellIs" dxfId="7189" priority="8205" stopIfTrue="1" operator="equal">
      <formula>"Towel"</formula>
    </cfRule>
    <cfRule type="cellIs" dxfId="7188" priority="8206" stopIfTrue="1" operator="equal">
      <formula>"Napkin Hs"</formula>
    </cfRule>
    <cfRule type="cellIs" dxfId="7187" priority="8209" stopIfTrue="1" operator="equal">
      <formula>"Towel"</formula>
    </cfRule>
    <cfRule type="cellIs" dxfId="7186" priority="8210" stopIfTrue="1" operator="equal">
      <formula>"Napkin Hs"</formula>
    </cfRule>
  </conditionalFormatting>
  <conditionalFormatting sqref="C59">
    <cfRule type="cellIs" dxfId="7185" priority="8200" stopIfTrue="1" operator="equal">
      <formula>"Napkin Hs"</formula>
    </cfRule>
  </conditionalFormatting>
  <conditionalFormatting sqref="C59">
    <cfRule type="cellIs" dxfId="7184" priority="8199" stopIfTrue="1" operator="equal">
      <formula>"Towel"</formula>
    </cfRule>
  </conditionalFormatting>
  <conditionalFormatting sqref="C59">
    <cfRule type="cellIs" dxfId="7183" priority="8195" stopIfTrue="1" operator="equal">
      <formula>"Towel"</formula>
    </cfRule>
    <cfRule type="cellIs" dxfId="7182" priority="8196" stopIfTrue="1" operator="equal">
      <formula>"Napkin Hs"</formula>
    </cfRule>
    <cfRule type="cellIs" dxfId="7181" priority="8197" stopIfTrue="1" operator="equal">
      <formula>"Towel"</formula>
    </cfRule>
    <cfRule type="cellIs" dxfId="7180" priority="8198" stopIfTrue="1" operator="equal">
      <formula>"Napkin Hs"</formula>
    </cfRule>
  </conditionalFormatting>
  <conditionalFormatting sqref="B59:C59">
    <cfRule type="cellIs" dxfId="7179" priority="8193" stopIfTrue="1" operator="equal">
      <formula>"Towel"</formula>
    </cfRule>
    <cfRule type="cellIs" dxfId="7178" priority="8194" stopIfTrue="1" operator="equal">
      <formula>"Napkin Hs"</formula>
    </cfRule>
  </conditionalFormatting>
  <conditionalFormatting sqref="C59">
    <cfRule type="cellIs" dxfId="7177" priority="8189" stopIfTrue="1" operator="equal">
      <formula>"Towel"</formula>
    </cfRule>
    <cfRule type="cellIs" dxfId="7176" priority="8190" stopIfTrue="1" operator="equal">
      <formula>"Napkin Hs"</formula>
    </cfRule>
  </conditionalFormatting>
  <conditionalFormatting sqref="C59">
    <cfRule type="cellIs" dxfId="7175" priority="8191" stopIfTrue="1" operator="equal">
      <formula>"Towel"</formula>
    </cfRule>
    <cfRule type="cellIs" dxfId="7174" priority="8192" stopIfTrue="1" operator="equal">
      <formula>"Napkin Hs"</formula>
    </cfRule>
  </conditionalFormatting>
  <conditionalFormatting sqref="B59:C59">
    <cfRule type="cellIs" dxfId="7173" priority="8187" stopIfTrue="1" operator="equal">
      <formula>"Towel"</formula>
    </cfRule>
    <cfRule type="cellIs" dxfId="7172" priority="8188" stopIfTrue="1" operator="equal">
      <formula>"Napkin Hs"</formula>
    </cfRule>
  </conditionalFormatting>
  <conditionalFormatting sqref="C59">
    <cfRule type="cellIs" dxfId="7171" priority="8183" stopIfTrue="1" operator="equal">
      <formula>"Towel"</formula>
    </cfRule>
    <cfRule type="cellIs" dxfId="7170" priority="8184" stopIfTrue="1" operator="equal">
      <formula>"Napkin Hs"</formula>
    </cfRule>
  </conditionalFormatting>
  <conditionalFormatting sqref="C59">
    <cfRule type="cellIs" dxfId="7169" priority="8185" stopIfTrue="1" operator="equal">
      <formula>"Towel"</formula>
    </cfRule>
    <cfRule type="cellIs" dxfId="7168" priority="8186" stopIfTrue="1" operator="equal">
      <formula>"Napkin Hs"</formula>
    </cfRule>
  </conditionalFormatting>
  <conditionalFormatting sqref="B59:C59">
    <cfRule type="cellIs" dxfId="7167" priority="8181" stopIfTrue="1" operator="equal">
      <formula>"Towel"</formula>
    </cfRule>
    <cfRule type="cellIs" dxfId="7166" priority="8182" stopIfTrue="1" operator="equal">
      <formula>"Napkin Hs"</formula>
    </cfRule>
  </conditionalFormatting>
  <conditionalFormatting sqref="C59">
    <cfRule type="cellIs" dxfId="7165" priority="8177" stopIfTrue="1" operator="equal">
      <formula>"Towel"</formula>
    </cfRule>
    <cfRule type="cellIs" dxfId="7164" priority="8178" stopIfTrue="1" operator="equal">
      <formula>"Napkin Hs"</formula>
    </cfRule>
  </conditionalFormatting>
  <conditionalFormatting sqref="C59">
    <cfRule type="cellIs" dxfId="7163" priority="8179" stopIfTrue="1" operator="equal">
      <formula>"Towel"</formula>
    </cfRule>
    <cfRule type="cellIs" dxfId="7162" priority="8180" stopIfTrue="1" operator="equal">
      <formula>"Napkin Hs"</formula>
    </cfRule>
  </conditionalFormatting>
  <conditionalFormatting sqref="B59:C59">
    <cfRule type="cellIs" dxfId="7161" priority="8175" stopIfTrue="1" operator="equal">
      <formula>"Towel"</formula>
    </cfRule>
    <cfRule type="cellIs" dxfId="7160" priority="8176" stopIfTrue="1" operator="equal">
      <formula>"Napkin Hs"</formula>
    </cfRule>
  </conditionalFormatting>
  <conditionalFormatting sqref="C59">
    <cfRule type="cellIs" dxfId="7159" priority="8173" stopIfTrue="1" operator="equal">
      <formula>"Towel"</formula>
    </cfRule>
    <cfRule type="cellIs" dxfId="7158" priority="8174" stopIfTrue="1" operator="equal">
      <formula>"Napkin Hs"</formula>
    </cfRule>
  </conditionalFormatting>
  <conditionalFormatting sqref="C59">
    <cfRule type="cellIs" dxfId="7157" priority="8171" stopIfTrue="1" operator="equal">
      <formula>"Towel"</formula>
    </cfRule>
    <cfRule type="cellIs" dxfId="7156" priority="8172" stopIfTrue="1" operator="equal">
      <formula>"Napkin Hs"</formula>
    </cfRule>
  </conditionalFormatting>
  <conditionalFormatting sqref="B59:C59">
    <cfRule type="cellIs" dxfId="7155" priority="8169" stopIfTrue="1" operator="equal">
      <formula>"Towel"</formula>
    </cfRule>
    <cfRule type="cellIs" dxfId="7154" priority="8170" stopIfTrue="1" operator="equal">
      <formula>"Napkin Hs"</formula>
    </cfRule>
  </conditionalFormatting>
  <conditionalFormatting sqref="C59">
    <cfRule type="cellIs" dxfId="7153" priority="8168" stopIfTrue="1" operator="equal">
      <formula>"Napkin Hs"</formula>
    </cfRule>
  </conditionalFormatting>
  <conditionalFormatting sqref="C59">
    <cfRule type="cellIs" dxfId="7152" priority="8165" stopIfTrue="1" operator="equal">
      <formula>"Towel"</formula>
    </cfRule>
    <cfRule type="cellIs" dxfId="7151" priority="8166" stopIfTrue="1" operator="equal">
      <formula>"Napkin Hs"</formula>
    </cfRule>
  </conditionalFormatting>
  <conditionalFormatting sqref="C59">
    <cfRule type="cellIs" dxfId="7150" priority="8167" stopIfTrue="1" operator="equal">
      <formula>"Towel"</formula>
    </cfRule>
  </conditionalFormatting>
  <conditionalFormatting sqref="B58:C58">
    <cfRule type="cellIs" dxfId="7149" priority="8163" stopIfTrue="1" operator="equal">
      <formula>"Towel"</formula>
    </cfRule>
    <cfRule type="cellIs" dxfId="7148" priority="8164" stopIfTrue="1" operator="equal">
      <formula>"Napkin Hs"</formula>
    </cfRule>
  </conditionalFormatting>
  <conditionalFormatting sqref="B58:C58">
    <cfRule type="cellIs" dxfId="7147" priority="8139" stopIfTrue="1" operator="equal">
      <formula>"Towel"</formula>
    </cfRule>
    <cfRule type="cellIs" dxfId="7146" priority="8140" stopIfTrue="1" operator="equal">
      <formula>"Napkin Hs"</formula>
    </cfRule>
    <cfRule type="cellIs" dxfId="7145" priority="8145" stopIfTrue="1" operator="equal">
      <formula>"Towel"</formula>
    </cfRule>
    <cfRule type="cellIs" dxfId="7144" priority="8146" stopIfTrue="1" operator="equal">
      <formula>"Napkin Hs"</formula>
    </cfRule>
    <cfRule type="cellIs" dxfId="7143" priority="8151" stopIfTrue="1" operator="equal">
      <formula>"Towel"</formula>
    </cfRule>
    <cfRule type="cellIs" dxfId="7142" priority="8152" stopIfTrue="1" operator="equal">
      <formula>"Napkin Hs"</formula>
    </cfRule>
    <cfRule type="cellIs" dxfId="7141" priority="8157" stopIfTrue="1" operator="equal">
      <formula>"Towel"</formula>
    </cfRule>
    <cfRule type="cellIs" dxfId="7140" priority="8158" stopIfTrue="1" operator="equal">
      <formula>"Napkin Hs"</formula>
    </cfRule>
  </conditionalFormatting>
  <conditionalFormatting sqref="C58">
    <cfRule type="cellIs" dxfId="7139" priority="8153" stopIfTrue="1" operator="equal">
      <formula>"Towel"</formula>
    </cfRule>
    <cfRule type="cellIs" dxfId="7138" priority="8154" stopIfTrue="1" operator="equal">
      <formula>"Napkin Hs"</formula>
    </cfRule>
    <cfRule type="cellIs" dxfId="7137" priority="8159" stopIfTrue="1" operator="equal">
      <formula>"Towel"</formula>
    </cfRule>
    <cfRule type="cellIs" dxfId="7136" priority="8160" stopIfTrue="1" operator="equal">
      <formula>"Napkin Hs"</formula>
    </cfRule>
  </conditionalFormatting>
  <conditionalFormatting sqref="C58">
    <cfRule type="cellIs" dxfId="7135" priority="8133" stopIfTrue="1" operator="equal">
      <formula>"Towel"</formula>
    </cfRule>
    <cfRule type="cellIs" dxfId="7134" priority="8134" stopIfTrue="1" operator="equal">
      <formula>"Napkin Hs"</formula>
    </cfRule>
    <cfRule type="cellIs" dxfId="7133" priority="8135" stopIfTrue="1" operator="equal">
      <formula>"Towel"</formula>
    </cfRule>
    <cfRule type="cellIs" dxfId="7132" priority="8136" stopIfTrue="1" operator="equal">
      <formula>"Napkin Hs"</formula>
    </cfRule>
    <cfRule type="cellIs" dxfId="7131" priority="8143" stopIfTrue="1" operator="equal">
      <formula>"Towel"</formula>
    </cfRule>
    <cfRule type="cellIs" dxfId="7130" priority="8144" stopIfTrue="1" operator="equal">
      <formula>"Napkin Hs"</formula>
    </cfRule>
    <cfRule type="cellIs" dxfId="7129" priority="8147" stopIfTrue="1" operator="equal">
      <formula>"Towel"</formula>
    </cfRule>
    <cfRule type="cellIs" dxfId="7128" priority="8148" stopIfTrue="1" operator="equal">
      <formula>"Napkin Hs"</formula>
    </cfRule>
    <cfRule type="cellIs" dxfId="7127" priority="8149" stopIfTrue="1" operator="equal">
      <formula>"Towel"</formula>
    </cfRule>
    <cfRule type="cellIs" dxfId="7126" priority="8150" stopIfTrue="1" operator="equal">
      <formula>"Napkin Hs"</formula>
    </cfRule>
  </conditionalFormatting>
  <conditionalFormatting sqref="C58">
    <cfRule type="cellIs" dxfId="7125" priority="8161" stopIfTrue="1" operator="equal">
      <formula>"Towel"</formula>
    </cfRule>
    <cfRule type="cellIs" dxfId="7124" priority="8162" stopIfTrue="1" operator="equal">
      <formula>"Napkin Hs"</formula>
    </cfRule>
  </conditionalFormatting>
  <conditionalFormatting sqref="C58">
    <cfRule type="cellIs" dxfId="7123" priority="8137" stopIfTrue="1" operator="equal">
      <formula>"Towel"</formula>
    </cfRule>
    <cfRule type="cellIs" dxfId="7122" priority="8138" stopIfTrue="1" operator="equal">
      <formula>"Napkin Hs"</formula>
    </cfRule>
    <cfRule type="cellIs" dxfId="7121" priority="8141" stopIfTrue="1" operator="equal">
      <formula>"Towel"</formula>
    </cfRule>
    <cfRule type="cellIs" dxfId="7120" priority="8142" stopIfTrue="1" operator="equal">
      <formula>"Napkin Hs"</formula>
    </cfRule>
    <cfRule type="cellIs" dxfId="7119" priority="8155" stopIfTrue="1" operator="equal">
      <formula>"Towel"</formula>
    </cfRule>
    <cfRule type="cellIs" dxfId="7118" priority="8156" stopIfTrue="1" operator="equal">
      <formula>"Napkin Hs"</formula>
    </cfRule>
  </conditionalFormatting>
  <conditionalFormatting sqref="B58:C58">
    <cfRule type="cellIs" dxfId="7117" priority="8089" stopIfTrue="1" operator="equal">
      <formula>"Towel"</formula>
    </cfRule>
    <cfRule type="cellIs" dxfId="7116" priority="8090" stopIfTrue="1" operator="equal">
      <formula>"Napkin Hs"</formula>
    </cfRule>
    <cfRule type="cellIs" dxfId="7115" priority="8095" stopIfTrue="1" operator="equal">
      <formula>"Towel"</formula>
    </cfRule>
    <cfRule type="cellIs" dxfId="7114" priority="8096" stopIfTrue="1" operator="equal">
      <formula>"Napkin Hs"</formula>
    </cfRule>
    <cfRule type="cellIs" dxfId="7113" priority="8101" stopIfTrue="1" operator="equal">
      <formula>"Towel"</formula>
    </cfRule>
    <cfRule type="cellIs" dxfId="7112" priority="8102" stopIfTrue="1" operator="equal">
      <formula>"Napkin Hs"</formula>
    </cfRule>
    <cfRule type="cellIs" dxfId="7111" priority="8107" stopIfTrue="1" operator="equal">
      <formula>"Towel"</formula>
    </cfRule>
    <cfRule type="cellIs" dxfId="7110" priority="8108" stopIfTrue="1" operator="equal">
      <formula>"Napkin Hs"</formula>
    </cfRule>
    <cfRule type="cellIs" dxfId="7109" priority="8113" stopIfTrue="1" operator="equal">
      <formula>"Towel"</formula>
    </cfRule>
    <cfRule type="cellIs" dxfId="7108" priority="8114" stopIfTrue="1" operator="equal">
      <formula>"Napkin Hs"</formula>
    </cfRule>
    <cfRule type="cellIs" dxfId="7107" priority="8119" stopIfTrue="1" operator="equal">
      <formula>"Towel"</formula>
    </cfRule>
    <cfRule type="cellIs" dxfId="7106" priority="8120" stopIfTrue="1" operator="equal">
      <formula>"Napkin Hs"</formula>
    </cfRule>
    <cfRule type="cellIs" dxfId="7105" priority="8125" stopIfTrue="1" operator="equal">
      <formula>"Towel"</formula>
    </cfRule>
    <cfRule type="cellIs" dxfId="7104" priority="8126" stopIfTrue="1" operator="equal">
      <formula>"Napkin Hs"</formula>
    </cfRule>
    <cfRule type="cellIs" dxfId="7103" priority="8131" stopIfTrue="1" operator="equal">
      <formula>"Towel"</formula>
    </cfRule>
    <cfRule type="cellIs" dxfId="7102" priority="8132" stopIfTrue="1" operator="equal">
      <formula>"Napkin Hs"</formula>
    </cfRule>
  </conditionalFormatting>
  <conditionalFormatting sqref="C58">
    <cfRule type="cellIs" dxfId="7101" priority="8085" stopIfTrue="1" operator="equal">
      <formula>"Towel"</formula>
    </cfRule>
    <cfRule type="cellIs" dxfId="7100" priority="8086" stopIfTrue="1" operator="equal">
      <formula>"Napkin Hs"</formula>
    </cfRule>
    <cfRule type="cellIs" dxfId="7099" priority="8087" stopIfTrue="1" operator="equal">
      <formula>"Towel"</formula>
    </cfRule>
    <cfRule type="cellIs" dxfId="7098" priority="8088" stopIfTrue="1" operator="equal">
      <formula>"Napkin Hs"</formula>
    </cfRule>
    <cfRule type="cellIs" dxfId="7097" priority="8091" stopIfTrue="1" operator="equal">
      <formula>"Towel"</formula>
    </cfRule>
    <cfRule type="cellIs" dxfId="7096" priority="8092" stopIfTrue="1" operator="equal">
      <formula>"Napkin Hs"</formula>
    </cfRule>
    <cfRule type="cellIs" dxfId="7095" priority="8093" stopIfTrue="1" operator="equal">
      <formula>"Towel"</formula>
    </cfRule>
    <cfRule type="cellIs" dxfId="7094" priority="8094" stopIfTrue="1" operator="equal">
      <formula>"Napkin Hs"</formula>
    </cfRule>
    <cfRule type="cellIs" dxfId="7093" priority="8097" stopIfTrue="1" operator="equal">
      <formula>"Towel"</formula>
    </cfRule>
    <cfRule type="cellIs" dxfId="7092" priority="8098" stopIfTrue="1" operator="equal">
      <formula>"Napkin Hs"</formula>
    </cfRule>
    <cfRule type="cellIs" dxfId="7091" priority="8099" stopIfTrue="1" operator="equal">
      <formula>"Towel"</formula>
    </cfRule>
    <cfRule type="cellIs" dxfId="7090" priority="8100" stopIfTrue="1" operator="equal">
      <formula>"Napkin Hs"</formula>
    </cfRule>
    <cfRule type="cellIs" dxfId="7089" priority="8103" stopIfTrue="1" operator="equal">
      <formula>"Towel"</formula>
    </cfRule>
    <cfRule type="cellIs" dxfId="7088" priority="8104" stopIfTrue="1" operator="equal">
      <formula>"Napkin Hs"</formula>
    </cfRule>
    <cfRule type="cellIs" dxfId="7087" priority="8105" stopIfTrue="1" operator="equal">
      <formula>"Towel"</formula>
    </cfRule>
    <cfRule type="cellIs" dxfId="7086" priority="8106" stopIfTrue="1" operator="equal">
      <formula>"Napkin Hs"</formula>
    </cfRule>
    <cfRule type="cellIs" dxfId="7085" priority="8109" stopIfTrue="1" operator="equal">
      <formula>"Towel"</formula>
    </cfRule>
    <cfRule type="cellIs" dxfId="7084" priority="8110" stopIfTrue="1" operator="equal">
      <formula>"Napkin Hs"</formula>
    </cfRule>
    <cfRule type="cellIs" dxfId="7083" priority="8111" stopIfTrue="1" operator="equal">
      <formula>"Towel"</formula>
    </cfRule>
    <cfRule type="cellIs" dxfId="7082" priority="8112" stopIfTrue="1" operator="equal">
      <formula>"Napkin Hs"</formula>
    </cfRule>
    <cfRule type="cellIs" dxfId="7081" priority="8115" stopIfTrue="1" operator="equal">
      <formula>"Towel"</formula>
    </cfRule>
    <cfRule type="cellIs" dxfId="7080" priority="8116" stopIfTrue="1" operator="equal">
      <formula>"Napkin Hs"</formula>
    </cfRule>
    <cfRule type="cellIs" dxfId="7079" priority="8117" stopIfTrue="1" operator="equal">
      <formula>"Towel"</formula>
    </cfRule>
    <cfRule type="cellIs" dxfId="7078" priority="8118" stopIfTrue="1" operator="equal">
      <formula>"Napkin Hs"</formula>
    </cfRule>
    <cfRule type="cellIs" dxfId="7077" priority="8121" stopIfTrue="1" operator="equal">
      <formula>"Towel"</formula>
    </cfRule>
    <cfRule type="cellIs" dxfId="7076" priority="8122" stopIfTrue="1" operator="equal">
      <formula>"Napkin Hs"</formula>
    </cfRule>
    <cfRule type="cellIs" dxfId="7075" priority="8123" stopIfTrue="1" operator="equal">
      <formula>"Towel"</formula>
    </cfRule>
    <cfRule type="cellIs" dxfId="7074" priority="8124" stopIfTrue="1" operator="equal">
      <formula>"Napkin Hs"</formula>
    </cfRule>
    <cfRule type="cellIs" dxfId="7073" priority="8127" stopIfTrue="1" operator="equal">
      <formula>"Towel"</formula>
    </cfRule>
    <cfRule type="cellIs" dxfId="7072" priority="8128" stopIfTrue="1" operator="equal">
      <formula>"Napkin Hs"</formula>
    </cfRule>
  </conditionalFormatting>
  <conditionalFormatting sqref="C58">
    <cfRule type="cellIs" dxfId="7071" priority="8129" stopIfTrue="1" operator="equal">
      <formula>"Towel"</formula>
    </cfRule>
    <cfRule type="cellIs" dxfId="7070" priority="8130" stopIfTrue="1" operator="equal">
      <formula>"Napkin Hs"</formula>
    </cfRule>
  </conditionalFormatting>
  <conditionalFormatting sqref="B58">
    <cfRule type="cellIs" dxfId="7069" priority="8079" stopIfTrue="1" operator="equal">
      <formula>"Towel"</formula>
    </cfRule>
    <cfRule type="cellIs" dxfId="7068" priority="8080" stopIfTrue="1" operator="equal">
      <formula>"Napkin Hs"</formula>
    </cfRule>
    <cfRule type="cellIs" dxfId="7067" priority="8081" stopIfTrue="1" operator="equal">
      <formula>"Towel"</formula>
    </cfRule>
    <cfRule type="cellIs" dxfId="7066" priority="8082" stopIfTrue="1" operator="equal">
      <formula>"Napkin Hs"</formula>
    </cfRule>
    <cfRule type="cellIs" dxfId="7065" priority="8083" stopIfTrue="1" operator="equal">
      <formula>"Towel"</formula>
    </cfRule>
    <cfRule type="cellIs" dxfId="7064" priority="8084" stopIfTrue="1" operator="equal">
      <formula>"Napkin Hs"</formula>
    </cfRule>
  </conditionalFormatting>
  <conditionalFormatting sqref="B58:C58">
    <cfRule type="cellIs" dxfId="7063" priority="8041" stopIfTrue="1" operator="equal">
      <formula>"Towel"</formula>
    </cfRule>
    <cfRule type="cellIs" dxfId="7062" priority="8042" stopIfTrue="1" operator="equal">
      <formula>"Napkin Hs"</formula>
    </cfRule>
    <cfRule type="cellIs" dxfId="7061" priority="8047" stopIfTrue="1" operator="equal">
      <formula>"Towel"</formula>
    </cfRule>
    <cfRule type="cellIs" dxfId="7060" priority="8048" stopIfTrue="1" operator="equal">
      <formula>"Napkin Hs"</formula>
    </cfRule>
    <cfRule type="cellIs" dxfId="7059" priority="8053" stopIfTrue="1" operator="equal">
      <formula>"Towel"</formula>
    </cfRule>
    <cfRule type="cellIs" dxfId="7058" priority="8054" stopIfTrue="1" operator="equal">
      <formula>"Napkin Hs"</formula>
    </cfRule>
    <cfRule type="cellIs" dxfId="7057" priority="8059" stopIfTrue="1" operator="equal">
      <formula>"Towel"</formula>
    </cfRule>
    <cfRule type="cellIs" dxfId="7056" priority="8060" stopIfTrue="1" operator="equal">
      <formula>"Napkin Hs"</formula>
    </cfRule>
    <cfRule type="cellIs" dxfId="7055" priority="8065" stopIfTrue="1" operator="equal">
      <formula>"Towel"</formula>
    </cfRule>
    <cfRule type="cellIs" dxfId="7054" priority="8066" stopIfTrue="1" operator="equal">
      <formula>"Napkin Hs"</formula>
    </cfRule>
    <cfRule type="cellIs" dxfId="7053" priority="8071" stopIfTrue="1" operator="equal">
      <formula>"Towel"</formula>
    </cfRule>
    <cfRule type="cellIs" dxfId="7052" priority="8072" stopIfTrue="1" operator="equal">
      <formula>"Napkin Hs"</formula>
    </cfRule>
    <cfRule type="cellIs" dxfId="7051" priority="8077" stopIfTrue="1" operator="equal">
      <formula>"Towel"</formula>
    </cfRule>
    <cfRule type="cellIs" dxfId="7050" priority="8078" stopIfTrue="1" operator="equal">
      <formula>"Napkin Hs"</formula>
    </cfRule>
  </conditionalFormatting>
  <conditionalFormatting sqref="C58">
    <cfRule type="cellIs" dxfId="7049" priority="8037" stopIfTrue="1" operator="equal">
      <formula>"Towel"</formula>
    </cfRule>
    <cfRule type="cellIs" dxfId="7048" priority="8038" stopIfTrue="1" operator="equal">
      <formula>"Napkin Hs"</formula>
    </cfRule>
    <cfRule type="cellIs" dxfId="7047" priority="8039" stopIfTrue="1" operator="equal">
      <formula>"Towel"</formula>
    </cfRule>
    <cfRule type="cellIs" dxfId="7046" priority="8040" stopIfTrue="1" operator="equal">
      <formula>"Napkin Hs"</formula>
    </cfRule>
    <cfRule type="cellIs" dxfId="7045" priority="8043" stopIfTrue="1" operator="equal">
      <formula>"Towel"</formula>
    </cfRule>
    <cfRule type="cellIs" dxfId="7044" priority="8044" stopIfTrue="1" operator="equal">
      <formula>"Napkin Hs"</formula>
    </cfRule>
    <cfRule type="cellIs" dxfId="7043" priority="8045" stopIfTrue="1" operator="equal">
      <formula>"Towel"</formula>
    </cfRule>
    <cfRule type="cellIs" dxfId="7042" priority="8046" stopIfTrue="1" operator="equal">
      <formula>"Napkin Hs"</formula>
    </cfRule>
    <cfRule type="cellIs" dxfId="7041" priority="8049" stopIfTrue="1" operator="equal">
      <formula>"Towel"</formula>
    </cfRule>
    <cfRule type="cellIs" dxfId="7040" priority="8050" stopIfTrue="1" operator="equal">
      <formula>"Napkin Hs"</formula>
    </cfRule>
    <cfRule type="cellIs" dxfId="7039" priority="8051" stopIfTrue="1" operator="equal">
      <formula>"Towel"</formula>
    </cfRule>
    <cfRule type="cellIs" dxfId="7038" priority="8052" stopIfTrue="1" operator="equal">
      <formula>"Napkin Hs"</formula>
    </cfRule>
    <cfRule type="cellIs" dxfId="7037" priority="8055" stopIfTrue="1" operator="equal">
      <formula>"Towel"</formula>
    </cfRule>
    <cfRule type="cellIs" dxfId="7036" priority="8056" stopIfTrue="1" operator="equal">
      <formula>"Napkin Hs"</formula>
    </cfRule>
    <cfRule type="cellIs" dxfId="7035" priority="8057" stopIfTrue="1" operator="equal">
      <formula>"Towel"</formula>
    </cfRule>
    <cfRule type="cellIs" dxfId="7034" priority="8058" stopIfTrue="1" operator="equal">
      <formula>"Napkin Hs"</formula>
    </cfRule>
    <cfRule type="cellIs" dxfId="7033" priority="8061" stopIfTrue="1" operator="equal">
      <formula>"Towel"</formula>
    </cfRule>
    <cfRule type="cellIs" dxfId="7032" priority="8062" stopIfTrue="1" operator="equal">
      <formula>"Napkin Hs"</formula>
    </cfRule>
    <cfRule type="cellIs" dxfId="7031" priority="8063" stopIfTrue="1" operator="equal">
      <formula>"Towel"</formula>
    </cfRule>
    <cfRule type="cellIs" dxfId="7030" priority="8064" stopIfTrue="1" operator="equal">
      <formula>"Napkin Hs"</formula>
    </cfRule>
    <cfRule type="cellIs" dxfId="7029" priority="8067" stopIfTrue="1" operator="equal">
      <formula>"Towel"</formula>
    </cfRule>
    <cfRule type="cellIs" dxfId="7028" priority="8068" stopIfTrue="1" operator="equal">
      <formula>"Napkin Hs"</formula>
    </cfRule>
    <cfRule type="cellIs" dxfId="7027" priority="8069" stopIfTrue="1" operator="equal">
      <formula>"Towel"</formula>
    </cfRule>
    <cfRule type="cellIs" dxfId="7026" priority="8070" stopIfTrue="1" operator="equal">
      <formula>"Napkin Hs"</formula>
    </cfRule>
    <cfRule type="cellIs" dxfId="7025" priority="8073" stopIfTrue="1" operator="equal">
      <formula>"Towel"</formula>
    </cfRule>
    <cfRule type="cellIs" dxfId="7024" priority="8074" stopIfTrue="1" operator="equal">
      <formula>"Napkin Hs"</formula>
    </cfRule>
  </conditionalFormatting>
  <conditionalFormatting sqref="C58">
    <cfRule type="cellIs" dxfId="7023" priority="8075" stopIfTrue="1" operator="equal">
      <formula>"Towel"</formula>
    </cfRule>
    <cfRule type="cellIs" dxfId="7022" priority="8076" stopIfTrue="1" operator="equal">
      <formula>"Napkin Hs"</formula>
    </cfRule>
  </conditionalFormatting>
  <conditionalFormatting sqref="B58:C58">
    <cfRule type="cellIs" dxfId="7021" priority="8035" stopIfTrue="1" operator="equal">
      <formula>"Towel"</formula>
    </cfRule>
    <cfRule type="cellIs" dxfId="7020" priority="8036" stopIfTrue="1" operator="equal">
      <formula>"Napkin Hs"</formula>
    </cfRule>
  </conditionalFormatting>
  <conditionalFormatting sqref="B58:C58">
    <cfRule type="cellIs" dxfId="7019" priority="7999" stopIfTrue="1" operator="equal">
      <formula>"Towel"</formula>
    </cfRule>
    <cfRule type="cellIs" dxfId="7018" priority="8000" stopIfTrue="1" operator="equal">
      <formula>"Napkin Hs"</formula>
    </cfRule>
    <cfRule type="cellIs" dxfId="7017" priority="8005" stopIfTrue="1" operator="equal">
      <formula>"Towel"</formula>
    </cfRule>
    <cfRule type="cellIs" dxfId="7016" priority="8006" stopIfTrue="1" operator="equal">
      <formula>"Napkin Hs"</formula>
    </cfRule>
    <cfRule type="cellIs" dxfId="7015" priority="8011" stopIfTrue="1" operator="equal">
      <formula>"Towel"</formula>
    </cfRule>
    <cfRule type="cellIs" dxfId="7014" priority="8012" stopIfTrue="1" operator="equal">
      <formula>"Napkin Hs"</formula>
    </cfRule>
    <cfRule type="cellIs" dxfId="7013" priority="8017" stopIfTrue="1" operator="equal">
      <formula>"Towel"</formula>
    </cfRule>
    <cfRule type="cellIs" dxfId="7012" priority="8018" stopIfTrue="1" operator="equal">
      <formula>"Napkin Hs"</formula>
    </cfRule>
    <cfRule type="cellIs" dxfId="7011" priority="8023" stopIfTrue="1" operator="equal">
      <formula>"Towel"</formula>
    </cfRule>
    <cfRule type="cellIs" dxfId="7010" priority="8024" stopIfTrue="1" operator="equal">
      <formula>"Napkin Hs"</formula>
    </cfRule>
    <cfRule type="cellIs" dxfId="7009" priority="8029" stopIfTrue="1" operator="equal">
      <formula>"Towel"</formula>
    </cfRule>
    <cfRule type="cellIs" dxfId="7008" priority="8030" stopIfTrue="1" operator="equal">
      <formula>"Napkin Hs"</formula>
    </cfRule>
  </conditionalFormatting>
  <conditionalFormatting sqref="C58">
    <cfRule type="cellIs" dxfId="7007" priority="8034" stopIfTrue="1" operator="equal">
      <formula>"Napkin Hs"</formula>
    </cfRule>
  </conditionalFormatting>
  <conditionalFormatting sqref="C58">
    <cfRule type="cellIs" dxfId="7006" priority="8033" stopIfTrue="1" operator="equal">
      <formula>"Towel"</formula>
    </cfRule>
  </conditionalFormatting>
  <conditionalFormatting sqref="C58">
    <cfRule type="cellIs" dxfId="7005" priority="8027" stopIfTrue="1" operator="equal">
      <formula>"Towel"</formula>
    </cfRule>
    <cfRule type="cellIs" dxfId="7004" priority="8028" stopIfTrue="1" operator="equal">
      <formula>"Napkin Hs"</formula>
    </cfRule>
  </conditionalFormatting>
  <conditionalFormatting sqref="C58">
    <cfRule type="cellIs" dxfId="7003" priority="8025" stopIfTrue="1" operator="equal">
      <formula>"Towel"</formula>
    </cfRule>
    <cfRule type="cellIs" dxfId="7002" priority="8026" stopIfTrue="1" operator="equal">
      <formula>"Napkin Hs"</formula>
    </cfRule>
    <cfRule type="cellIs" dxfId="7001" priority="8031" stopIfTrue="1" operator="equal">
      <formula>"Towel"</formula>
    </cfRule>
    <cfRule type="cellIs" dxfId="7000" priority="8032" stopIfTrue="1" operator="equal">
      <formula>"Napkin Hs"</formula>
    </cfRule>
  </conditionalFormatting>
  <conditionalFormatting sqref="C58">
    <cfRule type="cellIs" dxfId="6999" priority="7997" stopIfTrue="1" operator="equal">
      <formula>"Towel"</formula>
    </cfRule>
    <cfRule type="cellIs" dxfId="6998" priority="7998" stopIfTrue="1" operator="equal">
      <formula>"Napkin Hs"</formula>
    </cfRule>
    <cfRule type="cellIs" dxfId="6997" priority="8001" stopIfTrue="1" operator="equal">
      <formula>"Towel"</formula>
    </cfRule>
    <cfRule type="cellIs" dxfId="6996" priority="8002" stopIfTrue="1" operator="equal">
      <formula>"Napkin Hs"</formula>
    </cfRule>
    <cfRule type="cellIs" dxfId="6995" priority="8003" stopIfTrue="1" operator="equal">
      <formula>"Towel"</formula>
    </cfRule>
    <cfRule type="cellIs" dxfId="6994" priority="8004" stopIfTrue="1" operator="equal">
      <formula>"Napkin Hs"</formula>
    </cfRule>
    <cfRule type="cellIs" dxfId="6993" priority="8007" stopIfTrue="1" operator="equal">
      <formula>"Towel"</formula>
    </cfRule>
    <cfRule type="cellIs" dxfId="6992" priority="8008" stopIfTrue="1" operator="equal">
      <formula>"Napkin Hs"</formula>
    </cfRule>
    <cfRule type="cellIs" dxfId="6991" priority="8009" stopIfTrue="1" operator="equal">
      <formula>"Towel"</formula>
    </cfRule>
    <cfRule type="cellIs" dxfId="6990" priority="8010" stopIfTrue="1" operator="equal">
      <formula>"Napkin Hs"</formula>
    </cfRule>
    <cfRule type="cellIs" dxfId="6989" priority="8013" stopIfTrue="1" operator="equal">
      <formula>"Towel"</formula>
    </cfRule>
    <cfRule type="cellIs" dxfId="6988" priority="8014" stopIfTrue="1" operator="equal">
      <formula>"Napkin Hs"</formula>
    </cfRule>
    <cfRule type="cellIs" dxfId="6987" priority="8015" stopIfTrue="1" operator="equal">
      <formula>"Towel"</formula>
    </cfRule>
    <cfRule type="cellIs" dxfId="6986" priority="8016" stopIfTrue="1" operator="equal">
      <formula>"Napkin Hs"</formula>
    </cfRule>
    <cfRule type="cellIs" dxfId="6985" priority="8019" stopIfTrue="1" operator="equal">
      <formula>"Towel"</formula>
    </cfRule>
    <cfRule type="cellIs" dxfId="6984" priority="8020" stopIfTrue="1" operator="equal">
      <formula>"Napkin Hs"</formula>
    </cfRule>
    <cfRule type="cellIs" dxfId="6983" priority="8021" stopIfTrue="1" operator="equal">
      <formula>"Towel"</formula>
    </cfRule>
    <cfRule type="cellIs" dxfId="6982" priority="8022" stopIfTrue="1" operator="equal">
      <formula>"Napkin Hs"</formula>
    </cfRule>
  </conditionalFormatting>
  <conditionalFormatting sqref="C58">
    <cfRule type="cellIs" dxfId="6981" priority="7995" stopIfTrue="1" operator="equal">
      <formula>"Towel"</formula>
    </cfRule>
    <cfRule type="cellIs" dxfId="6980" priority="7996" stopIfTrue="1" operator="equal">
      <formula>"Napkin Hs"</formula>
    </cfRule>
  </conditionalFormatting>
  <conditionalFormatting sqref="C58">
    <cfRule type="cellIs" dxfId="6979" priority="7975" stopIfTrue="1" operator="equal">
      <formula>"Towel"</formula>
    </cfRule>
    <cfRule type="cellIs" dxfId="6978" priority="7976" stopIfTrue="1" operator="equal">
      <formula>"Napkin Hs"</formula>
    </cfRule>
    <cfRule type="cellIs" dxfId="6977" priority="7981" stopIfTrue="1" operator="equal">
      <formula>"Towel"</formula>
    </cfRule>
    <cfRule type="cellIs" dxfId="6976" priority="7982" stopIfTrue="1" operator="equal">
      <formula>"Napkin Hs"</formula>
    </cfRule>
    <cfRule type="cellIs" dxfId="6975" priority="7987" stopIfTrue="1" operator="equal">
      <formula>"Towel"</formula>
    </cfRule>
    <cfRule type="cellIs" dxfId="6974" priority="7988" stopIfTrue="1" operator="equal">
      <formula>"Napkin Hs"</formula>
    </cfRule>
    <cfRule type="cellIs" dxfId="6973" priority="7993" stopIfTrue="1" operator="equal">
      <formula>"Towel"</formula>
    </cfRule>
    <cfRule type="cellIs" dxfId="6972" priority="7994" stopIfTrue="1" operator="equal">
      <formula>"Napkin Hs"</formula>
    </cfRule>
  </conditionalFormatting>
  <conditionalFormatting sqref="C58">
    <cfRule type="cellIs" dxfId="6971" priority="7985" stopIfTrue="1" operator="equal">
      <formula>"Towel"</formula>
    </cfRule>
    <cfRule type="cellIs" dxfId="6970" priority="7986" stopIfTrue="1" operator="equal">
      <formula>"Napkin Hs"</formula>
    </cfRule>
    <cfRule type="cellIs" dxfId="6969" priority="7991" stopIfTrue="1" operator="equal">
      <formula>"Towel"</formula>
    </cfRule>
    <cfRule type="cellIs" dxfId="6968" priority="7992" stopIfTrue="1" operator="equal">
      <formula>"Napkin Hs"</formula>
    </cfRule>
  </conditionalFormatting>
  <conditionalFormatting sqref="C58">
    <cfRule type="cellIs" dxfId="6967" priority="7971" stopIfTrue="1" operator="equal">
      <formula>"Towel"</formula>
    </cfRule>
    <cfRule type="cellIs" dxfId="6966" priority="7972" stopIfTrue="1" operator="equal">
      <formula>"Napkin Hs"</formula>
    </cfRule>
    <cfRule type="cellIs" dxfId="6965" priority="7979" stopIfTrue="1" operator="equal">
      <formula>"Towel"</formula>
    </cfRule>
    <cfRule type="cellIs" dxfId="6964" priority="7980" stopIfTrue="1" operator="equal">
      <formula>"Napkin Hs"</formula>
    </cfRule>
    <cfRule type="cellIs" dxfId="6963" priority="7983" stopIfTrue="1" operator="equal">
      <formula>"Towel"</formula>
    </cfRule>
    <cfRule type="cellIs" dxfId="6962" priority="7984" stopIfTrue="1" operator="equal">
      <formula>"Napkin Hs"</formula>
    </cfRule>
  </conditionalFormatting>
  <conditionalFormatting sqref="C58">
    <cfRule type="cellIs" dxfId="6961" priority="7973" stopIfTrue="1" operator="equal">
      <formula>"Towel"</formula>
    </cfRule>
    <cfRule type="cellIs" dxfId="6960" priority="7974" stopIfTrue="1" operator="equal">
      <formula>"Napkin Hs"</formula>
    </cfRule>
    <cfRule type="cellIs" dxfId="6959" priority="7977" stopIfTrue="1" operator="equal">
      <formula>"Towel"</formula>
    </cfRule>
    <cfRule type="cellIs" dxfId="6958" priority="7978" stopIfTrue="1" operator="equal">
      <formula>"Napkin Hs"</formula>
    </cfRule>
    <cfRule type="cellIs" dxfId="6957" priority="7989" stopIfTrue="1" operator="equal">
      <formula>"Towel"</formula>
    </cfRule>
    <cfRule type="cellIs" dxfId="6956" priority="7990" stopIfTrue="1" operator="equal">
      <formula>"Napkin Hs"</formula>
    </cfRule>
  </conditionalFormatting>
  <conditionalFormatting sqref="C58">
    <cfRule type="cellIs" dxfId="6955" priority="7969" stopIfTrue="1" operator="equal">
      <formula>"Towel"</formula>
    </cfRule>
    <cfRule type="cellIs" dxfId="6954" priority="7970" stopIfTrue="1" operator="equal">
      <formula>"Napkin Hs"</formula>
    </cfRule>
  </conditionalFormatting>
  <conditionalFormatting sqref="C58">
    <cfRule type="cellIs" dxfId="6953" priority="7965" stopIfTrue="1" operator="equal">
      <formula>"Towel"</formula>
    </cfRule>
    <cfRule type="cellIs" dxfId="6952" priority="7966" stopIfTrue="1" operator="equal">
      <formula>"Napkin Hs"</formula>
    </cfRule>
  </conditionalFormatting>
  <conditionalFormatting sqref="C58">
    <cfRule type="cellIs" dxfId="6951" priority="7967" stopIfTrue="1" operator="equal">
      <formula>"Towel"</formula>
    </cfRule>
    <cfRule type="cellIs" dxfId="6950" priority="7968" stopIfTrue="1" operator="equal">
      <formula>"Napkin Hs"</formula>
    </cfRule>
  </conditionalFormatting>
  <conditionalFormatting sqref="C58">
    <cfRule type="cellIs" dxfId="6949" priority="7963" stopIfTrue="1" operator="equal">
      <formula>"Towel"</formula>
    </cfRule>
    <cfRule type="cellIs" dxfId="6948" priority="7964" stopIfTrue="1" operator="equal">
      <formula>"Napkin Hs"</formula>
    </cfRule>
  </conditionalFormatting>
  <conditionalFormatting sqref="C58">
    <cfRule type="cellIs" dxfId="6947" priority="7959" stopIfTrue="1" operator="equal">
      <formula>"Towel"</formula>
    </cfRule>
    <cfRule type="cellIs" dxfId="6946" priority="7960" stopIfTrue="1" operator="equal">
      <formula>"Napkin Hs"</formula>
    </cfRule>
  </conditionalFormatting>
  <conditionalFormatting sqref="C58">
    <cfRule type="cellIs" dxfId="6945" priority="7961" stopIfTrue="1" operator="equal">
      <formula>"Towel"</formula>
    </cfRule>
    <cfRule type="cellIs" dxfId="6944" priority="7962" stopIfTrue="1" operator="equal">
      <formula>"Napkin Hs"</formula>
    </cfRule>
  </conditionalFormatting>
  <conditionalFormatting sqref="C58">
    <cfRule type="cellIs" dxfId="6943" priority="7957" stopIfTrue="1" operator="equal">
      <formula>"Towel"</formula>
    </cfRule>
    <cfRule type="cellIs" dxfId="6942" priority="7958" stopIfTrue="1" operator="equal">
      <formula>"Napkin Hs"</formula>
    </cfRule>
  </conditionalFormatting>
  <conditionalFormatting sqref="C58">
    <cfRule type="cellIs" dxfId="6941" priority="7953" stopIfTrue="1" operator="equal">
      <formula>"Towel"</formula>
    </cfRule>
    <cfRule type="cellIs" dxfId="6940" priority="7954" stopIfTrue="1" operator="equal">
      <formula>"Napkin Hs"</formula>
    </cfRule>
  </conditionalFormatting>
  <conditionalFormatting sqref="C58">
    <cfRule type="cellIs" dxfId="6939" priority="7955" stopIfTrue="1" operator="equal">
      <formula>"Towel"</formula>
    </cfRule>
    <cfRule type="cellIs" dxfId="6938" priority="7956" stopIfTrue="1" operator="equal">
      <formula>"Napkin Hs"</formula>
    </cfRule>
  </conditionalFormatting>
  <conditionalFormatting sqref="C58">
    <cfRule type="cellIs" dxfId="6937" priority="7951" stopIfTrue="1" operator="equal">
      <formula>"Towel"</formula>
    </cfRule>
    <cfRule type="cellIs" dxfId="6936" priority="7952" stopIfTrue="1" operator="equal">
      <formula>"Napkin Hs"</formula>
    </cfRule>
  </conditionalFormatting>
  <conditionalFormatting sqref="C58">
    <cfRule type="cellIs" dxfId="6935" priority="7949" stopIfTrue="1" operator="equal">
      <formula>"Towel"</formula>
    </cfRule>
    <cfRule type="cellIs" dxfId="6934" priority="7950" stopIfTrue="1" operator="equal">
      <formula>"Napkin Hs"</formula>
    </cfRule>
  </conditionalFormatting>
  <conditionalFormatting sqref="C58">
    <cfRule type="cellIs" dxfId="6933" priority="7947" stopIfTrue="1" operator="equal">
      <formula>"Towel"</formula>
    </cfRule>
    <cfRule type="cellIs" dxfId="6932" priority="7948" stopIfTrue="1" operator="equal">
      <formula>"Napkin Hs"</formula>
    </cfRule>
  </conditionalFormatting>
  <conditionalFormatting sqref="C58">
    <cfRule type="cellIs" dxfId="6931" priority="7945" stopIfTrue="1" operator="equal">
      <formula>"Towel"</formula>
    </cfRule>
    <cfRule type="cellIs" dxfId="6930" priority="7946" stopIfTrue="1" operator="equal">
      <formula>"Napkin Hs"</formula>
    </cfRule>
  </conditionalFormatting>
  <conditionalFormatting sqref="C58">
    <cfRule type="cellIs" dxfId="6929" priority="7944" stopIfTrue="1" operator="equal">
      <formula>"Napkin Hs"</formula>
    </cfRule>
  </conditionalFormatting>
  <conditionalFormatting sqref="C58">
    <cfRule type="cellIs" dxfId="6928" priority="7941" stopIfTrue="1" operator="equal">
      <formula>"Towel"</formula>
    </cfRule>
    <cfRule type="cellIs" dxfId="6927" priority="7942" stopIfTrue="1" operator="equal">
      <formula>"Napkin Hs"</formula>
    </cfRule>
  </conditionalFormatting>
  <conditionalFormatting sqref="C58">
    <cfRule type="cellIs" dxfId="6926" priority="7943" stopIfTrue="1" operator="equal">
      <formula>"Towel"</formula>
    </cfRule>
  </conditionalFormatting>
  <conditionalFormatting sqref="B58">
    <cfRule type="cellIs" dxfId="6925" priority="7939" stopIfTrue="1" operator="equal">
      <formula>"Towel"</formula>
    </cfRule>
    <cfRule type="cellIs" dxfId="6924" priority="7940" stopIfTrue="1" operator="equal">
      <formula>"Napkin Hs"</formula>
    </cfRule>
  </conditionalFormatting>
  <conditionalFormatting sqref="B58">
    <cfRule type="cellIs" dxfId="6923" priority="7937" stopIfTrue="1" operator="equal">
      <formula>"Towel"</formula>
    </cfRule>
    <cfRule type="cellIs" dxfId="6922" priority="7938" stopIfTrue="1" operator="equal">
      <formula>"Napkin Hs"</formula>
    </cfRule>
  </conditionalFormatting>
  <conditionalFormatting sqref="B58">
    <cfRule type="cellIs" dxfId="6921" priority="7935" stopIfTrue="1" operator="equal">
      <formula>"Towel"</formula>
    </cfRule>
    <cfRule type="cellIs" dxfId="6920" priority="7936" stopIfTrue="1" operator="equal">
      <formula>"Napkin Hs"</formula>
    </cfRule>
  </conditionalFormatting>
  <conditionalFormatting sqref="B58">
    <cfRule type="cellIs" dxfId="6919" priority="7933" stopIfTrue="1" operator="equal">
      <formula>"Towel"</formula>
    </cfRule>
    <cfRule type="cellIs" dxfId="6918" priority="7934" stopIfTrue="1" operator="equal">
      <formula>"Napkin Hs"</formula>
    </cfRule>
  </conditionalFormatting>
  <conditionalFormatting sqref="B58">
    <cfRule type="cellIs" dxfId="6917" priority="7931" stopIfTrue="1" operator="equal">
      <formula>"Towel"</formula>
    </cfRule>
    <cfRule type="cellIs" dxfId="6916" priority="7932" stopIfTrue="1" operator="equal">
      <formula>"Napkin Hs"</formula>
    </cfRule>
  </conditionalFormatting>
  <conditionalFormatting sqref="B58">
    <cfRule type="cellIs" dxfId="6915" priority="7929" stopIfTrue="1" operator="equal">
      <formula>"Towel"</formula>
    </cfRule>
    <cfRule type="cellIs" dxfId="6914" priority="7930" stopIfTrue="1" operator="equal">
      <formula>"Napkin Hs"</formula>
    </cfRule>
  </conditionalFormatting>
  <conditionalFormatting sqref="B58">
    <cfRule type="cellIs" dxfId="6913" priority="7925" stopIfTrue="1" operator="equal">
      <formula>"Towel"</formula>
    </cfRule>
    <cfRule type="cellIs" dxfId="6912" priority="7926" stopIfTrue="1" operator="equal">
      <formula>"Napkin Hs"</formula>
    </cfRule>
    <cfRule type="cellIs" dxfId="6911" priority="7927" stopIfTrue="1" operator="equal">
      <formula>"Towel"</formula>
    </cfRule>
    <cfRule type="cellIs" dxfId="6910" priority="7928" stopIfTrue="1" operator="equal">
      <formula>"Napkin Hs"</formula>
    </cfRule>
  </conditionalFormatting>
  <conditionalFormatting sqref="B58">
    <cfRule type="cellIs" dxfId="6909" priority="7923" stopIfTrue="1" operator="equal">
      <formula>"Towel"</formula>
    </cfRule>
    <cfRule type="cellIs" dxfId="6908" priority="7924" stopIfTrue="1" operator="equal">
      <formula>"Napkin Hs"</formula>
    </cfRule>
  </conditionalFormatting>
  <conditionalFormatting sqref="B58">
    <cfRule type="cellIs" dxfId="6907" priority="7921" stopIfTrue="1" operator="equal">
      <formula>"Towel"</formula>
    </cfRule>
    <cfRule type="cellIs" dxfId="6906" priority="7922" stopIfTrue="1" operator="equal">
      <formula>"Napkin Hs"</formula>
    </cfRule>
  </conditionalFormatting>
  <conditionalFormatting sqref="B58">
    <cfRule type="cellIs" dxfId="6905" priority="7919" stopIfTrue="1" operator="equal">
      <formula>"Towel"</formula>
    </cfRule>
    <cfRule type="cellIs" dxfId="6904" priority="7920" stopIfTrue="1" operator="equal">
      <formula>"Napkin Hs"</formula>
    </cfRule>
  </conditionalFormatting>
  <conditionalFormatting sqref="B58">
    <cfRule type="cellIs" dxfId="6903" priority="7917" stopIfTrue="1" operator="equal">
      <formula>"Towel"</formula>
    </cfRule>
    <cfRule type="cellIs" dxfId="6902" priority="7918" stopIfTrue="1" operator="equal">
      <formula>"Napkin Hs"</formula>
    </cfRule>
  </conditionalFormatting>
  <conditionalFormatting sqref="B58">
    <cfRule type="cellIs" dxfId="6901" priority="7915" stopIfTrue="1" operator="equal">
      <formula>"Towel"</formula>
    </cfRule>
    <cfRule type="cellIs" dxfId="6900" priority="7916" stopIfTrue="1" operator="equal">
      <formula>"Napkin Hs"</formula>
    </cfRule>
  </conditionalFormatting>
  <conditionalFormatting sqref="B58:C58">
    <cfRule type="cellIs" dxfId="6899" priority="7901" stopIfTrue="1" operator="equal">
      <formula>"Towel"</formula>
    </cfRule>
    <cfRule type="cellIs" dxfId="6898" priority="7902" stopIfTrue="1" operator="equal">
      <formula>"Napkin Hs"</formula>
    </cfRule>
    <cfRule type="cellIs" dxfId="6897" priority="7907" stopIfTrue="1" operator="equal">
      <formula>"Towel"</formula>
    </cfRule>
    <cfRule type="cellIs" dxfId="6896" priority="7908" stopIfTrue="1" operator="equal">
      <formula>"Napkin Hs"</formula>
    </cfRule>
    <cfRule type="cellIs" dxfId="6895" priority="7913" stopIfTrue="1" operator="equal">
      <formula>"Towel"</formula>
    </cfRule>
    <cfRule type="cellIs" dxfId="6894" priority="7914" stopIfTrue="1" operator="equal">
      <formula>"Napkin Hs"</formula>
    </cfRule>
  </conditionalFormatting>
  <conditionalFormatting sqref="C58">
    <cfRule type="cellIs" dxfId="6893" priority="7895" stopIfTrue="1" operator="equal">
      <formula>"Towel"</formula>
    </cfRule>
    <cfRule type="cellIs" dxfId="6892" priority="7896" stopIfTrue="1" operator="equal">
      <formula>"Napkin Hs"</formula>
    </cfRule>
    <cfRule type="cellIs" dxfId="6891" priority="7897" stopIfTrue="1" operator="equal">
      <formula>"Towel"</formula>
    </cfRule>
    <cfRule type="cellIs" dxfId="6890" priority="7898" stopIfTrue="1" operator="equal">
      <formula>"Napkin Hs"</formula>
    </cfRule>
    <cfRule type="cellIs" dxfId="6889" priority="7905" stopIfTrue="1" operator="equal">
      <formula>"Towel"</formula>
    </cfRule>
    <cfRule type="cellIs" dxfId="6888" priority="7906" stopIfTrue="1" operator="equal">
      <formula>"Napkin Hs"</formula>
    </cfRule>
    <cfRule type="cellIs" dxfId="6887" priority="7909" stopIfTrue="1" operator="equal">
      <formula>"Towel"</formula>
    </cfRule>
    <cfRule type="cellIs" dxfId="6886" priority="7910" stopIfTrue="1" operator="equal">
      <formula>"Napkin Hs"</formula>
    </cfRule>
  </conditionalFormatting>
  <conditionalFormatting sqref="C58">
    <cfRule type="cellIs" dxfId="6885" priority="7899" stopIfTrue="1" operator="equal">
      <formula>"Towel"</formula>
    </cfRule>
    <cfRule type="cellIs" dxfId="6884" priority="7900" stopIfTrue="1" operator="equal">
      <formula>"Napkin Hs"</formula>
    </cfRule>
    <cfRule type="cellIs" dxfId="6883" priority="7903" stopIfTrue="1" operator="equal">
      <formula>"Towel"</formula>
    </cfRule>
    <cfRule type="cellIs" dxfId="6882" priority="7904" stopIfTrue="1" operator="equal">
      <formula>"Napkin Hs"</formula>
    </cfRule>
    <cfRule type="cellIs" dxfId="6881" priority="7911" stopIfTrue="1" operator="equal">
      <formula>"Towel"</formula>
    </cfRule>
    <cfRule type="cellIs" dxfId="6880" priority="7912" stopIfTrue="1" operator="equal">
      <formula>"Napkin Hs"</formula>
    </cfRule>
  </conditionalFormatting>
  <conditionalFormatting sqref="B58:C58">
    <cfRule type="cellIs" dxfId="6879" priority="7893" stopIfTrue="1" operator="equal">
      <formula>"Towel"</formula>
    </cfRule>
    <cfRule type="cellIs" dxfId="6878" priority="7894" stopIfTrue="1" operator="equal">
      <formula>"Napkin Hs"</formula>
    </cfRule>
  </conditionalFormatting>
  <conditionalFormatting sqref="B58:C58">
    <cfRule type="cellIs" dxfId="6877" priority="7885" stopIfTrue="1" operator="equal">
      <formula>"Towel"</formula>
    </cfRule>
    <cfRule type="cellIs" dxfId="6876" priority="7886" stopIfTrue="1" operator="equal">
      <formula>"Napkin Hs"</formula>
    </cfRule>
    <cfRule type="cellIs" dxfId="6875" priority="7891" stopIfTrue="1" operator="equal">
      <formula>"Towel"</formula>
    </cfRule>
    <cfRule type="cellIs" dxfId="6874" priority="7892" stopIfTrue="1" operator="equal">
      <formula>"Napkin Hs"</formula>
    </cfRule>
  </conditionalFormatting>
  <conditionalFormatting sqref="C58">
    <cfRule type="cellIs" dxfId="6873" priority="7881" stopIfTrue="1" operator="equal">
      <formula>"Towel"</formula>
    </cfRule>
    <cfRule type="cellIs" dxfId="6872" priority="7882" stopIfTrue="1" operator="equal">
      <formula>"Napkin Hs"</formula>
    </cfRule>
  </conditionalFormatting>
  <conditionalFormatting sqref="C58">
    <cfRule type="cellIs" dxfId="6871" priority="7879" stopIfTrue="1" operator="equal">
      <formula>"Towel"</formula>
    </cfRule>
    <cfRule type="cellIs" dxfId="6870" priority="7880" stopIfTrue="1" operator="equal">
      <formula>"Napkin Hs"</formula>
    </cfRule>
    <cfRule type="cellIs" dxfId="6869" priority="7889" stopIfTrue="1" operator="equal">
      <formula>"Towel"</formula>
    </cfRule>
    <cfRule type="cellIs" dxfId="6868" priority="7890" stopIfTrue="1" operator="equal">
      <formula>"Napkin Hs"</formula>
    </cfRule>
  </conditionalFormatting>
  <conditionalFormatting sqref="C58">
    <cfRule type="cellIs" dxfId="6867" priority="7883" stopIfTrue="1" operator="equal">
      <formula>"Towel"</formula>
    </cfRule>
    <cfRule type="cellIs" dxfId="6866" priority="7884" stopIfTrue="1" operator="equal">
      <formula>"Napkin Hs"</formula>
    </cfRule>
    <cfRule type="cellIs" dxfId="6865" priority="7887" stopIfTrue="1" operator="equal">
      <formula>"Towel"</formula>
    </cfRule>
    <cfRule type="cellIs" dxfId="6864" priority="7888" stopIfTrue="1" operator="equal">
      <formula>"Napkin Hs"</formula>
    </cfRule>
  </conditionalFormatting>
  <conditionalFormatting sqref="C58">
    <cfRule type="cellIs" dxfId="6863" priority="7878" stopIfTrue="1" operator="equal">
      <formula>"Napkin Hs"</formula>
    </cfRule>
  </conditionalFormatting>
  <conditionalFormatting sqref="C58">
    <cfRule type="cellIs" dxfId="6862" priority="7877" stopIfTrue="1" operator="equal">
      <formula>"Towel"</formula>
    </cfRule>
  </conditionalFormatting>
  <conditionalFormatting sqref="C58">
    <cfRule type="cellIs" dxfId="6861" priority="7873" stopIfTrue="1" operator="equal">
      <formula>"Towel"</formula>
    </cfRule>
    <cfRule type="cellIs" dxfId="6860" priority="7874" stopIfTrue="1" operator="equal">
      <formula>"Napkin Hs"</formula>
    </cfRule>
    <cfRule type="cellIs" dxfId="6859" priority="7875" stopIfTrue="1" operator="equal">
      <formula>"Towel"</formula>
    </cfRule>
    <cfRule type="cellIs" dxfId="6858" priority="7876" stopIfTrue="1" operator="equal">
      <formula>"Napkin Hs"</formula>
    </cfRule>
  </conditionalFormatting>
  <conditionalFormatting sqref="B58:C58">
    <cfRule type="cellIs" dxfId="6857" priority="7871" stopIfTrue="1" operator="equal">
      <formula>"Towel"</formula>
    </cfRule>
    <cfRule type="cellIs" dxfId="6856" priority="7872" stopIfTrue="1" operator="equal">
      <formula>"Napkin Hs"</formula>
    </cfRule>
  </conditionalFormatting>
  <conditionalFormatting sqref="C58">
    <cfRule type="cellIs" dxfId="6855" priority="7867" stopIfTrue="1" operator="equal">
      <formula>"Towel"</formula>
    </cfRule>
    <cfRule type="cellIs" dxfId="6854" priority="7868" stopIfTrue="1" operator="equal">
      <formula>"Napkin Hs"</formula>
    </cfRule>
  </conditionalFormatting>
  <conditionalFormatting sqref="C58">
    <cfRule type="cellIs" dxfId="6853" priority="7869" stopIfTrue="1" operator="equal">
      <formula>"Towel"</formula>
    </cfRule>
    <cfRule type="cellIs" dxfId="6852" priority="7870" stopIfTrue="1" operator="equal">
      <formula>"Napkin Hs"</formula>
    </cfRule>
  </conditionalFormatting>
  <conditionalFormatting sqref="B58:C58">
    <cfRule type="cellIs" dxfId="6851" priority="7865" stopIfTrue="1" operator="equal">
      <formula>"Towel"</formula>
    </cfRule>
    <cfRule type="cellIs" dxfId="6850" priority="7866" stopIfTrue="1" operator="equal">
      <formula>"Napkin Hs"</formula>
    </cfRule>
  </conditionalFormatting>
  <conditionalFormatting sqref="C58">
    <cfRule type="cellIs" dxfId="6849" priority="7861" stopIfTrue="1" operator="equal">
      <formula>"Towel"</formula>
    </cfRule>
    <cfRule type="cellIs" dxfId="6848" priority="7862" stopIfTrue="1" operator="equal">
      <formula>"Napkin Hs"</formula>
    </cfRule>
  </conditionalFormatting>
  <conditionalFormatting sqref="C58">
    <cfRule type="cellIs" dxfId="6847" priority="7863" stopIfTrue="1" operator="equal">
      <formula>"Towel"</formula>
    </cfRule>
    <cfRule type="cellIs" dxfId="6846" priority="7864" stopIfTrue="1" operator="equal">
      <formula>"Napkin Hs"</formula>
    </cfRule>
  </conditionalFormatting>
  <conditionalFormatting sqref="B58:C58">
    <cfRule type="cellIs" dxfId="6845" priority="7859" stopIfTrue="1" operator="equal">
      <formula>"Towel"</formula>
    </cfRule>
    <cfRule type="cellIs" dxfId="6844" priority="7860" stopIfTrue="1" operator="equal">
      <formula>"Napkin Hs"</formula>
    </cfRule>
  </conditionalFormatting>
  <conditionalFormatting sqref="C58">
    <cfRule type="cellIs" dxfId="6843" priority="7855" stopIfTrue="1" operator="equal">
      <formula>"Towel"</formula>
    </cfRule>
    <cfRule type="cellIs" dxfId="6842" priority="7856" stopIfTrue="1" operator="equal">
      <formula>"Napkin Hs"</formula>
    </cfRule>
  </conditionalFormatting>
  <conditionalFormatting sqref="C58">
    <cfRule type="cellIs" dxfId="6841" priority="7857" stopIfTrue="1" operator="equal">
      <formula>"Towel"</formula>
    </cfRule>
    <cfRule type="cellIs" dxfId="6840" priority="7858" stopIfTrue="1" operator="equal">
      <formula>"Napkin Hs"</formula>
    </cfRule>
  </conditionalFormatting>
  <conditionalFormatting sqref="B58:C58">
    <cfRule type="cellIs" dxfId="6839" priority="7853" stopIfTrue="1" operator="equal">
      <formula>"Towel"</formula>
    </cfRule>
    <cfRule type="cellIs" dxfId="6838" priority="7854" stopIfTrue="1" operator="equal">
      <formula>"Napkin Hs"</formula>
    </cfRule>
  </conditionalFormatting>
  <conditionalFormatting sqref="C58">
    <cfRule type="cellIs" dxfId="6837" priority="7851" stopIfTrue="1" operator="equal">
      <formula>"Towel"</formula>
    </cfRule>
    <cfRule type="cellIs" dxfId="6836" priority="7852" stopIfTrue="1" operator="equal">
      <formula>"Napkin Hs"</formula>
    </cfRule>
  </conditionalFormatting>
  <conditionalFormatting sqref="C58">
    <cfRule type="cellIs" dxfId="6835" priority="7849" stopIfTrue="1" operator="equal">
      <formula>"Towel"</formula>
    </cfRule>
    <cfRule type="cellIs" dxfId="6834" priority="7850" stopIfTrue="1" operator="equal">
      <formula>"Napkin Hs"</formula>
    </cfRule>
  </conditionalFormatting>
  <conditionalFormatting sqref="B58:C58">
    <cfRule type="cellIs" dxfId="6833" priority="7847" stopIfTrue="1" operator="equal">
      <formula>"Towel"</formula>
    </cfRule>
    <cfRule type="cellIs" dxfId="6832" priority="7848" stopIfTrue="1" operator="equal">
      <formula>"Napkin Hs"</formula>
    </cfRule>
  </conditionalFormatting>
  <conditionalFormatting sqref="C58">
    <cfRule type="cellIs" dxfId="6831" priority="7846" stopIfTrue="1" operator="equal">
      <formula>"Napkin Hs"</formula>
    </cfRule>
  </conditionalFormatting>
  <conditionalFormatting sqref="C58">
    <cfRule type="cellIs" dxfId="6830" priority="7843" stopIfTrue="1" operator="equal">
      <formula>"Towel"</formula>
    </cfRule>
    <cfRule type="cellIs" dxfId="6829" priority="7844" stopIfTrue="1" operator="equal">
      <formula>"Napkin Hs"</formula>
    </cfRule>
  </conditionalFormatting>
  <conditionalFormatting sqref="C58">
    <cfRule type="cellIs" dxfId="6828" priority="7845" stopIfTrue="1" operator="equal">
      <formula>"Towel"</formula>
    </cfRule>
  </conditionalFormatting>
  <conditionalFormatting sqref="B64:C64">
    <cfRule type="cellIs" dxfId="6827" priority="7709" stopIfTrue="1" operator="equal">
      <formula>"Towel"</formula>
    </cfRule>
    <cfRule type="cellIs" dxfId="6826" priority="7710" stopIfTrue="1" operator="equal">
      <formula>"Napkin Hs"</formula>
    </cfRule>
  </conditionalFormatting>
  <conditionalFormatting sqref="B64:C64">
    <cfRule type="cellIs" dxfId="6825" priority="7685" stopIfTrue="1" operator="equal">
      <formula>"Towel"</formula>
    </cfRule>
    <cfRule type="cellIs" dxfId="6824" priority="7686" stopIfTrue="1" operator="equal">
      <formula>"Napkin Hs"</formula>
    </cfRule>
    <cfRule type="cellIs" dxfId="6823" priority="7691" stopIfTrue="1" operator="equal">
      <formula>"Towel"</formula>
    </cfRule>
    <cfRule type="cellIs" dxfId="6822" priority="7692" stopIfTrue="1" operator="equal">
      <formula>"Napkin Hs"</formula>
    </cfRule>
    <cfRule type="cellIs" dxfId="6821" priority="7697" stopIfTrue="1" operator="equal">
      <formula>"Towel"</formula>
    </cfRule>
    <cfRule type="cellIs" dxfId="6820" priority="7698" stopIfTrue="1" operator="equal">
      <formula>"Napkin Hs"</formula>
    </cfRule>
    <cfRule type="cellIs" dxfId="6819" priority="7703" stopIfTrue="1" operator="equal">
      <formula>"Towel"</formula>
    </cfRule>
    <cfRule type="cellIs" dxfId="6818" priority="7704" stopIfTrue="1" operator="equal">
      <formula>"Napkin Hs"</formula>
    </cfRule>
  </conditionalFormatting>
  <conditionalFormatting sqref="B65:C66">
    <cfRule type="cellIs" dxfId="6817" priority="7713" stopIfTrue="1" operator="equal">
      <formula>"Towel"</formula>
    </cfRule>
    <cfRule type="cellIs" dxfId="6816" priority="7714" stopIfTrue="1" operator="equal">
      <formula>"Napkin Hs"</formula>
    </cfRule>
  </conditionalFormatting>
  <conditionalFormatting sqref="C64">
    <cfRule type="cellIs" dxfId="6815" priority="7699" stopIfTrue="1" operator="equal">
      <formula>"Towel"</formula>
    </cfRule>
    <cfRule type="cellIs" dxfId="6814" priority="7700" stopIfTrue="1" operator="equal">
      <formula>"Napkin Hs"</formula>
    </cfRule>
    <cfRule type="cellIs" dxfId="6813" priority="7705" stopIfTrue="1" operator="equal">
      <formula>"Towel"</formula>
    </cfRule>
    <cfRule type="cellIs" dxfId="6812" priority="7706" stopIfTrue="1" operator="equal">
      <formula>"Napkin Hs"</formula>
    </cfRule>
  </conditionalFormatting>
  <conditionalFormatting sqref="C64">
    <cfRule type="cellIs" dxfId="6811" priority="7679" stopIfTrue="1" operator="equal">
      <formula>"Towel"</formula>
    </cfRule>
    <cfRule type="cellIs" dxfId="6810" priority="7680" stopIfTrue="1" operator="equal">
      <formula>"Napkin Hs"</formula>
    </cfRule>
    <cfRule type="cellIs" dxfId="6809" priority="7681" stopIfTrue="1" operator="equal">
      <formula>"Towel"</formula>
    </cfRule>
    <cfRule type="cellIs" dxfId="6808" priority="7682" stopIfTrue="1" operator="equal">
      <formula>"Napkin Hs"</formula>
    </cfRule>
    <cfRule type="cellIs" dxfId="6807" priority="7689" stopIfTrue="1" operator="equal">
      <formula>"Towel"</formula>
    </cfRule>
    <cfRule type="cellIs" dxfId="6806" priority="7690" stopIfTrue="1" operator="equal">
      <formula>"Napkin Hs"</formula>
    </cfRule>
    <cfRule type="cellIs" dxfId="6805" priority="7693" stopIfTrue="1" operator="equal">
      <formula>"Towel"</formula>
    </cfRule>
    <cfRule type="cellIs" dxfId="6804" priority="7694" stopIfTrue="1" operator="equal">
      <formula>"Napkin Hs"</formula>
    </cfRule>
    <cfRule type="cellIs" dxfId="6803" priority="7695" stopIfTrue="1" operator="equal">
      <formula>"Towel"</formula>
    </cfRule>
    <cfRule type="cellIs" dxfId="6802" priority="7696" stopIfTrue="1" operator="equal">
      <formula>"Napkin Hs"</formula>
    </cfRule>
  </conditionalFormatting>
  <conditionalFormatting sqref="C64:C66">
    <cfRule type="cellIs" dxfId="6801" priority="7707" stopIfTrue="1" operator="equal">
      <formula>"Towel"</formula>
    </cfRule>
    <cfRule type="cellIs" dxfId="6800" priority="7708" stopIfTrue="1" operator="equal">
      <formula>"Napkin Hs"</formula>
    </cfRule>
  </conditionalFormatting>
  <conditionalFormatting sqref="C64">
    <cfRule type="cellIs" dxfId="6799" priority="7683" stopIfTrue="1" operator="equal">
      <formula>"Towel"</formula>
    </cfRule>
    <cfRule type="cellIs" dxfId="6798" priority="7684" stopIfTrue="1" operator="equal">
      <formula>"Napkin Hs"</formula>
    </cfRule>
    <cfRule type="cellIs" dxfId="6797" priority="7687" stopIfTrue="1" operator="equal">
      <formula>"Towel"</formula>
    </cfRule>
    <cfRule type="cellIs" dxfId="6796" priority="7688" stopIfTrue="1" operator="equal">
      <formula>"Napkin Hs"</formula>
    </cfRule>
    <cfRule type="cellIs" dxfId="6795" priority="7701" stopIfTrue="1" operator="equal">
      <formula>"Towel"</formula>
    </cfRule>
    <cfRule type="cellIs" dxfId="6794" priority="7702" stopIfTrue="1" operator="equal">
      <formula>"Napkin Hs"</formula>
    </cfRule>
  </conditionalFormatting>
  <conditionalFormatting sqref="C65:C66">
    <cfRule type="cellIs" dxfId="6793" priority="7711" stopIfTrue="1" operator="equal">
      <formula>"Towel"</formula>
    </cfRule>
    <cfRule type="cellIs" dxfId="6792" priority="7712" stopIfTrue="1" operator="equal">
      <formula>"Napkin Hs"</formula>
    </cfRule>
  </conditionalFormatting>
  <conditionalFormatting sqref="B65:C65">
    <cfRule type="cellIs" dxfId="6791" priority="7589" stopIfTrue="1" operator="equal">
      <formula>"Towel"</formula>
    </cfRule>
    <cfRule type="cellIs" dxfId="6790" priority="7590" stopIfTrue="1" operator="equal">
      <formula>"Napkin Hs"</formula>
    </cfRule>
    <cfRule type="cellIs" dxfId="6789" priority="7595" stopIfTrue="1" operator="equal">
      <formula>"Towel"</formula>
    </cfRule>
    <cfRule type="cellIs" dxfId="6788" priority="7596" stopIfTrue="1" operator="equal">
      <formula>"Napkin Hs"</formula>
    </cfRule>
    <cfRule type="cellIs" dxfId="6787" priority="7601" stopIfTrue="1" operator="equal">
      <formula>"Towel"</formula>
    </cfRule>
    <cfRule type="cellIs" dxfId="6786" priority="7602" stopIfTrue="1" operator="equal">
      <formula>"Napkin Hs"</formula>
    </cfRule>
    <cfRule type="cellIs" dxfId="6785" priority="7607" stopIfTrue="1" operator="equal">
      <formula>"Towel"</formula>
    </cfRule>
    <cfRule type="cellIs" dxfId="6784" priority="7608" stopIfTrue="1" operator="equal">
      <formula>"Napkin Hs"</formula>
    </cfRule>
    <cfRule type="cellIs" dxfId="6783" priority="7613" stopIfTrue="1" operator="equal">
      <formula>"Towel"</formula>
    </cfRule>
    <cfRule type="cellIs" dxfId="6782" priority="7614" stopIfTrue="1" operator="equal">
      <formula>"Napkin Hs"</formula>
    </cfRule>
    <cfRule type="cellIs" dxfId="6781" priority="7619" stopIfTrue="1" operator="equal">
      <formula>"Towel"</formula>
    </cfRule>
    <cfRule type="cellIs" dxfId="6780" priority="7620" stopIfTrue="1" operator="equal">
      <formula>"Napkin Hs"</formula>
    </cfRule>
    <cfRule type="cellIs" dxfId="6779" priority="7625" stopIfTrue="1" operator="equal">
      <formula>"Towel"</formula>
    </cfRule>
    <cfRule type="cellIs" dxfId="6778" priority="7626" stopIfTrue="1" operator="equal">
      <formula>"Napkin Hs"</formula>
    </cfRule>
    <cfRule type="cellIs" dxfId="6777" priority="7631" stopIfTrue="1" operator="equal">
      <formula>"Towel"</formula>
    </cfRule>
    <cfRule type="cellIs" dxfId="6776" priority="7632" stopIfTrue="1" operator="equal">
      <formula>"Napkin Hs"</formula>
    </cfRule>
  </conditionalFormatting>
  <conditionalFormatting sqref="B66:C66">
    <cfRule type="cellIs" dxfId="6775" priority="7635" stopIfTrue="1" operator="equal">
      <formula>"Towel"</formula>
    </cfRule>
    <cfRule type="cellIs" dxfId="6774" priority="7636" stopIfTrue="1" operator="equal">
      <formula>"Napkin Hs"</formula>
    </cfRule>
    <cfRule type="cellIs" dxfId="6773" priority="7641" stopIfTrue="1" operator="equal">
      <formula>"Towel"</formula>
    </cfRule>
    <cfRule type="cellIs" dxfId="6772" priority="7642" stopIfTrue="1" operator="equal">
      <formula>"Napkin Hs"</formula>
    </cfRule>
    <cfRule type="cellIs" dxfId="6771" priority="7647" stopIfTrue="1" operator="equal">
      <formula>"Towel"</formula>
    </cfRule>
    <cfRule type="cellIs" dxfId="6770" priority="7648" stopIfTrue="1" operator="equal">
      <formula>"Napkin Hs"</formula>
    </cfRule>
    <cfRule type="cellIs" dxfId="6769" priority="7653" stopIfTrue="1" operator="equal">
      <formula>"Towel"</formula>
    </cfRule>
    <cfRule type="cellIs" dxfId="6768" priority="7654" stopIfTrue="1" operator="equal">
      <formula>"Napkin Hs"</formula>
    </cfRule>
    <cfRule type="cellIs" dxfId="6767" priority="7659" stopIfTrue="1" operator="equal">
      <formula>"Towel"</formula>
    </cfRule>
    <cfRule type="cellIs" dxfId="6766" priority="7660" stopIfTrue="1" operator="equal">
      <formula>"Napkin Hs"</formula>
    </cfRule>
    <cfRule type="cellIs" dxfId="6765" priority="7665" stopIfTrue="1" operator="equal">
      <formula>"Towel"</formula>
    </cfRule>
    <cfRule type="cellIs" dxfId="6764" priority="7666" stopIfTrue="1" operator="equal">
      <formula>"Napkin Hs"</formula>
    </cfRule>
    <cfRule type="cellIs" dxfId="6763" priority="7671" stopIfTrue="1" operator="equal">
      <formula>"Towel"</formula>
    </cfRule>
    <cfRule type="cellIs" dxfId="6762" priority="7672" stopIfTrue="1" operator="equal">
      <formula>"Napkin Hs"</formula>
    </cfRule>
    <cfRule type="cellIs" dxfId="6761" priority="7677" stopIfTrue="1" operator="equal">
      <formula>"Towel"</formula>
    </cfRule>
    <cfRule type="cellIs" dxfId="6760" priority="7678" stopIfTrue="1" operator="equal">
      <formula>"Napkin Hs"</formula>
    </cfRule>
  </conditionalFormatting>
  <conditionalFormatting sqref="C65">
    <cfRule type="cellIs" dxfId="6759" priority="7585" stopIfTrue="1" operator="equal">
      <formula>"Towel"</formula>
    </cfRule>
    <cfRule type="cellIs" dxfId="6758" priority="7586" stopIfTrue="1" operator="equal">
      <formula>"Napkin Hs"</formula>
    </cfRule>
    <cfRule type="cellIs" dxfId="6757" priority="7587" stopIfTrue="1" operator="equal">
      <formula>"Towel"</formula>
    </cfRule>
    <cfRule type="cellIs" dxfId="6756" priority="7588" stopIfTrue="1" operator="equal">
      <formula>"Napkin Hs"</formula>
    </cfRule>
    <cfRule type="cellIs" dxfId="6755" priority="7591" stopIfTrue="1" operator="equal">
      <formula>"Towel"</formula>
    </cfRule>
    <cfRule type="cellIs" dxfId="6754" priority="7592" stopIfTrue="1" operator="equal">
      <formula>"Napkin Hs"</formula>
    </cfRule>
    <cfRule type="cellIs" dxfId="6753" priority="7593" stopIfTrue="1" operator="equal">
      <formula>"Towel"</formula>
    </cfRule>
    <cfRule type="cellIs" dxfId="6752" priority="7594" stopIfTrue="1" operator="equal">
      <formula>"Napkin Hs"</formula>
    </cfRule>
    <cfRule type="cellIs" dxfId="6751" priority="7597" stopIfTrue="1" operator="equal">
      <formula>"Towel"</formula>
    </cfRule>
    <cfRule type="cellIs" dxfId="6750" priority="7598" stopIfTrue="1" operator="equal">
      <formula>"Napkin Hs"</formula>
    </cfRule>
    <cfRule type="cellIs" dxfId="6749" priority="7599" stopIfTrue="1" operator="equal">
      <formula>"Towel"</formula>
    </cfRule>
    <cfRule type="cellIs" dxfId="6748" priority="7600" stopIfTrue="1" operator="equal">
      <formula>"Napkin Hs"</formula>
    </cfRule>
    <cfRule type="cellIs" dxfId="6747" priority="7603" stopIfTrue="1" operator="equal">
      <formula>"Towel"</formula>
    </cfRule>
    <cfRule type="cellIs" dxfId="6746" priority="7604" stopIfTrue="1" operator="equal">
      <formula>"Napkin Hs"</formula>
    </cfRule>
    <cfRule type="cellIs" dxfId="6745" priority="7605" stopIfTrue="1" operator="equal">
      <formula>"Towel"</formula>
    </cfRule>
    <cfRule type="cellIs" dxfId="6744" priority="7606" stopIfTrue="1" operator="equal">
      <formula>"Napkin Hs"</formula>
    </cfRule>
    <cfRule type="cellIs" dxfId="6743" priority="7609" stopIfTrue="1" operator="equal">
      <formula>"Towel"</formula>
    </cfRule>
    <cfRule type="cellIs" dxfId="6742" priority="7610" stopIfTrue="1" operator="equal">
      <formula>"Napkin Hs"</formula>
    </cfRule>
    <cfRule type="cellIs" dxfId="6741" priority="7611" stopIfTrue="1" operator="equal">
      <formula>"Towel"</formula>
    </cfRule>
    <cfRule type="cellIs" dxfId="6740" priority="7612" stopIfTrue="1" operator="equal">
      <formula>"Napkin Hs"</formula>
    </cfRule>
    <cfRule type="cellIs" dxfId="6739" priority="7615" stopIfTrue="1" operator="equal">
      <formula>"Towel"</formula>
    </cfRule>
    <cfRule type="cellIs" dxfId="6738" priority="7616" stopIfTrue="1" operator="equal">
      <formula>"Napkin Hs"</formula>
    </cfRule>
    <cfRule type="cellIs" dxfId="6737" priority="7617" stopIfTrue="1" operator="equal">
      <formula>"Towel"</formula>
    </cfRule>
    <cfRule type="cellIs" dxfId="6736" priority="7618" stopIfTrue="1" operator="equal">
      <formula>"Napkin Hs"</formula>
    </cfRule>
    <cfRule type="cellIs" dxfId="6735" priority="7621" stopIfTrue="1" operator="equal">
      <formula>"Towel"</formula>
    </cfRule>
    <cfRule type="cellIs" dxfId="6734" priority="7622" stopIfTrue="1" operator="equal">
      <formula>"Napkin Hs"</formula>
    </cfRule>
    <cfRule type="cellIs" dxfId="6733" priority="7623" stopIfTrue="1" operator="equal">
      <formula>"Towel"</formula>
    </cfRule>
    <cfRule type="cellIs" dxfId="6732" priority="7624" stopIfTrue="1" operator="equal">
      <formula>"Napkin Hs"</formula>
    </cfRule>
    <cfRule type="cellIs" dxfId="6731" priority="7627" stopIfTrue="1" operator="equal">
      <formula>"Towel"</formula>
    </cfRule>
    <cfRule type="cellIs" dxfId="6730" priority="7628" stopIfTrue="1" operator="equal">
      <formula>"Napkin Hs"</formula>
    </cfRule>
  </conditionalFormatting>
  <conditionalFormatting sqref="C65:C66">
    <cfRule type="cellIs" dxfId="6729" priority="7629" stopIfTrue="1" operator="equal">
      <formula>"Towel"</formula>
    </cfRule>
    <cfRule type="cellIs" dxfId="6728" priority="7630" stopIfTrue="1" operator="equal">
      <formula>"Napkin Hs"</formula>
    </cfRule>
  </conditionalFormatting>
  <conditionalFormatting sqref="C66">
    <cfRule type="cellIs" dxfId="6727" priority="7633" stopIfTrue="1" operator="equal">
      <formula>"Towel"</formula>
    </cfRule>
    <cfRule type="cellIs" dxfId="6726" priority="7634" stopIfTrue="1" operator="equal">
      <formula>"Napkin Hs"</formula>
    </cfRule>
    <cfRule type="cellIs" dxfId="6725" priority="7637" stopIfTrue="1" operator="equal">
      <formula>"Towel"</formula>
    </cfRule>
    <cfRule type="cellIs" dxfId="6724" priority="7638" stopIfTrue="1" operator="equal">
      <formula>"Napkin Hs"</formula>
    </cfRule>
    <cfRule type="cellIs" dxfId="6723" priority="7639" stopIfTrue="1" operator="equal">
      <formula>"Towel"</formula>
    </cfRule>
    <cfRule type="cellIs" dxfId="6722" priority="7640" stopIfTrue="1" operator="equal">
      <formula>"Napkin Hs"</formula>
    </cfRule>
    <cfRule type="cellIs" dxfId="6721" priority="7643" stopIfTrue="1" operator="equal">
      <formula>"Towel"</formula>
    </cfRule>
    <cfRule type="cellIs" dxfId="6720" priority="7644" stopIfTrue="1" operator="equal">
      <formula>"Napkin Hs"</formula>
    </cfRule>
    <cfRule type="cellIs" dxfId="6719" priority="7645" stopIfTrue="1" operator="equal">
      <formula>"Towel"</formula>
    </cfRule>
    <cfRule type="cellIs" dxfId="6718" priority="7646" stopIfTrue="1" operator="equal">
      <formula>"Napkin Hs"</formula>
    </cfRule>
    <cfRule type="cellIs" dxfId="6717" priority="7649" stopIfTrue="1" operator="equal">
      <formula>"Towel"</formula>
    </cfRule>
    <cfRule type="cellIs" dxfId="6716" priority="7650" stopIfTrue="1" operator="equal">
      <formula>"Napkin Hs"</formula>
    </cfRule>
    <cfRule type="cellIs" dxfId="6715" priority="7651" stopIfTrue="1" operator="equal">
      <formula>"Towel"</formula>
    </cfRule>
    <cfRule type="cellIs" dxfId="6714" priority="7652" stopIfTrue="1" operator="equal">
      <formula>"Napkin Hs"</formula>
    </cfRule>
    <cfRule type="cellIs" dxfId="6713" priority="7655" stopIfTrue="1" operator="equal">
      <formula>"Towel"</formula>
    </cfRule>
    <cfRule type="cellIs" dxfId="6712" priority="7656" stopIfTrue="1" operator="equal">
      <formula>"Napkin Hs"</formula>
    </cfRule>
    <cfRule type="cellIs" dxfId="6711" priority="7657" stopIfTrue="1" operator="equal">
      <formula>"Towel"</formula>
    </cfRule>
    <cfRule type="cellIs" dxfId="6710" priority="7658" stopIfTrue="1" operator="equal">
      <formula>"Napkin Hs"</formula>
    </cfRule>
    <cfRule type="cellIs" dxfId="6709" priority="7661" stopIfTrue="1" operator="equal">
      <formula>"Towel"</formula>
    </cfRule>
    <cfRule type="cellIs" dxfId="6708" priority="7662" stopIfTrue="1" operator="equal">
      <formula>"Napkin Hs"</formula>
    </cfRule>
    <cfRule type="cellIs" dxfId="6707" priority="7663" stopIfTrue="1" operator="equal">
      <formula>"Towel"</formula>
    </cfRule>
    <cfRule type="cellIs" dxfId="6706" priority="7664" stopIfTrue="1" operator="equal">
      <formula>"Napkin Hs"</formula>
    </cfRule>
    <cfRule type="cellIs" dxfId="6705" priority="7667" stopIfTrue="1" operator="equal">
      <formula>"Towel"</formula>
    </cfRule>
    <cfRule type="cellIs" dxfId="6704" priority="7668" stopIfTrue="1" operator="equal">
      <formula>"Napkin Hs"</formula>
    </cfRule>
  </conditionalFormatting>
  <conditionalFormatting sqref="C66">
    <cfRule type="cellIs" dxfId="6703" priority="7669" stopIfTrue="1" operator="equal">
      <formula>"Towel"</formula>
    </cfRule>
    <cfRule type="cellIs" dxfId="6702" priority="7670" stopIfTrue="1" operator="equal">
      <formula>"Napkin Hs"</formula>
    </cfRule>
  </conditionalFormatting>
  <conditionalFormatting sqref="C66">
    <cfRule type="cellIs" dxfId="6701" priority="7673" stopIfTrue="1" operator="equal">
      <formula>"Towel"</formula>
    </cfRule>
    <cfRule type="cellIs" dxfId="6700" priority="7674" stopIfTrue="1" operator="equal">
      <formula>"Napkin Hs"</formula>
    </cfRule>
    <cfRule type="cellIs" dxfId="6699" priority="7675" stopIfTrue="1" operator="equal">
      <formula>"Towel"</formula>
    </cfRule>
    <cfRule type="cellIs" dxfId="6698" priority="7676" stopIfTrue="1" operator="equal">
      <formula>"Napkin Hs"</formula>
    </cfRule>
  </conditionalFormatting>
  <conditionalFormatting sqref="B65">
    <cfRule type="cellIs" dxfId="6697" priority="7579" stopIfTrue="1" operator="equal">
      <formula>"Towel"</formula>
    </cfRule>
    <cfRule type="cellIs" dxfId="6696" priority="7580" stopIfTrue="1" operator="equal">
      <formula>"Napkin Hs"</formula>
    </cfRule>
    <cfRule type="cellIs" dxfId="6695" priority="7581" stopIfTrue="1" operator="equal">
      <formula>"Towel"</formula>
    </cfRule>
    <cfRule type="cellIs" dxfId="6694" priority="7582" stopIfTrue="1" operator="equal">
      <formula>"Napkin Hs"</formula>
    </cfRule>
    <cfRule type="cellIs" dxfId="6693" priority="7583" stopIfTrue="1" operator="equal">
      <formula>"Towel"</formula>
    </cfRule>
    <cfRule type="cellIs" dxfId="6692" priority="7584" stopIfTrue="1" operator="equal">
      <formula>"Napkin Hs"</formula>
    </cfRule>
  </conditionalFormatting>
  <conditionalFormatting sqref="B65:C66">
    <cfRule type="cellIs" dxfId="6691" priority="7541" stopIfTrue="1" operator="equal">
      <formula>"Towel"</formula>
    </cfRule>
    <cfRule type="cellIs" dxfId="6690" priority="7542" stopIfTrue="1" operator="equal">
      <formula>"Napkin Hs"</formula>
    </cfRule>
    <cfRule type="cellIs" dxfId="6689" priority="7547" stopIfTrue="1" operator="equal">
      <formula>"Towel"</formula>
    </cfRule>
    <cfRule type="cellIs" dxfId="6688" priority="7548" stopIfTrue="1" operator="equal">
      <formula>"Napkin Hs"</formula>
    </cfRule>
    <cfRule type="cellIs" dxfId="6687" priority="7553" stopIfTrue="1" operator="equal">
      <formula>"Towel"</formula>
    </cfRule>
    <cfRule type="cellIs" dxfId="6686" priority="7554" stopIfTrue="1" operator="equal">
      <formula>"Napkin Hs"</formula>
    </cfRule>
    <cfRule type="cellIs" dxfId="6685" priority="7559" stopIfTrue="1" operator="equal">
      <formula>"Towel"</formula>
    </cfRule>
    <cfRule type="cellIs" dxfId="6684" priority="7560" stopIfTrue="1" operator="equal">
      <formula>"Napkin Hs"</formula>
    </cfRule>
    <cfRule type="cellIs" dxfId="6683" priority="7565" stopIfTrue="1" operator="equal">
      <formula>"Towel"</formula>
    </cfRule>
    <cfRule type="cellIs" dxfId="6682" priority="7566" stopIfTrue="1" operator="equal">
      <formula>"Napkin Hs"</formula>
    </cfRule>
    <cfRule type="cellIs" dxfId="6681" priority="7571" stopIfTrue="1" operator="equal">
      <formula>"Towel"</formula>
    </cfRule>
    <cfRule type="cellIs" dxfId="6680" priority="7572" stopIfTrue="1" operator="equal">
      <formula>"Napkin Hs"</formula>
    </cfRule>
    <cfRule type="cellIs" dxfId="6679" priority="7577" stopIfTrue="1" operator="equal">
      <formula>"Towel"</formula>
    </cfRule>
    <cfRule type="cellIs" dxfId="6678" priority="7578" stopIfTrue="1" operator="equal">
      <formula>"Napkin Hs"</formula>
    </cfRule>
  </conditionalFormatting>
  <conditionalFormatting sqref="C65:C66">
    <cfRule type="cellIs" dxfId="6677" priority="7537" stopIfTrue="1" operator="equal">
      <formula>"Towel"</formula>
    </cfRule>
    <cfRule type="cellIs" dxfId="6676" priority="7538" stopIfTrue="1" operator="equal">
      <formula>"Napkin Hs"</formula>
    </cfRule>
    <cfRule type="cellIs" dxfId="6675" priority="7539" stopIfTrue="1" operator="equal">
      <formula>"Towel"</formula>
    </cfRule>
    <cfRule type="cellIs" dxfId="6674" priority="7540" stopIfTrue="1" operator="equal">
      <formula>"Napkin Hs"</formula>
    </cfRule>
    <cfRule type="cellIs" dxfId="6673" priority="7543" stopIfTrue="1" operator="equal">
      <formula>"Towel"</formula>
    </cfRule>
    <cfRule type="cellIs" dxfId="6672" priority="7544" stopIfTrue="1" operator="equal">
      <formula>"Napkin Hs"</formula>
    </cfRule>
    <cfRule type="cellIs" dxfId="6671" priority="7545" stopIfTrue="1" operator="equal">
      <formula>"Towel"</formula>
    </cfRule>
    <cfRule type="cellIs" dxfId="6670" priority="7546" stopIfTrue="1" operator="equal">
      <formula>"Napkin Hs"</formula>
    </cfRule>
    <cfRule type="cellIs" dxfId="6669" priority="7549" stopIfTrue="1" operator="equal">
      <formula>"Towel"</formula>
    </cfRule>
    <cfRule type="cellIs" dxfId="6668" priority="7550" stopIfTrue="1" operator="equal">
      <formula>"Napkin Hs"</formula>
    </cfRule>
    <cfRule type="cellIs" dxfId="6667" priority="7551" stopIfTrue="1" operator="equal">
      <formula>"Towel"</formula>
    </cfRule>
    <cfRule type="cellIs" dxfId="6666" priority="7552" stopIfTrue="1" operator="equal">
      <formula>"Napkin Hs"</formula>
    </cfRule>
    <cfRule type="cellIs" dxfId="6665" priority="7555" stopIfTrue="1" operator="equal">
      <formula>"Towel"</formula>
    </cfRule>
    <cfRule type="cellIs" dxfId="6664" priority="7556" stopIfTrue="1" operator="equal">
      <formula>"Napkin Hs"</formula>
    </cfRule>
    <cfRule type="cellIs" dxfId="6663" priority="7557" stopIfTrue="1" operator="equal">
      <formula>"Towel"</formula>
    </cfRule>
    <cfRule type="cellIs" dxfId="6662" priority="7558" stopIfTrue="1" operator="equal">
      <formula>"Napkin Hs"</formula>
    </cfRule>
    <cfRule type="cellIs" dxfId="6661" priority="7561" stopIfTrue="1" operator="equal">
      <formula>"Towel"</formula>
    </cfRule>
    <cfRule type="cellIs" dxfId="6660" priority="7562" stopIfTrue="1" operator="equal">
      <formula>"Napkin Hs"</formula>
    </cfRule>
    <cfRule type="cellIs" dxfId="6659" priority="7563" stopIfTrue="1" operator="equal">
      <formula>"Towel"</formula>
    </cfRule>
    <cfRule type="cellIs" dxfId="6658" priority="7564" stopIfTrue="1" operator="equal">
      <formula>"Napkin Hs"</formula>
    </cfRule>
    <cfRule type="cellIs" dxfId="6657" priority="7567" stopIfTrue="1" operator="equal">
      <formula>"Towel"</formula>
    </cfRule>
    <cfRule type="cellIs" dxfId="6656" priority="7568" stopIfTrue="1" operator="equal">
      <formula>"Napkin Hs"</formula>
    </cfRule>
    <cfRule type="cellIs" dxfId="6655" priority="7569" stopIfTrue="1" operator="equal">
      <formula>"Towel"</formula>
    </cfRule>
    <cfRule type="cellIs" dxfId="6654" priority="7570" stopIfTrue="1" operator="equal">
      <formula>"Napkin Hs"</formula>
    </cfRule>
    <cfRule type="cellIs" dxfId="6653" priority="7573" stopIfTrue="1" operator="equal">
      <formula>"Towel"</formula>
    </cfRule>
    <cfRule type="cellIs" dxfId="6652" priority="7574" stopIfTrue="1" operator="equal">
      <formula>"Napkin Hs"</formula>
    </cfRule>
  </conditionalFormatting>
  <conditionalFormatting sqref="C65:C66">
    <cfRule type="cellIs" dxfId="6651" priority="7575" stopIfTrue="1" operator="equal">
      <formula>"Towel"</formula>
    </cfRule>
    <cfRule type="cellIs" dxfId="6650" priority="7576" stopIfTrue="1" operator="equal">
      <formula>"Napkin Hs"</formula>
    </cfRule>
  </conditionalFormatting>
  <conditionalFormatting sqref="B65:C65">
    <cfRule type="cellIs" dxfId="6649" priority="7535" stopIfTrue="1" operator="equal">
      <formula>"Towel"</formula>
    </cfRule>
    <cfRule type="cellIs" dxfId="6648" priority="7536" stopIfTrue="1" operator="equal">
      <formula>"Napkin Hs"</formula>
    </cfRule>
  </conditionalFormatting>
  <conditionalFormatting sqref="B65:C65">
    <cfRule type="cellIs" dxfId="6647" priority="7499" stopIfTrue="1" operator="equal">
      <formula>"Towel"</formula>
    </cfRule>
    <cfRule type="cellIs" dxfId="6646" priority="7500" stopIfTrue="1" operator="equal">
      <formula>"Napkin Hs"</formula>
    </cfRule>
    <cfRule type="cellIs" dxfId="6645" priority="7505" stopIfTrue="1" operator="equal">
      <formula>"Towel"</formula>
    </cfRule>
    <cfRule type="cellIs" dxfId="6644" priority="7506" stopIfTrue="1" operator="equal">
      <formula>"Napkin Hs"</formula>
    </cfRule>
    <cfRule type="cellIs" dxfId="6643" priority="7511" stopIfTrue="1" operator="equal">
      <formula>"Towel"</formula>
    </cfRule>
    <cfRule type="cellIs" dxfId="6642" priority="7512" stopIfTrue="1" operator="equal">
      <formula>"Napkin Hs"</formula>
    </cfRule>
    <cfRule type="cellIs" dxfId="6641" priority="7517" stopIfTrue="1" operator="equal">
      <formula>"Towel"</formula>
    </cfRule>
    <cfRule type="cellIs" dxfId="6640" priority="7518" stopIfTrue="1" operator="equal">
      <formula>"Napkin Hs"</formula>
    </cfRule>
    <cfRule type="cellIs" dxfId="6639" priority="7523" stopIfTrue="1" operator="equal">
      <formula>"Towel"</formula>
    </cfRule>
    <cfRule type="cellIs" dxfId="6638" priority="7524" stopIfTrue="1" operator="equal">
      <formula>"Napkin Hs"</formula>
    </cfRule>
    <cfRule type="cellIs" dxfId="6637" priority="7529" stopIfTrue="1" operator="equal">
      <formula>"Towel"</formula>
    </cfRule>
    <cfRule type="cellIs" dxfId="6636" priority="7530" stopIfTrue="1" operator="equal">
      <formula>"Napkin Hs"</formula>
    </cfRule>
  </conditionalFormatting>
  <conditionalFormatting sqref="B66:C66">
    <cfRule type="cellIs" dxfId="6635" priority="7459" stopIfTrue="1" operator="equal">
      <formula>"Towel"</formula>
    </cfRule>
    <cfRule type="cellIs" dxfId="6634" priority="7460" stopIfTrue="1" operator="equal">
      <formula>"Napkin Hs"</formula>
    </cfRule>
    <cfRule type="cellIs" dxfId="6633" priority="7465" stopIfTrue="1" operator="equal">
      <formula>"Towel"</formula>
    </cfRule>
    <cfRule type="cellIs" dxfId="6632" priority="7466" stopIfTrue="1" operator="equal">
      <formula>"Napkin Hs"</formula>
    </cfRule>
    <cfRule type="cellIs" dxfId="6631" priority="7471" stopIfTrue="1" operator="equal">
      <formula>"Towel"</formula>
    </cfRule>
    <cfRule type="cellIs" dxfId="6630" priority="7472" stopIfTrue="1" operator="equal">
      <formula>"Napkin Hs"</formula>
    </cfRule>
    <cfRule type="cellIs" dxfId="6629" priority="7477" stopIfTrue="1" operator="equal">
      <formula>"Towel"</formula>
    </cfRule>
    <cfRule type="cellIs" dxfId="6628" priority="7478" stopIfTrue="1" operator="equal">
      <formula>"Napkin Hs"</formula>
    </cfRule>
    <cfRule type="cellIs" dxfId="6627" priority="7483" stopIfTrue="1" operator="equal">
      <formula>"Towel"</formula>
    </cfRule>
    <cfRule type="cellIs" dxfId="6626" priority="7484" stopIfTrue="1" operator="equal">
      <formula>"Napkin Hs"</formula>
    </cfRule>
    <cfRule type="cellIs" dxfId="6625" priority="7489" stopIfTrue="1" operator="equal">
      <formula>"Towel"</formula>
    </cfRule>
    <cfRule type="cellIs" dxfId="6624" priority="7490" stopIfTrue="1" operator="equal">
      <formula>"Napkin Hs"</formula>
    </cfRule>
    <cfRule type="cellIs" dxfId="6623" priority="7495" stopIfTrue="1" operator="equal">
      <formula>"Towel"</formula>
    </cfRule>
    <cfRule type="cellIs" dxfId="6622" priority="7496" stopIfTrue="1" operator="equal">
      <formula>"Napkin Hs"</formula>
    </cfRule>
  </conditionalFormatting>
  <conditionalFormatting sqref="C65">
    <cfRule type="cellIs" dxfId="6621" priority="7534" stopIfTrue="1" operator="equal">
      <formula>"Napkin Hs"</formula>
    </cfRule>
  </conditionalFormatting>
  <conditionalFormatting sqref="C65">
    <cfRule type="cellIs" dxfId="6620" priority="7533" stopIfTrue="1" operator="equal">
      <formula>"Towel"</formula>
    </cfRule>
  </conditionalFormatting>
  <conditionalFormatting sqref="C65">
    <cfRule type="cellIs" dxfId="6619" priority="7527" stopIfTrue="1" operator="equal">
      <formula>"Towel"</formula>
    </cfRule>
    <cfRule type="cellIs" dxfId="6618" priority="7528" stopIfTrue="1" operator="equal">
      <formula>"Napkin Hs"</formula>
    </cfRule>
  </conditionalFormatting>
  <conditionalFormatting sqref="C65">
    <cfRule type="cellIs" dxfId="6617" priority="7525" stopIfTrue="1" operator="equal">
      <formula>"Towel"</formula>
    </cfRule>
    <cfRule type="cellIs" dxfId="6616" priority="7526" stopIfTrue="1" operator="equal">
      <formula>"Napkin Hs"</formula>
    </cfRule>
    <cfRule type="cellIs" dxfId="6615" priority="7531" stopIfTrue="1" operator="equal">
      <formula>"Towel"</formula>
    </cfRule>
    <cfRule type="cellIs" dxfId="6614" priority="7532" stopIfTrue="1" operator="equal">
      <formula>"Napkin Hs"</formula>
    </cfRule>
  </conditionalFormatting>
  <conditionalFormatting sqref="C65">
    <cfRule type="cellIs" dxfId="6613" priority="7497" stopIfTrue="1" operator="equal">
      <formula>"Towel"</formula>
    </cfRule>
    <cfRule type="cellIs" dxfId="6612" priority="7498" stopIfTrue="1" operator="equal">
      <formula>"Napkin Hs"</formula>
    </cfRule>
    <cfRule type="cellIs" dxfId="6611" priority="7501" stopIfTrue="1" operator="equal">
      <formula>"Towel"</formula>
    </cfRule>
    <cfRule type="cellIs" dxfId="6610" priority="7502" stopIfTrue="1" operator="equal">
      <formula>"Napkin Hs"</formula>
    </cfRule>
    <cfRule type="cellIs" dxfId="6609" priority="7503" stopIfTrue="1" operator="equal">
      <formula>"Towel"</formula>
    </cfRule>
    <cfRule type="cellIs" dxfId="6608" priority="7504" stopIfTrue="1" operator="equal">
      <formula>"Napkin Hs"</formula>
    </cfRule>
    <cfRule type="cellIs" dxfId="6607" priority="7507" stopIfTrue="1" operator="equal">
      <formula>"Towel"</formula>
    </cfRule>
    <cfRule type="cellIs" dxfId="6606" priority="7508" stopIfTrue="1" operator="equal">
      <formula>"Napkin Hs"</formula>
    </cfRule>
    <cfRule type="cellIs" dxfId="6605" priority="7509" stopIfTrue="1" operator="equal">
      <formula>"Towel"</formula>
    </cfRule>
    <cfRule type="cellIs" dxfId="6604" priority="7510" stopIfTrue="1" operator="equal">
      <formula>"Napkin Hs"</formula>
    </cfRule>
    <cfRule type="cellIs" dxfId="6603" priority="7513" stopIfTrue="1" operator="equal">
      <formula>"Towel"</formula>
    </cfRule>
    <cfRule type="cellIs" dxfId="6602" priority="7514" stopIfTrue="1" operator="equal">
      <formula>"Napkin Hs"</formula>
    </cfRule>
    <cfRule type="cellIs" dxfId="6601" priority="7515" stopIfTrue="1" operator="equal">
      <formula>"Towel"</formula>
    </cfRule>
    <cfRule type="cellIs" dxfId="6600" priority="7516" stopIfTrue="1" operator="equal">
      <formula>"Napkin Hs"</formula>
    </cfRule>
    <cfRule type="cellIs" dxfId="6599" priority="7519" stopIfTrue="1" operator="equal">
      <formula>"Towel"</formula>
    </cfRule>
    <cfRule type="cellIs" dxfId="6598" priority="7520" stopIfTrue="1" operator="equal">
      <formula>"Napkin Hs"</formula>
    </cfRule>
    <cfRule type="cellIs" dxfId="6597" priority="7521" stopIfTrue="1" operator="equal">
      <formula>"Towel"</formula>
    </cfRule>
    <cfRule type="cellIs" dxfId="6596" priority="7522" stopIfTrue="1" operator="equal">
      <formula>"Napkin Hs"</formula>
    </cfRule>
  </conditionalFormatting>
  <conditionalFormatting sqref="C65:C66">
    <cfRule type="cellIs" dxfId="6595" priority="7493" stopIfTrue="1" operator="equal">
      <formula>"Towel"</formula>
    </cfRule>
    <cfRule type="cellIs" dxfId="6594" priority="7494" stopIfTrue="1" operator="equal">
      <formula>"Napkin Hs"</formula>
    </cfRule>
  </conditionalFormatting>
  <conditionalFormatting sqref="C66">
    <cfRule type="cellIs" dxfId="6593" priority="7455" stopIfTrue="1" operator="equal">
      <formula>"Towel"</formula>
    </cfRule>
    <cfRule type="cellIs" dxfId="6592" priority="7456" stopIfTrue="1" operator="equal">
      <formula>"Napkin Hs"</formula>
    </cfRule>
    <cfRule type="cellIs" dxfId="6591" priority="7457" stopIfTrue="1" operator="equal">
      <formula>"Towel"</formula>
    </cfRule>
    <cfRule type="cellIs" dxfId="6590" priority="7458" stopIfTrue="1" operator="equal">
      <formula>"Napkin Hs"</formula>
    </cfRule>
    <cfRule type="cellIs" dxfId="6589" priority="7461" stopIfTrue="1" operator="equal">
      <formula>"Towel"</formula>
    </cfRule>
    <cfRule type="cellIs" dxfId="6588" priority="7462" stopIfTrue="1" operator="equal">
      <formula>"Napkin Hs"</formula>
    </cfRule>
    <cfRule type="cellIs" dxfId="6587" priority="7463" stopIfTrue="1" operator="equal">
      <formula>"Towel"</formula>
    </cfRule>
    <cfRule type="cellIs" dxfId="6586" priority="7464" stopIfTrue="1" operator="equal">
      <formula>"Napkin Hs"</formula>
    </cfRule>
    <cfRule type="cellIs" dxfId="6585" priority="7467" stopIfTrue="1" operator="equal">
      <formula>"Towel"</formula>
    </cfRule>
    <cfRule type="cellIs" dxfId="6584" priority="7468" stopIfTrue="1" operator="equal">
      <formula>"Napkin Hs"</formula>
    </cfRule>
    <cfRule type="cellIs" dxfId="6583" priority="7469" stopIfTrue="1" operator="equal">
      <formula>"Towel"</formula>
    </cfRule>
    <cfRule type="cellIs" dxfId="6582" priority="7470" stopIfTrue="1" operator="equal">
      <formula>"Napkin Hs"</formula>
    </cfRule>
    <cfRule type="cellIs" dxfId="6581" priority="7473" stopIfTrue="1" operator="equal">
      <formula>"Towel"</formula>
    </cfRule>
    <cfRule type="cellIs" dxfId="6580" priority="7474" stopIfTrue="1" operator="equal">
      <formula>"Napkin Hs"</formula>
    </cfRule>
    <cfRule type="cellIs" dxfId="6579" priority="7475" stopIfTrue="1" operator="equal">
      <formula>"Towel"</formula>
    </cfRule>
    <cfRule type="cellIs" dxfId="6578" priority="7476" stopIfTrue="1" operator="equal">
      <formula>"Napkin Hs"</formula>
    </cfRule>
    <cfRule type="cellIs" dxfId="6577" priority="7479" stopIfTrue="1" operator="equal">
      <formula>"Towel"</formula>
    </cfRule>
    <cfRule type="cellIs" dxfId="6576" priority="7480" stopIfTrue="1" operator="equal">
      <formula>"Napkin Hs"</formula>
    </cfRule>
    <cfRule type="cellIs" dxfId="6575" priority="7481" stopIfTrue="1" operator="equal">
      <formula>"Towel"</formula>
    </cfRule>
    <cfRule type="cellIs" dxfId="6574" priority="7482" stopIfTrue="1" operator="equal">
      <formula>"Napkin Hs"</formula>
    </cfRule>
    <cfRule type="cellIs" dxfId="6573" priority="7485" stopIfTrue="1" operator="equal">
      <formula>"Towel"</formula>
    </cfRule>
    <cfRule type="cellIs" dxfId="6572" priority="7486" stopIfTrue="1" operator="equal">
      <formula>"Napkin Hs"</formula>
    </cfRule>
    <cfRule type="cellIs" dxfId="6571" priority="7487" stopIfTrue="1" operator="equal">
      <formula>"Towel"</formula>
    </cfRule>
    <cfRule type="cellIs" dxfId="6570" priority="7488" stopIfTrue="1" operator="equal">
      <formula>"Napkin Hs"</formula>
    </cfRule>
    <cfRule type="cellIs" dxfId="6569" priority="7491" stopIfTrue="1" operator="equal">
      <formula>"Towel"</formula>
    </cfRule>
    <cfRule type="cellIs" dxfId="6568" priority="7492" stopIfTrue="1" operator="equal">
      <formula>"Napkin Hs"</formula>
    </cfRule>
  </conditionalFormatting>
  <conditionalFormatting sqref="C65">
    <cfRule type="cellIs" dxfId="6567" priority="7423" stopIfTrue="1" operator="equal">
      <formula>"Towel"</formula>
    </cfRule>
    <cfRule type="cellIs" dxfId="6566" priority="7424" stopIfTrue="1" operator="equal">
      <formula>"Napkin Hs"</formula>
    </cfRule>
    <cfRule type="cellIs" dxfId="6565" priority="7437" stopIfTrue="1" operator="equal">
      <formula>"Towel"</formula>
    </cfRule>
    <cfRule type="cellIs" dxfId="6564" priority="7438" stopIfTrue="1" operator="equal">
      <formula>"Napkin Hs"</formula>
    </cfRule>
    <cfRule type="cellIs" dxfId="6563" priority="7443" stopIfTrue="1" operator="equal">
      <formula>"Towel"</formula>
    </cfRule>
    <cfRule type="cellIs" dxfId="6562" priority="7444" stopIfTrue="1" operator="equal">
      <formula>"Napkin Hs"</formula>
    </cfRule>
    <cfRule type="cellIs" dxfId="6561" priority="7453" stopIfTrue="1" operator="equal">
      <formula>"Towel"</formula>
    </cfRule>
    <cfRule type="cellIs" dxfId="6560" priority="7454" stopIfTrue="1" operator="equal">
      <formula>"Napkin Hs"</formula>
    </cfRule>
  </conditionalFormatting>
  <conditionalFormatting sqref="B66:C66">
    <cfRule type="cellIs" dxfId="6559" priority="7427" stopIfTrue="1" operator="equal">
      <formula>"Towel"</formula>
    </cfRule>
    <cfRule type="cellIs" dxfId="6558" priority="7428" stopIfTrue="1" operator="equal">
      <formula>"Napkin Hs"</formula>
    </cfRule>
    <cfRule type="cellIs" dxfId="6557" priority="7433" stopIfTrue="1" operator="equal">
      <formula>"Towel"</formula>
    </cfRule>
    <cfRule type="cellIs" dxfId="6556" priority="7434" stopIfTrue="1" operator="equal">
      <formula>"Napkin Hs"</formula>
    </cfRule>
    <cfRule type="cellIs" dxfId="6555" priority="7449" stopIfTrue="1" operator="equal">
      <formula>"Towel"</formula>
    </cfRule>
    <cfRule type="cellIs" dxfId="6554" priority="7450" stopIfTrue="1" operator="equal">
      <formula>"Napkin Hs"</formula>
    </cfRule>
  </conditionalFormatting>
  <conditionalFormatting sqref="C65">
    <cfRule type="cellIs" dxfId="6553" priority="7441" stopIfTrue="1" operator="equal">
      <formula>"Towel"</formula>
    </cfRule>
    <cfRule type="cellIs" dxfId="6552" priority="7442" stopIfTrue="1" operator="equal">
      <formula>"Napkin Hs"</formula>
    </cfRule>
    <cfRule type="cellIs" dxfId="6551" priority="7451" stopIfTrue="1" operator="equal">
      <formula>"Towel"</formula>
    </cfRule>
    <cfRule type="cellIs" dxfId="6550" priority="7452" stopIfTrue="1" operator="equal">
      <formula>"Napkin Hs"</formula>
    </cfRule>
  </conditionalFormatting>
  <conditionalFormatting sqref="C65">
    <cfRule type="cellIs" dxfId="6549" priority="7419" stopIfTrue="1" operator="equal">
      <formula>"Towel"</formula>
    </cfRule>
    <cfRule type="cellIs" dxfId="6548" priority="7420" stopIfTrue="1" operator="equal">
      <formula>"Napkin Hs"</formula>
    </cfRule>
    <cfRule type="cellIs" dxfId="6547" priority="7435" stopIfTrue="1" operator="equal">
      <formula>"Towel"</formula>
    </cfRule>
    <cfRule type="cellIs" dxfId="6546" priority="7436" stopIfTrue="1" operator="equal">
      <formula>"Napkin Hs"</formula>
    </cfRule>
    <cfRule type="cellIs" dxfId="6545" priority="7439" stopIfTrue="1" operator="equal">
      <formula>"Towel"</formula>
    </cfRule>
    <cfRule type="cellIs" dxfId="6544" priority="7440" stopIfTrue="1" operator="equal">
      <formula>"Napkin Hs"</formula>
    </cfRule>
  </conditionalFormatting>
  <conditionalFormatting sqref="C65:C66">
    <cfRule type="cellIs" dxfId="6543" priority="7421" stopIfTrue="1" operator="equal">
      <formula>"Towel"</formula>
    </cfRule>
    <cfRule type="cellIs" dxfId="6542" priority="7422" stopIfTrue="1" operator="equal">
      <formula>"Napkin Hs"</formula>
    </cfRule>
    <cfRule type="cellIs" dxfId="6541" priority="7431" stopIfTrue="1" operator="equal">
      <formula>"Towel"</formula>
    </cfRule>
    <cfRule type="cellIs" dxfId="6540" priority="7432" stopIfTrue="1" operator="equal">
      <formula>"Napkin Hs"</formula>
    </cfRule>
    <cfRule type="cellIs" dxfId="6539" priority="7447" stopIfTrue="1" operator="equal">
      <formula>"Towel"</formula>
    </cfRule>
    <cfRule type="cellIs" dxfId="6538" priority="7448" stopIfTrue="1" operator="equal">
      <formula>"Napkin Hs"</formula>
    </cfRule>
  </conditionalFormatting>
  <conditionalFormatting sqref="C66">
    <cfRule type="cellIs" dxfId="6537" priority="7425" stopIfTrue="1" operator="equal">
      <formula>"Towel"</formula>
    </cfRule>
    <cfRule type="cellIs" dxfId="6536" priority="7426" stopIfTrue="1" operator="equal">
      <formula>"Napkin Hs"</formula>
    </cfRule>
    <cfRule type="cellIs" dxfId="6535" priority="7445" stopIfTrue="1" operator="equal">
      <formula>"Towel"</formula>
    </cfRule>
    <cfRule type="cellIs" dxfId="6534" priority="7446" stopIfTrue="1" operator="equal">
      <formula>"Napkin Hs"</formula>
    </cfRule>
  </conditionalFormatting>
  <conditionalFormatting sqref="C66">
    <cfRule type="cellIs" dxfId="6533" priority="7429" stopIfTrue="1" operator="equal">
      <formula>"Towel"</formula>
    </cfRule>
    <cfRule type="cellIs" dxfId="6532" priority="7430" stopIfTrue="1" operator="equal">
      <formula>"Napkin Hs"</formula>
    </cfRule>
  </conditionalFormatting>
  <conditionalFormatting sqref="B66:C66">
    <cfRule type="cellIs" dxfId="6531" priority="7417" stopIfTrue="1" operator="equal">
      <formula>"Towel"</formula>
    </cfRule>
    <cfRule type="cellIs" dxfId="6530" priority="7418" stopIfTrue="1" operator="equal">
      <formula>"Napkin Hs"</formula>
    </cfRule>
  </conditionalFormatting>
  <conditionalFormatting sqref="B66:C66">
    <cfRule type="cellIs" dxfId="6529" priority="7411" stopIfTrue="1" operator="equal">
      <formula>"Towel"</formula>
    </cfRule>
    <cfRule type="cellIs" dxfId="6528" priority="7412" stopIfTrue="1" operator="equal">
      <formula>"Napkin Hs"</formula>
    </cfRule>
  </conditionalFormatting>
  <conditionalFormatting sqref="C66">
    <cfRule type="cellIs" dxfId="6527" priority="7416" stopIfTrue="1" operator="equal">
      <formula>"Napkin Hs"</formula>
    </cfRule>
  </conditionalFormatting>
  <conditionalFormatting sqref="C66">
    <cfRule type="cellIs" dxfId="6526" priority="7413" stopIfTrue="1" operator="equal">
      <formula>"Towel"</formula>
    </cfRule>
    <cfRule type="cellIs" dxfId="6525" priority="7414" stopIfTrue="1" operator="equal">
      <formula>"Napkin Hs"</formula>
    </cfRule>
  </conditionalFormatting>
  <conditionalFormatting sqref="C66">
    <cfRule type="cellIs" dxfId="6524" priority="7407" stopIfTrue="1" operator="equal">
      <formula>"Towel"</formula>
    </cfRule>
    <cfRule type="cellIs" dxfId="6523" priority="7408" stopIfTrue="1" operator="equal">
      <formula>"Napkin Hs"</formula>
    </cfRule>
  </conditionalFormatting>
  <conditionalFormatting sqref="C66">
    <cfRule type="cellIs" dxfId="6522" priority="7409" stopIfTrue="1" operator="equal">
      <formula>"Towel"</formula>
    </cfRule>
    <cfRule type="cellIs" dxfId="6521" priority="7410" stopIfTrue="1" operator="equal">
      <formula>"Napkin Hs"</formula>
    </cfRule>
  </conditionalFormatting>
  <conditionalFormatting sqref="C66">
    <cfRule type="cellIs" dxfId="6520" priority="7415" stopIfTrue="1" operator="equal">
      <formula>"Towel"</formula>
    </cfRule>
  </conditionalFormatting>
  <conditionalFormatting sqref="B66:C66">
    <cfRule type="cellIs" dxfId="6519" priority="7405" stopIfTrue="1" operator="equal">
      <formula>"Towel"</formula>
    </cfRule>
    <cfRule type="cellIs" dxfId="6518" priority="7406" stopIfTrue="1" operator="equal">
      <formula>"Napkin Hs"</formula>
    </cfRule>
  </conditionalFormatting>
  <conditionalFormatting sqref="C66">
    <cfRule type="cellIs" dxfId="6517" priority="7401" stopIfTrue="1" operator="equal">
      <formula>"Towel"</formula>
    </cfRule>
    <cfRule type="cellIs" dxfId="6516" priority="7402" stopIfTrue="1" operator="equal">
      <formula>"Napkin Hs"</formula>
    </cfRule>
  </conditionalFormatting>
  <conditionalFormatting sqref="C66">
    <cfRule type="cellIs" dxfId="6515" priority="7403" stopIfTrue="1" operator="equal">
      <formula>"Towel"</formula>
    </cfRule>
    <cfRule type="cellIs" dxfId="6514" priority="7404" stopIfTrue="1" operator="equal">
      <formula>"Napkin Hs"</formula>
    </cfRule>
  </conditionalFormatting>
  <conditionalFormatting sqref="B66:C66">
    <cfRule type="cellIs" dxfId="6513" priority="7397" stopIfTrue="1" operator="equal">
      <formula>"Towel"</formula>
    </cfRule>
    <cfRule type="cellIs" dxfId="6512" priority="7398" stopIfTrue="1" operator="equal">
      <formula>"Napkin Hs"</formula>
    </cfRule>
  </conditionalFormatting>
  <conditionalFormatting sqref="C66">
    <cfRule type="cellIs" dxfId="6511" priority="7399" stopIfTrue="1" operator="equal">
      <formula>"Towel"</formula>
    </cfRule>
    <cfRule type="cellIs" dxfId="6510" priority="7400" stopIfTrue="1" operator="equal">
      <formula>"Napkin Hs"</formula>
    </cfRule>
  </conditionalFormatting>
  <conditionalFormatting sqref="C66">
    <cfRule type="cellIs" dxfId="6509" priority="7393" stopIfTrue="1" operator="equal">
      <formula>"Towel"</formula>
    </cfRule>
    <cfRule type="cellIs" dxfId="6508" priority="7394" stopIfTrue="1" operator="equal">
      <formula>"Napkin Hs"</formula>
    </cfRule>
  </conditionalFormatting>
  <conditionalFormatting sqref="C66">
    <cfRule type="cellIs" dxfId="6507" priority="7395" stopIfTrue="1" operator="equal">
      <formula>"Towel"</formula>
    </cfRule>
    <cfRule type="cellIs" dxfId="6506" priority="7396" stopIfTrue="1" operator="equal">
      <formula>"Napkin Hs"</formula>
    </cfRule>
  </conditionalFormatting>
  <conditionalFormatting sqref="B66:C66">
    <cfRule type="cellIs" dxfId="6505" priority="7391" stopIfTrue="1" operator="equal">
      <formula>"Towel"</formula>
    </cfRule>
    <cfRule type="cellIs" dxfId="6504" priority="7392" stopIfTrue="1" operator="equal">
      <formula>"Napkin Hs"</formula>
    </cfRule>
  </conditionalFormatting>
  <conditionalFormatting sqref="C66">
    <cfRule type="cellIs" dxfId="6503" priority="7390" stopIfTrue="1" operator="equal">
      <formula>"Napkin Hs"</formula>
    </cfRule>
  </conditionalFormatting>
  <conditionalFormatting sqref="C66">
    <cfRule type="cellIs" dxfId="6502" priority="7389" stopIfTrue="1" operator="equal">
      <formula>"Towel"</formula>
    </cfRule>
  </conditionalFormatting>
  <conditionalFormatting sqref="C65">
    <cfRule type="cellIs" dxfId="6501" priority="7387" stopIfTrue="1" operator="equal">
      <formula>"Towel"</formula>
    </cfRule>
    <cfRule type="cellIs" dxfId="6500" priority="7388" stopIfTrue="1" operator="equal">
      <formula>"Napkin Hs"</formula>
    </cfRule>
  </conditionalFormatting>
  <conditionalFormatting sqref="C65">
    <cfRule type="cellIs" dxfId="6499" priority="7383" stopIfTrue="1" operator="equal">
      <formula>"Towel"</formula>
    </cfRule>
    <cfRule type="cellIs" dxfId="6498" priority="7384" stopIfTrue="1" operator="equal">
      <formula>"Napkin Hs"</formula>
    </cfRule>
  </conditionalFormatting>
  <conditionalFormatting sqref="C65">
    <cfRule type="cellIs" dxfId="6497" priority="7385" stopIfTrue="1" operator="equal">
      <formula>"Towel"</formula>
    </cfRule>
    <cfRule type="cellIs" dxfId="6496" priority="7386" stopIfTrue="1" operator="equal">
      <formula>"Napkin Hs"</formula>
    </cfRule>
  </conditionalFormatting>
  <conditionalFormatting sqref="C65">
    <cfRule type="cellIs" dxfId="6495" priority="7381" stopIfTrue="1" operator="equal">
      <formula>"Towel"</formula>
    </cfRule>
    <cfRule type="cellIs" dxfId="6494" priority="7382" stopIfTrue="1" operator="equal">
      <formula>"Napkin Hs"</formula>
    </cfRule>
  </conditionalFormatting>
  <conditionalFormatting sqref="C65">
    <cfRule type="cellIs" dxfId="6493" priority="7377" stopIfTrue="1" operator="equal">
      <formula>"Towel"</formula>
    </cfRule>
    <cfRule type="cellIs" dxfId="6492" priority="7378" stopIfTrue="1" operator="equal">
      <formula>"Napkin Hs"</formula>
    </cfRule>
  </conditionalFormatting>
  <conditionalFormatting sqref="C65">
    <cfRule type="cellIs" dxfId="6491" priority="7379" stopIfTrue="1" operator="equal">
      <formula>"Towel"</formula>
    </cfRule>
    <cfRule type="cellIs" dxfId="6490" priority="7380" stopIfTrue="1" operator="equal">
      <formula>"Napkin Hs"</formula>
    </cfRule>
  </conditionalFormatting>
  <conditionalFormatting sqref="C65">
    <cfRule type="cellIs" dxfId="6489" priority="7375" stopIfTrue="1" operator="equal">
      <formula>"Towel"</formula>
    </cfRule>
    <cfRule type="cellIs" dxfId="6488" priority="7376" stopIfTrue="1" operator="equal">
      <formula>"Napkin Hs"</formula>
    </cfRule>
  </conditionalFormatting>
  <conditionalFormatting sqref="C65">
    <cfRule type="cellIs" dxfId="6487" priority="7371" stopIfTrue="1" operator="equal">
      <formula>"Towel"</formula>
    </cfRule>
    <cfRule type="cellIs" dxfId="6486" priority="7372" stopIfTrue="1" operator="equal">
      <formula>"Napkin Hs"</formula>
    </cfRule>
  </conditionalFormatting>
  <conditionalFormatting sqref="C65">
    <cfRule type="cellIs" dxfId="6485" priority="7373" stopIfTrue="1" operator="equal">
      <formula>"Towel"</formula>
    </cfRule>
    <cfRule type="cellIs" dxfId="6484" priority="7374" stopIfTrue="1" operator="equal">
      <formula>"Napkin Hs"</formula>
    </cfRule>
  </conditionalFormatting>
  <conditionalFormatting sqref="C65">
    <cfRule type="cellIs" dxfId="6483" priority="7369" stopIfTrue="1" operator="equal">
      <formula>"Towel"</formula>
    </cfRule>
    <cfRule type="cellIs" dxfId="6482" priority="7370" stopIfTrue="1" operator="equal">
      <formula>"Napkin Hs"</formula>
    </cfRule>
  </conditionalFormatting>
  <conditionalFormatting sqref="C65">
    <cfRule type="cellIs" dxfId="6481" priority="7367" stopIfTrue="1" operator="equal">
      <formula>"Towel"</formula>
    </cfRule>
    <cfRule type="cellIs" dxfId="6480" priority="7368" stopIfTrue="1" operator="equal">
      <formula>"Napkin Hs"</formula>
    </cfRule>
  </conditionalFormatting>
  <conditionalFormatting sqref="C65">
    <cfRule type="cellIs" dxfId="6479" priority="7365" stopIfTrue="1" operator="equal">
      <formula>"Towel"</formula>
    </cfRule>
    <cfRule type="cellIs" dxfId="6478" priority="7366" stopIfTrue="1" operator="equal">
      <formula>"Napkin Hs"</formula>
    </cfRule>
  </conditionalFormatting>
  <conditionalFormatting sqref="C65">
    <cfRule type="cellIs" dxfId="6477" priority="7363" stopIfTrue="1" operator="equal">
      <formula>"Towel"</formula>
    </cfRule>
    <cfRule type="cellIs" dxfId="6476" priority="7364" stopIfTrue="1" operator="equal">
      <formula>"Napkin Hs"</formula>
    </cfRule>
  </conditionalFormatting>
  <conditionalFormatting sqref="C65">
    <cfRule type="cellIs" dxfId="6475" priority="7362" stopIfTrue="1" operator="equal">
      <formula>"Napkin Hs"</formula>
    </cfRule>
  </conditionalFormatting>
  <conditionalFormatting sqref="C65">
    <cfRule type="cellIs" dxfId="6474" priority="7359" stopIfTrue="1" operator="equal">
      <formula>"Towel"</formula>
    </cfRule>
    <cfRule type="cellIs" dxfId="6473" priority="7360" stopIfTrue="1" operator="equal">
      <formula>"Napkin Hs"</formula>
    </cfRule>
  </conditionalFormatting>
  <conditionalFormatting sqref="C65">
    <cfRule type="cellIs" dxfId="6472" priority="7361" stopIfTrue="1" operator="equal">
      <formula>"Towel"</formula>
    </cfRule>
  </conditionalFormatting>
  <conditionalFormatting sqref="B65">
    <cfRule type="cellIs" dxfId="6471" priority="7357" stopIfTrue="1" operator="equal">
      <formula>"Towel"</formula>
    </cfRule>
    <cfRule type="cellIs" dxfId="6470" priority="7358" stopIfTrue="1" operator="equal">
      <formula>"Napkin Hs"</formula>
    </cfRule>
  </conditionalFormatting>
  <conditionalFormatting sqref="B65">
    <cfRule type="cellIs" dxfId="6469" priority="7355" stopIfTrue="1" operator="equal">
      <formula>"Towel"</formula>
    </cfRule>
    <cfRule type="cellIs" dxfId="6468" priority="7356" stopIfTrue="1" operator="equal">
      <formula>"Napkin Hs"</formula>
    </cfRule>
  </conditionalFormatting>
  <conditionalFormatting sqref="B65">
    <cfRule type="cellIs" dxfId="6467" priority="7353" stopIfTrue="1" operator="equal">
      <formula>"Towel"</formula>
    </cfRule>
    <cfRule type="cellIs" dxfId="6466" priority="7354" stopIfTrue="1" operator="equal">
      <formula>"Napkin Hs"</formula>
    </cfRule>
  </conditionalFormatting>
  <conditionalFormatting sqref="B65">
    <cfRule type="cellIs" dxfId="6465" priority="7351" stopIfTrue="1" operator="equal">
      <formula>"Towel"</formula>
    </cfRule>
    <cfRule type="cellIs" dxfId="6464" priority="7352" stopIfTrue="1" operator="equal">
      <formula>"Napkin Hs"</formula>
    </cfRule>
  </conditionalFormatting>
  <conditionalFormatting sqref="B65">
    <cfRule type="cellIs" dxfId="6463" priority="7349" stopIfTrue="1" operator="equal">
      <formula>"Towel"</formula>
    </cfRule>
    <cfRule type="cellIs" dxfId="6462" priority="7350" stopIfTrue="1" operator="equal">
      <formula>"Napkin Hs"</formula>
    </cfRule>
  </conditionalFormatting>
  <conditionalFormatting sqref="B65">
    <cfRule type="cellIs" dxfId="6461" priority="7347" stopIfTrue="1" operator="equal">
      <formula>"Towel"</formula>
    </cfRule>
    <cfRule type="cellIs" dxfId="6460" priority="7348" stopIfTrue="1" operator="equal">
      <formula>"Napkin Hs"</formula>
    </cfRule>
  </conditionalFormatting>
  <conditionalFormatting sqref="B65">
    <cfRule type="cellIs" dxfId="6459" priority="7343" stopIfTrue="1" operator="equal">
      <formula>"Towel"</formula>
    </cfRule>
    <cfRule type="cellIs" dxfId="6458" priority="7344" stopIfTrue="1" operator="equal">
      <formula>"Napkin Hs"</formula>
    </cfRule>
    <cfRule type="cellIs" dxfId="6457" priority="7345" stopIfTrue="1" operator="equal">
      <formula>"Towel"</formula>
    </cfRule>
    <cfRule type="cellIs" dxfId="6456" priority="7346" stopIfTrue="1" operator="equal">
      <formula>"Napkin Hs"</formula>
    </cfRule>
  </conditionalFormatting>
  <conditionalFormatting sqref="B65">
    <cfRule type="cellIs" dxfId="6455" priority="7341" stopIfTrue="1" operator="equal">
      <formula>"Towel"</formula>
    </cfRule>
    <cfRule type="cellIs" dxfId="6454" priority="7342" stopIfTrue="1" operator="equal">
      <formula>"Napkin Hs"</formula>
    </cfRule>
  </conditionalFormatting>
  <conditionalFormatting sqref="B65">
    <cfRule type="cellIs" dxfId="6453" priority="7339" stopIfTrue="1" operator="equal">
      <formula>"Towel"</formula>
    </cfRule>
    <cfRule type="cellIs" dxfId="6452" priority="7340" stopIfTrue="1" operator="equal">
      <formula>"Napkin Hs"</formula>
    </cfRule>
  </conditionalFormatting>
  <conditionalFormatting sqref="B65">
    <cfRule type="cellIs" dxfId="6451" priority="7337" stopIfTrue="1" operator="equal">
      <formula>"Towel"</formula>
    </cfRule>
    <cfRule type="cellIs" dxfId="6450" priority="7338" stopIfTrue="1" operator="equal">
      <formula>"Napkin Hs"</formula>
    </cfRule>
  </conditionalFormatting>
  <conditionalFormatting sqref="B65">
    <cfRule type="cellIs" dxfId="6449" priority="7335" stopIfTrue="1" operator="equal">
      <formula>"Towel"</formula>
    </cfRule>
    <cfRule type="cellIs" dxfId="6448" priority="7336" stopIfTrue="1" operator="equal">
      <formula>"Napkin Hs"</formula>
    </cfRule>
  </conditionalFormatting>
  <conditionalFormatting sqref="B65">
    <cfRule type="cellIs" dxfId="6447" priority="7333" stopIfTrue="1" operator="equal">
      <formula>"Towel"</formula>
    </cfRule>
    <cfRule type="cellIs" dxfId="6446" priority="7334" stopIfTrue="1" operator="equal">
      <formula>"Napkin Hs"</formula>
    </cfRule>
  </conditionalFormatting>
  <conditionalFormatting sqref="B65:C65">
    <cfRule type="cellIs" dxfId="6445" priority="7319" stopIfTrue="1" operator="equal">
      <formula>"Towel"</formula>
    </cfRule>
    <cfRule type="cellIs" dxfId="6444" priority="7320" stopIfTrue="1" operator="equal">
      <formula>"Napkin Hs"</formula>
    </cfRule>
    <cfRule type="cellIs" dxfId="6443" priority="7325" stopIfTrue="1" operator="equal">
      <formula>"Towel"</formula>
    </cfRule>
    <cfRule type="cellIs" dxfId="6442" priority="7326" stopIfTrue="1" operator="equal">
      <formula>"Napkin Hs"</formula>
    </cfRule>
    <cfRule type="cellIs" dxfId="6441" priority="7331" stopIfTrue="1" operator="equal">
      <formula>"Towel"</formula>
    </cfRule>
    <cfRule type="cellIs" dxfId="6440" priority="7332" stopIfTrue="1" operator="equal">
      <formula>"Napkin Hs"</formula>
    </cfRule>
  </conditionalFormatting>
  <conditionalFormatting sqref="C65">
    <cfRule type="cellIs" dxfId="6439" priority="7313" stopIfTrue="1" operator="equal">
      <formula>"Towel"</formula>
    </cfRule>
    <cfRule type="cellIs" dxfId="6438" priority="7314" stopIfTrue="1" operator="equal">
      <formula>"Napkin Hs"</formula>
    </cfRule>
    <cfRule type="cellIs" dxfId="6437" priority="7315" stopIfTrue="1" operator="equal">
      <formula>"Towel"</formula>
    </cfRule>
    <cfRule type="cellIs" dxfId="6436" priority="7316" stopIfTrue="1" operator="equal">
      <formula>"Napkin Hs"</formula>
    </cfRule>
    <cfRule type="cellIs" dxfId="6435" priority="7323" stopIfTrue="1" operator="equal">
      <formula>"Towel"</formula>
    </cfRule>
    <cfRule type="cellIs" dxfId="6434" priority="7324" stopIfTrue="1" operator="equal">
      <formula>"Napkin Hs"</formula>
    </cfRule>
    <cfRule type="cellIs" dxfId="6433" priority="7327" stopIfTrue="1" operator="equal">
      <formula>"Towel"</formula>
    </cfRule>
    <cfRule type="cellIs" dxfId="6432" priority="7328" stopIfTrue="1" operator="equal">
      <formula>"Napkin Hs"</formula>
    </cfRule>
  </conditionalFormatting>
  <conditionalFormatting sqref="C65">
    <cfRule type="cellIs" dxfId="6431" priority="7317" stopIfTrue="1" operator="equal">
      <formula>"Towel"</formula>
    </cfRule>
    <cfRule type="cellIs" dxfId="6430" priority="7318" stopIfTrue="1" operator="equal">
      <formula>"Napkin Hs"</formula>
    </cfRule>
    <cfRule type="cellIs" dxfId="6429" priority="7321" stopIfTrue="1" operator="equal">
      <formula>"Towel"</formula>
    </cfRule>
    <cfRule type="cellIs" dxfId="6428" priority="7322" stopIfTrue="1" operator="equal">
      <formula>"Napkin Hs"</formula>
    </cfRule>
    <cfRule type="cellIs" dxfId="6427" priority="7329" stopIfTrue="1" operator="equal">
      <formula>"Towel"</formula>
    </cfRule>
    <cfRule type="cellIs" dxfId="6426" priority="7330" stopIfTrue="1" operator="equal">
      <formula>"Napkin Hs"</formula>
    </cfRule>
  </conditionalFormatting>
  <conditionalFormatting sqref="B65:C65">
    <cfRule type="cellIs" dxfId="6425" priority="7311" stopIfTrue="1" operator="equal">
      <formula>"Towel"</formula>
    </cfRule>
    <cfRule type="cellIs" dxfId="6424" priority="7312" stopIfTrue="1" operator="equal">
      <formula>"Napkin Hs"</formula>
    </cfRule>
  </conditionalFormatting>
  <conditionalFormatting sqref="B65:C65">
    <cfRule type="cellIs" dxfId="6423" priority="7303" stopIfTrue="1" operator="equal">
      <formula>"Towel"</formula>
    </cfRule>
    <cfRule type="cellIs" dxfId="6422" priority="7304" stopIfTrue="1" operator="equal">
      <formula>"Napkin Hs"</formula>
    </cfRule>
    <cfRule type="cellIs" dxfId="6421" priority="7309" stopIfTrue="1" operator="equal">
      <formula>"Towel"</formula>
    </cfRule>
    <cfRule type="cellIs" dxfId="6420" priority="7310" stopIfTrue="1" operator="equal">
      <formula>"Napkin Hs"</formula>
    </cfRule>
  </conditionalFormatting>
  <conditionalFormatting sqref="C65">
    <cfRule type="cellIs" dxfId="6419" priority="7299" stopIfTrue="1" operator="equal">
      <formula>"Towel"</formula>
    </cfRule>
    <cfRule type="cellIs" dxfId="6418" priority="7300" stopIfTrue="1" operator="equal">
      <formula>"Napkin Hs"</formula>
    </cfRule>
  </conditionalFormatting>
  <conditionalFormatting sqref="C65">
    <cfRule type="cellIs" dxfId="6417" priority="7297" stopIfTrue="1" operator="equal">
      <formula>"Towel"</formula>
    </cfRule>
    <cfRule type="cellIs" dxfId="6416" priority="7298" stopIfTrue="1" operator="equal">
      <formula>"Napkin Hs"</formula>
    </cfRule>
    <cfRule type="cellIs" dxfId="6415" priority="7307" stopIfTrue="1" operator="equal">
      <formula>"Towel"</formula>
    </cfRule>
    <cfRule type="cellIs" dxfId="6414" priority="7308" stopIfTrue="1" operator="equal">
      <formula>"Napkin Hs"</formula>
    </cfRule>
  </conditionalFormatting>
  <conditionalFormatting sqref="C65">
    <cfRule type="cellIs" dxfId="6413" priority="7301" stopIfTrue="1" operator="equal">
      <formula>"Towel"</formula>
    </cfRule>
    <cfRule type="cellIs" dxfId="6412" priority="7302" stopIfTrue="1" operator="equal">
      <formula>"Napkin Hs"</formula>
    </cfRule>
    <cfRule type="cellIs" dxfId="6411" priority="7305" stopIfTrue="1" operator="equal">
      <formula>"Towel"</formula>
    </cfRule>
    <cfRule type="cellIs" dxfId="6410" priority="7306" stopIfTrue="1" operator="equal">
      <formula>"Napkin Hs"</formula>
    </cfRule>
  </conditionalFormatting>
  <conditionalFormatting sqref="C65">
    <cfRule type="cellIs" dxfId="6409" priority="7296" stopIfTrue="1" operator="equal">
      <formula>"Napkin Hs"</formula>
    </cfRule>
  </conditionalFormatting>
  <conditionalFormatting sqref="C65">
    <cfRule type="cellIs" dxfId="6408" priority="7295" stopIfTrue="1" operator="equal">
      <formula>"Towel"</formula>
    </cfRule>
  </conditionalFormatting>
  <conditionalFormatting sqref="C65">
    <cfRule type="cellIs" dxfId="6407" priority="7291" stopIfTrue="1" operator="equal">
      <formula>"Towel"</formula>
    </cfRule>
    <cfRule type="cellIs" dxfId="6406" priority="7292" stopIfTrue="1" operator="equal">
      <formula>"Napkin Hs"</formula>
    </cfRule>
    <cfRule type="cellIs" dxfId="6405" priority="7293" stopIfTrue="1" operator="equal">
      <formula>"Towel"</formula>
    </cfRule>
    <cfRule type="cellIs" dxfId="6404" priority="7294" stopIfTrue="1" operator="equal">
      <formula>"Napkin Hs"</formula>
    </cfRule>
  </conditionalFormatting>
  <conditionalFormatting sqref="B65:C65">
    <cfRule type="cellIs" dxfId="6403" priority="7289" stopIfTrue="1" operator="equal">
      <formula>"Towel"</formula>
    </cfRule>
    <cfRule type="cellIs" dxfId="6402" priority="7290" stopIfTrue="1" operator="equal">
      <formula>"Napkin Hs"</formula>
    </cfRule>
  </conditionalFormatting>
  <conditionalFormatting sqref="C65">
    <cfRule type="cellIs" dxfId="6401" priority="7285" stopIfTrue="1" operator="equal">
      <formula>"Towel"</formula>
    </cfRule>
    <cfRule type="cellIs" dxfId="6400" priority="7286" stopIfTrue="1" operator="equal">
      <formula>"Napkin Hs"</formula>
    </cfRule>
  </conditionalFormatting>
  <conditionalFormatting sqref="C65">
    <cfRule type="cellIs" dxfId="6399" priority="7287" stopIfTrue="1" operator="equal">
      <formula>"Towel"</formula>
    </cfRule>
    <cfRule type="cellIs" dxfId="6398" priority="7288" stopIfTrue="1" operator="equal">
      <formula>"Napkin Hs"</formula>
    </cfRule>
  </conditionalFormatting>
  <conditionalFormatting sqref="B65:C65">
    <cfRule type="cellIs" dxfId="6397" priority="7283" stopIfTrue="1" operator="equal">
      <formula>"Towel"</formula>
    </cfRule>
    <cfRule type="cellIs" dxfId="6396" priority="7284" stopIfTrue="1" operator="equal">
      <formula>"Napkin Hs"</formula>
    </cfRule>
  </conditionalFormatting>
  <conditionalFormatting sqref="C65">
    <cfRule type="cellIs" dxfId="6395" priority="7279" stopIfTrue="1" operator="equal">
      <formula>"Towel"</formula>
    </cfRule>
    <cfRule type="cellIs" dxfId="6394" priority="7280" stopIfTrue="1" operator="equal">
      <formula>"Napkin Hs"</formula>
    </cfRule>
  </conditionalFormatting>
  <conditionalFormatting sqref="C65">
    <cfRule type="cellIs" dxfId="6393" priority="7281" stopIfTrue="1" operator="equal">
      <formula>"Towel"</formula>
    </cfRule>
    <cfRule type="cellIs" dxfId="6392" priority="7282" stopIfTrue="1" operator="equal">
      <formula>"Napkin Hs"</formula>
    </cfRule>
  </conditionalFormatting>
  <conditionalFormatting sqref="B65:C65">
    <cfRule type="cellIs" dxfId="6391" priority="7277" stopIfTrue="1" operator="equal">
      <formula>"Towel"</formula>
    </cfRule>
    <cfRule type="cellIs" dxfId="6390" priority="7278" stopIfTrue="1" operator="equal">
      <formula>"Napkin Hs"</formula>
    </cfRule>
  </conditionalFormatting>
  <conditionalFormatting sqref="C65">
    <cfRule type="cellIs" dxfId="6389" priority="7273" stopIfTrue="1" operator="equal">
      <formula>"Towel"</formula>
    </cfRule>
    <cfRule type="cellIs" dxfId="6388" priority="7274" stopIfTrue="1" operator="equal">
      <formula>"Napkin Hs"</formula>
    </cfRule>
  </conditionalFormatting>
  <conditionalFormatting sqref="C65">
    <cfRule type="cellIs" dxfId="6387" priority="7275" stopIfTrue="1" operator="equal">
      <formula>"Towel"</formula>
    </cfRule>
    <cfRule type="cellIs" dxfId="6386" priority="7276" stopIfTrue="1" operator="equal">
      <formula>"Napkin Hs"</formula>
    </cfRule>
  </conditionalFormatting>
  <conditionalFormatting sqref="B65:C65">
    <cfRule type="cellIs" dxfId="6385" priority="7271" stopIfTrue="1" operator="equal">
      <formula>"Towel"</formula>
    </cfRule>
    <cfRule type="cellIs" dxfId="6384" priority="7272" stopIfTrue="1" operator="equal">
      <formula>"Napkin Hs"</formula>
    </cfRule>
  </conditionalFormatting>
  <conditionalFormatting sqref="C65">
    <cfRule type="cellIs" dxfId="6383" priority="7269" stopIfTrue="1" operator="equal">
      <formula>"Towel"</formula>
    </cfRule>
    <cfRule type="cellIs" dxfId="6382" priority="7270" stopIfTrue="1" operator="equal">
      <formula>"Napkin Hs"</formula>
    </cfRule>
  </conditionalFormatting>
  <conditionalFormatting sqref="C65">
    <cfRule type="cellIs" dxfId="6381" priority="7267" stopIfTrue="1" operator="equal">
      <formula>"Towel"</formula>
    </cfRule>
    <cfRule type="cellIs" dxfId="6380" priority="7268" stopIfTrue="1" operator="equal">
      <formula>"Napkin Hs"</formula>
    </cfRule>
  </conditionalFormatting>
  <conditionalFormatting sqref="B65:C65">
    <cfRule type="cellIs" dxfId="6379" priority="7265" stopIfTrue="1" operator="equal">
      <formula>"Towel"</formula>
    </cfRule>
    <cfRule type="cellIs" dxfId="6378" priority="7266" stopIfTrue="1" operator="equal">
      <formula>"Napkin Hs"</formula>
    </cfRule>
  </conditionalFormatting>
  <conditionalFormatting sqref="C65">
    <cfRule type="cellIs" dxfId="6377" priority="7264" stopIfTrue="1" operator="equal">
      <formula>"Napkin Hs"</formula>
    </cfRule>
  </conditionalFormatting>
  <conditionalFormatting sqref="C65">
    <cfRule type="cellIs" dxfId="6376" priority="7261" stopIfTrue="1" operator="equal">
      <formula>"Towel"</formula>
    </cfRule>
    <cfRule type="cellIs" dxfId="6375" priority="7262" stopIfTrue="1" operator="equal">
      <formula>"Napkin Hs"</formula>
    </cfRule>
  </conditionalFormatting>
  <conditionalFormatting sqref="C65">
    <cfRule type="cellIs" dxfId="6374" priority="7263" stopIfTrue="1" operator="equal">
      <formula>"Towel"</formula>
    </cfRule>
  </conditionalFormatting>
  <conditionalFormatting sqref="B64:C64">
    <cfRule type="cellIs" dxfId="6373" priority="7217" stopIfTrue="1" operator="equal">
      <formula>"Towel"</formula>
    </cfRule>
    <cfRule type="cellIs" dxfId="6372" priority="7218" stopIfTrue="1" operator="equal">
      <formula>"Napkin Hs"</formula>
    </cfRule>
    <cfRule type="cellIs" dxfId="6371" priority="7223" stopIfTrue="1" operator="equal">
      <formula>"Towel"</formula>
    </cfRule>
    <cfRule type="cellIs" dxfId="6370" priority="7224" stopIfTrue="1" operator="equal">
      <formula>"Napkin Hs"</formula>
    </cfRule>
    <cfRule type="cellIs" dxfId="6369" priority="7229" stopIfTrue="1" operator="equal">
      <formula>"Towel"</formula>
    </cfRule>
    <cfRule type="cellIs" dxfId="6368" priority="7230" stopIfTrue="1" operator="equal">
      <formula>"Napkin Hs"</formula>
    </cfRule>
    <cfRule type="cellIs" dxfId="6367" priority="7235" stopIfTrue="1" operator="equal">
      <formula>"Towel"</formula>
    </cfRule>
    <cfRule type="cellIs" dxfId="6366" priority="7236" stopIfTrue="1" operator="equal">
      <formula>"Napkin Hs"</formula>
    </cfRule>
    <cfRule type="cellIs" dxfId="6365" priority="7241" stopIfTrue="1" operator="equal">
      <formula>"Towel"</formula>
    </cfRule>
    <cfRule type="cellIs" dxfId="6364" priority="7242" stopIfTrue="1" operator="equal">
      <formula>"Napkin Hs"</formula>
    </cfRule>
    <cfRule type="cellIs" dxfId="6363" priority="7247" stopIfTrue="1" operator="equal">
      <formula>"Towel"</formula>
    </cfRule>
    <cfRule type="cellIs" dxfId="6362" priority="7248" stopIfTrue="1" operator="equal">
      <formula>"Napkin Hs"</formula>
    </cfRule>
    <cfRule type="cellIs" dxfId="6361" priority="7253" stopIfTrue="1" operator="equal">
      <formula>"Towel"</formula>
    </cfRule>
    <cfRule type="cellIs" dxfId="6360" priority="7254" stopIfTrue="1" operator="equal">
      <formula>"Napkin Hs"</formula>
    </cfRule>
    <cfRule type="cellIs" dxfId="6359" priority="7259" stopIfTrue="1" operator="equal">
      <formula>"Towel"</formula>
    </cfRule>
    <cfRule type="cellIs" dxfId="6358" priority="7260" stopIfTrue="1" operator="equal">
      <formula>"Napkin Hs"</formula>
    </cfRule>
  </conditionalFormatting>
  <conditionalFormatting sqref="C64">
    <cfRule type="cellIs" dxfId="6357" priority="7213" stopIfTrue="1" operator="equal">
      <formula>"Towel"</formula>
    </cfRule>
    <cfRule type="cellIs" dxfId="6356" priority="7214" stopIfTrue="1" operator="equal">
      <formula>"Napkin Hs"</formula>
    </cfRule>
    <cfRule type="cellIs" dxfId="6355" priority="7215" stopIfTrue="1" operator="equal">
      <formula>"Towel"</formula>
    </cfRule>
    <cfRule type="cellIs" dxfId="6354" priority="7216" stopIfTrue="1" operator="equal">
      <formula>"Napkin Hs"</formula>
    </cfRule>
    <cfRule type="cellIs" dxfId="6353" priority="7219" stopIfTrue="1" operator="equal">
      <formula>"Towel"</formula>
    </cfRule>
    <cfRule type="cellIs" dxfId="6352" priority="7220" stopIfTrue="1" operator="equal">
      <formula>"Napkin Hs"</formula>
    </cfRule>
    <cfRule type="cellIs" dxfId="6351" priority="7221" stopIfTrue="1" operator="equal">
      <formula>"Towel"</formula>
    </cfRule>
    <cfRule type="cellIs" dxfId="6350" priority="7222" stopIfTrue="1" operator="equal">
      <formula>"Napkin Hs"</formula>
    </cfRule>
    <cfRule type="cellIs" dxfId="6349" priority="7225" stopIfTrue="1" operator="equal">
      <formula>"Towel"</formula>
    </cfRule>
    <cfRule type="cellIs" dxfId="6348" priority="7226" stopIfTrue="1" operator="equal">
      <formula>"Napkin Hs"</formula>
    </cfRule>
    <cfRule type="cellIs" dxfId="6347" priority="7227" stopIfTrue="1" operator="equal">
      <formula>"Towel"</formula>
    </cfRule>
    <cfRule type="cellIs" dxfId="6346" priority="7228" stopIfTrue="1" operator="equal">
      <formula>"Napkin Hs"</formula>
    </cfRule>
    <cfRule type="cellIs" dxfId="6345" priority="7231" stopIfTrue="1" operator="equal">
      <formula>"Towel"</formula>
    </cfRule>
    <cfRule type="cellIs" dxfId="6344" priority="7232" stopIfTrue="1" operator="equal">
      <formula>"Napkin Hs"</formula>
    </cfRule>
    <cfRule type="cellIs" dxfId="6343" priority="7233" stopIfTrue="1" operator="equal">
      <formula>"Towel"</formula>
    </cfRule>
    <cfRule type="cellIs" dxfId="6342" priority="7234" stopIfTrue="1" operator="equal">
      <formula>"Napkin Hs"</formula>
    </cfRule>
    <cfRule type="cellIs" dxfId="6341" priority="7237" stopIfTrue="1" operator="equal">
      <formula>"Towel"</formula>
    </cfRule>
    <cfRule type="cellIs" dxfId="6340" priority="7238" stopIfTrue="1" operator="equal">
      <formula>"Napkin Hs"</formula>
    </cfRule>
    <cfRule type="cellIs" dxfId="6339" priority="7239" stopIfTrue="1" operator="equal">
      <formula>"Towel"</formula>
    </cfRule>
    <cfRule type="cellIs" dxfId="6338" priority="7240" stopIfTrue="1" operator="equal">
      <formula>"Napkin Hs"</formula>
    </cfRule>
    <cfRule type="cellIs" dxfId="6337" priority="7243" stopIfTrue="1" operator="equal">
      <formula>"Towel"</formula>
    </cfRule>
    <cfRule type="cellIs" dxfId="6336" priority="7244" stopIfTrue="1" operator="equal">
      <formula>"Napkin Hs"</formula>
    </cfRule>
    <cfRule type="cellIs" dxfId="6335" priority="7245" stopIfTrue="1" operator="equal">
      <formula>"Towel"</formula>
    </cfRule>
    <cfRule type="cellIs" dxfId="6334" priority="7246" stopIfTrue="1" operator="equal">
      <formula>"Napkin Hs"</formula>
    </cfRule>
    <cfRule type="cellIs" dxfId="6333" priority="7249" stopIfTrue="1" operator="equal">
      <formula>"Towel"</formula>
    </cfRule>
    <cfRule type="cellIs" dxfId="6332" priority="7250" stopIfTrue="1" operator="equal">
      <formula>"Napkin Hs"</formula>
    </cfRule>
    <cfRule type="cellIs" dxfId="6331" priority="7251" stopIfTrue="1" operator="equal">
      <formula>"Towel"</formula>
    </cfRule>
    <cfRule type="cellIs" dxfId="6330" priority="7252" stopIfTrue="1" operator="equal">
      <formula>"Napkin Hs"</formula>
    </cfRule>
    <cfRule type="cellIs" dxfId="6329" priority="7255" stopIfTrue="1" operator="equal">
      <formula>"Towel"</formula>
    </cfRule>
    <cfRule type="cellIs" dxfId="6328" priority="7256" stopIfTrue="1" operator="equal">
      <formula>"Napkin Hs"</formula>
    </cfRule>
  </conditionalFormatting>
  <conditionalFormatting sqref="C64">
    <cfRule type="cellIs" dxfId="6327" priority="7257" stopIfTrue="1" operator="equal">
      <formula>"Towel"</formula>
    </cfRule>
    <cfRule type="cellIs" dxfId="6326" priority="7258" stopIfTrue="1" operator="equal">
      <formula>"Napkin Hs"</formula>
    </cfRule>
  </conditionalFormatting>
  <conditionalFormatting sqref="B64">
    <cfRule type="cellIs" dxfId="6325" priority="7207" stopIfTrue="1" operator="equal">
      <formula>"Towel"</formula>
    </cfRule>
    <cfRule type="cellIs" dxfId="6324" priority="7208" stopIfTrue="1" operator="equal">
      <formula>"Napkin Hs"</formula>
    </cfRule>
    <cfRule type="cellIs" dxfId="6323" priority="7209" stopIfTrue="1" operator="equal">
      <formula>"Towel"</formula>
    </cfRule>
    <cfRule type="cellIs" dxfId="6322" priority="7210" stopIfTrue="1" operator="equal">
      <formula>"Napkin Hs"</formula>
    </cfRule>
    <cfRule type="cellIs" dxfId="6321" priority="7211" stopIfTrue="1" operator="equal">
      <formula>"Towel"</formula>
    </cfRule>
    <cfRule type="cellIs" dxfId="6320" priority="7212" stopIfTrue="1" operator="equal">
      <formula>"Napkin Hs"</formula>
    </cfRule>
  </conditionalFormatting>
  <conditionalFormatting sqref="B64:C64">
    <cfRule type="cellIs" dxfId="6319" priority="7169" stopIfTrue="1" operator="equal">
      <formula>"Towel"</formula>
    </cfRule>
    <cfRule type="cellIs" dxfId="6318" priority="7170" stopIfTrue="1" operator="equal">
      <formula>"Napkin Hs"</formula>
    </cfRule>
    <cfRule type="cellIs" dxfId="6317" priority="7175" stopIfTrue="1" operator="equal">
      <formula>"Towel"</formula>
    </cfRule>
    <cfRule type="cellIs" dxfId="6316" priority="7176" stopIfTrue="1" operator="equal">
      <formula>"Napkin Hs"</formula>
    </cfRule>
    <cfRule type="cellIs" dxfId="6315" priority="7181" stopIfTrue="1" operator="equal">
      <formula>"Towel"</formula>
    </cfRule>
    <cfRule type="cellIs" dxfId="6314" priority="7182" stopIfTrue="1" operator="equal">
      <formula>"Napkin Hs"</formula>
    </cfRule>
    <cfRule type="cellIs" dxfId="6313" priority="7187" stopIfTrue="1" operator="equal">
      <formula>"Towel"</formula>
    </cfRule>
    <cfRule type="cellIs" dxfId="6312" priority="7188" stopIfTrue="1" operator="equal">
      <formula>"Napkin Hs"</formula>
    </cfRule>
    <cfRule type="cellIs" dxfId="6311" priority="7193" stopIfTrue="1" operator="equal">
      <formula>"Towel"</formula>
    </cfRule>
    <cfRule type="cellIs" dxfId="6310" priority="7194" stopIfTrue="1" operator="equal">
      <formula>"Napkin Hs"</formula>
    </cfRule>
    <cfRule type="cellIs" dxfId="6309" priority="7199" stopIfTrue="1" operator="equal">
      <formula>"Towel"</formula>
    </cfRule>
    <cfRule type="cellIs" dxfId="6308" priority="7200" stopIfTrue="1" operator="equal">
      <formula>"Napkin Hs"</formula>
    </cfRule>
    <cfRule type="cellIs" dxfId="6307" priority="7205" stopIfTrue="1" operator="equal">
      <formula>"Towel"</formula>
    </cfRule>
    <cfRule type="cellIs" dxfId="6306" priority="7206" stopIfTrue="1" operator="equal">
      <formula>"Napkin Hs"</formula>
    </cfRule>
  </conditionalFormatting>
  <conditionalFormatting sqref="C64">
    <cfRule type="cellIs" dxfId="6305" priority="7165" stopIfTrue="1" operator="equal">
      <formula>"Towel"</formula>
    </cfRule>
    <cfRule type="cellIs" dxfId="6304" priority="7166" stopIfTrue="1" operator="equal">
      <formula>"Napkin Hs"</formula>
    </cfRule>
    <cfRule type="cellIs" dxfId="6303" priority="7167" stopIfTrue="1" operator="equal">
      <formula>"Towel"</formula>
    </cfRule>
    <cfRule type="cellIs" dxfId="6302" priority="7168" stopIfTrue="1" operator="equal">
      <formula>"Napkin Hs"</formula>
    </cfRule>
    <cfRule type="cellIs" dxfId="6301" priority="7171" stopIfTrue="1" operator="equal">
      <formula>"Towel"</formula>
    </cfRule>
    <cfRule type="cellIs" dxfId="6300" priority="7172" stopIfTrue="1" operator="equal">
      <formula>"Napkin Hs"</formula>
    </cfRule>
    <cfRule type="cellIs" dxfId="6299" priority="7173" stopIfTrue="1" operator="equal">
      <formula>"Towel"</formula>
    </cfRule>
    <cfRule type="cellIs" dxfId="6298" priority="7174" stopIfTrue="1" operator="equal">
      <formula>"Napkin Hs"</formula>
    </cfRule>
    <cfRule type="cellIs" dxfId="6297" priority="7177" stopIfTrue="1" operator="equal">
      <formula>"Towel"</formula>
    </cfRule>
    <cfRule type="cellIs" dxfId="6296" priority="7178" stopIfTrue="1" operator="equal">
      <formula>"Napkin Hs"</formula>
    </cfRule>
    <cfRule type="cellIs" dxfId="6295" priority="7179" stopIfTrue="1" operator="equal">
      <formula>"Towel"</formula>
    </cfRule>
    <cfRule type="cellIs" dxfId="6294" priority="7180" stopIfTrue="1" operator="equal">
      <formula>"Napkin Hs"</formula>
    </cfRule>
    <cfRule type="cellIs" dxfId="6293" priority="7183" stopIfTrue="1" operator="equal">
      <formula>"Towel"</formula>
    </cfRule>
    <cfRule type="cellIs" dxfId="6292" priority="7184" stopIfTrue="1" operator="equal">
      <formula>"Napkin Hs"</formula>
    </cfRule>
    <cfRule type="cellIs" dxfId="6291" priority="7185" stopIfTrue="1" operator="equal">
      <formula>"Towel"</formula>
    </cfRule>
    <cfRule type="cellIs" dxfId="6290" priority="7186" stopIfTrue="1" operator="equal">
      <formula>"Napkin Hs"</formula>
    </cfRule>
    <cfRule type="cellIs" dxfId="6289" priority="7189" stopIfTrue="1" operator="equal">
      <formula>"Towel"</formula>
    </cfRule>
    <cfRule type="cellIs" dxfId="6288" priority="7190" stopIfTrue="1" operator="equal">
      <formula>"Napkin Hs"</formula>
    </cfRule>
    <cfRule type="cellIs" dxfId="6287" priority="7191" stopIfTrue="1" operator="equal">
      <formula>"Towel"</formula>
    </cfRule>
    <cfRule type="cellIs" dxfId="6286" priority="7192" stopIfTrue="1" operator="equal">
      <formula>"Napkin Hs"</formula>
    </cfRule>
    <cfRule type="cellIs" dxfId="6285" priority="7195" stopIfTrue="1" operator="equal">
      <formula>"Towel"</formula>
    </cfRule>
    <cfRule type="cellIs" dxfId="6284" priority="7196" stopIfTrue="1" operator="equal">
      <formula>"Napkin Hs"</formula>
    </cfRule>
    <cfRule type="cellIs" dxfId="6283" priority="7197" stopIfTrue="1" operator="equal">
      <formula>"Towel"</formula>
    </cfRule>
    <cfRule type="cellIs" dxfId="6282" priority="7198" stopIfTrue="1" operator="equal">
      <formula>"Napkin Hs"</formula>
    </cfRule>
    <cfRule type="cellIs" dxfId="6281" priority="7201" stopIfTrue="1" operator="equal">
      <formula>"Towel"</formula>
    </cfRule>
    <cfRule type="cellIs" dxfId="6280" priority="7202" stopIfTrue="1" operator="equal">
      <formula>"Napkin Hs"</formula>
    </cfRule>
  </conditionalFormatting>
  <conditionalFormatting sqref="C64">
    <cfRule type="cellIs" dxfId="6279" priority="7203" stopIfTrue="1" operator="equal">
      <formula>"Towel"</formula>
    </cfRule>
    <cfRule type="cellIs" dxfId="6278" priority="7204" stopIfTrue="1" operator="equal">
      <formula>"Napkin Hs"</formula>
    </cfRule>
  </conditionalFormatting>
  <conditionalFormatting sqref="B64:C64">
    <cfRule type="cellIs" dxfId="6277" priority="7163" stopIfTrue="1" operator="equal">
      <formula>"Towel"</formula>
    </cfRule>
    <cfRule type="cellIs" dxfId="6276" priority="7164" stopIfTrue="1" operator="equal">
      <formula>"Napkin Hs"</formula>
    </cfRule>
  </conditionalFormatting>
  <conditionalFormatting sqref="B64:C64">
    <cfRule type="cellIs" dxfId="6275" priority="7127" stopIfTrue="1" operator="equal">
      <formula>"Towel"</formula>
    </cfRule>
    <cfRule type="cellIs" dxfId="6274" priority="7128" stopIfTrue="1" operator="equal">
      <formula>"Napkin Hs"</formula>
    </cfRule>
    <cfRule type="cellIs" dxfId="6273" priority="7133" stopIfTrue="1" operator="equal">
      <formula>"Towel"</formula>
    </cfRule>
    <cfRule type="cellIs" dxfId="6272" priority="7134" stopIfTrue="1" operator="equal">
      <formula>"Napkin Hs"</formula>
    </cfRule>
    <cfRule type="cellIs" dxfId="6271" priority="7139" stopIfTrue="1" operator="equal">
      <formula>"Towel"</formula>
    </cfRule>
    <cfRule type="cellIs" dxfId="6270" priority="7140" stopIfTrue="1" operator="equal">
      <formula>"Napkin Hs"</formula>
    </cfRule>
    <cfRule type="cellIs" dxfId="6269" priority="7145" stopIfTrue="1" operator="equal">
      <formula>"Towel"</formula>
    </cfRule>
    <cfRule type="cellIs" dxfId="6268" priority="7146" stopIfTrue="1" operator="equal">
      <formula>"Napkin Hs"</formula>
    </cfRule>
    <cfRule type="cellIs" dxfId="6267" priority="7151" stopIfTrue="1" operator="equal">
      <formula>"Towel"</formula>
    </cfRule>
    <cfRule type="cellIs" dxfId="6266" priority="7152" stopIfTrue="1" operator="equal">
      <formula>"Napkin Hs"</formula>
    </cfRule>
    <cfRule type="cellIs" dxfId="6265" priority="7157" stopIfTrue="1" operator="equal">
      <formula>"Towel"</formula>
    </cfRule>
    <cfRule type="cellIs" dxfId="6264" priority="7158" stopIfTrue="1" operator="equal">
      <formula>"Napkin Hs"</formula>
    </cfRule>
  </conditionalFormatting>
  <conditionalFormatting sqref="C64">
    <cfRule type="cellIs" dxfId="6263" priority="7162" stopIfTrue="1" operator="equal">
      <formula>"Napkin Hs"</formula>
    </cfRule>
  </conditionalFormatting>
  <conditionalFormatting sqref="C64">
    <cfRule type="cellIs" dxfId="6262" priority="7161" stopIfTrue="1" operator="equal">
      <formula>"Towel"</formula>
    </cfRule>
  </conditionalFormatting>
  <conditionalFormatting sqref="C64">
    <cfRule type="cellIs" dxfId="6261" priority="7155" stopIfTrue="1" operator="equal">
      <formula>"Towel"</formula>
    </cfRule>
    <cfRule type="cellIs" dxfId="6260" priority="7156" stopIfTrue="1" operator="equal">
      <formula>"Napkin Hs"</formula>
    </cfRule>
  </conditionalFormatting>
  <conditionalFormatting sqref="C64">
    <cfRule type="cellIs" dxfId="6259" priority="7153" stopIfTrue="1" operator="equal">
      <formula>"Towel"</formula>
    </cfRule>
    <cfRule type="cellIs" dxfId="6258" priority="7154" stopIfTrue="1" operator="equal">
      <formula>"Napkin Hs"</formula>
    </cfRule>
    <cfRule type="cellIs" dxfId="6257" priority="7159" stopIfTrue="1" operator="equal">
      <formula>"Towel"</formula>
    </cfRule>
    <cfRule type="cellIs" dxfId="6256" priority="7160" stopIfTrue="1" operator="equal">
      <formula>"Napkin Hs"</formula>
    </cfRule>
  </conditionalFormatting>
  <conditionalFormatting sqref="C64">
    <cfRule type="cellIs" dxfId="6255" priority="7125" stopIfTrue="1" operator="equal">
      <formula>"Towel"</formula>
    </cfRule>
    <cfRule type="cellIs" dxfId="6254" priority="7126" stopIfTrue="1" operator="equal">
      <formula>"Napkin Hs"</formula>
    </cfRule>
    <cfRule type="cellIs" dxfId="6253" priority="7129" stopIfTrue="1" operator="equal">
      <formula>"Towel"</formula>
    </cfRule>
    <cfRule type="cellIs" dxfId="6252" priority="7130" stopIfTrue="1" operator="equal">
      <formula>"Napkin Hs"</formula>
    </cfRule>
    <cfRule type="cellIs" dxfId="6251" priority="7131" stopIfTrue="1" operator="equal">
      <formula>"Towel"</formula>
    </cfRule>
    <cfRule type="cellIs" dxfId="6250" priority="7132" stopIfTrue="1" operator="equal">
      <formula>"Napkin Hs"</formula>
    </cfRule>
    <cfRule type="cellIs" dxfId="6249" priority="7135" stopIfTrue="1" operator="equal">
      <formula>"Towel"</formula>
    </cfRule>
    <cfRule type="cellIs" dxfId="6248" priority="7136" stopIfTrue="1" operator="equal">
      <formula>"Napkin Hs"</formula>
    </cfRule>
    <cfRule type="cellIs" dxfId="6247" priority="7137" stopIfTrue="1" operator="equal">
      <formula>"Towel"</formula>
    </cfRule>
    <cfRule type="cellIs" dxfId="6246" priority="7138" stopIfTrue="1" operator="equal">
      <formula>"Napkin Hs"</formula>
    </cfRule>
    <cfRule type="cellIs" dxfId="6245" priority="7141" stopIfTrue="1" operator="equal">
      <formula>"Towel"</formula>
    </cfRule>
    <cfRule type="cellIs" dxfId="6244" priority="7142" stopIfTrue="1" operator="equal">
      <formula>"Napkin Hs"</formula>
    </cfRule>
    <cfRule type="cellIs" dxfId="6243" priority="7143" stopIfTrue="1" operator="equal">
      <formula>"Towel"</formula>
    </cfRule>
    <cfRule type="cellIs" dxfId="6242" priority="7144" stopIfTrue="1" operator="equal">
      <formula>"Napkin Hs"</formula>
    </cfRule>
    <cfRule type="cellIs" dxfId="6241" priority="7147" stopIfTrue="1" operator="equal">
      <formula>"Towel"</formula>
    </cfRule>
    <cfRule type="cellIs" dxfId="6240" priority="7148" stopIfTrue="1" operator="equal">
      <formula>"Napkin Hs"</formula>
    </cfRule>
    <cfRule type="cellIs" dxfId="6239" priority="7149" stopIfTrue="1" operator="equal">
      <formula>"Towel"</formula>
    </cfRule>
    <cfRule type="cellIs" dxfId="6238" priority="7150" stopIfTrue="1" operator="equal">
      <formula>"Napkin Hs"</formula>
    </cfRule>
  </conditionalFormatting>
  <conditionalFormatting sqref="C64">
    <cfRule type="cellIs" dxfId="6237" priority="7123" stopIfTrue="1" operator="equal">
      <formula>"Towel"</formula>
    </cfRule>
    <cfRule type="cellIs" dxfId="6236" priority="7124" stopIfTrue="1" operator="equal">
      <formula>"Napkin Hs"</formula>
    </cfRule>
  </conditionalFormatting>
  <conditionalFormatting sqref="C64">
    <cfRule type="cellIs" dxfId="6235" priority="7103" stopIfTrue="1" operator="equal">
      <formula>"Towel"</formula>
    </cfRule>
    <cfRule type="cellIs" dxfId="6234" priority="7104" stopIfTrue="1" operator="equal">
      <formula>"Napkin Hs"</formula>
    </cfRule>
    <cfRule type="cellIs" dxfId="6233" priority="7109" stopIfTrue="1" operator="equal">
      <formula>"Towel"</formula>
    </cfRule>
    <cfRule type="cellIs" dxfId="6232" priority="7110" stopIfTrue="1" operator="equal">
      <formula>"Napkin Hs"</formula>
    </cfRule>
    <cfRule type="cellIs" dxfId="6231" priority="7115" stopIfTrue="1" operator="equal">
      <formula>"Towel"</formula>
    </cfRule>
    <cfRule type="cellIs" dxfId="6230" priority="7116" stopIfTrue="1" operator="equal">
      <formula>"Napkin Hs"</formula>
    </cfRule>
    <cfRule type="cellIs" dxfId="6229" priority="7121" stopIfTrue="1" operator="equal">
      <formula>"Towel"</formula>
    </cfRule>
    <cfRule type="cellIs" dxfId="6228" priority="7122" stopIfTrue="1" operator="equal">
      <formula>"Napkin Hs"</formula>
    </cfRule>
  </conditionalFormatting>
  <conditionalFormatting sqref="C64">
    <cfRule type="cellIs" dxfId="6227" priority="7113" stopIfTrue="1" operator="equal">
      <formula>"Towel"</formula>
    </cfRule>
    <cfRule type="cellIs" dxfId="6226" priority="7114" stopIfTrue="1" operator="equal">
      <formula>"Napkin Hs"</formula>
    </cfRule>
    <cfRule type="cellIs" dxfId="6225" priority="7119" stopIfTrue="1" operator="equal">
      <formula>"Towel"</formula>
    </cfRule>
    <cfRule type="cellIs" dxfId="6224" priority="7120" stopIfTrue="1" operator="equal">
      <formula>"Napkin Hs"</formula>
    </cfRule>
  </conditionalFormatting>
  <conditionalFormatting sqref="C64">
    <cfRule type="cellIs" dxfId="6223" priority="7099" stopIfTrue="1" operator="equal">
      <formula>"Towel"</formula>
    </cfRule>
    <cfRule type="cellIs" dxfId="6222" priority="7100" stopIfTrue="1" operator="equal">
      <formula>"Napkin Hs"</formula>
    </cfRule>
    <cfRule type="cellIs" dxfId="6221" priority="7107" stopIfTrue="1" operator="equal">
      <formula>"Towel"</formula>
    </cfRule>
    <cfRule type="cellIs" dxfId="6220" priority="7108" stopIfTrue="1" operator="equal">
      <formula>"Napkin Hs"</formula>
    </cfRule>
    <cfRule type="cellIs" dxfId="6219" priority="7111" stopIfTrue="1" operator="equal">
      <formula>"Towel"</formula>
    </cfRule>
    <cfRule type="cellIs" dxfId="6218" priority="7112" stopIfTrue="1" operator="equal">
      <formula>"Napkin Hs"</formula>
    </cfRule>
  </conditionalFormatting>
  <conditionalFormatting sqref="C64">
    <cfRule type="cellIs" dxfId="6217" priority="7101" stopIfTrue="1" operator="equal">
      <formula>"Towel"</formula>
    </cfRule>
    <cfRule type="cellIs" dxfId="6216" priority="7102" stopIfTrue="1" operator="equal">
      <formula>"Napkin Hs"</formula>
    </cfRule>
    <cfRule type="cellIs" dxfId="6215" priority="7105" stopIfTrue="1" operator="equal">
      <formula>"Towel"</formula>
    </cfRule>
    <cfRule type="cellIs" dxfId="6214" priority="7106" stopIfTrue="1" operator="equal">
      <formula>"Napkin Hs"</formula>
    </cfRule>
    <cfRule type="cellIs" dxfId="6213" priority="7117" stopIfTrue="1" operator="equal">
      <formula>"Towel"</formula>
    </cfRule>
    <cfRule type="cellIs" dxfId="6212" priority="7118" stopIfTrue="1" operator="equal">
      <formula>"Napkin Hs"</formula>
    </cfRule>
  </conditionalFormatting>
  <conditionalFormatting sqref="C64">
    <cfRule type="cellIs" dxfId="6211" priority="7097" stopIfTrue="1" operator="equal">
      <formula>"Towel"</formula>
    </cfRule>
    <cfRule type="cellIs" dxfId="6210" priority="7098" stopIfTrue="1" operator="equal">
      <formula>"Napkin Hs"</formula>
    </cfRule>
  </conditionalFormatting>
  <conditionalFormatting sqref="C64">
    <cfRule type="cellIs" dxfId="6209" priority="7093" stopIfTrue="1" operator="equal">
      <formula>"Towel"</formula>
    </cfRule>
    <cfRule type="cellIs" dxfId="6208" priority="7094" stopIfTrue="1" operator="equal">
      <formula>"Napkin Hs"</formula>
    </cfRule>
  </conditionalFormatting>
  <conditionalFormatting sqref="C64">
    <cfRule type="cellIs" dxfId="6207" priority="7095" stopIfTrue="1" operator="equal">
      <formula>"Towel"</formula>
    </cfRule>
    <cfRule type="cellIs" dxfId="6206" priority="7096" stopIfTrue="1" operator="equal">
      <formula>"Napkin Hs"</formula>
    </cfRule>
  </conditionalFormatting>
  <conditionalFormatting sqref="C64">
    <cfRule type="cellIs" dxfId="6205" priority="7091" stopIfTrue="1" operator="equal">
      <formula>"Towel"</formula>
    </cfRule>
    <cfRule type="cellIs" dxfId="6204" priority="7092" stopIfTrue="1" operator="equal">
      <formula>"Napkin Hs"</formula>
    </cfRule>
  </conditionalFormatting>
  <conditionalFormatting sqref="C64">
    <cfRule type="cellIs" dxfId="6203" priority="7087" stopIfTrue="1" operator="equal">
      <formula>"Towel"</formula>
    </cfRule>
    <cfRule type="cellIs" dxfId="6202" priority="7088" stopIfTrue="1" operator="equal">
      <formula>"Napkin Hs"</formula>
    </cfRule>
  </conditionalFormatting>
  <conditionalFormatting sqref="C64">
    <cfRule type="cellIs" dxfId="6201" priority="7089" stopIfTrue="1" operator="equal">
      <formula>"Towel"</formula>
    </cfRule>
    <cfRule type="cellIs" dxfId="6200" priority="7090" stopIfTrue="1" operator="equal">
      <formula>"Napkin Hs"</formula>
    </cfRule>
  </conditionalFormatting>
  <conditionalFormatting sqref="C64">
    <cfRule type="cellIs" dxfId="6199" priority="7085" stopIfTrue="1" operator="equal">
      <formula>"Towel"</formula>
    </cfRule>
    <cfRule type="cellIs" dxfId="6198" priority="7086" stopIfTrue="1" operator="equal">
      <formula>"Napkin Hs"</formula>
    </cfRule>
  </conditionalFormatting>
  <conditionalFormatting sqref="C64">
    <cfRule type="cellIs" dxfId="6197" priority="7081" stopIfTrue="1" operator="equal">
      <formula>"Towel"</formula>
    </cfRule>
    <cfRule type="cellIs" dxfId="6196" priority="7082" stopIfTrue="1" operator="equal">
      <formula>"Napkin Hs"</formula>
    </cfRule>
  </conditionalFormatting>
  <conditionalFormatting sqref="C64">
    <cfRule type="cellIs" dxfId="6195" priority="7083" stopIfTrue="1" operator="equal">
      <formula>"Towel"</formula>
    </cfRule>
    <cfRule type="cellIs" dxfId="6194" priority="7084" stopIfTrue="1" operator="equal">
      <formula>"Napkin Hs"</formula>
    </cfRule>
  </conditionalFormatting>
  <conditionalFormatting sqref="C64">
    <cfRule type="cellIs" dxfId="6193" priority="7079" stopIfTrue="1" operator="equal">
      <formula>"Towel"</formula>
    </cfRule>
    <cfRule type="cellIs" dxfId="6192" priority="7080" stopIfTrue="1" operator="equal">
      <formula>"Napkin Hs"</formula>
    </cfRule>
  </conditionalFormatting>
  <conditionalFormatting sqref="C64">
    <cfRule type="cellIs" dxfId="6191" priority="7077" stopIfTrue="1" operator="equal">
      <formula>"Towel"</formula>
    </cfRule>
    <cfRule type="cellIs" dxfId="6190" priority="7078" stopIfTrue="1" operator="equal">
      <formula>"Napkin Hs"</formula>
    </cfRule>
  </conditionalFormatting>
  <conditionalFormatting sqref="C64">
    <cfRule type="cellIs" dxfId="6189" priority="7075" stopIfTrue="1" operator="equal">
      <formula>"Towel"</formula>
    </cfRule>
    <cfRule type="cellIs" dxfId="6188" priority="7076" stopIfTrue="1" operator="equal">
      <formula>"Napkin Hs"</formula>
    </cfRule>
  </conditionalFormatting>
  <conditionalFormatting sqref="C64">
    <cfRule type="cellIs" dxfId="6187" priority="7073" stopIfTrue="1" operator="equal">
      <formula>"Towel"</formula>
    </cfRule>
    <cfRule type="cellIs" dxfId="6186" priority="7074" stopIfTrue="1" operator="equal">
      <formula>"Napkin Hs"</formula>
    </cfRule>
  </conditionalFormatting>
  <conditionalFormatting sqref="C64">
    <cfRule type="cellIs" dxfId="6185" priority="7072" stopIfTrue="1" operator="equal">
      <formula>"Napkin Hs"</formula>
    </cfRule>
  </conditionalFormatting>
  <conditionalFormatting sqref="C64">
    <cfRule type="cellIs" dxfId="6184" priority="7069" stopIfTrue="1" operator="equal">
      <formula>"Towel"</formula>
    </cfRule>
    <cfRule type="cellIs" dxfId="6183" priority="7070" stopIfTrue="1" operator="equal">
      <formula>"Napkin Hs"</formula>
    </cfRule>
  </conditionalFormatting>
  <conditionalFormatting sqref="C64">
    <cfRule type="cellIs" dxfId="6182" priority="7071" stopIfTrue="1" operator="equal">
      <formula>"Towel"</formula>
    </cfRule>
  </conditionalFormatting>
  <conditionalFormatting sqref="B64">
    <cfRule type="cellIs" dxfId="6181" priority="7067" stopIfTrue="1" operator="equal">
      <formula>"Towel"</formula>
    </cfRule>
    <cfRule type="cellIs" dxfId="6180" priority="7068" stopIfTrue="1" operator="equal">
      <formula>"Napkin Hs"</formula>
    </cfRule>
  </conditionalFormatting>
  <conditionalFormatting sqref="B64">
    <cfRule type="cellIs" dxfId="6179" priority="7065" stopIfTrue="1" operator="equal">
      <formula>"Towel"</formula>
    </cfRule>
    <cfRule type="cellIs" dxfId="6178" priority="7066" stopIfTrue="1" operator="equal">
      <formula>"Napkin Hs"</formula>
    </cfRule>
  </conditionalFormatting>
  <conditionalFormatting sqref="B64">
    <cfRule type="cellIs" dxfId="6177" priority="7063" stopIfTrue="1" operator="equal">
      <formula>"Towel"</formula>
    </cfRule>
    <cfRule type="cellIs" dxfId="6176" priority="7064" stopIfTrue="1" operator="equal">
      <formula>"Napkin Hs"</formula>
    </cfRule>
  </conditionalFormatting>
  <conditionalFormatting sqref="B64">
    <cfRule type="cellIs" dxfId="6175" priority="7061" stopIfTrue="1" operator="equal">
      <formula>"Towel"</formula>
    </cfRule>
    <cfRule type="cellIs" dxfId="6174" priority="7062" stopIfTrue="1" operator="equal">
      <formula>"Napkin Hs"</formula>
    </cfRule>
  </conditionalFormatting>
  <conditionalFormatting sqref="B64">
    <cfRule type="cellIs" dxfId="6173" priority="7059" stopIfTrue="1" operator="equal">
      <formula>"Towel"</formula>
    </cfRule>
    <cfRule type="cellIs" dxfId="6172" priority="7060" stopIfTrue="1" operator="equal">
      <formula>"Napkin Hs"</formula>
    </cfRule>
  </conditionalFormatting>
  <conditionalFormatting sqref="B64">
    <cfRule type="cellIs" dxfId="6171" priority="7057" stopIfTrue="1" operator="equal">
      <formula>"Towel"</formula>
    </cfRule>
    <cfRule type="cellIs" dxfId="6170" priority="7058" stopIfTrue="1" operator="equal">
      <formula>"Napkin Hs"</formula>
    </cfRule>
  </conditionalFormatting>
  <conditionalFormatting sqref="B64">
    <cfRule type="cellIs" dxfId="6169" priority="7053" stopIfTrue="1" operator="equal">
      <formula>"Towel"</formula>
    </cfRule>
    <cfRule type="cellIs" dxfId="6168" priority="7054" stopIfTrue="1" operator="equal">
      <formula>"Napkin Hs"</formula>
    </cfRule>
    <cfRule type="cellIs" dxfId="6167" priority="7055" stopIfTrue="1" operator="equal">
      <formula>"Towel"</formula>
    </cfRule>
    <cfRule type="cellIs" dxfId="6166" priority="7056" stopIfTrue="1" operator="equal">
      <formula>"Napkin Hs"</formula>
    </cfRule>
  </conditionalFormatting>
  <conditionalFormatting sqref="B64">
    <cfRule type="cellIs" dxfId="6165" priority="7051" stopIfTrue="1" operator="equal">
      <formula>"Towel"</formula>
    </cfRule>
    <cfRule type="cellIs" dxfId="6164" priority="7052" stopIfTrue="1" operator="equal">
      <formula>"Napkin Hs"</formula>
    </cfRule>
  </conditionalFormatting>
  <conditionalFormatting sqref="B64">
    <cfRule type="cellIs" dxfId="6163" priority="7049" stopIfTrue="1" operator="equal">
      <formula>"Towel"</formula>
    </cfRule>
    <cfRule type="cellIs" dxfId="6162" priority="7050" stopIfTrue="1" operator="equal">
      <formula>"Napkin Hs"</formula>
    </cfRule>
  </conditionalFormatting>
  <conditionalFormatting sqref="B64">
    <cfRule type="cellIs" dxfId="6161" priority="7047" stopIfTrue="1" operator="equal">
      <formula>"Towel"</formula>
    </cfRule>
    <cfRule type="cellIs" dxfId="6160" priority="7048" stopIfTrue="1" operator="equal">
      <formula>"Napkin Hs"</formula>
    </cfRule>
  </conditionalFormatting>
  <conditionalFormatting sqref="B64">
    <cfRule type="cellIs" dxfId="6159" priority="7045" stopIfTrue="1" operator="equal">
      <formula>"Towel"</formula>
    </cfRule>
    <cfRule type="cellIs" dxfId="6158" priority="7046" stopIfTrue="1" operator="equal">
      <formula>"Napkin Hs"</formula>
    </cfRule>
  </conditionalFormatting>
  <conditionalFormatting sqref="B64">
    <cfRule type="cellIs" dxfId="6157" priority="7043" stopIfTrue="1" operator="equal">
      <formula>"Towel"</formula>
    </cfRule>
    <cfRule type="cellIs" dxfId="6156" priority="7044" stopIfTrue="1" operator="equal">
      <formula>"Napkin Hs"</formula>
    </cfRule>
  </conditionalFormatting>
  <conditionalFormatting sqref="B64:C64">
    <cfRule type="cellIs" dxfId="6155" priority="7029" stopIfTrue="1" operator="equal">
      <formula>"Towel"</formula>
    </cfRule>
    <cfRule type="cellIs" dxfId="6154" priority="7030" stopIfTrue="1" operator="equal">
      <formula>"Napkin Hs"</formula>
    </cfRule>
    <cfRule type="cellIs" dxfId="6153" priority="7035" stopIfTrue="1" operator="equal">
      <formula>"Towel"</formula>
    </cfRule>
    <cfRule type="cellIs" dxfId="6152" priority="7036" stopIfTrue="1" operator="equal">
      <formula>"Napkin Hs"</formula>
    </cfRule>
    <cfRule type="cellIs" dxfId="6151" priority="7041" stopIfTrue="1" operator="equal">
      <formula>"Towel"</formula>
    </cfRule>
    <cfRule type="cellIs" dxfId="6150" priority="7042" stopIfTrue="1" operator="equal">
      <formula>"Napkin Hs"</formula>
    </cfRule>
  </conditionalFormatting>
  <conditionalFormatting sqref="C64">
    <cfRule type="cellIs" dxfId="6149" priority="7023" stopIfTrue="1" operator="equal">
      <formula>"Towel"</formula>
    </cfRule>
    <cfRule type="cellIs" dxfId="6148" priority="7024" stopIfTrue="1" operator="equal">
      <formula>"Napkin Hs"</formula>
    </cfRule>
    <cfRule type="cellIs" dxfId="6147" priority="7025" stopIfTrue="1" operator="equal">
      <formula>"Towel"</formula>
    </cfRule>
    <cfRule type="cellIs" dxfId="6146" priority="7026" stopIfTrue="1" operator="equal">
      <formula>"Napkin Hs"</formula>
    </cfRule>
    <cfRule type="cellIs" dxfId="6145" priority="7033" stopIfTrue="1" operator="equal">
      <formula>"Towel"</formula>
    </cfRule>
    <cfRule type="cellIs" dxfId="6144" priority="7034" stopIfTrue="1" operator="equal">
      <formula>"Napkin Hs"</formula>
    </cfRule>
    <cfRule type="cellIs" dxfId="6143" priority="7037" stopIfTrue="1" operator="equal">
      <formula>"Towel"</formula>
    </cfRule>
    <cfRule type="cellIs" dxfId="6142" priority="7038" stopIfTrue="1" operator="equal">
      <formula>"Napkin Hs"</formula>
    </cfRule>
  </conditionalFormatting>
  <conditionalFormatting sqref="C64">
    <cfRule type="cellIs" dxfId="6141" priority="7027" stopIfTrue="1" operator="equal">
      <formula>"Towel"</formula>
    </cfRule>
    <cfRule type="cellIs" dxfId="6140" priority="7028" stopIfTrue="1" operator="equal">
      <formula>"Napkin Hs"</formula>
    </cfRule>
    <cfRule type="cellIs" dxfId="6139" priority="7031" stopIfTrue="1" operator="equal">
      <formula>"Towel"</formula>
    </cfRule>
    <cfRule type="cellIs" dxfId="6138" priority="7032" stopIfTrue="1" operator="equal">
      <formula>"Napkin Hs"</formula>
    </cfRule>
    <cfRule type="cellIs" dxfId="6137" priority="7039" stopIfTrue="1" operator="equal">
      <formula>"Towel"</formula>
    </cfRule>
    <cfRule type="cellIs" dxfId="6136" priority="7040" stopIfTrue="1" operator="equal">
      <formula>"Napkin Hs"</formula>
    </cfRule>
  </conditionalFormatting>
  <conditionalFormatting sqref="B64:C64">
    <cfRule type="cellIs" dxfId="6135" priority="7021" stopIfTrue="1" operator="equal">
      <formula>"Towel"</formula>
    </cfRule>
    <cfRule type="cellIs" dxfId="6134" priority="7022" stopIfTrue="1" operator="equal">
      <formula>"Napkin Hs"</formula>
    </cfRule>
  </conditionalFormatting>
  <conditionalFormatting sqref="B64:C64">
    <cfRule type="cellIs" dxfId="6133" priority="7013" stopIfTrue="1" operator="equal">
      <formula>"Towel"</formula>
    </cfRule>
    <cfRule type="cellIs" dxfId="6132" priority="7014" stopIfTrue="1" operator="equal">
      <formula>"Napkin Hs"</formula>
    </cfRule>
    <cfRule type="cellIs" dxfId="6131" priority="7019" stopIfTrue="1" operator="equal">
      <formula>"Towel"</formula>
    </cfRule>
    <cfRule type="cellIs" dxfId="6130" priority="7020" stopIfTrue="1" operator="equal">
      <formula>"Napkin Hs"</formula>
    </cfRule>
  </conditionalFormatting>
  <conditionalFormatting sqref="C64">
    <cfRule type="cellIs" dxfId="6129" priority="7009" stopIfTrue="1" operator="equal">
      <formula>"Towel"</formula>
    </cfRule>
    <cfRule type="cellIs" dxfId="6128" priority="7010" stopIfTrue="1" operator="equal">
      <formula>"Napkin Hs"</formula>
    </cfRule>
  </conditionalFormatting>
  <conditionalFormatting sqref="C64">
    <cfRule type="cellIs" dxfId="6127" priority="7007" stopIfTrue="1" operator="equal">
      <formula>"Towel"</formula>
    </cfRule>
    <cfRule type="cellIs" dxfId="6126" priority="7008" stopIfTrue="1" operator="equal">
      <formula>"Napkin Hs"</formula>
    </cfRule>
    <cfRule type="cellIs" dxfId="6125" priority="7017" stopIfTrue="1" operator="equal">
      <formula>"Towel"</formula>
    </cfRule>
    <cfRule type="cellIs" dxfId="6124" priority="7018" stopIfTrue="1" operator="equal">
      <formula>"Napkin Hs"</formula>
    </cfRule>
  </conditionalFormatting>
  <conditionalFormatting sqref="C64">
    <cfRule type="cellIs" dxfId="6123" priority="7011" stopIfTrue="1" operator="equal">
      <formula>"Towel"</formula>
    </cfRule>
    <cfRule type="cellIs" dxfId="6122" priority="7012" stopIfTrue="1" operator="equal">
      <formula>"Napkin Hs"</formula>
    </cfRule>
    <cfRule type="cellIs" dxfId="6121" priority="7015" stopIfTrue="1" operator="equal">
      <formula>"Towel"</formula>
    </cfRule>
    <cfRule type="cellIs" dxfId="6120" priority="7016" stopIfTrue="1" operator="equal">
      <formula>"Napkin Hs"</formula>
    </cfRule>
  </conditionalFormatting>
  <conditionalFormatting sqref="C64">
    <cfRule type="cellIs" dxfId="6119" priority="7006" stopIfTrue="1" operator="equal">
      <formula>"Napkin Hs"</formula>
    </cfRule>
  </conditionalFormatting>
  <conditionalFormatting sqref="C64">
    <cfRule type="cellIs" dxfId="6118" priority="7005" stopIfTrue="1" operator="equal">
      <formula>"Towel"</formula>
    </cfRule>
  </conditionalFormatting>
  <conditionalFormatting sqref="C64">
    <cfRule type="cellIs" dxfId="6117" priority="7001" stopIfTrue="1" operator="equal">
      <formula>"Towel"</formula>
    </cfRule>
    <cfRule type="cellIs" dxfId="6116" priority="7002" stopIfTrue="1" operator="equal">
      <formula>"Napkin Hs"</formula>
    </cfRule>
    <cfRule type="cellIs" dxfId="6115" priority="7003" stopIfTrue="1" operator="equal">
      <formula>"Towel"</formula>
    </cfRule>
    <cfRule type="cellIs" dxfId="6114" priority="7004" stopIfTrue="1" operator="equal">
      <formula>"Napkin Hs"</formula>
    </cfRule>
  </conditionalFormatting>
  <conditionalFormatting sqref="B64:C64">
    <cfRule type="cellIs" dxfId="6113" priority="6999" stopIfTrue="1" operator="equal">
      <formula>"Towel"</formula>
    </cfRule>
    <cfRule type="cellIs" dxfId="6112" priority="7000" stopIfTrue="1" operator="equal">
      <formula>"Napkin Hs"</formula>
    </cfRule>
  </conditionalFormatting>
  <conditionalFormatting sqref="C64">
    <cfRule type="cellIs" dxfId="6111" priority="6995" stopIfTrue="1" operator="equal">
      <formula>"Towel"</formula>
    </cfRule>
    <cfRule type="cellIs" dxfId="6110" priority="6996" stopIfTrue="1" operator="equal">
      <formula>"Napkin Hs"</formula>
    </cfRule>
  </conditionalFormatting>
  <conditionalFormatting sqref="C64">
    <cfRule type="cellIs" dxfId="6109" priority="6997" stopIfTrue="1" operator="equal">
      <formula>"Towel"</formula>
    </cfRule>
    <cfRule type="cellIs" dxfId="6108" priority="6998" stopIfTrue="1" operator="equal">
      <formula>"Napkin Hs"</formula>
    </cfRule>
  </conditionalFormatting>
  <conditionalFormatting sqref="B64:C64">
    <cfRule type="cellIs" dxfId="6107" priority="6993" stopIfTrue="1" operator="equal">
      <formula>"Towel"</formula>
    </cfRule>
    <cfRule type="cellIs" dxfId="6106" priority="6994" stopIfTrue="1" operator="equal">
      <formula>"Napkin Hs"</formula>
    </cfRule>
  </conditionalFormatting>
  <conditionalFormatting sqref="C64">
    <cfRule type="cellIs" dxfId="6105" priority="6989" stopIfTrue="1" operator="equal">
      <formula>"Towel"</formula>
    </cfRule>
    <cfRule type="cellIs" dxfId="6104" priority="6990" stopIfTrue="1" operator="equal">
      <formula>"Napkin Hs"</formula>
    </cfRule>
  </conditionalFormatting>
  <conditionalFormatting sqref="C64">
    <cfRule type="cellIs" dxfId="6103" priority="6991" stopIfTrue="1" operator="equal">
      <formula>"Towel"</formula>
    </cfRule>
    <cfRule type="cellIs" dxfId="6102" priority="6992" stopIfTrue="1" operator="equal">
      <formula>"Napkin Hs"</formula>
    </cfRule>
  </conditionalFormatting>
  <conditionalFormatting sqref="B64:C64">
    <cfRule type="cellIs" dxfId="6101" priority="6987" stopIfTrue="1" operator="equal">
      <formula>"Towel"</formula>
    </cfRule>
    <cfRule type="cellIs" dxfId="6100" priority="6988" stopIfTrue="1" operator="equal">
      <formula>"Napkin Hs"</formula>
    </cfRule>
  </conditionalFormatting>
  <conditionalFormatting sqref="C64">
    <cfRule type="cellIs" dxfId="6099" priority="6983" stopIfTrue="1" operator="equal">
      <formula>"Towel"</formula>
    </cfRule>
    <cfRule type="cellIs" dxfId="6098" priority="6984" stopIfTrue="1" operator="equal">
      <formula>"Napkin Hs"</formula>
    </cfRule>
  </conditionalFormatting>
  <conditionalFormatting sqref="C64">
    <cfRule type="cellIs" dxfId="6097" priority="6985" stopIfTrue="1" operator="equal">
      <formula>"Towel"</formula>
    </cfRule>
    <cfRule type="cellIs" dxfId="6096" priority="6986" stopIfTrue="1" operator="equal">
      <formula>"Napkin Hs"</formula>
    </cfRule>
  </conditionalFormatting>
  <conditionalFormatting sqref="B64:C64">
    <cfRule type="cellIs" dxfId="6095" priority="6981" stopIfTrue="1" operator="equal">
      <formula>"Towel"</formula>
    </cfRule>
    <cfRule type="cellIs" dxfId="6094" priority="6982" stopIfTrue="1" operator="equal">
      <formula>"Napkin Hs"</formula>
    </cfRule>
  </conditionalFormatting>
  <conditionalFormatting sqref="C64">
    <cfRule type="cellIs" dxfId="6093" priority="6979" stopIfTrue="1" operator="equal">
      <formula>"Towel"</formula>
    </cfRule>
    <cfRule type="cellIs" dxfId="6092" priority="6980" stopIfTrue="1" operator="equal">
      <formula>"Napkin Hs"</formula>
    </cfRule>
  </conditionalFormatting>
  <conditionalFormatting sqref="C64">
    <cfRule type="cellIs" dxfId="6091" priority="6977" stopIfTrue="1" operator="equal">
      <formula>"Towel"</formula>
    </cfRule>
    <cfRule type="cellIs" dxfId="6090" priority="6978" stopIfTrue="1" operator="equal">
      <formula>"Napkin Hs"</formula>
    </cfRule>
  </conditionalFormatting>
  <conditionalFormatting sqref="B64:C64">
    <cfRule type="cellIs" dxfId="6089" priority="6975" stopIfTrue="1" operator="equal">
      <formula>"Towel"</formula>
    </cfRule>
    <cfRule type="cellIs" dxfId="6088" priority="6976" stopIfTrue="1" operator="equal">
      <formula>"Napkin Hs"</formula>
    </cfRule>
  </conditionalFormatting>
  <conditionalFormatting sqref="C64">
    <cfRule type="cellIs" dxfId="6087" priority="6974" stopIfTrue="1" operator="equal">
      <formula>"Napkin Hs"</formula>
    </cfRule>
  </conditionalFormatting>
  <conditionalFormatting sqref="C64">
    <cfRule type="cellIs" dxfId="6086" priority="6971" stopIfTrue="1" operator="equal">
      <formula>"Towel"</formula>
    </cfRule>
    <cfRule type="cellIs" dxfId="6085" priority="6972" stopIfTrue="1" operator="equal">
      <formula>"Napkin Hs"</formula>
    </cfRule>
  </conditionalFormatting>
  <conditionalFormatting sqref="C64">
    <cfRule type="cellIs" dxfId="6084" priority="6973" stopIfTrue="1" operator="equal">
      <formula>"Towel"</formula>
    </cfRule>
  </conditionalFormatting>
  <conditionalFormatting sqref="B63:C63">
    <cfRule type="cellIs" dxfId="6083" priority="6969" stopIfTrue="1" operator="equal">
      <formula>"Towel"</formula>
    </cfRule>
    <cfRule type="cellIs" dxfId="6082" priority="6970" stopIfTrue="1" operator="equal">
      <formula>"Napkin Hs"</formula>
    </cfRule>
  </conditionalFormatting>
  <conditionalFormatting sqref="B63:C63">
    <cfRule type="cellIs" dxfId="6081" priority="6945" stopIfTrue="1" operator="equal">
      <formula>"Towel"</formula>
    </cfRule>
    <cfRule type="cellIs" dxfId="6080" priority="6946" stopIfTrue="1" operator="equal">
      <formula>"Napkin Hs"</formula>
    </cfRule>
    <cfRule type="cellIs" dxfId="6079" priority="6951" stopIfTrue="1" operator="equal">
      <formula>"Towel"</formula>
    </cfRule>
    <cfRule type="cellIs" dxfId="6078" priority="6952" stopIfTrue="1" operator="equal">
      <formula>"Napkin Hs"</formula>
    </cfRule>
    <cfRule type="cellIs" dxfId="6077" priority="6957" stopIfTrue="1" operator="equal">
      <formula>"Towel"</formula>
    </cfRule>
    <cfRule type="cellIs" dxfId="6076" priority="6958" stopIfTrue="1" operator="equal">
      <formula>"Napkin Hs"</formula>
    </cfRule>
    <cfRule type="cellIs" dxfId="6075" priority="6963" stopIfTrue="1" operator="equal">
      <formula>"Towel"</formula>
    </cfRule>
    <cfRule type="cellIs" dxfId="6074" priority="6964" stopIfTrue="1" operator="equal">
      <formula>"Napkin Hs"</formula>
    </cfRule>
  </conditionalFormatting>
  <conditionalFormatting sqref="C63">
    <cfRule type="cellIs" dxfId="6073" priority="6959" stopIfTrue="1" operator="equal">
      <formula>"Towel"</formula>
    </cfRule>
    <cfRule type="cellIs" dxfId="6072" priority="6960" stopIfTrue="1" operator="equal">
      <formula>"Napkin Hs"</formula>
    </cfRule>
    <cfRule type="cellIs" dxfId="6071" priority="6965" stopIfTrue="1" operator="equal">
      <formula>"Towel"</formula>
    </cfRule>
    <cfRule type="cellIs" dxfId="6070" priority="6966" stopIfTrue="1" operator="equal">
      <formula>"Napkin Hs"</formula>
    </cfRule>
  </conditionalFormatting>
  <conditionalFormatting sqref="C63">
    <cfRule type="cellIs" dxfId="6069" priority="6939" stopIfTrue="1" operator="equal">
      <formula>"Towel"</formula>
    </cfRule>
    <cfRule type="cellIs" dxfId="6068" priority="6940" stopIfTrue="1" operator="equal">
      <formula>"Napkin Hs"</formula>
    </cfRule>
    <cfRule type="cellIs" dxfId="6067" priority="6941" stopIfTrue="1" operator="equal">
      <formula>"Towel"</formula>
    </cfRule>
    <cfRule type="cellIs" dxfId="6066" priority="6942" stopIfTrue="1" operator="equal">
      <formula>"Napkin Hs"</formula>
    </cfRule>
    <cfRule type="cellIs" dxfId="6065" priority="6949" stopIfTrue="1" operator="equal">
      <formula>"Towel"</formula>
    </cfRule>
    <cfRule type="cellIs" dxfId="6064" priority="6950" stopIfTrue="1" operator="equal">
      <formula>"Napkin Hs"</formula>
    </cfRule>
    <cfRule type="cellIs" dxfId="6063" priority="6953" stopIfTrue="1" operator="equal">
      <formula>"Towel"</formula>
    </cfRule>
    <cfRule type="cellIs" dxfId="6062" priority="6954" stopIfTrue="1" operator="equal">
      <formula>"Napkin Hs"</formula>
    </cfRule>
    <cfRule type="cellIs" dxfId="6061" priority="6955" stopIfTrue="1" operator="equal">
      <formula>"Towel"</formula>
    </cfRule>
    <cfRule type="cellIs" dxfId="6060" priority="6956" stopIfTrue="1" operator="equal">
      <formula>"Napkin Hs"</formula>
    </cfRule>
  </conditionalFormatting>
  <conditionalFormatting sqref="C63">
    <cfRule type="cellIs" dxfId="6059" priority="6967" stopIfTrue="1" operator="equal">
      <formula>"Towel"</formula>
    </cfRule>
    <cfRule type="cellIs" dxfId="6058" priority="6968" stopIfTrue="1" operator="equal">
      <formula>"Napkin Hs"</formula>
    </cfRule>
  </conditionalFormatting>
  <conditionalFormatting sqref="C63">
    <cfRule type="cellIs" dxfId="6057" priority="6943" stopIfTrue="1" operator="equal">
      <formula>"Towel"</formula>
    </cfRule>
    <cfRule type="cellIs" dxfId="6056" priority="6944" stopIfTrue="1" operator="equal">
      <formula>"Napkin Hs"</formula>
    </cfRule>
    <cfRule type="cellIs" dxfId="6055" priority="6947" stopIfTrue="1" operator="equal">
      <formula>"Towel"</formula>
    </cfRule>
    <cfRule type="cellIs" dxfId="6054" priority="6948" stopIfTrue="1" operator="equal">
      <formula>"Napkin Hs"</formula>
    </cfRule>
    <cfRule type="cellIs" dxfId="6053" priority="6961" stopIfTrue="1" operator="equal">
      <formula>"Towel"</formula>
    </cfRule>
    <cfRule type="cellIs" dxfId="6052" priority="6962" stopIfTrue="1" operator="equal">
      <formula>"Napkin Hs"</formula>
    </cfRule>
  </conditionalFormatting>
  <conditionalFormatting sqref="B63:C63">
    <cfRule type="cellIs" dxfId="6051" priority="6895" stopIfTrue="1" operator="equal">
      <formula>"Towel"</formula>
    </cfRule>
    <cfRule type="cellIs" dxfId="6050" priority="6896" stopIfTrue="1" operator="equal">
      <formula>"Napkin Hs"</formula>
    </cfRule>
    <cfRule type="cellIs" dxfId="6049" priority="6901" stopIfTrue="1" operator="equal">
      <formula>"Towel"</formula>
    </cfRule>
    <cfRule type="cellIs" dxfId="6048" priority="6902" stopIfTrue="1" operator="equal">
      <formula>"Napkin Hs"</formula>
    </cfRule>
    <cfRule type="cellIs" dxfId="6047" priority="6907" stopIfTrue="1" operator="equal">
      <formula>"Towel"</formula>
    </cfRule>
    <cfRule type="cellIs" dxfId="6046" priority="6908" stopIfTrue="1" operator="equal">
      <formula>"Napkin Hs"</formula>
    </cfRule>
    <cfRule type="cellIs" dxfId="6045" priority="6913" stopIfTrue="1" operator="equal">
      <formula>"Towel"</formula>
    </cfRule>
    <cfRule type="cellIs" dxfId="6044" priority="6914" stopIfTrue="1" operator="equal">
      <formula>"Napkin Hs"</formula>
    </cfRule>
    <cfRule type="cellIs" dxfId="6043" priority="6919" stopIfTrue="1" operator="equal">
      <formula>"Towel"</formula>
    </cfRule>
    <cfRule type="cellIs" dxfId="6042" priority="6920" stopIfTrue="1" operator="equal">
      <formula>"Napkin Hs"</formula>
    </cfRule>
    <cfRule type="cellIs" dxfId="6041" priority="6925" stopIfTrue="1" operator="equal">
      <formula>"Towel"</formula>
    </cfRule>
    <cfRule type="cellIs" dxfId="6040" priority="6926" stopIfTrue="1" operator="equal">
      <formula>"Napkin Hs"</formula>
    </cfRule>
    <cfRule type="cellIs" dxfId="6039" priority="6931" stopIfTrue="1" operator="equal">
      <formula>"Towel"</formula>
    </cfRule>
    <cfRule type="cellIs" dxfId="6038" priority="6932" stopIfTrue="1" operator="equal">
      <formula>"Napkin Hs"</formula>
    </cfRule>
    <cfRule type="cellIs" dxfId="6037" priority="6937" stopIfTrue="1" operator="equal">
      <formula>"Towel"</formula>
    </cfRule>
    <cfRule type="cellIs" dxfId="6036" priority="6938" stopIfTrue="1" operator="equal">
      <formula>"Napkin Hs"</formula>
    </cfRule>
  </conditionalFormatting>
  <conditionalFormatting sqref="C63">
    <cfRule type="cellIs" dxfId="6035" priority="6891" stopIfTrue="1" operator="equal">
      <formula>"Towel"</formula>
    </cfRule>
    <cfRule type="cellIs" dxfId="6034" priority="6892" stopIfTrue="1" operator="equal">
      <formula>"Napkin Hs"</formula>
    </cfRule>
    <cfRule type="cellIs" dxfId="6033" priority="6893" stopIfTrue="1" operator="equal">
      <formula>"Towel"</formula>
    </cfRule>
    <cfRule type="cellIs" dxfId="6032" priority="6894" stopIfTrue="1" operator="equal">
      <formula>"Napkin Hs"</formula>
    </cfRule>
    <cfRule type="cellIs" dxfId="6031" priority="6897" stopIfTrue="1" operator="equal">
      <formula>"Towel"</formula>
    </cfRule>
    <cfRule type="cellIs" dxfId="6030" priority="6898" stopIfTrue="1" operator="equal">
      <formula>"Napkin Hs"</formula>
    </cfRule>
    <cfRule type="cellIs" dxfId="6029" priority="6899" stopIfTrue="1" operator="equal">
      <formula>"Towel"</formula>
    </cfRule>
    <cfRule type="cellIs" dxfId="6028" priority="6900" stopIfTrue="1" operator="equal">
      <formula>"Napkin Hs"</formula>
    </cfRule>
    <cfRule type="cellIs" dxfId="6027" priority="6903" stopIfTrue="1" operator="equal">
      <formula>"Towel"</formula>
    </cfRule>
    <cfRule type="cellIs" dxfId="6026" priority="6904" stopIfTrue="1" operator="equal">
      <formula>"Napkin Hs"</formula>
    </cfRule>
    <cfRule type="cellIs" dxfId="6025" priority="6905" stopIfTrue="1" operator="equal">
      <formula>"Towel"</formula>
    </cfRule>
    <cfRule type="cellIs" dxfId="6024" priority="6906" stopIfTrue="1" operator="equal">
      <formula>"Napkin Hs"</formula>
    </cfRule>
    <cfRule type="cellIs" dxfId="6023" priority="6909" stopIfTrue="1" operator="equal">
      <formula>"Towel"</formula>
    </cfRule>
    <cfRule type="cellIs" dxfId="6022" priority="6910" stopIfTrue="1" operator="equal">
      <formula>"Napkin Hs"</formula>
    </cfRule>
    <cfRule type="cellIs" dxfId="6021" priority="6911" stopIfTrue="1" operator="equal">
      <formula>"Towel"</formula>
    </cfRule>
    <cfRule type="cellIs" dxfId="6020" priority="6912" stopIfTrue="1" operator="equal">
      <formula>"Napkin Hs"</formula>
    </cfRule>
    <cfRule type="cellIs" dxfId="6019" priority="6915" stopIfTrue="1" operator="equal">
      <formula>"Towel"</formula>
    </cfRule>
    <cfRule type="cellIs" dxfId="6018" priority="6916" stopIfTrue="1" operator="equal">
      <formula>"Napkin Hs"</formula>
    </cfRule>
    <cfRule type="cellIs" dxfId="6017" priority="6917" stopIfTrue="1" operator="equal">
      <formula>"Towel"</formula>
    </cfRule>
    <cfRule type="cellIs" dxfId="6016" priority="6918" stopIfTrue="1" operator="equal">
      <formula>"Napkin Hs"</formula>
    </cfRule>
    <cfRule type="cellIs" dxfId="6015" priority="6921" stopIfTrue="1" operator="equal">
      <formula>"Towel"</formula>
    </cfRule>
    <cfRule type="cellIs" dxfId="6014" priority="6922" stopIfTrue="1" operator="equal">
      <formula>"Napkin Hs"</formula>
    </cfRule>
    <cfRule type="cellIs" dxfId="6013" priority="6923" stopIfTrue="1" operator="equal">
      <formula>"Towel"</formula>
    </cfRule>
    <cfRule type="cellIs" dxfId="6012" priority="6924" stopIfTrue="1" operator="equal">
      <formula>"Napkin Hs"</formula>
    </cfRule>
    <cfRule type="cellIs" dxfId="6011" priority="6927" stopIfTrue="1" operator="equal">
      <formula>"Towel"</formula>
    </cfRule>
    <cfRule type="cellIs" dxfId="6010" priority="6928" stopIfTrue="1" operator="equal">
      <formula>"Napkin Hs"</formula>
    </cfRule>
    <cfRule type="cellIs" dxfId="6009" priority="6929" stopIfTrue="1" operator="equal">
      <formula>"Towel"</formula>
    </cfRule>
    <cfRule type="cellIs" dxfId="6008" priority="6930" stopIfTrue="1" operator="equal">
      <formula>"Napkin Hs"</formula>
    </cfRule>
    <cfRule type="cellIs" dxfId="6007" priority="6933" stopIfTrue="1" operator="equal">
      <formula>"Towel"</formula>
    </cfRule>
    <cfRule type="cellIs" dxfId="6006" priority="6934" stopIfTrue="1" operator="equal">
      <formula>"Napkin Hs"</formula>
    </cfRule>
  </conditionalFormatting>
  <conditionalFormatting sqref="C63">
    <cfRule type="cellIs" dxfId="6005" priority="6935" stopIfTrue="1" operator="equal">
      <formula>"Towel"</formula>
    </cfRule>
    <cfRule type="cellIs" dxfId="6004" priority="6936" stopIfTrue="1" operator="equal">
      <formula>"Napkin Hs"</formula>
    </cfRule>
  </conditionalFormatting>
  <conditionalFormatting sqref="B63">
    <cfRule type="cellIs" dxfId="6003" priority="6885" stopIfTrue="1" operator="equal">
      <formula>"Towel"</formula>
    </cfRule>
    <cfRule type="cellIs" dxfId="6002" priority="6886" stopIfTrue="1" operator="equal">
      <formula>"Napkin Hs"</formula>
    </cfRule>
    <cfRule type="cellIs" dxfId="6001" priority="6887" stopIfTrue="1" operator="equal">
      <formula>"Towel"</formula>
    </cfRule>
    <cfRule type="cellIs" dxfId="6000" priority="6888" stopIfTrue="1" operator="equal">
      <formula>"Napkin Hs"</formula>
    </cfRule>
    <cfRule type="cellIs" dxfId="5999" priority="6889" stopIfTrue="1" operator="equal">
      <formula>"Towel"</formula>
    </cfRule>
    <cfRule type="cellIs" dxfId="5998" priority="6890" stopIfTrue="1" operator="equal">
      <formula>"Napkin Hs"</formula>
    </cfRule>
  </conditionalFormatting>
  <conditionalFormatting sqref="B63:C63">
    <cfRule type="cellIs" dxfId="5997" priority="6847" stopIfTrue="1" operator="equal">
      <formula>"Towel"</formula>
    </cfRule>
    <cfRule type="cellIs" dxfId="5996" priority="6848" stopIfTrue="1" operator="equal">
      <formula>"Napkin Hs"</formula>
    </cfRule>
    <cfRule type="cellIs" dxfId="5995" priority="6853" stopIfTrue="1" operator="equal">
      <formula>"Towel"</formula>
    </cfRule>
    <cfRule type="cellIs" dxfId="5994" priority="6854" stopIfTrue="1" operator="equal">
      <formula>"Napkin Hs"</formula>
    </cfRule>
    <cfRule type="cellIs" dxfId="5993" priority="6859" stopIfTrue="1" operator="equal">
      <formula>"Towel"</formula>
    </cfRule>
    <cfRule type="cellIs" dxfId="5992" priority="6860" stopIfTrue="1" operator="equal">
      <formula>"Napkin Hs"</formula>
    </cfRule>
    <cfRule type="cellIs" dxfId="5991" priority="6865" stopIfTrue="1" operator="equal">
      <formula>"Towel"</formula>
    </cfRule>
    <cfRule type="cellIs" dxfId="5990" priority="6866" stopIfTrue="1" operator="equal">
      <formula>"Napkin Hs"</formula>
    </cfRule>
    <cfRule type="cellIs" dxfId="5989" priority="6871" stopIfTrue="1" operator="equal">
      <formula>"Towel"</formula>
    </cfRule>
    <cfRule type="cellIs" dxfId="5988" priority="6872" stopIfTrue="1" operator="equal">
      <formula>"Napkin Hs"</formula>
    </cfRule>
    <cfRule type="cellIs" dxfId="5987" priority="6877" stopIfTrue="1" operator="equal">
      <formula>"Towel"</formula>
    </cfRule>
    <cfRule type="cellIs" dxfId="5986" priority="6878" stopIfTrue="1" operator="equal">
      <formula>"Napkin Hs"</formula>
    </cfRule>
    <cfRule type="cellIs" dxfId="5985" priority="6883" stopIfTrue="1" operator="equal">
      <formula>"Towel"</formula>
    </cfRule>
    <cfRule type="cellIs" dxfId="5984" priority="6884" stopIfTrue="1" operator="equal">
      <formula>"Napkin Hs"</formula>
    </cfRule>
  </conditionalFormatting>
  <conditionalFormatting sqref="C63">
    <cfRule type="cellIs" dxfId="5983" priority="6843" stopIfTrue="1" operator="equal">
      <formula>"Towel"</formula>
    </cfRule>
    <cfRule type="cellIs" dxfId="5982" priority="6844" stopIfTrue="1" operator="equal">
      <formula>"Napkin Hs"</formula>
    </cfRule>
    <cfRule type="cellIs" dxfId="5981" priority="6845" stopIfTrue="1" operator="equal">
      <formula>"Towel"</formula>
    </cfRule>
    <cfRule type="cellIs" dxfId="5980" priority="6846" stopIfTrue="1" operator="equal">
      <formula>"Napkin Hs"</formula>
    </cfRule>
    <cfRule type="cellIs" dxfId="5979" priority="6849" stopIfTrue="1" operator="equal">
      <formula>"Towel"</formula>
    </cfRule>
    <cfRule type="cellIs" dxfId="5978" priority="6850" stopIfTrue="1" operator="equal">
      <formula>"Napkin Hs"</formula>
    </cfRule>
    <cfRule type="cellIs" dxfId="5977" priority="6851" stopIfTrue="1" operator="equal">
      <formula>"Towel"</formula>
    </cfRule>
    <cfRule type="cellIs" dxfId="5976" priority="6852" stopIfTrue="1" operator="equal">
      <formula>"Napkin Hs"</formula>
    </cfRule>
    <cfRule type="cellIs" dxfId="5975" priority="6855" stopIfTrue="1" operator="equal">
      <formula>"Towel"</formula>
    </cfRule>
    <cfRule type="cellIs" dxfId="5974" priority="6856" stopIfTrue="1" operator="equal">
      <formula>"Napkin Hs"</formula>
    </cfRule>
    <cfRule type="cellIs" dxfId="5973" priority="6857" stopIfTrue="1" operator="equal">
      <formula>"Towel"</formula>
    </cfRule>
    <cfRule type="cellIs" dxfId="5972" priority="6858" stopIfTrue="1" operator="equal">
      <formula>"Napkin Hs"</formula>
    </cfRule>
    <cfRule type="cellIs" dxfId="5971" priority="6861" stopIfTrue="1" operator="equal">
      <formula>"Towel"</formula>
    </cfRule>
    <cfRule type="cellIs" dxfId="5970" priority="6862" stopIfTrue="1" operator="equal">
      <formula>"Napkin Hs"</formula>
    </cfRule>
    <cfRule type="cellIs" dxfId="5969" priority="6863" stopIfTrue="1" operator="equal">
      <formula>"Towel"</formula>
    </cfRule>
    <cfRule type="cellIs" dxfId="5968" priority="6864" stopIfTrue="1" operator="equal">
      <formula>"Napkin Hs"</formula>
    </cfRule>
    <cfRule type="cellIs" dxfId="5967" priority="6867" stopIfTrue="1" operator="equal">
      <formula>"Towel"</formula>
    </cfRule>
    <cfRule type="cellIs" dxfId="5966" priority="6868" stopIfTrue="1" operator="equal">
      <formula>"Napkin Hs"</formula>
    </cfRule>
    <cfRule type="cellIs" dxfId="5965" priority="6869" stopIfTrue="1" operator="equal">
      <formula>"Towel"</formula>
    </cfRule>
    <cfRule type="cellIs" dxfId="5964" priority="6870" stopIfTrue="1" operator="equal">
      <formula>"Napkin Hs"</formula>
    </cfRule>
    <cfRule type="cellIs" dxfId="5963" priority="6873" stopIfTrue="1" operator="equal">
      <formula>"Towel"</formula>
    </cfRule>
    <cfRule type="cellIs" dxfId="5962" priority="6874" stopIfTrue="1" operator="equal">
      <formula>"Napkin Hs"</formula>
    </cfRule>
    <cfRule type="cellIs" dxfId="5961" priority="6875" stopIfTrue="1" operator="equal">
      <formula>"Towel"</formula>
    </cfRule>
    <cfRule type="cellIs" dxfId="5960" priority="6876" stopIfTrue="1" operator="equal">
      <formula>"Napkin Hs"</formula>
    </cfRule>
    <cfRule type="cellIs" dxfId="5959" priority="6879" stopIfTrue="1" operator="equal">
      <formula>"Towel"</formula>
    </cfRule>
    <cfRule type="cellIs" dxfId="5958" priority="6880" stopIfTrue="1" operator="equal">
      <formula>"Napkin Hs"</formula>
    </cfRule>
  </conditionalFormatting>
  <conditionalFormatting sqref="C63">
    <cfRule type="cellIs" dxfId="5957" priority="6881" stopIfTrue="1" operator="equal">
      <formula>"Towel"</formula>
    </cfRule>
    <cfRule type="cellIs" dxfId="5956" priority="6882" stopIfTrue="1" operator="equal">
      <formula>"Napkin Hs"</formula>
    </cfRule>
  </conditionalFormatting>
  <conditionalFormatting sqref="B63:C63">
    <cfRule type="cellIs" dxfId="5955" priority="6841" stopIfTrue="1" operator="equal">
      <formula>"Towel"</formula>
    </cfRule>
    <cfRule type="cellIs" dxfId="5954" priority="6842" stopIfTrue="1" operator="equal">
      <formula>"Napkin Hs"</formula>
    </cfRule>
  </conditionalFormatting>
  <conditionalFormatting sqref="B63:C63">
    <cfRule type="cellIs" dxfId="5953" priority="6805" stopIfTrue="1" operator="equal">
      <formula>"Towel"</formula>
    </cfRule>
    <cfRule type="cellIs" dxfId="5952" priority="6806" stopIfTrue="1" operator="equal">
      <formula>"Napkin Hs"</formula>
    </cfRule>
    <cfRule type="cellIs" dxfId="5951" priority="6811" stopIfTrue="1" operator="equal">
      <formula>"Towel"</formula>
    </cfRule>
    <cfRule type="cellIs" dxfId="5950" priority="6812" stopIfTrue="1" operator="equal">
      <formula>"Napkin Hs"</formula>
    </cfRule>
    <cfRule type="cellIs" dxfId="5949" priority="6817" stopIfTrue="1" operator="equal">
      <formula>"Towel"</formula>
    </cfRule>
    <cfRule type="cellIs" dxfId="5948" priority="6818" stopIfTrue="1" operator="equal">
      <formula>"Napkin Hs"</formula>
    </cfRule>
    <cfRule type="cellIs" dxfId="5947" priority="6823" stopIfTrue="1" operator="equal">
      <formula>"Towel"</formula>
    </cfRule>
    <cfRule type="cellIs" dxfId="5946" priority="6824" stopIfTrue="1" operator="equal">
      <formula>"Napkin Hs"</formula>
    </cfRule>
    <cfRule type="cellIs" dxfId="5945" priority="6829" stopIfTrue="1" operator="equal">
      <formula>"Towel"</formula>
    </cfRule>
    <cfRule type="cellIs" dxfId="5944" priority="6830" stopIfTrue="1" operator="equal">
      <formula>"Napkin Hs"</formula>
    </cfRule>
    <cfRule type="cellIs" dxfId="5943" priority="6835" stopIfTrue="1" operator="equal">
      <formula>"Towel"</formula>
    </cfRule>
    <cfRule type="cellIs" dxfId="5942" priority="6836" stopIfTrue="1" operator="equal">
      <formula>"Napkin Hs"</formula>
    </cfRule>
  </conditionalFormatting>
  <conditionalFormatting sqref="C63">
    <cfRule type="cellIs" dxfId="5941" priority="6840" stopIfTrue="1" operator="equal">
      <formula>"Napkin Hs"</formula>
    </cfRule>
  </conditionalFormatting>
  <conditionalFormatting sqref="C63">
    <cfRule type="cellIs" dxfId="5940" priority="6839" stopIfTrue="1" operator="equal">
      <formula>"Towel"</formula>
    </cfRule>
  </conditionalFormatting>
  <conditionalFormatting sqref="C63">
    <cfRule type="cellIs" dxfId="5939" priority="6833" stopIfTrue="1" operator="equal">
      <formula>"Towel"</formula>
    </cfRule>
    <cfRule type="cellIs" dxfId="5938" priority="6834" stopIfTrue="1" operator="equal">
      <formula>"Napkin Hs"</formula>
    </cfRule>
  </conditionalFormatting>
  <conditionalFormatting sqref="C63">
    <cfRule type="cellIs" dxfId="5937" priority="6831" stopIfTrue="1" operator="equal">
      <formula>"Towel"</formula>
    </cfRule>
    <cfRule type="cellIs" dxfId="5936" priority="6832" stopIfTrue="1" operator="equal">
      <formula>"Napkin Hs"</formula>
    </cfRule>
    <cfRule type="cellIs" dxfId="5935" priority="6837" stopIfTrue="1" operator="equal">
      <formula>"Towel"</formula>
    </cfRule>
    <cfRule type="cellIs" dxfId="5934" priority="6838" stopIfTrue="1" operator="equal">
      <formula>"Napkin Hs"</formula>
    </cfRule>
  </conditionalFormatting>
  <conditionalFormatting sqref="C63">
    <cfRule type="cellIs" dxfId="5933" priority="6803" stopIfTrue="1" operator="equal">
      <formula>"Towel"</formula>
    </cfRule>
    <cfRule type="cellIs" dxfId="5932" priority="6804" stopIfTrue="1" operator="equal">
      <formula>"Napkin Hs"</formula>
    </cfRule>
    <cfRule type="cellIs" dxfId="5931" priority="6807" stopIfTrue="1" operator="equal">
      <formula>"Towel"</formula>
    </cfRule>
    <cfRule type="cellIs" dxfId="5930" priority="6808" stopIfTrue="1" operator="equal">
      <formula>"Napkin Hs"</formula>
    </cfRule>
    <cfRule type="cellIs" dxfId="5929" priority="6809" stopIfTrue="1" operator="equal">
      <formula>"Towel"</formula>
    </cfRule>
    <cfRule type="cellIs" dxfId="5928" priority="6810" stopIfTrue="1" operator="equal">
      <formula>"Napkin Hs"</formula>
    </cfRule>
    <cfRule type="cellIs" dxfId="5927" priority="6813" stopIfTrue="1" operator="equal">
      <formula>"Towel"</formula>
    </cfRule>
    <cfRule type="cellIs" dxfId="5926" priority="6814" stopIfTrue="1" operator="equal">
      <formula>"Napkin Hs"</formula>
    </cfRule>
    <cfRule type="cellIs" dxfId="5925" priority="6815" stopIfTrue="1" operator="equal">
      <formula>"Towel"</formula>
    </cfRule>
    <cfRule type="cellIs" dxfId="5924" priority="6816" stopIfTrue="1" operator="equal">
      <formula>"Napkin Hs"</formula>
    </cfRule>
    <cfRule type="cellIs" dxfId="5923" priority="6819" stopIfTrue="1" operator="equal">
      <formula>"Towel"</formula>
    </cfRule>
    <cfRule type="cellIs" dxfId="5922" priority="6820" stopIfTrue="1" operator="equal">
      <formula>"Napkin Hs"</formula>
    </cfRule>
    <cfRule type="cellIs" dxfId="5921" priority="6821" stopIfTrue="1" operator="equal">
      <formula>"Towel"</formula>
    </cfRule>
    <cfRule type="cellIs" dxfId="5920" priority="6822" stopIfTrue="1" operator="equal">
      <formula>"Napkin Hs"</formula>
    </cfRule>
    <cfRule type="cellIs" dxfId="5919" priority="6825" stopIfTrue="1" operator="equal">
      <formula>"Towel"</formula>
    </cfRule>
    <cfRule type="cellIs" dxfId="5918" priority="6826" stopIfTrue="1" operator="equal">
      <formula>"Napkin Hs"</formula>
    </cfRule>
    <cfRule type="cellIs" dxfId="5917" priority="6827" stopIfTrue="1" operator="equal">
      <formula>"Towel"</formula>
    </cfRule>
    <cfRule type="cellIs" dxfId="5916" priority="6828" stopIfTrue="1" operator="equal">
      <formula>"Napkin Hs"</formula>
    </cfRule>
  </conditionalFormatting>
  <conditionalFormatting sqref="C63">
    <cfRule type="cellIs" dxfId="5915" priority="6801" stopIfTrue="1" operator="equal">
      <formula>"Towel"</formula>
    </cfRule>
    <cfRule type="cellIs" dxfId="5914" priority="6802" stopIfTrue="1" operator="equal">
      <formula>"Napkin Hs"</formula>
    </cfRule>
  </conditionalFormatting>
  <conditionalFormatting sqref="C63">
    <cfRule type="cellIs" dxfId="5913" priority="6781" stopIfTrue="1" operator="equal">
      <formula>"Towel"</formula>
    </cfRule>
    <cfRule type="cellIs" dxfId="5912" priority="6782" stopIfTrue="1" operator="equal">
      <formula>"Napkin Hs"</formula>
    </cfRule>
    <cfRule type="cellIs" dxfId="5911" priority="6787" stopIfTrue="1" operator="equal">
      <formula>"Towel"</formula>
    </cfRule>
    <cfRule type="cellIs" dxfId="5910" priority="6788" stopIfTrue="1" operator="equal">
      <formula>"Napkin Hs"</formula>
    </cfRule>
    <cfRule type="cellIs" dxfId="5909" priority="6793" stopIfTrue="1" operator="equal">
      <formula>"Towel"</formula>
    </cfRule>
    <cfRule type="cellIs" dxfId="5908" priority="6794" stopIfTrue="1" operator="equal">
      <formula>"Napkin Hs"</formula>
    </cfRule>
    <cfRule type="cellIs" dxfId="5907" priority="6799" stopIfTrue="1" operator="equal">
      <formula>"Towel"</formula>
    </cfRule>
    <cfRule type="cellIs" dxfId="5906" priority="6800" stopIfTrue="1" operator="equal">
      <formula>"Napkin Hs"</formula>
    </cfRule>
  </conditionalFormatting>
  <conditionalFormatting sqref="C63">
    <cfRule type="cellIs" dxfId="5905" priority="6791" stopIfTrue="1" operator="equal">
      <formula>"Towel"</formula>
    </cfRule>
    <cfRule type="cellIs" dxfId="5904" priority="6792" stopIfTrue="1" operator="equal">
      <formula>"Napkin Hs"</formula>
    </cfRule>
    <cfRule type="cellIs" dxfId="5903" priority="6797" stopIfTrue="1" operator="equal">
      <formula>"Towel"</formula>
    </cfRule>
    <cfRule type="cellIs" dxfId="5902" priority="6798" stopIfTrue="1" operator="equal">
      <formula>"Napkin Hs"</formula>
    </cfRule>
  </conditionalFormatting>
  <conditionalFormatting sqref="C63">
    <cfRule type="cellIs" dxfId="5901" priority="6777" stopIfTrue="1" operator="equal">
      <formula>"Towel"</formula>
    </cfRule>
    <cfRule type="cellIs" dxfId="5900" priority="6778" stopIfTrue="1" operator="equal">
      <formula>"Napkin Hs"</formula>
    </cfRule>
    <cfRule type="cellIs" dxfId="5899" priority="6785" stopIfTrue="1" operator="equal">
      <formula>"Towel"</formula>
    </cfRule>
    <cfRule type="cellIs" dxfId="5898" priority="6786" stopIfTrue="1" operator="equal">
      <formula>"Napkin Hs"</formula>
    </cfRule>
    <cfRule type="cellIs" dxfId="5897" priority="6789" stopIfTrue="1" operator="equal">
      <formula>"Towel"</formula>
    </cfRule>
    <cfRule type="cellIs" dxfId="5896" priority="6790" stopIfTrue="1" operator="equal">
      <formula>"Napkin Hs"</formula>
    </cfRule>
  </conditionalFormatting>
  <conditionalFormatting sqref="C63">
    <cfRule type="cellIs" dxfId="5895" priority="6779" stopIfTrue="1" operator="equal">
      <formula>"Towel"</formula>
    </cfRule>
    <cfRule type="cellIs" dxfId="5894" priority="6780" stopIfTrue="1" operator="equal">
      <formula>"Napkin Hs"</formula>
    </cfRule>
    <cfRule type="cellIs" dxfId="5893" priority="6783" stopIfTrue="1" operator="equal">
      <formula>"Towel"</formula>
    </cfRule>
    <cfRule type="cellIs" dxfId="5892" priority="6784" stopIfTrue="1" operator="equal">
      <formula>"Napkin Hs"</formula>
    </cfRule>
    <cfRule type="cellIs" dxfId="5891" priority="6795" stopIfTrue="1" operator="equal">
      <formula>"Towel"</formula>
    </cfRule>
    <cfRule type="cellIs" dxfId="5890" priority="6796" stopIfTrue="1" operator="equal">
      <formula>"Napkin Hs"</formula>
    </cfRule>
  </conditionalFormatting>
  <conditionalFormatting sqref="C63">
    <cfRule type="cellIs" dxfId="5889" priority="6775" stopIfTrue="1" operator="equal">
      <formula>"Towel"</formula>
    </cfRule>
    <cfRule type="cellIs" dxfId="5888" priority="6776" stopIfTrue="1" operator="equal">
      <formula>"Napkin Hs"</formula>
    </cfRule>
  </conditionalFormatting>
  <conditionalFormatting sqref="C63">
    <cfRule type="cellIs" dxfId="5887" priority="6771" stopIfTrue="1" operator="equal">
      <formula>"Towel"</formula>
    </cfRule>
    <cfRule type="cellIs" dxfId="5886" priority="6772" stopIfTrue="1" operator="equal">
      <formula>"Napkin Hs"</formula>
    </cfRule>
  </conditionalFormatting>
  <conditionalFormatting sqref="C63">
    <cfRule type="cellIs" dxfId="5885" priority="6773" stopIfTrue="1" operator="equal">
      <formula>"Towel"</formula>
    </cfRule>
    <cfRule type="cellIs" dxfId="5884" priority="6774" stopIfTrue="1" operator="equal">
      <formula>"Napkin Hs"</formula>
    </cfRule>
  </conditionalFormatting>
  <conditionalFormatting sqref="C63">
    <cfRule type="cellIs" dxfId="5883" priority="6769" stopIfTrue="1" operator="equal">
      <formula>"Towel"</formula>
    </cfRule>
    <cfRule type="cellIs" dxfId="5882" priority="6770" stopIfTrue="1" operator="equal">
      <formula>"Napkin Hs"</formula>
    </cfRule>
  </conditionalFormatting>
  <conditionalFormatting sqref="C63">
    <cfRule type="cellIs" dxfId="5881" priority="6765" stopIfTrue="1" operator="equal">
      <formula>"Towel"</formula>
    </cfRule>
    <cfRule type="cellIs" dxfId="5880" priority="6766" stopIfTrue="1" operator="equal">
      <formula>"Napkin Hs"</formula>
    </cfRule>
  </conditionalFormatting>
  <conditionalFormatting sqref="C63">
    <cfRule type="cellIs" dxfId="5879" priority="6767" stopIfTrue="1" operator="equal">
      <formula>"Towel"</formula>
    </cfRule>
    <cfRule type="cellIs" dxfId="5878" priority="6768" stopIfTrue="1" operator="equal">
      <formula>"Napkin Hs"</formula>
    </cfRule>
  </conditionalFormatting>
  <conditionalFormatting sqref="C63">
    <cfRule type="cellIs" dxfId="5877" priority="6763" stopIfTrue="1" operator="equal">
      <formula>"Towel"</formula>
    </cfRule>
    <cfRule type="cellIs" dxfId="5876" priority="6764" stopIfTrue="1" operator="equal">
      <formula>"Napkin Hs"</formula>
    </cfRule>
  </conditionalFormatting>
  <conditionalFormatting sqref="C63">
    <cfRule type="cellIs" dxfId="5875" priority="6759" stopIfTrue="1" operator="equal">
      <formula>"Towel"</formula>
    </cfRule>
    <cfRule type="cellIs" dxfId="5874" priority="6760" stopIfTrue="1" operator="equal">
      <formula>"Napkin Hs"</formula>
    </cfRule>
  </conditionalFormatting>
  <conditionalFormatting sqref="C63">
    <cfRule type="cellIs" dxfId="5873" priority="6761" stopIfTrue="1" operator="equal">
      <formula>"Towel"</formula>
    </cfRule>
    <cfRule type="cellIs" dxfId="5872" priority="6762" stopIfTrue="1" operator="equal">
      <formula>"Napkin Hs"</formula>
    </cfRule>
  </conditionalFormatting>
  <conditionalFormatting sqref="C63">
    <cfRule type="cellIs" dxfId="5871" priority="6757" stopIfTrue="1" operator="equal">
      <formula>"Towel"</formula>
    </cfRule>
    <cfRule type="cellIs" dxfId="5870" priority="6758" stopIfTrue="1" operator="equal">
      <formula>"Napkin Hs"</formula>
    </cfRule>
  </conditionalFormatting>
  <conditionalFormatting sqref="C63">
    <cfRule type="cellIs" dxfId="5869" priority="6755" stopIfTrue="1" operator="equal">
      <formula>"Towel"</formula>
    </cfRule>
    <cfRule type="cellIs" dxfId="5868" priority="6756" stopIfTrue="1" operator="equal">
      <formula>"Napkin Hs"</formula>
    </cfRule>
  </conditionalFormatting>
  <conditionalFormatting sqref="C63">
    <cfRule type="cellIs" dxfId="5867" priority="6753" stopIfTrue="1" operator="equal">
      <formula>"Towel"</formula>
    </cfRule>
    <cfRule type="cellIs" dxfId="5866" priority="6754" stopIfTrue="1" operator="equal">
      <formula>"Napkin Hs"</formula>
    </cfRule>
  </conditionalFormatting>
  <conditionalFormatting sqref="C63">
    <cfRule type="cellIs" dxfId="5865" priority="6751" stopIfTrue="1" operator="equal">
      <formula>"Towel"</formula>
    </cfRule>
    <cfRule type="cellIs" dxfId="5864" priority="6752" stopIfTrue="1" operator="equal">
      <formula>"Napkin Hs"</formula>
    </cfRule>
  </conditionalFormatting>
  <conditionalFormatting sqref="C63">
    <cfRule type="cellIs" dxfId="5863" priority="6750" stopIfTrue="1" operator="equal">
      <formula>"Napkin Hs"</formula>
    </cfRule>
  </conditionalFormatting>
  <conditionalFormatting sqref="C63">
    <cfRule type="cellIs" dxfId="5862" priority="6747" stopIfTrue="1" operator="equal">
      <formula>"Towel"</formula>
    </cfRule>
    <cfRule type="cellIs" dxfId="5861" priority="6748" stopIfTrue="1" operator="equal">
      <formula>"Napkin Hs"</formula>
    </cfRule>
  </conditionalFormatting>
  <conditionalFormatting sqref="C63">
    <cfRule type="cellIs" dxfId="5860" priority="6749" stopIfTrue="1" operator="equal">
      <formula>"Towel"</formula>
    </cfRule>
  </conditionalFormatting>
  <conditionalFormatting sqref="B63">
    <cfRule type="cellIs" dxfId="5859" priority="6745" stopIfTrue="1" operator="equal">
      <formula>"Towel"</formula>
    </cfRule>
    <cfRule type="cellIs" dxfId="5858" priority="6746" stopIfTrue="1" operator="equal">
      <formula>"Napkin Hs"</formula>
    </cfRule>
  </conditionalFormatting>
  <conditionalFormatting sqref="B63">
    <cfRule type="cellIs" dxfId="5857" priority="6743" stopIfTrue="1" operator="equal">
      <formula>"Towel"</formula>
    </cfRule>
    <cfRule type="cellIs" dxfId="5856" priority="6744" stopIfTrue="1" operator="equal">
      <formula>"Napkin Hs"</formula>
    </cfRule>
  </conditionalFormatting>
  <conditionalFormatting sqref="B63">
    <cfRule type="cellIs" dxfId="5855" priority="6741" stopIfTrue="1" operator="equal">
      <formula>"Towel"</formula>
    </cfRule>
    <cfRule type="cellIs" dxfId="5854" priority="6742" stopIfTrue="1" operator="equal">
      <formula>"Napkin Hs"</formula>
    </cfRule>
  </conditionalFormatting>
  <conditionalFormatting sqref="B63">
    <cfRule type="cellIs" dxfId="5853" priority="6739" stopIfTrue="1" operator="equal">
      <formula>"Towel"</formula>
    </cfRule>
    <cfRule type="cellIs" dxfId="5852" priority="6740" stopIfTrue="1" operator="equal">
      <formula>"Napkin Hs"</formula>
    </cfRule>
  </conditionalFormatting>
  <conditionalFormatting sqref="B63">
    <cfRule type="cellIs" dxfId="5851" priority="6737" stopIfTrue="1" operator="equal">
      <formula>"Towel"</formula>
    </cfRule>
    <cfRule type="cellIs" dxfId="5850" priority="6738" stopIfTrue="1" operator="equal">
      <formula>"Napkin Hs"</formula>
    </cfRule>
  </conditionalFormatting>
  <conditionalFormatting sqref="B63">
    <cfRule type="cellIs" dxfId="5849" priority="6735" stopIfTrue="1" operator="equal">
      <formula>"Towel"</formula>
    </cfRule>
    <cfRule type="cellIs" dxfId="5848" priority="6736" stopIfTrue="1" operator="equal">
      <formula>"Napkin Hs"</formula>
    </cfRule>
  </conditionalFormatting>
  <conditionalFormatting sqref="B63">
    <cfRule type="cellIs" dxfId="5847" priority="6731" stopIfTrue="1" operator="equal">
      <formula>"Towel"</formula>
    </cfRule>
    <cfRule type="cellIs" dxfId="5846" priority="6732" stopIfTrue="1" operator="equal">
      <formula>"Napkin Hs"</formula>
    </cfRule>
    <cfRule type="cellIs" dxfId="5845" priority="6733" stopIfTrue="1" operator="equal">
      <formula>"Towel"</formula>
    </cfRule>
    <cfRule type="cellIs" dxfId="5844" priority="6734" stopIfTrue="1" operator="equal">
      <formula>"Napkin Hs"</formula>
    </cfRule>
  </conditionalFormatting>
  <conditionalFormatting sqref="B63">
    <cfRule type="cellIs" dxfId="5843" priority="6729" stopIfTrue="1" operator="equal">
      <formula>"Towel"</formula>
    </cfRule>
    <cfRule type="cellIs" dxfId="5842" priority="6730" stopIfTrue="1" operator="equal">
      <formula>"Napkin Hs"</formula>
    </cfRule>
  </conditionalFormatting>
  <conditionalFormatting sqref="B63">
    <cfRule type="cellIs" dxfId="5841" priority="6727" stopIfTrue="1" operator="equal">
      <formula>"Towel"</formula>
    </cfRule>
    <cfRule type="cellIs" dxfId="5840" priority="6728" stopIfTrue="1" operator="equal">
      <formula>"Napkin Hs"</formula>
    </cfRule>
  </conditionalFormatting>
  <conditionalFormatting sqref="B63">
    <cfRule type="cellIs" dxfId="5839" priority="6725" stopIfTrue="1" operator="equal">
      <formula>"Towel"</formula>
    </cfRule>
    <cfRule type="cellIs" dxfId="5838" priority="6726" stopIfTrue="1" operator="equal">
      <formula>"Napkin Hs"</formula>
    </cfRule>
  </conditionalFormatting>
  <conditionalFormatting sqref="B63">
    <cfRule type="cellIs" dxfId="5837" priority="6723" stopIfTrue="1" operator="equal">
      <formula>"Towel"</formula>
    </cfRule>
    <cfRule type="cellIs" dxfId="5836" priority="6724" stopIfTrue="1" operator="equal">
      <formula>"Napkin Hs"</formula>
    </cfRule>
  </conditionalFormatting>
  <conditionalFormatting sqref="B63">
    <cfRule type="cellIs" dxfId="5835" priority="6721" stopIfTrue="1" operator="equal">
      <formula>"Towel"</formula>
    </cfRule>
    <cfRule type="cellIs" dxfId="5834" priority="6722" stopIfTrue="1" operator="equal">
      <formula>"Napkin Hs"</formula>
    </cfRule>
  </conditionalFormatting>
  <conditionalFormatting sqref="B63:C63">
    <cfRule type="cellIs" dxfId="5833" priority="6707" stopIfTrue="1" operator="equal">
      <formula>"Towel"</formula>
    </cfRule>
    <cfRule type="cellIs" dxfId="5832" priority="6708" stopIfTrue="1" operator="equal">
      <formula>"Napkin Hs"</formula>
    </cfRule>
    <cfRule type="cellIs" dxfId="5831" priority="6713" stopIfTrue="1" operator="equal">
      <formula>"Towel"</formula>
    </cfRule>
    <cfRule type="cellIs" dxfId="5830" priority="6714" stopIfTrue="1" operator="equal">
      <formula>"Napkin Hs"</formula>
    </cfRule>
    <cfRule type="cellIs" dxfId="5829" priority="6719" stopIfTrue="1" operator="equal">
      <formula>"Towel"</formula>
    </cfRule>
    <cfRule type="cellIs" dxfId="5828" priority="6720" stopIfTrue="1" operator="equal">
      <formula>"Napkin Hs"</formula>
    </cfRule>
  </conditionalFormatting>
  <conditionalFormatting sqref="C63">
    <cfRule type="cellIs" dxfId="5827" priority="6701" stopIfTrue="1" operator="equal">
      <formula>"Towel"</formula>
    </cfRule>
    <cfRule type="cellIs" dxfId="5826" priority="6702" stopIfTrue="1" operator="equal">
      <formula>"Napkin Hs"</formula>
    </cfRule>
    <cfRule type="cellIs" dxfId="5825" priority="6703" stopIfTrue="1" operator="equal">
      <formula>"Towel"</formula>
    </cfRule>
    <cfRule type="cellIs" dxfId="5824" priority="6704" stopIfTrue="1" operator="equal">
      <formula>"Napkin Hs"</formula>
    </cfRule>
    <cfRule type="cellIs" dxfId="5823" priority="6711" stopIfTrue="1" operator="equal">
      <formula>"Towel"</formula>
    </cfRule>
    <cfRule type="cellIs" dxfId="5822" priority="6712" stopIfTrue="1" operator="equal">
      <formula>"Napkin Hs"</formula>
    </cfRule>
    <cfRule type="cellIs" dxfId="5821" priority="6715" stopIfTrue="1" operator="equal">
      <formula>"Towel"</formula>
    </cfRule>
    <cfRule type="cellIs" dxfId="5820" priority="6716" stopIfTrue="1" operator="equal">
      <formula>"Napkin Hs"</formula>
    </cfRule>
  </conditionalFormatting>
  <conditionalFormatting sqref="C63">
    <cfRule type="cellIs" dxfId="5819" priority="6705" stopIfTrue="1" operator="equal">
      <formula>"Towel"</formula>
    </cfRule>
    <cfRule type="cellIs" dxfId="5818" priority="6706" stopIfTrue="1" operator="equal">
      <formula>"Napkin Hs"</formula>
    </cfRule>
    <cfRule type="cellIs" dxfId="5817" priority="6709" stopIfTrue="1" operator="equal">
      <formula>"Towel"</formula>
    </cfRule>
    <cfRule type="cellIs" dxfId="5816" priority="6710" stopIfTrue="1" operator="equal">
      <formula>"Napkin Hs"</formula>
    </cfRule>
    <cfRule type="cellIs" dxfId="5815" priority="6717" stopIfTrue="1" operator="equal">
      <formula>"Towel"</formula>
    </cfRule>
    <cfRule type="cellIs" dxfId="5814" priority="6718" stopIfTrue="1" operator="equal">
      <formula>"Napkin Hs"</formula>
    </cfRule>
  </conditionalFormatting>
  <conditionalFormatting sqref="B63:C63">
    <cfRule type="cellIs" dxfId="5813" priority="6699" stopIfTrue="1" operator="equal">
      <formula>"Towel"</formula>
    </cfRule>
    <cfRule type="cellIs" dxfId="5812" priority="6700" stopIfTrue="1" operator="equal">
      <formula>"Napkin Hs"</formula>
    </cfRule>
  </conditionalFormatting>
  <conditionalFormatting sqref="B63:C63">
    <cfRule type="cellIs" dxfId="5811" priority="6691" stopIfTrue="1" operator="equal">
      <formula>"Towel"</formula>
    </cfRule>
    <cfRule type="cellIs" dxfId="5810" priority="6692" stopIfTrue="1" operator="equal">
      <formula>"Napkin Hs"</formula>
    </cfRule>
    <cfRule type="cellIs" dxfId="5809" priority="6697" stopIfTrue="1" operator="equal">
      <formula>"Towel"</formula>
    </cfRule>
    <cfRule type="cellIs" dxfId="5808" priority="6698" stopIfTrue="1" operator="equal">
      <formula>"Napkin Hs"</formula>
    </cfRule>
  </conditionalFormatting>
  <conditionalFormatting sqref="C63">
    <cfRule type="cellIs" dxfId="5807" priority="6687" stopIfTrue="1" operator="equal">
      <formula>"Towel"</formula>
    </cfRule>
    <cfRule type="cellIs" dxfId="5806" priority="6688" stopIfTrue="1" operator="equal">
      <formula>"Napkin Hs"</formula>
    </cfRule>
  </conditionalFormatting>
  <conditionalFormatting sqref="C63">
    <cfRule type="cellIs" dxfId="5805" priority="6685" stopIfTrue="1" operator="equal">
      <formula>"Towel"</formula>
    </cfRule>
    <cfRule type="cellIs" dxfId="5804" priority="6686" stopIfTrue="1" operator="equal">
      <formula>"Napkin Hs"</formula>
    </cfRule>
    <cfRule type="cellIs" dxfId="5803" priority="6695" stopIfTrue="1" operator="equal">
      <formula>"Towel"</formula>
    </cfRule>
    <cfRule type="cellIs" dxfId="5802" priority="6696" stopIfTrue="1" operator="equal">
      <formula>"Napkin Hs"</formula>
    </cfRule>
  </conditionalFormatting>
  <conditionalFormatting sqref="C63">
    <cfRule type="cellIs" dxfId="5801" priority="6689" stopIfTrue="1" operator="equal">
      <formula>"Towel"</formula>
    </cfRule>
    <cfRule type="cellIs" dxfId="5800" priority="6690" stopIfTrue="1" operator="equal">
      <formula>"Napkin Hs"</formula>
    </cfRule>
    <cfRule type="cellIs" dxfId="5799" priority="6693" stopIfTrue="1" operator="equal">
      <formula>"Towel"</formula>
    </cfRule>
    <cfRule type="cellIs" dxfId="5798" priority="6694" stopIfTrue="1" operator="equal">
      <formula>"Napkin Hs"</formula>
    </cfRule>
  </conditionalFormatting>
  <conditionalFormatting sqref="C63">
    <cfRule type="cellIs" dxfId="5797" priority="6684" stopIfTrue="1" operator="equal">
      <formula>"Napkin Hs"</formula>
    </cfRule>
  </conditionalFormatting>
  <conditionalFormatting sqref="C63">
    <cfRule type="cellIs" dxfId="5796" priority="6683" stopIfTrue="1" operator="equal">
      <formula>"Towel"</formula>
    </cfRule>
  </conditionalFormatting>
  <conditionalFormatting sqref="C63">
    <cfRule type="cellIs" dxfId="5795" priority="6679" stopIfTrue="1" operator="equal">
      <formula>"Towel"</formula>
    </cfRule>
    <cfRule type="cellIs" dxfId="5794" priority="6680" stopIfTrue="1" operator="equal">
      <formula>"Napkin Hs"</formula>
    </cfRule>
    <cfRule type="cellIs" dxfId="5793" priority="6681" stopIfTrue="1" operator="equal">
      <formula>"Towel"</formula>
    </cfRule>
    <cfRule type="cellIs" dxfId="5792" priority="6682" stopIfTrue="1" operator="equal">
      <formula>"Napkin Hs"</formula>
    </cfRule>
  </conditionalFormatting>
  <conditionalFormatting sqref="B63:C63">
    <cfRule type="cellIs" dxfId="5791" priority="6677" stopIfTrue="1" operator="equal">
      <formula>"Towel"</formula>
    </cfRule>
    <cfRule type="cellIs" dxfId="5790" priority="6678" stopIfTrue="1" operator="equal">
      <formula>"Napkin Hs"</formula>
    </cfRule>
  </conditionalFormatting>
  <conditionalFormatting sqref="C63">
    <cfRule type="cellIs" dxfId="5789" priority="6673" stopIfTrue="1" operator="equal">
      <formula>"Towel"</formula>
    </cfRule>
    <cfRule type="cellIs" dxfId="5788" priority="6674" stopIfTrue="1" operator="equal">
      <formula>"Napkin Hs"</formula>
    </cfRule>
  </conditionalFormatting>
  <conditionalFormatting sqref="C63">
    <cfRule type="cellIs" dxfId="5787" priority="6675" stopIfTrue="1" operator="equal">
      <formula>"Towel"</formula>
    </cfRule>
    <cfRule type="cellIs" dxfId="5786" priority="6676" stopIfTrue="1" operator="equal">
      <formula>"Napkin Hs"</formula>
    </cfRule>
  </conditionalFormatting>
  <conditionalFormatting sqref="B63:C63">
    <cfRule type="cellIs" dxfId="5785" priority="6671" stopIfTrue="1" operator="equal">
      <formula>"Towel"</formula>
    </cfRule>
    <cfRule type="cellIs" dxfId="5784" priority="6672" stopIfTrue="1" operator="equal">
      <formula>"Napkin Hs"</formula>
    </cfRule>
  </conditionalFormatting>
  <conditionalFormatting sqref="C63">
    <cfRule type="cellIs" dxfId="5783" priority="6667" stopIfTrue="1" operator="equal">
      <formula>"Towel"</formula>
    </cfRule>
    <cfRule type="cellIs" dxfId="5782" priority="6668" stopIfTrue="1" operator="equal">
      <formula>"Napkin Hs"</formula>
    </cfRule>
  </conditionalFormatting>
  <conditionalFormatting sqref="C63">
    <cfRule type="cellIs" dxfId="5781" priority="6669" stopIfTrue="1" operator="equal">
      <formula>"Towel"</formula>
    </cfRule>
    <cfRule type="cellIs" dxfId="5780" priority="6670" stopIfTrue="1" operator="equal">
      <formula>"Napkin Hs"</formula>
    </cfRule>
  </conditionalFormatting>
  <conditionalFormatting sqref="B63:C63">
    <cfRule type="cellIs" dxfId="5779" priority="6665" stopIfTrue="1" operator="equal">
      <formula>"Towel"</formula>
    </cfRule>
    <cfRule type="cellIs" dxfId="5778" priority="6666" stopIfTrue="1" operator="equal">
      <formula>"Napkin Hs"</formula>
    </cfRule>
  </conditionalFormatting>
  <conditionalFormatting sqref="C63">
    <cfRule type="cellIs" dxfId="5777" priority="6661" stopIfTrue="1" operator="equal">
      <formula>"Towel"</formula>
    </cfRule>
    <cfRule type="cellIs" dxfId="5776" priority="6662" stopIfTrue="1" operator="equal">
      <formula>"Napkin Hs"</formula>
    </cfRule>
  </conditionalFormatting>
  <conditionalFormatting sqref="C63">
    <cfRule type="cellIs" dxfId="5775" priority="6663" stopIfTrue="1" operator="equal">
      <formula>"Towel"</formula>
    </cfRule>
    <cfRule type="cellIs" dxfId="5774" priority="6664" stopIfTrue="1" operator="equal">
      <formula>"Napkin Hs"</formula>
    </cfRule>
  </conditionalFormatting>
  <conditionalFormatting sqref="B63:C63">
    <cfRule type="cellIs" dxfId="5773" priority="6659" stopIfTrue="1" operator="equal">
      <formula>"Towel"</formula>
    </cfRule>
    <cfRule type="cellIs" dxfId="5772" priority="6660" stopIfTrue="1" operator="equal">
      <formula>"Napkin Hs"</formula>
    </cfRule>
  </conditionalFormatting>
  <conditionalFormatting sqref="C63">
    <cfRule type="cellIs" dxfId="5771" priority="6657" stopIfTrue="1" operator="equal">
      <formula>"Towel"</formula>
    </cfRule>
    <cfRule type="cellIs" dxfId="5770" priority="6658" stopIfTrue="1" operator="equal">
      <formula>"Napkin Hs"</formula>
    </cfRule>
  </conditionalFormatting>
  <conditionalFormatting sqref="C63">
    <cfRule type="cellIs" dxfId="5769" priority="6655" stopIfTrue="1" operator="equal">
      <formula>"Towel"</formula>
    </cfRule>
    <cfRule type="cellIs" dxfId="5768" priority="6656" stopIfTrue="1" operator="equal">
      <formula>"Napkin Hs"</formula>
    </cfRule>
  </conditionalFormatting>
  <conditionalFormatting sqref="B63:C63">
    <cfRule type="cellIs" dxfId="5767" priority="6653" stopIfTrue="1" operator="equal">
      <formula>"Towel"</formula>
    </cfRule>
    <cfRule type="cellIs" dxfId="5766" priority="6654" stopIfTrue="1" operator="equal">
      <formula>"Napkin Hs"</formula>
    </cfRule>
  </conditionalFormatting>
  <conditionalFormatting sqref="C63">
    <cfRule type="cellIs" dxfId="5765" priority="6652" stopIfTrue="1" operator="equal">
      <formula>"Napkin Hs"</formula>
    </cfRule>
  </conditionalFormatting>
  <conditionalFormatting sqref="C63">
    <cfRule type="cellIs" dxfId="5764" priority="6649" stopIfTrue="1" operator="equal">
      <formula>"Towel"</formula>
    </cfRule>
    <cfRule type="cellIs" dxfId="5763" priority="6650" stopIfTrue="1" operator="equal">
      <formula>"Napkin Hs"</formula>
    </cfRule>
  </conditionalFormatting>
  <conditionalFormatting sqref="C63">
    <cfRule type="cellIs" dxfId="5762" priority="6651" stopIfTrue="1" operator="equal">
      <formula>"Towel"</formula>
    </cfRule>
  </conditionalFormatting>
  <conditionalFormatting sqref="B67:C67">
    <cfRule type="cellIs" dxfId="5761" priority="6525" stopIfTrue="1" operator="equal">
      <formula>"Towel"</formula>
    </cfRule>
    <cfRule type="cellIs" dxfId="5760" priority="6526" stopIfTrue="1" operator="equal">
      <formula>"Napkin Hs"</formula>
    </cfRule>
    <cfRule type="cellIs" dxfId="5759" priority="6531" stopIfTrue="1" operator="equal">
      <formula>"Towel"</formula>
    </cfRule>
    <cfRule type="cellIs" dxfId="5758" priority="6532" stopIfTrue="1" operator="equal">
      <formula>"Napkin Hs"</formula>
    </cfRule>
    <cfRule type="cellIs" dxfId="5757" priority="6537" stopIfTrue="1" operator="equal">
      <formula>"Towel"</formula>
    </cfRule>
    <cfRule type="cellIs" dxfId="5756" priority="6538" stopIfTrue="1" operator="equal">
      <formula>"Napkin Hs"</formula>
    </cfRule>
    <cfRule type="cellIs" dxfId="5755" priority="6543" stopIfTrue="1" operator="equal">
      <formula>"Towel"</formula>
    </cfRule>
    <cfRule type="cellIs" dxfId="5754" priority="6544" stopIfTrue="1" operator="equal">
      <formula>"Napkin Hs"</formula>
    </cfRule>
    <cfRule type="cellIs" dxfId="5753" priority="6549" stopIfTrue="1" operator="equal">
      <formula>"Towel"</formula>
    </cfRule>
    <cfRule type="cellIs" dxfId="5752" priority="6550" stopIfTrue="1" operator="equal">
      <formula>"Napkin Hs"</formula>
    </cfRule>
    <cfRule type="cellIs" dxfId="5751" priority="6555" stopIfTrue="1" operator="equal">
      <formula>"Towel"</formula>
    </cfRule>
    <cfRule type="cellIs" dxfId="5750" priority="6556" stopIfTrue="1" operator="equal">
      <formula>"Napkin Hs"</formula>
    </cfRule>
    <cfRule type="cellIs" dxfId="5749" priority="6561" stopIfTrue="1" operator="equal">
      <formula>"Towel"</formula>
    </cfRule>
    <cfRule type="cellIs" dxfId="5748" priority="6562" stopIfTrue="1" operator="equal">
      <formula>"Napkin Hs"</formula>
    </cfRule>
    <cfRule type="cellIs" dxfId="5747" priority="6567" stopIfTrue="1" operator="equal">
      <formula>"Towel"</formula>
    </cfRule>
    <cfRule type="cellIs" dxfId="5746" priority="6568" stopIfTrue="1" operator="equal">
      <formula>"Napkin Hs"</formula>
    </cfRule>
  </conditionalFormatting>
  <conditionalFormatting sqref="B68:C68">
    <cfRule type="cellIs" dxfId="5745" priority="6571" stopIfTrue="1" operator="equal">
      <formula>"Towel"</formula>
    </cfRule>
    <cfRule type="cellIs" dxfId="5744" priority="6572" stopIfTrue="1" operator="equal">
      <formula>"Napkin Hs"</formula>
    </cfRule>
    <cfRule type="cellIs" dxfId="5743" priority="6577" stopIfTrue="1" operator="equal">
      <formula>"Towel"</formula>
    </cfRule>
    <cfRule type="cellIs" dxfId="5742" priority="6578" stopIfTrue="1" operator="equal">
      <formula>"Napkin Hs"</formula>
    </cfRule>
    <cfRule type="cellIs" dxfId="5741" priority="6583" stopIfTrue="1" operator="equal">
      <formula>"Towel"</formula>
    </cfRule>
    <cfRule type="cellIs" dxfId="5740" priority="6584" stopIfTrue="1" operator="equal">
      <formula>"Napkin Hs"</formula>
    </cfRule>
    <cfRule type="cellIs" dxfId="5739" priority="6589" stopIfTrue="1" operator="equal">
      <formula>"Towel"</formula>
    </cfRule>
    <cfRule type="cellIs" dxfId="5738" priority="6590" stopIfTrue="1" operator="equal">
      <formula>"Napkin Hs"</formula>
    </cfRule>
    <cfRule type="cellIs" dxfId="5737" priority="6595" stopIfTrue="1" operator="equal">
      <formula>"Towel"</formula>
    </cfRule>
    <cfRule type="cellIs" dxfId="5736" priority="6596" stopIfTrue="1" operator="equal">
      <formula>"Napkin Hs"</formula>
    </cfRule>
    <cfRule type="cellIs" dxfId="5735" priority="6601" stopIfTrue="1" operator="equal">
      <formula>"Towel"</formula>
    </cfRule>
    <cfRule type="cellIs" dxfId="5734" priority="6602" stopIfTrue="1" operator="equal">
      <formula>"Napkin Hs"</formula>
    </cfRule>
    <cfRule type="cellIs" dxfId="5733" priority="6607" stopIfTrue="1" operator="equal">
      <formula>"Towel"</formula>
    </cfRule>
    <cfRule type="cellIs" dxfId="5732" priority="6608" stopIfTrue="1" operator="equal">
      <formula>"Napkin Hs"</formula>
    </cfRule>
    <cfRule type="cellIs" dxfId="5731" priority="6639" stopIfTrue="1" operator="equal">
      <formula>"Towel"</formula>
    </cfRule>
    <cfRule type="cellIs" dxfId="5730" priority="6640" stopIfTrue="1" operator="equal">
      <formula>"Napkin Hs"</formula>
    </cfRule>
  </conditionalFormatting>
  <conditionalFormatting sqref="B69:C69">
    <cfRule type="cellIs" dxfId="5729" priority="6611" stopIfTrue="1" operator="equal">
      <formula>"Towel"</formula>
    </cfRule>
    <cfRule type="cellIs" dxfId="5728" priority="6612" stopIfTrue="1" operator="equal">
      <formula>"Napkin Hs"</formula>
    </cfRule>
    <cfRule type="cellIs" dxfId="5727" priority="6617" stopIfTrue="1" operator="equal">
      <formula>"Towel"</formula>
    </cfRule>
    <cfRule type="cellIs" dxfId="5726" priority="6618" stopIfTrue="1" operator="equal">
      <formula>"Napkin Hs"</formula>
    </cfRule>
    <cfRule type="cellIs" dxfId="5725" priority="6623" stopIfTrue="1" operator="equal">
      <formula>"Towel"</formula>
    </cfRule>
    <cfRule type="cellIs" dxfId="5724" priority="6624" stopIfTrue="1" operator="equal">
      <formula>"Napkin Hs"</formula>
    </cfRule>
    <cfRule type="cellIs" dxfId="5723" priority="6629" stopIfTrue="1" operator="equal">
      <formula>"Towel"</formula>
    </cfRule>
    <cfRule type="cellIs" dxfId="5722" priority="6630" stopIfTrue="1" operator="equal">
      <formula>"Napkin Hs"</formula>
    </cfRule>
    <cfRule type="cellIs" dxfId="5721" priority="6635" stopIfTrue="1" operator="equal">
      <formula>"Towel"</formula>
    </cfRule>
    <cfRule type="cellIs" dxfId="5720" priority="6636" stopIfTrue="1" operator="equal">
      <formula>"Napkin Hs"</formula>
    </cfRule>
    <cfRule type="cellIs" dxfId="5719" priority="6643" stopIfTrue="1" operator="equal">
      <formula>"Towel"</formula>
    </cfRule>
    <cfRule type="cellIs" dxfId="5718" priority="6644" stopIfTrue="1" operator="equal">
      <formula>"Napkin Hs"</formula>
    </cfRule>
  </conditionalFormatting>
  <conditionalFormatting sqref="B70:C70">
    <cfRule type="cellIs" dxfId="5717" priority="6647" stopIfTrue="1" operator="equal">
      <formula>"Towel"</formula>
    </cfRule>
    <cfRule type="cellIs" dxfId="5716" priority="6648" stopIfTrue="1" operator="equal">
      <formula>"Napkin Hs"</formula>
    </cfRule>
  </conditionalFormatting>
  <conditionalFormatting sqref="C67">
    <cfRule type="cellIs" dxfId="5715" priority="6521" stopIfTrue="1" operator="equal">
      <formula>"Towel"</formula>
    </cfRule>
    <cfRule type="cellIs" dxfId="5714" priority="6522" stopIfTrue="1" operator="equal">
      <formula>"Napkin Hs"</formula>
    </cfRule>
    <cfRule type="cellIs" dxfId="5713" priority="6523" stopIfTrue="1" operator="equal">
      <formula>"Towel"</formula>
    </cfRule>
    <cfRule type="cellIs" dxfId="5712" priority="6524" stopIfTrue="1" operator="equal">
      <formula>"Napkin Hs"</formula>
    </cfRule>
    <cfRule type="cellIs" dxfId="5711" priority="6527" stopIfTrue="1" operator="equal">
      <formula>"Towel"</formula>
    </cfRule>
    <cfRule type="cellIs" dxfId="5710" priority="6528" stopIfTrue="1" operator="equal">
      <formula>"Napkin Hs"</formula>
    </cfRule>
    <cfRule type="cellIs" dxfId="5709" priority="6529" stopIfTrue="1" operator="equal">
      <formula>"Towel"</formula>
    </cfRule>
    <cfRule type="cellIs" dxfId="5708" priority="6530" stopIfTrue="1" operator="equal">
      <formula>"Napkin Hs"</formula>
    </cfRule>
    <cfRule type="cellIs" dxfId="5707" priority="6533" stopIfTrue="1" operator="equal">
      <formula>"Towel"</formula>
    </cfRule>
    <cfRule type="cellIs" dxfId="5706" priority="6534" stopIfTrue="1" operator="equal">
      <formula>"Napkin Hs"</formula>
    </cfRule>
    <cfRule type="cellIs" dxfId="5705" priority="6535" stopIfTrue="1" operator="equal">
      <formula>"Towel"</formula>
    </cfRule>
    <cfRule type="cellIs" dxfId="5704" priority="6536" stopIfTrue="1" operator="equal">
      <formula>"Napkin Hs"</formula>
    </cfRule>
    <cfRule type="cellIs" dxfId="5703" priority="6539" stopIfTrue="1" operator="equal">
      <formula>"Towel"</formula>
    </cfRule>
    <cfRule type="cellIs" dxfId="5702" priority="6540" stopIfTrue="1" operator="equal">
      <formula>"Napkin Hs"</formula>
    </cfRule>
    <cfRule type="cellIs" dxfId="5701" priority="6541" stopIfTrue="1" operator="equal">
      <formula>"Towel"</formula>
    </cfRule>
    <cfRule type="cellIs" dxfId="5700" priority="6542" stopIfTrue="1" operator="equal">
      <formula>"Napkin Hs"</formula>
    </cfRule>
    <cfRule type="cellIs" dxfId="5699" priority="6545" stopIfTrue="1" operator="equal">
      <formula>"Towel"</formula>
    </cfRule>
    <cfRule type="cellIs" dxfId="5698" priority="6546" stopIfTrue="1" operator="equal">
      <formula>"Napkin Hs"</formula>
    </cfRule>
    <cfRule type="cellIs" dxfId="5697" priority="6547" stopIfTrue="1" operator="equal">
      <formula>"Towel"</formula>
    </cfRule>
    <cfRule type="cellIs" dxfId="5696" priority="6548" stopIfTrue="1" operator="equal">
      <formula>"Napkin Hs"</formula>
    </cfRule>
    <cfRule type="cellIs" dxfId="5695" priority="6551" stopIfTrue="1" operator="equal">
      <formula>"Towel"</formula>
    </cfRule>
    <cfRule type="cellIs" dxfId="5694" priority="6552" stopIfTrue="1" operator="equal">
      <formula>"Napkin Hs"</formula>
    </cfRule>
    <cfRule type="cellIs" dxfId="5693" priority="6553" stopIfTrue="1" operator="equal">
      <formula>"Towel"</formula>
    </cfRule>
    <cfRule type="cellIs" dxfId="5692" priority="6554" stopIfTrue="1" operator="equal">
      <formula>"Napkin Hs"</formula>
    </cfRule>
    <cfRule type="cellIs" dxfId="5691" priority="6557" stopIfTrue="1" operator="equal">
      <formula>"Towel"</formula>
    </cfRule>
    <cfRule type="cellIs" dxfId="5690" priority="6558" stopIfTrue="1" operator="equal">
      <formula>"Napkin Hs"</formula>
    </cfRule>
    <cfRule type="cellIs" dxfId="5689" priority="6559" stopIfTrue="1" operator="equal">
      <formula>"Towel"</formula>
    </cfRule>
    <cfRule type="cellIs" dxfId="5688" priority="6560" stopIfTrue="1" operator="equal">
      <formula>"Napkin Hs"</formula>
    </cfRule>
    <cfRule type="cellIs" dxfId="5687" priority="6563" stopIfTrue="1" operator="equal">
      <formula>"Towel"</formula>
    </cfRule>
    <cfRule type="cellIs" dxfId="5686" priority="6564" stopIfTrue="1" operator="equal">
      <formula>"Napkin Hs"</formula>
    </cfRule>
  </conditionalFormatting>
  <conditionalFormatting sqref="C67:C68">
    <cfRule type="cellIs" dxfId="5685" priority="6565" stopIfTrue="1" operator="equal">
      <formula>"Towel"</formula>
    </cfRule>
    <cfRule type="cellIs" dxfId="5684" priority="6566" stopIfTrue="1" operator="equal">
      <formula>"Napkin Hs"</formula>
    </cfRule>
  </conditionalFormatting>
  <conditionalFormatting sqref="C68">
    <cfRule type="cellIs" dxfId="5683" priority="6569" stopIfTrue="1" operator="equal">
      <formula>"Towel"</formula>
    </cfRule>
    <cfRule type="cellIs" dxfId="5682" priority="6570" stopIfTrue="1" operator="equal">
      <formula>"Napkin Hs"</formula>
    </cfRule>
    <cfRule type="cellIs" dxfId="5681" priority="6573" stopIfTrue="1" operator="equal">
      <formula>"Towel"</formula>
    </cfRule>
    <cfRule type="cellIs" dxfId="5680" priority="6574" stopIfTrue="1" operator="equal">
      <formula>"Napkin Hs"</formula>
    </cfRule>
    <cfRule type="cellIs" dxfId="5679" priority="6575" stopIfTrue="1" operator="equal">
      <formula>"Towel"</formula>
    </cfRule>
    <cfRule type="cellIs" dxfId="5678" priority="6576" stopIfTrue="1" operator="equal">
      <formula>"Napkin Hs"</formula>
    </cfRule>
    <cfRule type="cellIs" dxfId="5677" priority="6579" stopIfTrue="1" operator="equal">
      <formula>"Towel"</formula>
    </cfRule>
    <cfRule type="cellIs" dxfId="5676" priority="6580" stopIfTrue="1" operator="equal">
      <formula>"Napkin Hs"</formula>
    </cfRule>
    <cfRule type="cellIs" dxfId="5675" priority="6581" stopIfTrue="1" operator="equal">
      <formula>"Towel"</formula>
    </cfRule>
    <cfRule type="cellIs" dxfId="5674" priority="6582" stopIfTrue="1" operator="equal">
      <formula>"Napkin Hs"</formula>
    </cfRule>
    <cfRule type="cellIs" dxfId="5673" priority="6585" stopIfTrue="1" operator="equal">
      <formula>"Towel"</formula>
    </cfRule>
    <cfRule type="cellIs" dxfId="5672" priority="6586" stopIfTrue="1" operator="equal">
      <formula>"Napkin Hs"</formula>
    </cfRule>
    <cfRule type="cellIs" dxfId="5671" priority="6587" stopIfTrue="1" operator="equal">
      <formula>"Towel"</formula>
    </cfRule>
    <cfRule type="cellIs" dxfId="5670" priority="6588" stopIfTrue="1" operator="equal">
      <formula>"Napkin Hs"</formula>
    </cfRule>
    <cfRule type="cellIs" dxfId="5669" priority="6591" stopIfTrue="1" operator="equal">
      <formula>"Towel"</formula>
    </cfRule>
    <cfRule type="cellIs" dxfId="5668" priority="6592" stopIfTrue="1" operator="equal">
      <formula>"Napkin Hs"</formula>
    </cfRule>
    <cfRule type="cellIs" dxfId="5667" priority="6593" stopIfTrue="1" operator="equal">
      <formula>"Towel"</formula>
    </cfRule>
    <cfRule type="cellIs" dxfId="5666" priority="6594" stopIfTrue="1" operator="equal">
      <formula>"Napkin Hs"</formula>
    </cfRule>
    <cfRule type="cellIs" dxfId="5665" priority="6597" stopIfTrue="1" operator="equal">
      <formula>"Towel"</formula>
    </cfRule>
    <cfRule type="cellIs" dxfId="5664" priority="6598" stopIfTrue="1" operator="equal">
      <formula>"Napkin Hs"</formula>
    </cfRule>
    <cfRule type="cellIs" dxfId="5663" priority="6599" stopIfTrue="1" operator="equal">
      <formula>"Towel"</formula>
    </cfRule>
    <cfRule type="cellIs" dxfId="5662" priority="6600" stopIfTrue="1" operator="equal">
      <formula>"Napkin Hs"</formula>
    </cfRule>
    <cfRule type="cellIs" dxfId="5661" priority="6603" stopIfTrue="1" operator="equal">
      <formula>"Towel"</formula>
    </cfRule>
    <cfRule type="cellIs" dxfId="5660" priority="6604" stopIfTrue="1" operator="equal">
      <formula>"Napkin Hs"</formula>
    </cfRule>
  </conditionalFormatting>
  <conditionalFormatting sqref="C68:C69">
    <cfRule type="cellIs" dxfId="5659" priority="6605" stopIfTrue="1" operator="equal">
      <formula>"Towel"</formula>
    </cfRule>
    <cfRule type="cellIs" dxfId="5658" priority="6606" stopIfTrue="1" operator="equal">
      <formula>"Napkin Hs"</formula>
    </cfRule>
    <cfRule type="cellIs" dxfId="5657" priority="6633" stopIfTrue="1" operator="equal">
      <formula>"Towel"</formula>
    </cfRule>
    <cfRule type="cellIs" dxfId="5656" priority="6634" stopIfTrue="1" operator="equal">
      <formula>"Napkin Hs"</formula>
    </cfRule>
    <cfRule type="cellIs" dxfId="5655" priority="6637" stopIfTrue="1" operator="equal">
      <formula>"Towel"</formula>
    </cfRule>
    <cfRule type="cellIs" dxfId="5654" priority="6638" stopIfTrue="1" operator="equal">
      <formula>"Napkin Hs"</formula>
    </cfRule>
  </conditionalFormatting>
  <conditionalFormatting sqref="C69">
    <cfRule type="cellIs" dxfId="5653" priority="6609" stopIfTrue="1" operator="equal">
      <formula>"Towel"</formula>
    </cfRule>
    <cfRule type="cellIs" dxfId="5652" priority="6610" stopIfTrue="1" operator="equal">
      <formula>"Napkin Hs"</formula>
    </cfRule>
    <cfRule type="cellIs" dxfId="5651" priority="6613" stopIfTrue="1" operator="equal">
      <formula>"Towel"</formula>
    </cfRule>
    <cfRule type="cellIs" dxfId="5650" priority="6614" stopIfTrue="1" operator="equal">
      <formula>"Napkin Hs"</formula>
    </cfRule>
    <cfRule type="cellIs" dxfId="5649" priority="6615" stopIfTrue="1" operator="equal">
      <formula>"Towel"</formula>
    </cfRule>
    <cfRule type="cellIs" dxfId="5648" priority="6616" stopIfTrue="1" operator="equal">
      <formula>"Napkin Hs"</formula>
    </cfRule>
    <cfRule type="cellIs" dxfId="5647" priority="6619" stopIfTrue="1" operator="equal">
      <formula>"Towel"</formula>
    </cfRule>
    <cfRule type="cellIs" dxfId="5646" priority="6620" stopIfTrue="1" operator="equal">
      <formula>"Napkin Hs"</formula>
    </cfRule>
    <cfRule type="cellIs" dxfId="5645" priority="6621" stopIfTrue="1" operator="equal">
      <formula>"Towel"</formula>
    </cfRule>
    <cfRule type="cellIs" dxfId="5644" priority="6622" stopIfTrue="1" operator="equal">
      <formula>"Napkin Hs"</formula>
    </cfRule>
    <cfRule type="cellIs" dxfId="5643" priority="6625" stopIfTrue="1" operator="equal">
      <formula>"Towel"</formula>
    </cfRule>
    <cfRule type="cellIs" dxfId="5642" priority="6626" stopIfTrue="1" operator="equal">
      <formula>"Napkin Hs"</formula>
    </cfRule>
    <cfRule type="cellIs" dxfId="5641" priority="6627" stopIfTrue="1" operator="equal">
      <formula>"Towel"</formula>
    </cfRule>
    <cfRule type="cellIs" dxfId="5640" priority="6628" stopIfTrue="1" operator="equal">
      <formula>"Napkin Hs"</formula>
    </cfRule>
    <cfRule type="cellIs" dxfId="5639" priority="6631" stopIfTrue="1" operator="equal">
      <formula>"Towel"</formula>
    </cfRule>
    <cfRule type="cellIs" dxfId="5638" priority="6632" stopIfTrue="1" operator="equal">
      <formula>"Napkin Hs"</formula>
    </cfRule>
  </conditionalFormatting>
  <conditionalFormatting sqref="C69:C70">
    <cfRule type="cellIs" dxfId="5637" priority="6641" stopIfTrue="1" operator="equal">
      <formula>"Towel"</formula>
    </cfRule>
    <cfRule type="cellIs" dxfId="5636" priority="6642" stopIfTrue="1" operator="equal">
      <formula>"Napkin Hs"</formula>
    </cfRule>
  </conditionalFormatting>
  <conditionalFormatting sqref="C70">
    <cfRule type="cellIs" dxfId="5635" priority="6645" stopIfTrue="1" operator="equal">
      <formula>"Towel"</formula>
    </cfRule>
    <cfRule type="cellIs" dxfId="5634" priority="6646" stopIfTrue="1" operator="equal">
      <formula>"Napkin Hs"</formula>
    </cfRule>
  </conditionalFormatting>
  <conditionalFormatting sqref="B68:C68">
    <cfRule type="cellIs" dxfId="5633" priority="6327" stopIfTrue="1" operator="equal">
      <formula>"Towel"</formula>
    </cfRule>
    <cfRule type="cellIs" dxfId="5632" priority="6328" stopIfTrue="1" operator="equal">
      <formula>"Napkin Hs"</formula>
    </cfRule>
  </conditionalFormatting>
  <conditionalFormatting sqref="B68:C68">
    <cfRule type="cellIs" dxfId="5631" priority="6303" stopIfTrue="1" operator="equal">
      <formula>"Towel"</formula>
    </cfRule>
    <cfRule type="cellIs" dxfId="5630" priority="6304" stopIfTrue="1" operator="equal">
      <formula>"Napkin Hs"</formula>
    </cfRule>
    <cfRule type="cellIs" dxfId="5629" priority="6309" stopIfTrue="1" operator="equal">
      <formula>"Towel"</formula>
    </cfRule>
    <cfRule type="cellIs" dxfId="5628" priority="6310" stopIfTrue="1" operator="equal">
      <formula>"Napkin Hs"</formula>
    </cfRule>
    <cfRule type="cellIs" dxfId="5627" priority="6315" stopIfTrue="1" operator="equal">
      <formula>"Towel"</formula>
    </cfRule>
    <cfRule type="cellIs" dxfId="5626" priority="6316" stopIfTrue="1" operator="equal">
      <formula>"Napkin Hs"</formula>
    </cfRule>
    <cfRule type="cellIs" dxfId="5625" priority="6321" stopIfTrue="1" operator="equal">
      <formula>"Towel"</formula>
    </cfRule>
    <cfRule type="cellIs" dxfId="5624" priority="6322" stopIfTrue="1" operator="equal">
      <formula>"Napkin Hs"</formula>
    </cfRule>
  </conditionalFormatting>
  <conditionalFormatting sqref="B69:C70">
    <cfRule type="cellIs" dxfId="5623" priority="6331" stopIfTrue="1" operator="equal">
      <formula>"Towel"</formula>
    </cfRule>
    <cfRule type="cellIs" dxfId="5622" priority="6332" stopIfTrue="1" operator="equal">
      <formula>"Napkin Hs"</formula>
    </cfRule>
  </conditionalFormatting>
  <conditionalFormatting sqref="C68">
    <cfRule type="cellIs" dxfId="5621" priority="6317" stopIfTrue="1" operator="equal">
      <formula>"Towel"</formula>
    </cfRule>
    <cfRule type="cellIs" dxfId="5620" priority="6318" stopIfTrue="1" operator="equal">
      <formula>"Napkin Hs"</formula>
    </cfRule>
    <cfRule type="cellIs" dxfId="5619" priority="6323" stopIfTrue="1" operator="equal">
      <formula>"Towel"</formula>
    </cfRule>
    <cfRule type="cellIs" dxfId="5618" priority="6324" stopIfTrue="1" operator="equal">
      <formula>"Napkin Hs"</formula>
    </cfRule>
  </conditionalFormatting>
  <conditionalFormatting sqref="C68">
    <cfRule type="cellIs" dxfId="5617" priority="6297" stopIfTrue="1" operator="equal">
      <formula>"Towel"</formula>
    </cfRule>
    <cfRule type="cellIs" dxfId="5616" priority="6298" stopIfTrue="1" operator="equal">
      <formula>"Napkin Hs"</formula>
    </cfRule>
    <cfRule type="cellIs" dxfId="5615" priority="6299" stopIfTrue="1" operator="equal">
      <formula>"Towel"</formula>
    </cfRule>
    <cfRule type="cellIs" dxfId="5614" priority="6300" stopIfTrue="1" operator="equal">
      <formula>"Napkin Hs"</formula>
    </cfRule>
    <cfRule type="cellIs" dxfId="5613" priority="6307" stopIfTrue="1" operator="equal">
      <formula>"Towel"</formula>
    </cfRule>
    <cfRule type="cellIs" dxfId="5612" priority="6308" stopIfTrue="1" operator="equal">
      <formula>"Napkin Hs"</formula>
    </cfRule>
    <cfRule type="cellIs" dxfId="5611" priority="6311" stopIfTrue="1" operator="equal">
      <formula>"Towel"</formula>
    </cfRule>
    <cfRule type="cellIs" dxfId="5610" priority="6312" stopIfTrue="1" operator="equal">
      <formula>"Napkin Hs"</formula>
    </cfRule>
    <cfRule type="cellIs" dxfId="5609" priority="6313" stopIfTrue="1" operator="equal">
      <formula>"Towel"</formula>
    </cfRule>
    <cfRule type="cellIs" dxfId="5608" priority="6314" stopIfTrue="1" operator="equal">
      <formula>"Napkin Hs"</formula>
    </cfRule>
  </conditionalFormatting>
  <conditionalFormatting sqref="C68:C70">
    <cfRule type="cellIs" dxfId="5607" priority="6325" stopIfTrue="1" operator="equal">
      <formula>"Towel"</formula>
    </cfRule>
    <cfRule type="cellIs" dxfId="5606" priority="6326" stopIfTrue="1" operator="equal">
      <formula>"Napkin Hs"</formula>
    </cfRule>
  </conditionalFormatting>
  <conditionalFormatting sqref="C68">
    <cfRule type="cellIs" dxfId="5605" priority="6301" stopIfTrue="1" operator="equal">
      <formula>"Towel"</formula>
    </cfRule>
    <cfRule type="cellIs" dxfId="5604" priority="6302" stopIfTrue="1" operator="equal">
      <formula>"Napkin Hs"</formula>
    </cfRule>
    <cfRule type="cellIs" dxfId="5603" priority="6305" stopIfTrue="1" operator="equal">
      <formula>"Towel"</formula>
    </cfRule>
    <cfRule type="cellIs" dxfId="5602" priority="6306" stopIfTrue="1" operator="equal">
      <formula>"Napkin Hs"</formula>
    </cfRule>
    <cfRule type="cellIs" dxfId="5601" priority="6319" stopIfTrue="1" operator="equal">
      <formula>"Towel"</formula>
    </cfRule>
    <cfRule type="cellIs" dxfId="5600" priority="6320" stopIfTrue="1" operator="equal">
      <formula>"Napkin Hs"</formula>
    </cfRule>
  </conditionalFormatting>
  <conditionalFormatting sqref="C69:C70">
    <cfRule type="cellIs" dxfId="5599" priority="6329" stopIfTrue="1" operator="equal">
      <formula>"Towel"</formula>
    </cfRule>
    <cfRule type="cellIs" dxfId="5598" priority="6330" stopIfTrue="1" operator="equal">
      <formula>"Napkin Hs"</formula>
    </cfRule>
  </conditionalFormatting>
  <conditionalFormatting sqref="B69:C69">
    <cfRule type="cellIs" dxfId="5597" priority="6207" stopIfTrue="1" operator="equal">
      <formula>"Towel"</formula>
    </cfRule>
    <cfRule type="cellIs" dxfId="5596" priority="6208" stopIfTrue="1" operator="equal">
      <formula>"Napkin Hs"</formula>
    </cfRule>
    <cfRule type="cellIs" dxfId="5595" priority="6213" stopIfTrue="1" operator="equal">
      <formula>"Towel"</formula>
    </cfRule>
    <cfRule type="cellIs" dxfId="5594" priority="6214" stopIfTrue="1" operator="equal">
      <formula>"Napkin Hs"</formula>
    </cfRule>
    <cfRule type="cellIs" dxfId="5593" priority="6219" stopIfTrue="1" operator="equal">
      <formula>"Towel"</formula>
    </cfRule>
    <cfRule type="cellIs" dxfId="5592" priority="6220" stopIfTrue="1" operator="equal">
      <formula>"Napkin Hs"</formula>
    </cfRule>
    <cfRule type="cellIs" dxfId="5591" priority="6225" stopIfTrue="1" operator="equal">
      <formula>"Towel"</formula>
    </cfRule>
    <cfRule type="cellIs" dxfId="5590" priority="6226" stopIfTrue="1" operator="equal">
      <formula>"Napkin Hs"</formula>
    </cfRule>
    <cfRule type="cellIs" dxfId="5589" priority="6231" stopIfTrue="1" operator="equal">
      <formula>"Towel"</formula>
    </cfRule>
    <cfRule type="cellIs" dxfId="5588" priority="6232" stopIfTrue="1" operator="equal">
      <formula>"Napkin Hs"</formula>
    </cfRule>
    <cfRule type="cellIs" dxfId="5587" priority="6237" stopIfTrue="1" operator="equal">
      <formula>"Towel"</formula>
    </cfRule>
    <cfRule type="cellIs" dxfId="5586" priority="6238" stopIfTrue="1" operator="equal">
      <formula>"Napkin Hs"</formula>
    </cfRule>
    <cfRule type="cellIs" dxfId="5585" priority="6243" stopIfTrue="1" operator="equal">
      <formula>"Towel"</formula>
    </cfRule>
    <cfRule type="cellIs" dxfId="5584" priority="6244" stopIfTrue="1" operator="equal">
      <formula>"Napkin Hs"</formula>
    </cfRule>
    <cfRule type="cellIs" dxfId="5583" priority="6249" stopIfTrue="1" operator="equal">
      <formula>"Towel"</formula>
    </cfRule>
    <cfRule type="cellIs" dxfId="5582" priority="6250" stopIfTrue="1" operator="equal">
      <formula>"Napkin Hs"</formula>
    </cfRule>
  </conditionalFormatting>
  <conditionalFormatting sqref="B70:C70">
    <cfRule type="cellIs" dxfId="5581" priority="6253" stopIfTrue="1" operator="equal">
      <formula>"Towel"</formula>
    </cfRule>
    <cfRule type="cellIs" dxfId="5580" priority="6254" stopIfTrue="1" operator="equal">
      <formula>"Napkin Hs"</formula>
    </cfRule>
    <cfRule type="cellIs" dxfId="5579" priority="6259" stopIfTrue="1" operator="equal">
      <formula>"Towel"</formula>
    </cfRule>
    <cfRule type="cellIs" dxfId="5578" priority="6260" stopIfTrue="1" operator="equal">
      <formula>"Napkin Hs"</formula>
    </cfRule>
    <cfRule type="cellIs" dxfId="5577" priority="6265" stopIfTrue="1" operator="equal">
      <formula>"Towel"</formula>
    </cfRule>
    <cfRule type="cellIs" dxfId="5576" priority="6266" stopIfTrue="1" operator="equal">
      <formula>"Napkin Hs"</formula>
    </cfRule>
    <cfRule type="cellIs" dxfId="5575" priority="6271" stopIfTrue="1" operator="equal">
      <formula>"Towel"</formula>
    </cfRule>
    <cfRule type="cellIs" dxfId="5574" priority="6272" stopIfTrue="1" operator="equal">
      <formula>"Napkin Hs"</formula>
    </cfRule>
    <cfRule type="cellIs" dxfId="5573" priority="6277" stopIfTrue="1" operator="equal">
      <formula>"Towel"</formula>
    </cfRule>
    <cfRule type="cellIs" dxfId="5572" priority="6278" stopIfTrue="1" operator="equal">
      <formula>"Napkin Hs"</formula>
    </cfRule>
    <cfRule type="cellIs" dxfId="5571" priority="6283" stopIfTrue="1" operator="equal">
      <formula>"Towel"</formula>
    </cfRule>
    <cfRule type="cellIs" dxfId="5570" priority="6284" stopIfTrue="1" operator="equal">
      <formula>"Napkin Hs"</formula>
    </cfRule>
    <cfRule type="cellIs" dxfId="5569" priority="6289" stopIfTrue="1" operator="equal">
      <formula>"Towel"</formula>
    </cfRule>
    <cfRule type="cellIs" dxfId="5568" priority="6290" stopIfTrue="1" operator="equal">
      <formula>"Napkin Hs"</formula>
    </cfRule>
    <cfRule type="cellIs" dxfId="5567" priority="6295" stopIfTrue="1" operator="equal">
      <formula>"Towel"</formula>
    </cfRule>
    <cfRule type="cellIs" dxfId="5566" priority="6296" stopIfTrue="1" operator="equal">
      <formula>"Napkin Hs"</formula>
    </cfRule>
  </conditionalFormatting>
  <conditionalFormatting sqref="C69">
    <cfRule type="cellIs" dxfId="5565" priority="6203" stopIfTrue="1" operator="equal">
      <formula>"Towel"</formula>
    </cfRule>
    <cfRule type="cellIs" dxfId="5564" priority="6204" stopIfTrue="1" operator="equal">
      <formula>"Napkin Hs"</formula>
    </cfRule>
    <cfRule type="cellIs" dxfId="5563" priority="6205" stopIfTrue="1" operator="equal">
      <formula>"Towel"</formula>
    </cfRule>
    <cfRule type="cellIs" dxfId="5562" priority="6206" stopIfTrue="1" operator="equal">
      <formula>"Napkin Hs"</formula>
    </cfRule>
    <cfRule type="cellIs" dxfId="5561" priority="6209" stopIfTrue="1" operator="equal">
      <formula>"Towel"</formula>
    </cfRule>
    <cfRule type="cellIs" dxfId="5560" priority="6210" stopIfTrue="1" operator="equal">
      <formula>"Napkin Hs"</formula>
    </cfRule>
    <cfRule type="cellIs" dxfId="5559" priority="6211" stopIfTrue="1" operator="equal">
      <formula>"Towel"</formula>
    </cfRule>
    <cfRule type="cellIs" dxfId="5558" priority="6212" stopIfTrue="1" operator="equal">
      <formula>"Napkin Hs"</formula>
    </cfRule>
    <cfRule type="cellIs" dxfId="5557" priority="6215" stopIfTrue="1" operator="equal">
      <formula>"Towel"</formula>
    </cfRule>
    <cfRule type="cellIs" dxfId="5556" priority="6216" stopIfTrue="1" operator="equal">
      <formula>"Napkin Hs"</formula>
    </cfRule>
    <cfRule type="cellIs" dxfId="5555" priority="6217" stopIfTrue="1" operator="equal">
      <formula>"Towel"</formula>
    </cfRule>
    <cfRule type="cellIs" dxfId="5554" priority="6218" stopIfTrue="1" operator="equal">
      <formula>"Napkin Hs"</formula>
    </cfRule>
    <cfRule type="cellIs" dxfId="5553" priority="6221" stopIfTrue="1" operator="equal">
      <formula>"Towel"</formula>
    </cfRule>
    <cfRule type="cellIs" dxfId="5552" priority="6222" stopIfTrue="1" operator="equal">
      <formula>"Napkin Hs"</formula>
    </cfRule>
    <cfRule type="cellIs" dxfId="5551" priority="6223" stopIfTrue="1" operator="equal">
      <formula>"Towel"</formula>
    </cfRule>
    <cfRule type="cellIs" dxfId="5550" priority="6224" stopIfTrue="1" operator="equal">
      <formula>"Napkin Hs"</formula>
    </cfRule>
    <cfRule type="cellIs" dxfId="5549" priority="6227" stopIfTrue="1" operator="equal">
      <formula>"Towel"</formula>
    </cfRule>
    <cfRule type="cellIs" dxfId="5548" priority="6228" stopIfTrue="1" operator="equal">
      <formula>"Napkin Hs"</formula>
    </cfRule>
    <cfRule type="cellIs" dxfId="5547" priority="6229" stopIfTrue="1" operator="equal">
      <formula>"Towel"</formula>
    </cfRule>
    <cfRule type="cellIs" dxfId="5546" priority="6230" stopIfTrue="1" operator="equal">
      <formula>"Napkin Hs"</formula>
    </cfRule>
    <cfRule type="cellIs" dxfId="5545" priority="6233" stopIfTrue="1" operator="equal">
      <formula>"Towel"</formula>
    </cfRule>
    <cfRule type="cellIs" dxfId="5544" priority="6234" stopIfTrue="1" operator="equal">
      <formula>"Napkin Hs"</formula>
    </cfRule>
    <cfRule type="cellIs" dxfId="5543" priority="6235" stopIfTrue="1" operator="equal">
      <formula>"Towel"</formula>
    </cfRule>
    <cfRule type="cellIs" dxfId="5542" priority="6236" stopIfTrue="1" operator="equal">
      <formula>"Napkin Hs"</formula>
    </cfRule>
    <cfRule type="cellIs" dxfId="5541" priority="6239" stopIfTrue="1" operator="equal">
      <formula>"Towel"</formula>
    </cfRule>
    <cfRule type="cellIs" dxfId="5540" priority="6240" stopIfTrue="1" operator="equal">
      <formula>"Napkin Hs"</formula>
    </cfRule>
    <cfRule type="cellIs" dxfId="5539" priority="6241" stopIfTrue="1" operator="equal">
      <formula>"Towel"</formula>
    </cfRule>
    <cfRule type="cellIs" dxfId="5538" priority="6242" stopIfTrue="1" operator="equal">
      <formula>"Napkin Hs"</formula>
    </cfRule>
    <cfRule type="cellIs" dxfId="5537" priority="6245" stopIfTrue="1" operator="equal">
      <formula>"Towel"</formula>
    </cfRule>
    <cfRule type="cellIs" dxfId="5536" priority="6246" stopIfTrue="1" operator="equal">
      <formula>"Napkin Hs"</formula>
    </cfRule>
  </conditionalFormatting>
  <conditionalFormatting sqref="C69:C70">
    <cfRule type="cellIs" dxfId="5535" priority="6247" stopIfTrue="1" operator="equal">
      <formula>"Towel"</formula>
    </cfRule>
    <cfRule type="cellIs" dxfId="5534" priority="6248" stopIfTrue="1" operator="equal">
      <formula>"Napkin Hs"</formula>
    </cfRule>
  </conditionalFormatting>
  <conditionalFormatting sqref="C70">
    <cfRule type="cellIs" dxfId="5533" priority="6251" stopIfTrue="1" operator="equal">
      <formula>"Towel"</formula>
    </cfRule>
    <cfRule type="cellIs" dxfId="5532" priority="6252" stopIfTrue="1" operator="equal">
      <formula>"Napkin Hs"</formula>
    </cfRule>
    <cfRule type="cellIs" dxfId="5531" priority="6255" stopIfTrue="1" operator="equal">
      <formula>"Towel"</formula>
    </cfRule>
    <cfRule type="cellIs" dxfId="5530" priority="6256" stopIfTrue="1" operator="equal">
      <formula>"Napkin Hs"</formula>
    </cfRule>
    <cfRule type="cellIs" dxfId="5529" priority="6257" stopIfTrue="1" operator="equal">
      <formula>"Towel"</formula>
    </cfRule>
    <cfRule type="cellIs" dxfId="5528" priority="6258" stopIfTrue="1" operator="equal">
      <formula>"Napkin Hs"</formula>
    </cfRule>
    <cfRule type="cellIs" dxfId="5527" priority="6261" stopIfTrue="1" operator="equal">
      <formula>"Towel"</formula>
    </cfRule>
    <cfRule type="cellIs" dxfId="5526" priority="6262" stopIfTrue="1" operator="equal">
      <formula>"Napkin Hs"</formula>
    </cfRule>
    <cfRule type="cellIs" dxfId="5525" priority="6263" stopIfTrue="1" operator="equal">
      <formula>"Towel"</formula>
    </cfRule>
    <cfRule type="cellIs" dxfId="5524" priority="6264" stopIfTrue="1" operator="equal">
      <formula>"Napkin Hs"</formula>
    </cfRule>
    <cfRule type="cellIs" dxfId="5523" priority="6267" stopIfTrue="1" operator="equal">
      <formula>"Towel"</formula>
    </cfRule>
    <cfRule type="cellIs" dxfId="5522" priority="6268" stopIfTrue="1" operator="equal">
      <formula>"Napkin Hs"</formula>
    </cfRule>
    <cfRule type="cellIs" dxfId="5521" priority="6269" stopIfTrue="1" operator="equal">
      <formula>"Towel"</formula>
    </cfRule>
    <cfRule type="cellIs" dxfId="5520" priority="6270" stopIfTrue="1" operator="equal">
      <formula>"Napkin Hs"</formula>
    </cfRule>
    <cfRule type="cellIs" dxfId="5519" priority="6273" stopIfTrue="1" operator="equal">
      <formula>"Towel"</formula>
    </cfRule>
    <cfRule type="cellIs" dxfId="5518" priority="6274" stopIfTrue="1" operator="equal">
      <formula>"Napkin Hs"</formula>
    </cfRule>
    <cfRule type="cellIs" dxfId="5517" priority="6275" stopIfTrue="1" operator="equal">
      <formula>"Towel"</formula>
    </cfRule>
    <cfRule type="cellIs" dxfId="5516" priority="6276" stopIfTrue="1" operator="equal">
      <formula>"Napkin Hs"</formula>
    </cfRule>
    <cfRule type="cellIs" dxfId="5515" priority="6279" stopIfTrue="1" operator="equal">
      <formula>"Towel"</formula>
    </cfRule>
    <cfRule type="cellIs" dxfId="5514" priority="6280" stopIfTrue="1" operator="equal">
      <formula>"Napkin Hs"</formula>
    </cfRule>
    <cfRule type="cellIs" dxfId="5513" priority="6281" stopIfTrue="1" operator="equal">
      <formula>"Towel"</formula>
    </cfRule>
    <cfRule type="cellIs" dxfId="5512" priority="6282" stopIfTrue="1" operator="equal">
      <formula>"Napkin Hs"</formula>
    </cfRule>
    <cfRule type="cellIs" dxfId="5511" priority="6285" stopIfTrue="1" operator="equal">
      <formula>"Towel"</formula>
    </cfRule>
    <cfRule type="cellIs" dxfId="5510" priority="6286" stopIfTrue="1" operator="equal">
      <formula>"Napkin Hs"</formula>
    </cfRule>
  </conditionalFormatting>
  <conditionalFormatting sqref="C70">
    <cfRule type="cellIs" dxfId="5509" priority="6287" stopIfTrue="1" operator="equal">
      <formula>"Towel"</formula>
    </cfRule>
    <cfRule type="cellIs" dxfId="5508" priority="6288" stopIfTrue="1" operator="equal">
      <formula>"Napkin Hs"</formula>
    </cfRule>
  </conditionalFormatting>
  <conditionalFormatting sqref="C70">
    <cfRule type="cellIs" dxfId="5507" priority="6291" stopIfTrue="1" operator="equal">
      <formula>"Towel"</formula>
    </cfRule>
    <cfRule type="cellIs" dxfId="5506" priority="6292" stopIfTrue="1" operator="equal">
      <formula>"Napkin Hs"</formula>
    </cfRule>
    <cfRule type="cellIs" dxfId="5505" priority="6293" stopIfTrue="1" operator="equal">
      <formula>"Towel"</formula>
    </cfRule>
    <cfRule type="cellIs" dxfId="5504" priority="6294" stopIfTrue="1" operator="equal">
      <formula>"Napkin Hs"</formula>
    </cfRule>
  </conditionalFormatting>
  <conditionalFormatting sqref="B69">
    <cfRule type="cellIs" dxfId="5503" priority="6197" stopIfTrue="1" operator="equal">
      <formula>"Towel"</formula>
    </cfRule>
    <cfRule type="cellIs" dxfId="5502" priority="6198" stopIfTrue="1" operator="equal">
      <formula>"Napkin Hs"</formula>
    </cfRule>
    <cfRule type="cellIs" dxfId="5501" priority="6199" stopIfTrue="1" operator="equal">
      <formula>"Towel"</formula>
    </cfRule>
    <cfRule type="cellIs" dxfId="5500" priority="6200" stopIfTrue="1" operator="equal">
      <formula>"Napkin Hs"</formula>
    </cfRule>
    <cfRule type="cellIs" dxfId="5499" priority="6201" stopIfTrue="1" operator="equal">
      <formula>"Towel"</formula>
    </cfRule>
    <cfRule type="cellIs" dxfId="5498" priority="6202" stopIfTrue="1" operator="equal">
      <formula>"Napkin Hs"</formula>
    </cfRule>
  </conditionalFormatting>
  <conditionalFormatting sqref="B69:C70">
    <cfRule type="cellIs" dxfId="5497" priority="6159" stopIfTrue="1" operator="equal">
      <formula>"Towel"</formula>
    </cfRule>
    <cfRule type="cellIs" dxfId="5496" priority="6160" stopIfTrue="1" operator="equal">
      <formula>"Napkin Hs"</formula>
    </cfRule>
    <cfRule type="cellIs" dxfId="5495" priority="6165" stopIfTrue="1" operator="equal">
      <formula>"Towel"</formula>
    </cfRule>
    <cfRule type="cellIs" dxfId="5494" priority="6166" stopIfTrue="1" operator="equal">
      <formula>"Napkin Hs"</formula>
    </cfRule>
    <cfRule type="cellIs" dxfId="5493" priority="6171" stopIfTrue="1" operator="equal">
      <formula>"Towel"</formula>
    </cfRule>
    <cfRule type="cellIs" dxfId="5492" priority="6172" stopIfTrue="1" operator="equal">
      <formula>"Napkin Hs"</formula>
    </cfRule>
    <cfRule type="cellIs" dxfId="5491" priority="6177" stopIfTrue="1" operator="equal">
      <formula>"Towel"</formula>
    </cfRule>
    <cfRule type="cellIs" dxfId="5490" priority="6178" stopIfTrue="1" operator="equal">
      <formula>"Napkin Hs"</formula>
    </cfRule>
    <cfRule type="cellIs" dxfId="5489" priority="6183" stopIfTrue="1" operator="equal">
      <formula>"Towel"</formula>
    </cfRule>
    <cfRule type="cellIs" dxfId="5488" priority="6184" stopIfTrue="1" operator="equal">
      <formula>"Napkin Hs"</formula>
    </cfRule>
    <cfRule type="cellIs" dxfId="5487" priority="6189" stopIfTrue="1" operator="equal">
      <formula>"Towel"</formula>
    </cfRule>
    <cfRule type="cellIs" dxfId="5486" priority="6190" stopIfTrue="1" operator="equal">
      <formula>"Napkin Hs"</formula>
    </cfRule>
    <cfRule type="cellIs" dxfId="5485" priority="6195" stopIfTrue="1" operator="equal">
      <formula>"Towel"</formula>
    </cfRule>
    <cfRule type="cellIs" dxfId="5484" priority="6196" stopIfTrue="1" operator="equal">
      <formula>"Napkin Hs"</formula>
    </cfRule>
  </conditionalFormatting>
  <conditionalFormatting sqref="C69:C70">
    <cfRule type="cellIs" dxfId="5483" priority="6155" stopIfTrue="1" operator="equal">
      <formula>"Towel"</formula>
    </cfRule>
    <cfRule type="cellIs" dxfId="5482" priority="6156" stopIfTrue="1" operator="equal">
      <formula>"Napkin Hs"</formula>
    </cfRule>
    <cfRule type="cellIs" dxfId="5481" priority="6157" stopIfTrue="1" operator="equal">
      <formula>"Towel"</formula>
    </cfRule>
    <cfRule type="cellIs" dxfId="5480" priority="6158" stopIfTrue="1" operator="equal">
      <formula>"Napkin Hs"</formula>
    </cfRule>
    <cfRule type="cellIs" dxfId="5479" priority="6161" stopIfTrue="1" operator="equal">
      <formula>"Towel"</formula>
    </cfRule>
    <cfRule type="cellIs" dxfId="5478" priority="6162" stopIfTrue="1" operator="equal">
      <formula>"Napkin Hs"</formula>
    </cfRule>
    <cfRule type="cellIs" dxfId="5477" priority="6163" stopIfTrue="1" operator="equal">
      <formula>"Towel"</formula>
    </cfRule>
    <cfRule type="cellIs" dxfId="5476" priority="6164" stopIfTrue="1" operator="equal">
      <formula>"Napkin Hs"</formula>
    </cfRule>
    <cfRule type="cellIs" dxfId="5475" priority="6167" stopIfTrue="1" operator="equal">
      <formula>"Towel"</formula>
    </cfRule>
    <cfRule type="cellIs" dxfId="5474" priority="6168" stopIfTrue="1" operator="equal">
      <formula>"Napkin Hs"</formula>
    </cfRule>
    <cfRule type="cellIs" dxfId="5473" priority="6169" stopIfTrue="1" operator="equal">
      <formula>"Towel"</formula>
    </cfRule>
    <cfRule type="cellIs" dxfId="5472" priority="6170" stopIfTrue="1" operator="equal">
      <formula>"Napkin Hs"</formula>
    </cfRule>
    <cfRule type="cellIs" dxfId="5471" priority="6173" stopIfTrue="1" operator="equal">
      <formula>"Towel"</formula>
    </cfRule>
    <cfRule type="cellIs" dxfId="5470" priority="6174" stopIfTrue="1" operator="equal">
      <formula>"Napkin Hs"</formula>
    </cfRule>
    <cfRule type="cellIs" dxfId="5469" priority="6175" stopIfTrue="1" operator="equal">
      <formula>"Towel"</formula>
    </cfRule>
    <cfRule type="cellIs" dxfId="5468" priority="6176" stopIfTrue="1" operator="equal">
      <formula>"Napkin Hs"</formula>
    </cfRule>
    <cfRule type="cellIs" dxfId="5467" priority="6179" stopIfTrue="1" operator="equal">
      <formula>"Towel"</formula>
    </cfRule>
    <cfRule type="cellIs" dxfId="5466" priority="6180" stopIfTrue="1" operator="equal">
      <formula>"Napkin Hs"</formula>
    </cfRule>
    <cfRule type="cellIs" dxfId="5465" priority="6181" stopIfTrue="1" operator="equal">
      <formula>"Towel"</formula>
    </cfRule>
    <cfRule type="cellIs" dxfId="5464" priority="6182" stopIfTrue="1" operator="equal">
      <formula>"Napkin Hs"</formula>
    </cfRule>
    <cfRule type="cellIs" dxfId="5463" priority="6185" stopIfTrue="1" operator="equal">
      <formula>"Towel"</formula>
    </cfRule>
    <cfRule type="cellIs" dxfId="5462" priority="6186" stopIfTrue="1" operator="equal">
      <formula>"Napkin Hs"</formula>
    </cfRule>
    <cfRule type="cellIs" dxfId="5461" priority="6187" stopIfTrue="1" operator="equal">
      <formula>"Towel"</formula>
    </cfRule>
    <cfRule type="cellIs" dxfId="5460" priority="6188" stopIfTrue="1" operator="equal">
      <formula>"Napkin Hs"</formula>
    </cfRule>
    <cfRule type="cellIs" dxfId="5459" priority="6191" stopIfTrue="1" operator="equal">
      <formula>"Towel"</formula>
    </cfRule>
    <cfRule type="cellIs" dxfId="5458" priority="6192" stopIfTrue="1" operator="equal">
      <formula>"Napkin Hs"</formula>
    </cfRule>
  </conditionalFormatting>
  <conditionalFormatting sqref="C69:C70">
    <cfRule type="cellIs" dxfId="5457" priority="6193" stopIfTrue="1" operator="equal">
      <formula>"Towel"</formula>
    </cfRule>
    <cfRule type="cellIs" dxfId="5456" priority="6194" stopIfTrue="1" operator="equal">
      <formula>"Napkin Hs"</formula>
    </cfRule>
  </conditionalFormatting>
  <conditionalFormatting sqref="B69:C69">
    <cfRule type="cellIs" dxfId="5455" priority="6153" stopIfTrue="1" operator="equal">
      <formula>"Towel"</formula>
    </cfRule>
    <cfRule type="cellIs" dxfId="5454" priority="6154" stopIfTrue="1" operator="equal">
      <formula>"Napkin Hs"</formula>
    </cfRule>
  </conditionalFormatting>
  <conditionalFormatting sqref="B69:C69">
    <cfRule type="cellIs" dxfId="5453" priority="6117" stopIfTrue="1" operator="equal">
      <formula>"Towel"</formula>
    </cfRule>
    <cfRule type="cellIs" dxfId="5452" priority="6118" stopIfTrue="1" operator="equal">
      <formula>"Napkin Hs"</formula>
    </cfRule>
    <cfRule type="cellIs" dxfId="5451" priority="6123" stopIfTrue="1" operator="equal">
      <formula>"Towel"</formula>
    </cfRule>
    <cfRule type="cellIs" dxfId="5450" priority="6124" stopIfTrue="1" operator="equal">
      <formula>"Napkin Hs"</formula>
    </cfRule>
    <cfRule type="cellIs" dxfId="5449" priority="6129" stopIfTrue="1" operator="equal">
      <formula>"Towel"</formula>
    </cfRule>
    <cfRule type="cellIs" dxfId="5448" priority="6130" stopIfTrue="1" operator="equal">
      <formula>"Napkin Hs"</formula>
    </cfRule>
    <cfRule type="cellIs" dxfId="5447" priority="6135" stopIfTrue="1" operator="equal">
      <formula>"Towel"</formula>
    </cfRule>
    <cfRule type="cellIs" dxfId="5446" priority="6136" stopIfTrue="1" operator="equal">
      <formula>"Napkin Hs"</formula>
    </cfRule>
    <cfRule type="cellIs" dxfId="5445" priority="6141" stopIfTrue="1" operator="equal">
      <formula>"Towel"</formula>
    </cfRule>
    <cfRule type="cellIs" dxfId="5444" priority="6142" stopIfTrue="1" operator="equal">
      <formula>"Napkin Hs"</formula>
    </cfRule>
    <cfRule type="cellIs" dxfId="5443" priority="6147" stopIfTrue="1" operator="equal">
      <formula>"Towel"</formula>
    </cfRule>
    <cfRule type="cellIs" dxfId="5442" priority="6148" stopIfTrue="1" operator="equal">
      <formula>"Napkin Hs"</formula>
    </cfRule>
  </conditionalFormatting>
  <conditionalFormatting sqref="B70:C70">
    <cfRule type="cellIs" dxfId="5441" priority="6077" stopIfTrue="1" operator="equal">
      <formula>"Towel"</formula>
    </cfRule>
    <cfRule type="cellIs" dxfId="5440" priority="6078" stopIfTrue="1" operator="equal">
      <formula>"Napkin Hs"</formula>
    </cfRule>
    <cfRule type="cellIs" dxfId="5439" priority="6083" stopIfTrue="1" operator="equal">
      <formula>"Towel"</formula>
    </cfRule>
    <cfRule type="cellIs" dxfId="5438" priority="6084" stopIfTrue="1" operator="equal">
      <formula>"Napkin Hs"</formula>
    </cfRule>
    <cfRule type="cellIs" dxfId="5437" priority="6089" stopIfTrue="1" operator="equal">
      <formula>"Towel"</formula>
    </cfRule>
    <cfRule type="cellIs" dxfId="5436" priority="6090" stopIfTrue="1" operator="equal">
      <formula>"Napkin Hs"</formula>
    </cfRule>
    <cfRule type="cellIs" dxfId="5435" priority="6095" stopIfTrue="1" operator="equal">
      <formula>"Towel"</formula>
    </cfRule>
    <cfRule type="cellIs" dxfId="5434" priority="6096" stopIfTrue="1" operator="equal">
      <formula>"Napkin Hs"</formula>
    </cfRule>
    <cfRule type="cellIs" dxfId="5433" priority="6101" stopIfTrue="1" operator="equal">
      <formula>"Towel"</formula>
    </cfRule>
    <cfRule type="cellIs" dxfId="5432" priority="6102" stopIfTrue="1" operator="equal">
      <formula>"Napkin Hs"</formula>
    </cfRule>
    <cfRule type="cellIs" dxfId="5431" priority="6107" stopIfTrue="1" operator="equal">
      <formula>"Towel"</formula>
    </cfRule>
    <cfRule type="cellIs" dxfId="5430" priority="6108" stopIfTrue="1" operator="equal">
      <formula>"Napkin Hs"</formula>
    </cfRule>
    <cfRule type="cellIs" dxfId="5429" priority="6113" stopIfTrue="1" operator="equal">
      <formula>"Towel"</formula>
    </cfRule>
    <cfRule type="cellIs" dxfId="5428" priority="6114" stopIfTrue="1" operator="equal">
      <formula>"Napkin Hs"</formula>
    </cfRule>
  </conditionalFormatting>
  <conditionalFormatting sqref="C69">
    <cfRule type="cellIs" dxfId="5427" priority="6152" stopIfTrue="1" operator="equal">
      <formula>"Napkin Hs"</formula>
    </cfRule>
  </conditionalFormatting>
  <conditionalFormatting sqref="C69">
    <cfRule type="cellIs" dxfId="5426" priority="6151" stopIfTrue="1" operator="equal">
      <formula>"Towel"</formula>
    </cfRule>
  </conditionalFormatting>
  <conditionalFormatting sqref="C69">
    <cfRule type="cellIs" dxfId="5425" priority="6145" stopIfTrue="1" operator="equal">
      <formula>"Towel"</formula>
    </cfRule>
    <cfRule type="cellIs" dxfId="5424" priority="6146" stopIfTrue="1" operator="equal">
      <formula>"Napkin Hs"</formula>
    </cfRule>
  </conditionalFormatting>
  <conditionalFormatting sqref="C69">
    <cfRule type="cellIs" dxfId="5423" priority="6143" stopIfTrue="1" operator="equal">
      <formula>"Towel"</formula>
    </cfRule>
    <cfRule type="cellIs" dxfId="5422" priority="6144" stopIfTrue="1" operator="equal">
      <formula>"Napkin Hs"</formula>
    </cfRule>
    <cfRule type="cellIs" dxfId="5421" priority="6149" stopIfTrue="1" operator="equal">
      <formula>"Towel"</formula>
    </cfRule>
    <cfRule type="cellIs" dxfId="5420" priority="6150" stopIfTrue="1" operator="equal">
      <formula>"Napkin Hs"</formula>
    </cfRule>
  </conditionalFormatting>
  <conditionalFormatting sqref="C69">
    <cfRule type="cellIs" dxfId="5419" priority="6115" stopIfTrue="1" operator="equal">
      <formula>"Towel"</formula>
    </cfRule>
    <cfRule type="cellIs" dxfId="5418" priority="6116" stopIfTrue="1" operator="equal">
      <formula>"Napkin Hs"</formula>
    </cfRule>
    <cfRule type="cellIs" dxfId="5417" priority="6119" stopIfTrue="1" operator="equal">
      <formula>"Towel"</formula>
    </cfRule>
    <cfRule type="cellIs" dxfId="5416" priority="6120" stopIfTrue="1" operator="equal">
      <formula>"Napkin Hs"</formula>
    </cfRule>
    <cfRule type="cellIs" dxfId="5415" priority="6121" stopIfTrue="1" operator="equal">
      <formula>"Towel"</formula>
    </cfRule>
    <cfRule type="cellIs" dxfId="5414" priority="6122" stopIfTrue="1" operator="equal">
      <formula>"Napkin Hs"</formula>
    </cfRule>
    <cfRule type="cellIs" dxfId="5413" priority="6125" stopIfTrue="1" operator="equal">
      <formula>"Towel"</formula>
    </cfRule>
    <cfRule type="cellIs" dxfId="5412" priority="6126" stopIfTrue="1" operator="equal">
      <formula>"Napkin Hs"</formula>
    </cfRule>
    <cfRule type="cellIs" dxfId="5411" priority="6127" stopIfTrue="1" operator="equal">
      <formula>"Towel"</formula>
    </cfRule>
    <cfRule type="cellIs" dxfId="5410" priority="6128" stopIfTrue="1" operator="equal">
      <formula>"Napkin Hs"</formula>
    </cfRule>
    <cfRule type="cellIs" dxfId="5409" priority="6131" stopIfTrue="1" operator="equal">
      <formula>"Towel"</formula>
    </cfRule>
    <cfRule type="cellIs" dxfId="5408" priority="6132" stopIfTrue="1" operator="equal">
      <formula>"Napkin Hs"</formula>
    </cfRule>
    <cfRule type="cellIs" dxfId="5407" priority="6133" stopIfTrue="1" operator="equal">
      <formula>"Towel"</formula>
    </cfRule>
    <cfRule type="cellIs" dxfId="5406" priority="6134" stopIfTrue="1" operator="equal">
      <formula>"Napkin Hs"</formula>
    </cfRule>
    <cfRule type="cellIs" dxfId="5405" priority="6137" stopIfTrue="1" operator="equal">
      <formula>"Towel"</formula>
    </cfRule>
    <cfRule type="cellIs" dxfId="5404" priority="6138" stopIfTrue="1" operator="equal">
      <formula>"Napkin Hs"</formula>
    </cfRule>
    <cfRule type="cellIs" dxfId="5403" priority="6139" stopIfTrue="1" operator="equal">
      <formula>"Towel"</formula>
    </cfRule>
    <cfRule type="cellIs" dxfId="5402" priority="6140" stopIfTrue="1" operator="equal">
      <formula>"Napkin Hs"</formula>
    </cfRule>
  </conditionalFormatting>
  <conditionalFormatting sqref="C69:C70">
    <cfRule type="cellIs" dxfId="5401" priority="6111" stopIfTrue="1" operator="equal">
      <formula>"Towel"</formula>
    </cfRule>
    <cfRule type="cellIs" dxfId="5400" priority="6112" stopIfTrue="1" operator="equal">
      <formula>"Napkin Hs"</formula>
    </cfRule>
  </conditionalFormatting>
  <conditionalFormatting sqref="C70">
    <cfRule type="cellIs" dxfId="5399" priority="6073" stopIfTrue="1" operator="equal">
      <formula>"Towel"</formula>
    </cfRule>
    <cfRule type="cellIs" dxfId="5398" priority="6074" stopIfTrue="1" operator="equal">
      <formula>"Napkin Hs"</formula>
    </cfRule>
    <cfRule type="cellIs" dxfId="5397" priority="6075" stopIfTrue="1" operator="equal">
      <formula>"Towel"</formula>
    </cfRule>
    <cfRule type="cellIs" dxfId="5396" priority="6076" stopIfTrue="1" operator="equal">
      <formula>"Napkin Hs"</formula>
    </cfRule>
    <cfRule type="cellIs" dxfId="5395" priority="6079" stopIfTrue="1" operator="equal">
      <formula>"Towel"</formula>
    </cfRule>
    <cfRule type="cellIs" dxfId="5394" priority="6080" stopIfTrue="1" operator="equal">
      <formula>"Napkin Hs"</formula>
    </cfRule>
    <cfRule type="cellIs" dxfId="5393" priority="6081" stopIfTrue="1" operator="equal">
      <formula>"Towel"</formula>
    </cfRule>
    <cfRule type="cellIs" dxfId="5392" priority="6082" stopIfTrue="1" operator="equal">
      <formula>"Napkin Hs"</formula>
    </cfRule>
    <cfRule type="cellIs" dxfId="5391" priority="6085" stopIfTrue="1" operator="equal">
      <formula>"Towel"</formula>
    </cfRule>
    <cfRule type="cellIs" dxfId="5390" priority="6086" stopIfTrue="1" operator="equal">
      <formula>"Napkin Hs"</formula>
    </cfRule>
    <cfRule type="cellIs" dxfId="5389" priority="6087" stopIfTrue="1" operator="equal">
      <formula>"Towel"</formula>
    </cfRule>
    <cfRule type="cellIs" dxfId="5388" priority="6088" stopIfTrue="1" operator="equal">
      <formula>"Napkin Hs"</formula>
    </cfRule>
    <cfRule type="cellIs" dxfId="5387" priority="6091" stopIfTrue="1" operator="equal">
      <formula>"Towel"</formula>
    </cfRule>
    <cfRule type="cellIs" dxfId="5386" priority="6092" stopIfTrue="1" operator="equal">
      <formula>"Napkin Hs"</formula>
    </cfRule>
    <cfRule type="cellIs" dxfId="5385" priority="6093" stopIfTrue="1" operator="equal">
      <formula>"Towel"</formula>
    </cfRule>
    <cfRule type="cellIs" dxfId="5384" priority="6094" stopIfTrue="1" operator="equal">
      <formula>"Napkin Hs"</formula>
    </cfRule>
    <cfRule type="cellIs" dxfId="5383" priority="6097" stopIfTrue="1" operator="equal">
      <formula>"Towel"</formula>
    </cfRule>
    <cfRule type="cellIs" dxfId="5382" priority="6098" stopIfTrue="1" operator="equal">
      <formula>"Napkin Hs"</formula>
    </cfRule>
    <cfRule type="cellIs" dxfId="5381" priority="6099" stopIfTrue="1" operator="equal">
      <formula>"Towel"</formula>
    </cfRule>
    <cfRule type="cellIs" dxfId="5380" priority="6100" stopIfTrue="1" operator="equal">
      <formula>"Napkin Hs"</formula>
    </cfRule>
    <cfRule type="cellIs" dxfId="5379" priority="6103" stopIfTrue="1" operator="equal">
      <formula>"Towel"</formula>
    </cfRule>
    <cfRule type="cellIs" dxfId="5378" priority="6104" stopIfTrue="1" operator="equal">
      <formula>"Napkin Hs"</formula>
    </cfRule>
    <cfRule type="cellIs" dxfId="5377" priority="6105" stopIfTrue="1" operator="equal">
      <formula>"Towel"</formula>
    </cfRule>
    <cfRule type="cellIs" dxfId="5376" priority="6106" stopIfTrue="1" operator="equal">
      <formula>"Napkin Hs"</formula>
    </cfRule>
    <cfRule type="cellIs" dxfId="5375" priority="6109" stopIfTrue="1" operator="equal">
      <formula>"Towel"</formula>
    </cfRule>
    <cfRule type="cellIs" dxfId="5374" priority="6110" stopIfTrue="1" operator="equal">
      <formula>"Napkin Hs"</formula>
    </cfRule>
  </conditionalFormatting>
  <conditionalFormatting sqref="C69">
    <cfRule type="cellIs" dxfId="5373" priority="6041" stopIfTrue="1" operator="equal">
      <formula>"Towel"</formula>
    </cfRule>
    <cfRule type="cellIs" dxfId="5372" priority="6042" stopIfTrue="1" operator="equal">
      <formula>"Napkin Hs"</formula>
    </cfRule>
    <cfRule type="cellIs" dxfId="5371" priority="6055" stopIfTrue="1" operator="equal">
      <formula>"Towel"</formula>
    </cfRule>
    <cfRule type="cellIs" dxfId="5370" priority="6056" stopIfTrue="1" operator="equal">
      <formula>"Napkin Hs"</formula>
    </cfRule>
    <cfRule type="cellIs" dxfId="5369" priority="6061" stopIfTrue="1" operator="equal">
      <formula>"Towel"</formula>
    </cfRule>
    <cfRule type="cellIs" dxfId="5368" priority="6062" stopIfTrue="1" operator="equal">
      <formula>"Napkin Hs"</formula>
    </cfRule>
    <cfRule type="cellIs" dxfId="5367" priority="6071" stopIfTrue="1" operator="equal">
      <formula>"Towel"</formula>
    </cfRule>
    <cfRule type="cellIs" dxfId="5366" priority="6072" stopIfTrue="1" operator="equal">
      <formula>"Napkin Hs"</formula>
    </cfRule>
  </conditionalFormatting>
  <conditionalFormatting sqref="B70:C70">
    <cfRule type="cellIs" dxfId="5365" priority="6045" stopIfTrue="1" operator="equal">
      <formula>"Towel"</formula>
    </cfRule>
    <cfRule type="cellIs" dxfId="5364" priority="6046" stopIfTrue="1" operator="equal">
      <formula>"Napkin Hs"</formula>
    </cfRule>
    <cfRule type="cellIs" dxfId="5363" priority="6051" stopIfTrue="1" operator="equal">
      <formula>"Towel"</formula>
    </cfRule>
    <cfRule type="cellIs" dxfId="5362" priority="6052" stopIfTrue="1" operator="equal">
      <formula>"Napkin Hs"</formula>
    </cfRule>
    <cfRule type="cellIs" dxfId="5361" priority="6067" stopIfTrue="1" operator="equal">
      <formula>"Towel"</formula>
    </cfRule>
    <cfRule type="cellIs" dxfId="5360" priority="6068" stopIfTrue="1" operator="equal">
      <formula>"Napkin Hs"</formula>
    </cfRule>
  </conditionalFormatting>
  <conditionalFormatting sqref="C69">
    <cfRule type="cellIs" dxfId="5359" priority="6059" stopIfTrue="1" operator="equal">
      <formula>"Towel"</formula>
    </cfRule>
    <cfRule type="cellIs" dxfId="5358" priority="6060" stopIfTrue="1" operator="equal">
      <formula>"Napkin Hs"</formula>
    </cfRule>
    <cfRule type="cellIs" dxfId="5357" priority="6069" stopIfTrue="1" operator="equal">
      <formula>"Towel"</formula>
    </cfRule>
    <cfRule type="cellIs" dxfId="5356" priority="6070" stopIfTrue="1" operator="equal">
      <formula>"Napkin Hs"</formula>
    </cfRule>
  </conditionalFormatting>
  <conditionalFormatting sqref="C69">
    <cfRule type="cellIs" dxfId="5355" priority="6037" stopIfTrue="1" operator="equal">
      <formula>"Towel"</formula>
    </cfRule>
    <cfRule type="cellIs" dxfId="5354" priority="6038" stopIfTrue="1" operator="equal">
      <formula>"Napkin Hs"</formula>
    </cfRule>
    <cfRule type="cellIs" dxfId="5353" priority="6053" stopIfTrue="1" operator="equal">
      <formula>"Towel"</formula>
    </cfRule>
    <cfRule type="cellIs" dxfId="5352" priority="6054" stopIfTrue="1" operator="equal">
      <formula>"Napkin Hs"</formula>
    </cfRule>
    <cfRule type="cellIs" dxfId="5351" priority="6057" stopIfTrue="1" operator="equal">
      <formula>"Towel"</formula>
    </cfRule>
    <cfRule type="cellIs" dxfId="5350" priority="6058" stopIfTrue="1" operator="equal">
      <formula>"Napkin Hs"</formula>
    </cfRule>
  </conditionalFormatting>
  <conditionalFormatting sqref="C69:C70">
    <cfRule type="cellIs" dxfId="5349" priority="6039" stopIfTrue="1" operator="equal">
      <formula>"Towel"</formula>
    </cfRule>
    <cfRule type="cellIs" dxfId="5348" priority="6040" stopIfTrue="1" operator="equal">
      <formula>"Napkin Hs"</formula>
    </cfRule>
    <cfRule type="cellIs" dxfId="5347" priority="6049" stopIfTrue="1" operator="equal">
      <formula>"Towel"</formula>
    </cfRule>
    <cfRule type="cellIs" dxfId="5346" priority="6050" stopIfTrue="1" operator="equal">
      <formula>"Napkin Hs"</formula>
    </cfRule>
    <cfRule type="cellIs" dxfId="5345" priority="6065" stopIfTrue="1" operator="equal">
      <formula>"Towel"</formula>
    </cfRule>
    <cfRule type="cellIs" dxfId="5344" priority="6066" stopIfTrue="1" operator="equal">
      <formula>"Napkin Hs"</formula>
    </cfRule>
  </conditionalFormatting>
  <conditionalFormatting sqref="C70">
    <cfRule type="cellIs" dxfId="5343" priority="6043" stopIfTrue="1" operator="equal">
      <formula>"Towel"</formula>
    </cfRule>
    <cfRule type="cellIs" dxfId="5342" priority="6044" stopIfTrue="1" operator="equal">
      <formula>"Napkin Hs"</formula>
    </cfRule>
    <cfRule type="cellIs" dxfId="5341" priority="6063" stopIfTrue="1" operator="equal">
      <formula>"Towel"</formula>
    </cfRule>
    <cfRule type="cellIs" dxfId="5340" priority="6064" stopIfTrue="1" operator="equal">
      <formula>"Napkin Hs"</formula>
    </cfRule>
  </conditionalFormatting>
  <conditionalFormatting sqref="C70">
    <cfRule type="cellIs" dxfId="5339" priority="6047" stopIfTrue="1" operator="equal">
      <formula>"Towel"</formula>
    </cfRule>
    <cfRule type="cellIs" dxfId="5338" priority="6048" stopIfTrue="1" operator="equal">
      <formula>"Napkin Hs"</formula>
    </cfRule>
  </conditionalFormatting>
  <conditionalFormatting sqref="B70:C70">
    <cfRule type="cellIs" dxfId="5337" priority="6035" stopIfTrue="1" operator="equal">
      <formula>"Towel"</formula>
    </cfRule>
    <cfRule type="cellIs" dxfId="5336" priority="6036" stopIfTrue="1" operator="equal">
      <formula>"Napkin Hs"</formula>
    </cfRule>
  </conditionalFormatting>
  <conditionalFormatting sqref="B70:C70">
    <cfRule type="cellIs" dxfId="5335" priority="6029" stopIfTrue="1" operator="equal">
      <formula>"Towel"</formula>
    </cfRule>
    <cfRule type="cellIs" dxfId="5334" priority="6030" stopIfTrue="1" operator="equal">
      <formula>"Napkin Hs"</formula>
    </cfRule>
  </conditionalFormatting>
  <conditionalFormatting sqref="C70">
    <cfRule type="cellIs" dxfId="5333" priority="6034" stopIfTrue="1" operator="equal">
      <formula>"Napkin Hs"</formula>
    </cfRule>
  </conditionalFormatting>
  <conditionalFormatting sqref="C70">
    <cfRule type="cellIs" dxfId="5332" priority="6031" stopIfTrue="1" operator="equal">
      <formula>"Towel"</formula>
    </cfRule>
    <cfRule type="cellIs" dxfId="5331" priority="6032" stopIfTrue="1" operator="equal">
      <formula>"Napkin Hs"</formula>
    </cfRule>
  </conditionalFormatting>
  <conditionalFormatting sqref="C70">
    <cfRule type="cellIs" dxfId="5330" priority="6025" stopIfTrue="1" operator="equal">
      <formula>"Towel"</formula>
    </cfRule>
    <cfRule type="cellIs" dxfId="5329" priority="6026" stopIfTrue="1" operator="equal">
      <formula>"Napkin Hs"</formula>
    </cfRule>
  </conditionalFormatting>
  <conditionalFormatting sqref="C70">
    <cfRule type="cellIs" dxfId="5328" priority="6027" stopIfTrue="1" operator="equal">
      <formula>"Towel"</formula>
    </cfRule>
    <cfRule type="cellIs" dxfId="5327" priority="6028" stopIfTrue="1" operator="equal">
      <formula>"Napkin Hs"</formula>
    </cfRule>
  </conditionalFormatting>
  <conditionalFormatting sqref="C70">
    <cfRule type="cellIs" dxfId="5326" priority="6033" stopIfTrue="1" operator="equal">
      <formula>"Towel"</formula>
    </cfRule>
  </conditionalFormatting>
  <conditionalFormatting sqref="B70:C70">
    <cfRule type="cellIs" dxfId="5325" priority="6023" stopIfTrue="1" operator="equal">
      <formula>"Towel"</formula>
    </cfRule>
    <cfRule type="cellIs" dxfId="5324" priority="6024" stopIfTrue="1" operator="equal">
      <formula>"Napkin Hs"</formula>
    </cfRule>
  </conditionalFormatting>
  <conditionalFormatting sqref="C70">
    <cfRule type="cellIs" dxfId="5323" priority="6019" stopIfTrue="1" operator="equal">
      <formula>"Towel"</formula>
    </cfRule>
    <cfRule type="cellIs" dxfId="5322" priority="6020" stopIfTrue="1" operator="equal">
      <formula>"Napkin Hs"</formula>
    </cfRule>
  </conditionalFormatting>
  <conditionalFormatting sqref="C70">
    <cfRule type="cellIs" dxfId="5321" priority="6021" stopIfTrue="1" operator="equal">
      <formula>"Towel"</formula>
    </cfRule>
    <cfRule type="cellIs" dxfId="5320" priority="6022" stopIfTrue="1" operator="equal">
      <formula>"Napkin Hs"</formula>
    </cfRule>
  </conditionalFormatting>
  <conditionalFormatting sqref="B70:C70">
    <cfRule type="cellIs" dxfId="5319" priority="6015" stopIfTrue="1" operator="equal">
      <formula>"Towel"</formula>
    </cfRule>
    <cfRule type="cellIs" dxfId="5318" priority="6016" stopIfTrue="1" operator="equal">
      <formula>"Napkin Hs"</formula>
    </cfRule>
  </conditionalFormatting>
  <conditionalFormatting sqref="C70">
    <cfRule type="cellIs" dxfId="5317" priority="6017" stopIfTrue="1" operator="equal">
      <formula>"Towel"</formula>
    </cfRule>
    <cfRule type="cellIs" dxfId="5316" priority="6018" stopIfTrue="1" operator="equal">
      <formula>"Napkin Hs"</formula>
    </cfRule>
  </conditionalFormatting>
  <conditionalFormatting sqref="C70">
    <cfRule type="cellIs" dxfId="5315" priority="6011" stopIfTrue="1" operator="equal">
      <formula>"Towel"</formula>
    </cfRule>
    <cfRule type="cellIs" dxfId="5314" priority="6012" stopIfTrue="1" operator="equal">
      <formula>"Napkin Hs"</formula>
    </cfRule>
  </conditionalFormatting>
  <conditionalFormatting sqref="C70">
    <cfRule type="cellIs" dxfId="5313" priority="6013" stopIfTrue="1" operator="equal">
      <formula>"Towel"</formula>
    </cfRule>
    <cfRule type="cellIs" dxfId="5312" priority="6014" stopIfTrue="1" operator="equal">
      <formula>"Napkin Hs"</formula>
    </cfRule>
  </conditionalFormatting>
  <conditionalFormatting sqref="B70:C70">
    <cfRule type="cellIs" dxfId="5311" priority="6009" stopIfTrue="1" operator="equal">
      <formula>"Towel"</formula>
    </cfRule>
    <cfRule type="cellIs" dxfId="5310" priority="6010" stopIfTrue="1" operator="equal">
      <formula>"Napkin Hs"</formula>
    </cfRule>
  </conditionalFormatting>
  <conditionalFormatting sqref="C70">
    <cfRule type="cellIs" dxfId="5309" priority="6008" stopIfTrue="1" operator="equal">
      <formula>"Napkin Hs"</formula>
    </cfRule>
  </conditionalFormatting>
  <conditionalFormatting sqref="C70">
    <cfRule type="cellIs" dxfId="5308" priority="6007" stopIfTrue="1" operator="equal">
      <formula>"Towel"</formula>
    </cfRule>
  </conditionalFormatting>
  <conditionalFormatting sqref="C69">
    <cfRule type="cellIs" dxfId="5307" priority="6005" stopIfTrue="1" operator="equal">
      <formula>"Towel"</formula>
    </cfRule>
    <cfRule type="cellIs" dxfId="5306" priority="6006" stopIfTrue="1" operator="equal">
      <formula>"Napkin Hs"</formula>
    </cfRule>
  </conditionalFormatting>
  <conditionalFormatting sqref="C69">
    <cfRule type="cellIs" dxfId="5305" priority="6001" stopIfTrue="1" operator="equal">
      <formula>"Towel"</formula>
    </cfRule>
    <cfRule type="cellIs" dxfId="5304" priority="6002" stopIfTrue="1" operator="equal">
      <formula>"Napkin Hs"</formula>
    </cfRule>
  </conditionalFormatting>
  <conditionalFormatting sqref="C69">
    <cfRule type="cellIs" dxfId="5303" priority="6003" stopIfTrue="1" operator="equal">
      <formula>"Towel"</formula>
    </cfRule>
    <cfRule type="cellIs" dxfId="5302" priority="6004" stopIfTrue="1" operator="equal">
      <formula>"Napkin Hs"</formula>
    </cfRule>
  </conditionalFormatting>
  <conditionalFormatting sqref="C69">
    <cfRule type="cellIs" dxfId="5301" priority="5999" stopIfTrue="1" operator="equal">
      <formula>"Towel"</formula>
    </cfRule>
    <cfRule type="cellIs" dxfId="5300" priority="6000" stopIfTrue="1" operator="equal">
      <formula>"Napkin Hs"</formula>
    </cfRule>
  </conditionalFormatting>
  <conditionalFormatting sqref="C69">
    <cfRule type="cellIs" dxfId="5299" priority="5995" stopIfTrue="1" operator="equal">
      <formula>"Towel"</formula>
    </cfRule>
    <cfRule type="cellIs" dxfId="5298" priority="5996" stopIfTrue="1" operator="equal">
      <formula>"Napkin Hs"</formula>
    </cfRule>
  </conditionalFormatting>
  <conditionalFormatting sqref="C69">
    <cfRule type="cellIs" dxfId="5297" priority="5997" stopIfTrue="1" operator="equal">
      <formula>"Towel"</formula>
    </cfRule>
    <cfRule type="cellIs" dxfId="5296" priority="5998" stopIfTrue="1" operator="equal">
      <formula>"Napkin Hs"</formula>
    </cfRule>
  </conditionalFormatting>
  <conditionalFormatting sqref="C69">
    <cfRule type="cellIs" dxfId="5295" priority="5993" stopIfTrue="1" operator="equal">
      <formula>"Towel"</formula>
    </cfRule>
    <cfRule type="cellIs" dxfId="5294" priority="5994" stopIfTrue="1" operator="equal">
      <formula>"Napkin Hs"</formula>
    </cfRule>
  </conditionalFormatting>
  <conditionalFormatting sqref="C69">
    <cfRule type="cellIs" dxfId="5293" priority="5989" stopIfTrue="1" operator="equal">
      <formula>"Towel"</formula>
    </cfRule>
    <cfRule type="cellIs" dxfId="5292" priority="5990" stopIfTrue="1" operator="equal">
      <formula>"Napkin Hs"</formula>
    </cfRule>
  </conditionalFormatting>
  <conditionalFormatting sqref="C69">
    <cfRule type="cellIs" dxfId="5291" priority="5991" stopIfTrue="1" operator="equal">
      <formula>"Towel"</formula>
    </cfRule>
    <cfRule type="cellIs" dxfId="5290" priority="5992" stopIfTrue="1" operator="equal">
      <formula>"Napkin Hs"</formula>
    </cfRule>
  </conditionalFormatting>
  <conditionalFormatting sqref="C69">
    <cfRule type="cellIs" dxfId="5289" priority="5987" stopIfTrue="1" operator="equal">
      <formula>"Towel"</formula>
    </cfRule>
    <cfRule type="cellIs" dxfId="5288" priority="5988" stopIfTrue="1" operator="equal">
      <formula>"Napkin Hs"</formula>
    </cfRule>
  </conditionalFormatting>
  <conditionalFormatting sqref="C69">
    <cfRule type="cellIs" dxfId="5287" priority="5985" stopIfTrue="1" operator="equal">
      <formula>"Towel"</formula>
    </cfRule>
    <cfRule type="cellIs" dxfId="5286" priority="5986" stopIfTrue="1" operator="equal">
      <formula>"Napkin Hs"</formula>
    </cfRule>
  </conditionalFormatting>
  <conditionalFormatting sqref="C69">
    <cfRule type="cellIs" dxfId="5285" priority="5983" stopIfTrue="1" operator="equal">
      <formula>"Towel"</formula>
    </cfRule>
    <cfRule type="cellIs" dxfId="5284" priority="5984" stopIfTrue="1" operator="equal">
      <formula>"Napkin Hs"</formula>
    </cfRule>
  </conditionalFormatting>
  <conditionalFormatting sqref="C69">
    <cfRule type="cellIs" dxfId="5283" priority="5981" stopIfTrue="1" operator="equal">
      <formula>"Towel"</formula>
    </cfRule>
    <cfRule type="cellIs" dxfId="5282" priority="5982" stopIfTrue="1" operator="equal">
      <formula>"Napkin Hs"</formula>
    </cfRule>
  </conditionalFormatting>
  <conditionalFormatting sqref="C69">
    <cfRule type="cellIs" dxfId="5281" priority="5980" stopIfTrue="1" operator="equal">
      <formula>"Napkin Hs"</formula>
    </cfRule>
  </conditionalFormatting>
  <conditionalFormatting sqref="C69">
    <cfRule type="cellIs" dxfId="5280" priority="5977" stopIfTrue="1" operator="equal">
      <formula>"Towel"</formula>
    </cfRule>
    <cfRule type="cellIs" dxfId="5279" priority="5978" stopIfTrue="1" operator="equal">
      <formula>"Napkin Hs"</formula>
    </cfRule>
  </conditionalFormatting>
  <conditionalFormatting sqref="C69">
    <cfRule type="cellIs" dxfId="5278" priority="5979" stopIfTrue="1" operator="equal">
      <formula>"Towel"</formula>
    </cfRule>
  </conditionalFormatting>
  <conditionalFormatting sqref="B69">
    <cfRule type="cellIs" dxfId="5277" priority="5975" stopIfTrue="1" operator="equal">
      <formula>"Towel"</formula>
    </cfRule>
    <cfRule type="cellIs" dxfId="5276" priority="5976" stopIfTrue="1" operator="equal">
      <formula>"Napkin Hs"</formula>
    </cfRule>
  </conditionalFormatting>
  <conditionalFormatting sqref="B69">
    <cfRule type="cellIs" dxfId="5275" priority="5973" stopIfTrue="1" operator="equal">
      <formula>"Towel"</formula>
    </cfRule>
    <cfRule type="cellIs" dxfId="5274" priority="5974" stopIfTrue="1" operator="equal">
      <formula>"Napkin Hs"</formula>
    </cfRule>
  </conditionalFormatting>
  <conditionalFormatting sqref="B69">
    <cfRule type="cellIs" dxfId="5273" priority="5971" stopIfTrue="1" operator="equal">
      <formula>"Towel"</formula>
    </cfRule>
    <cfRule type="cellIs" dxfId="5272" priority="5972" stopIfTrue="1" operator="equal">
      <formula>"Napkin Hs"</formula>
    </cfRule>
  </conditionalFormatting>
  <conditionalFormatting sqref="B69">
    <cfRule type="cellIs" dxfId="5271" priority="5969" stopIfTrue="1" operator="equal">
      <formula>"Towel"</formula>
    </cfRule>
    <cfRule type="cellIs" dxfId="5270" priority="5970" stopIfTrue="1" operator="equal">
      <formula>"Napkin Hs"</formula>
    </cfRule>
  </conditionalFormatting>
  <conditionalFormatting sqref="B69">
    <cfRule type="cellIs" dxfId="5269" priority="5967" stopIfTrue="1" operator="equal">
      <formula>"Towel"</formula>
    </cfRule>
    <cfRule type="cellIs" dxfId="5268" priority="5968" stopIfTrue="1" operator="equal">
      <formula>"Napkin Hs"</formula>
    </cfRule>
  </conditionalFormatting>
  <conditionalFormatting sqref="B69">
    <cfRule type="cellIs" dxfId="5267" priority="5965" stopIfTrue="1" operator="equal">
      <formula>"Towel"</formula>
    </cfRule>
    <cfRule type="cellIs" dxfId="5266" priority="5966" stopIfTrue="1" operator="equal">
      <formula>"Napkin Hs"</formula>
    </cfRule>
  </conditionalFormatting>
  <conditionalFormatting sqref="B69">
    <cfRule type="cellIs" dxfId="5265" priority="5961" stopIfTrue="1" operator="equal">
      <formula>"Towel"</formula>
    </cfRule>
    <cfRule type="cellIs" dxfId="5264" priority="5962" stopIfTrue="1" operator="equal">
      <formula>"Napkin Hs"</formula>
    </cfRule>
    <cfRule type="cellIs" dxfId="5263" priority="5963" stopIfTrue="1" operator="equal">
      <formula>"Towel"</formula>
    </cfRule>
    <cfRule type="cellIs" dxfId="5262" priority="5964" stopIfTrue="1" operator="equal">
      <formula>"Napkin Hs"</formula>
    </cfRule>
  </conditionalFormatting>
  <conditionalFormatting sqref="B69">
    <cfRule type="cellIs" dxfId="5261" priority="5959" stopIfTrue="1" operator="equal">
      <formula>"Towel"</formula>
    </cfRule>
    <cfRule type="cellIs" dxfId="5260" priority="5960" stopIfTrue="1" operator="equal">
      <formula>"Napkin Hs"</formula>
    </cfRule>
  </conditionalFormatting>
  <conditionalFormatting sqref="B69">
    <cfRule type="cellIs" dxfId="5259" priority="5957" stopIfTrue="1" operator="equal">
      <formula>"Towel"</formula>
    </cfRule>
    <cfRule type="cellIs" dxfId="5258" priority="5958" stopIfTrue="1" operator="equal">
      <formula>"Napkin Hs"</formula>
    </cfRule>
  </conditionalFormatting>
  <conditionalFormatting sqref="B69">
    <cfRule type="cellIs" dxfId="5257" priority="5955" stopIfTrue="1" operator="equal">
      <formula>"Towel"</formula>
    </cfRule>
    <cfRule type="cellIs" dxfId="5256" priority="5956" stopIfTrue="1" operator="equal">
      <formula>"Napkin Hs"</formula>
    </cfRule>
  </conditionalFormatting>
  <conditionalFormatting sqref="B69">
    <cfRule type="cellIs" dxfId="5255" priority="5953" stopIfTrue="1" operator="equal">
      <formula>"Towel"</formula>
    </cfRule>
    <cfRule type="cellIs" dxfId="5254" priority="5954" stopIfTrue="1" operator="equal">
      <formula>"Napkin Hs"</formula>
    </cfRule>
  </conditionalFormatting>
  <conditionalFormatting sqref="B69">
    <cfRule type="cellIs" dxfId="5253" priority="5951" stopIfTrue="1" operator="equal">
      <formula>"Towel"</formula>
    </cfRule>
    <cfRule type="cellIs" dxfId="5252" priority="5952" stopIfTrue="1" operator="equal">
      <formula>"Napkin Hs"</formula>
    </cfRule>
  </conditionalFormatting>
  <conditionalFormatting sqref="B69:C69">
    <cfRule type="cellIs" dxfId="5251" priority="5937" stopIfTrue="1" operator="equal">
      <formula>"Towel"</formula>
    </cfRule>
    <cfRule type="cellIs" dxfId="5250" priority="5938" stopIfTrue="1" operator="equal">
      <formula>"Napkin Hs"</formula>
    </cfRule>
    <cfRule type="cellIs" dxfId="5249" priority="5943" stopIfTrue="1" operator="equal">
      <formula>"Towel"</formula>
    </cfRule>
    <cfRule type="cellIs" dxfId="5248" priority="5944" stopIfTrue="1" operator="equal">
      <formula>"Napkin Hs"</formula>
    </cfRule>
    <cfRule type="cellIs" dxfId="5247" priority="5949" stopIfTrue="1" operator="equal">
      <formula>"Towel"</formula>
    </cfRule>
    <cfRule type="cellIs" dxfId="5246" priority="5950" stopIfTrue="1" operator="equal">
      <formula>"Napkin Hs"</formula>
    </cfRule>
  </conditionalFormatting>
  <conditionalFormatting sqref="C69">
    <cfRule type="cellIs" dxfId="5245" priority="5931" stopIfTrue="1" operator="equal">
      <formula>"Towel"</formula>
    </cfRule>
    <cfRule type="cellIs" dxfId="5244" priority="5932" stopIfTrue="1" operator="equal">
      <formula>"Napkin Hs"</formula>
    </cfRule>
    <cfRule type="cellIs" dxfId="5243" priority="5933" stopIfTrue="1" operator="equal">
      <formula>"Towel"</formula>
    </cfRule>
    <cfRule type="cellIs" dxfId="5242" priority="5934" stopIfTrue="1" operator="equal">
      <formula>"Napkin Hs"</formula>
    </cfRule>
    <cfRule type="cellIs" dxfId="5241" priority="5941" stopIfTrue="1" operator="equal">
      <formula>"Towel"</formula>
    </cfRule>
    <cfRule type="cellIs" dxfId="5240" priority="5942" stopIfTrue="1" operator="equal">
      <formula>"Napkin Hs"</formula>
    </cfRule>
    <cfRule type="cellIs" dxfId="5239" priority="5945" stopIfTrue="1" operator="equal">
      <formula>"Towel"</formula>
    </cfRule>
    <cfRule type="cellIs" dxfId="5238" priority="5946" stopIfTrue="1" operator="equal">
      <formula>"Napkin Hs"</formula>
    </cfRule>
  </conditionalFormatting>
  <conditionalFormatting sqref="C69">
    <cfRule type="cellIs" dxfId="5237" priority="5935" stopIfTrue="1" operator="equal">
      <formula>"Towel"</formula>
    </cfRule>
    <cfRule type="cellIs" dxfId="5236" priority="5936" stopIfTrue="1" operator="equal">
      <formula>"Napkin Hs"</formula>
    </cfRule>
    <cfRule type="cellIs" dxfId="5235" priority="5939" stopIfTrue="1" operator="equal">
      <formula>"Towel"</formula>
    </cfRule>
    <cfRule type="cellIs" dxfId="5234" priority="5940" stopIfTrue="1" operator="equal">
      <formula>"Napkin Hs"</formula>
    </cfRule>
    <cfRule type="cellIs" dxfId="5233" priority="5947" stopIfTrue="1" operator="equal">
      <formula>"Towel"</formula>
    </cfRule>
    <cfRule type="cellIs" dxfId="5232" priority="5948" stopIfTrue="1" operator="equal">
      <formula>"Napkin Hs"</formula>
    </cfRule>
  </conditionalFormatting>
  <conditionalFormatting sqref="B69:C69">
    <cfRule type="cellIs" dxfId="5231" priority="5929" stopIfTrue="1" operator="equal">
      <formula>"Towel"</formula>
    </cfRule>
    <cfRule type="cellIs" dxfId="5230" priority="5930" stopIfTrue="1" operator="equal">
      <formula>"Napkin Hs"</formula>
    </cfRule>
  </conditionalFormatting>
  <conditionalFormatting sqref="B69:C69">
    <cfRule type="cellIs" dxfId="5229" priority="5921" stopIfTrue="1" operator="equal">
      <formula>"Towel"</formula>
    </cfRule>
    <cfRule type="cellIs" dxfId="5228" priority="5922" stopIfTrue="1" operator="equal">
      <formula>"Napkin Hs"</formula>
    </cfRule>
    <cfRule type="cellIs" dxfId="5227" priority="5927" stopIfTrue="1" operator="equal">
      <formula>"Towel"</formula>
    </cfRule>
    <cfRule type="cellIs" dxfId="5226" priority="5928" stopIfTrue="1" operator="equal">
      <formula>"Napkin Hs"</formula>
    </cfRule>
  </conditionalFormatting>
  <conditionalFormatting sqref="C69">
    <cfRule type="cellIs" dxfId="5225" priority="5917" stopIfTrue="1" operator="equal">
      <formula>"Towel"</formula>
    </cfRule>
    <cfRule type="cellIs" dxfId="5224" priority="5918" stopIfTrue="1" operator="equal">
      <formula>"Napkin Hs"</formula>
    </cfRule>
  </conditionalFormatting>
  <conditionalFormatting sqref="C69">
    <cfRule type="cellIs" dxfId="5223" priority="5915" stopIfTrue="1" operator="equal">
      <formula>"Towel"</formula>
    </cfRule>
    <cfRule type="cellIs" dxfId="5222" priority="5916" stopIfTrue="1" operator="equal">
      <formula>"Napkin Hs"</formula>
    </cfRule>
    <cfRule type="cellIs" dxfId="5221" priority="5925" stopIfTrue="1" operator="equal">
      <formula>"Towel"</formula>
    </cfRule>
    <cfRule type="cellIs" dxfId="5220" priority="5926" stopIfTrue="1" operator="equal">
      <formula>"Napkin Hs"</formula>
    </cfRule>
  </conditionalFormatting>
  <conditionalFormatting sqref="C69">
    <cfRule type="cellIs" dxfId="5219" priority="5919" stopIfTrue="1" operator="equal">
      <formula>"Towel"</formula>
    </cfRule>
    <cfRule type="cellIs" dxfId="5218" priority="5920" stopIfTrue="1" operator="equal">
      <formula>"Napkin Hs"</formula>
    </cfRule>
    <cfRule type="cellIs" dxfId="5217" priority="5923" stopIfTrue="1" operator="equal">
      <formula>"Towel"</formula>
    </cfRule>
    <cfRule type="cellIs" dxfId="5216" priority="5924" stopIfTrue="1" operator="equal">
      <formula>"Napkin Hs"</formula>
    </cfRule>
  </conditionalFormatting>
  <conditionalFormatting sqref="C69">
    <cfRule type="cellIs" dxfId="5215" priority="5914" stopIfTrue="1" operator="equal">
      <formula>"Napkin Hs"</formula>
    </cfRule>
  </conditionalFormatting>
  <conditionalFormatting sqref="C69">
    <cfRule type="cellIs" dxfId="5214" priority="5913" stopIfTrue="1" operator="equal">
      <formula>"Towel"</formula>
    </cfRule>
  </conditionalFormatting>
  <conditionalFormatting sqref="C69">
    <cfRule type="cellIs" dxfId="5213" priority="5909" stopIfTrue="1" operator="equal">
      <formula>"Towel"</formula>
    </cfRule>
    <cfRule type="cellIs" dxfId="5212" priority="5910" stopIfTrue="1" operator="equal">
      <formula>"Napkin Hs"</formula>
    </cfRule>
    <cfRule type="cellIs" dxfId="5211" priority="5911" stopIfTrue="1" operator="equal">
      <formula>"Towel"</formula>
    </cfRule>
    <cfRule type="cellIs" dxfId="5210" priority="5912" stopIfTrue="1" operator="equal">
      <formula>"Napkin Hs"</formula>
    </cfRule>
  </conditionalFormatting>
  <conditionalFormatting sqref="B69:C69">
    <cfRule type="cellIs" dxfId="5209" priority="5907" stopIfTrue="1" operator="equal">
      <formula>"Towel"</formula>
    </cfRule>
    <cfRule type="cellIs" dxfId="5208" priority="5908" stopIfTrue="1" operator="equal">
      <formula>"Napkin Hs"</formula>
    </cfRule>
  </conditionalFormatting>
  <conditionalFormatting sqref="C69">
    <cfRule type="cellIs" dxfId="5207" priority="5903" stopIfTrue="1" operator="equal">
      <formula>"Towel"</formula>
    </cfRule>
    <cfRule type="cellIs" dxfId="5206" priority="5904" stopIfTrue="1" operator="equal">
      <formula>"Napkin Hs"</formula>
    </cfRule>
  </conditionalFormatting>
  <conditionalFormatting sqref="C69">
    <cfRule type="cellIs" dxfId="5205" priority="5905" stopIfTrue="1" operator="equal">
      <formula>"Towel"</formula>
    </cfRule>
    <cfRule type="cellIs" dxfId="5204" priority="5906" stopIfTrue="1" operator="equal">
      <formula>"Napkin Hs"</formula>
    </cfRule>
  </conditionalFormatting>
  <conditionalFormatting sqref="B69:C69">
    <cfRule type="cellIs" dxfId="5203" priority="5901" stopIfTrue="1" operator="equal">
      <formula>"Towel"</formula>
    </cfRule>
    <cfRule type="cellIs" dxfId="5202" priority="5902" stopIfTrue="1" operator="equal">
      <formula>"Napkin Hs"</formula>
    </cfRule>
  </conditionalFormatting>
  <conditionalFormatting sqref="C69">
    <cfRule type="cellIs" dxfId="5201" priority="5897" stopIfTrue="1" operator="equal">
      <formula>"Towel"</formula>
    </cfRule>
    <cfRule type="cellIs" dxfId="5200" priority="5898" stopIfTrue="1" operator="equal">
      <formula>"Napkin Hs"</formula>
    </cfRule>
  </conditionalFormatting>
  <conditionalFormatting sqref="C69">
    <cfRule type="cellIs" dxfId="5199" priority="5899" stopIfTrue="1" operator="equal">
      <formula>"Towel"</formula>
    </cfRule>
    <cfRule type="cellIs" dxfId="5198" priority="5900" stopIfTrue="1" operator="equal">
      <formula>"Napkin Hs"</formula>
    </cfRule>
  </conditionalFormatting>
  <conditionalFormatting sqref="B69:C69">
    <cfRule type="cellIs" dxfId="5197" priority="5895" stopIfTrue="1" operator="equal">
      <formula>"Towel"</formula>
    </cfRule>
    <cfRule type="cellIs" dxfId="5196" priority="5896" stopIfTrue="1" operator="equal">
      <formula>"Napkin Hs"</formula>
    </cfRule>
  </conditionalFormatting>
  <conditionalFormatting sqref="C69">
    <cfRule type="cellIs" dxfId="5195" priority="5891" stopIfTrue="1" operator="equal">
      <formula>"Towel"</formula>
    </cfRule>
    <cfRule type="cellIs" dxfId="5194" priority="5892" stopIfTrue="1" operator="equal">
      <formula>"Napkin Hs"</formula>
    </cfRule>
  </conditionalFormatting>
  <conditionalFormatting sqref="C69">
    <cfRule type="cellIs" dxfId="5193" priority="5893" stopIfTrue="1" operator="equal">
      <formula>"Towel"</formula>
    </cfRule>
    <cfRule type="cellIs" dxfId="5192" priority="5894" stopIfTrue="1" operator="equal">
      <formula>"Napkin Hs"</formula>
    </cfRule>
  </conditionalFormatting>
  <conditionalFormatting sqref="B69:C69">
    <cfRule type="cellIs" dxfId="5191" priority="5889" stopIfTrue="1" operator="equal">
      <formula>"Towel"</formula>
    </cfRule>
    <cfRule type="cellIs" dxfId="5190" priority="5890" stopIfTrue="1" operator="equal">
      <formula>"Napkin Hs"</formula>
    </cfRule>
  </conditionalFormatting>
  <conditionalFormatting sqref="C69">
    <cfRule type="cellIs" dxfId="5189" priority="5887" stopIfTrue="1" operator="equal">
      <formula>"Towel"</formula>
    </cfRule>
    <cfRule type="cellIs" dxfId="5188" priority="5888" stopIfTrue="1" operator="equal">
      <formula>"Napkin Hs"</formula>
    </cfRule>
  </conditionalFormatting>
  <conditionalFormatting sqref="C69">
    <cfRule type="cellIs" dxfId="5187" priority="5885" stopIfTrue="1" operator="equal">
      <formula>"Towel"</formula>
    </cfRule>
    <cfRule type="cellIs" dxfId="5186" priority="5886" stopIfTrue="1" operator="equal">
      <formula>"Napkin Hs"</formula>
    </cfRule>
  </conditionalFormatting>
  <conditionalFormatting sqref="B69:C69">
    <cfRule type="cellIs" dxfId="5185" priority="5883" stopIfTrue="1" operator="equal">
      <formula>"Towel"</formula>
    </cfRule>
    <cfRule type="cellIs" dxfId="5184" priority="5884" stopIfTrue="1" operator="equal">
      <formula>"Napkin Hs"</formula>
    </cfRule>
  </conditionalFormatting>
  <conditionalFormatting sqref="C69">
    <cfRule type="cellIs" dxfId="5183" priority="5882" stopIfTrue="1" operator="equal">
      <formula>"Napkin Hs"</formula>
    </cfRule>
  </conditionalFormatting>
  <conditionalFormatting sqref="C69">
    <cfRule type="cellIs" dxfId="5182" priority="5879" stopIfTrue="1" operator="equal">
      <formula>"Towel"</formula>
    </cfRule>
    <cfRule type="cellIs" dxfId="5181" priority="5880" stopIfTrue="1" operator="equal">
      <formula>"Napkin Hs"</formula>
    </cfRule>
  </conditionalFormatting>
  <conditionalFormatting sqref="C69">
    <cfRule type="cellIs" dxfId="5180" priority="5881" stopIfTrue="1" operator="equal">
      <formula>"Towel"</formula>
    </cfRule>
  </conditionalFormatting>
  <conditionalFormatting sqref="B68:C68">
    <cfRule type="cellIs" dxfId="5179" priority="5835" stopIfTrue="1" operator="equal">
      <formula>"Towel"</formula>
    </cfRule>
    <cfRule type="cellIs" dxfId="5178" priority="5836" stopIfTrue="1" operator="equal">
      <formula>"Napkin Hs"</formula>
    </cfRule>
    <cfRule type="cellIs" dxfId="5177" priority="5841" stopIfTrue="1" operator="equal">
      <formula>"Towel"</formula>
    </cfRule>
    <cfRule type="cellIs" dxfId="5176" priority="5842" stopIfTrue="1" operator="equal">
      <formula>"Napkin Hs"</formula>
    </cfRule>
    <cfRule type="cellIs" dxfId="5175" priority="5847" stopIfTrue="1" operator="equal">
      <formula>"Towel"</formula>
    </cfRule>
    <cfRule type="cellIs" dxfId="5174" priority="5848" stopIfTrue="1" operator="equal">
      <formula>"Napkin Hs"</formula>
    </cfRule>
    <cfRule type="cellIs" dxfId="5173" priority="5853" stopIfTrue="1" operator="equal">
      <formula>"Towel"</formula>
    </cfRule>
    <cfRule type="cellIs" dxfId="5172" priority="5854" stopIfTrue="1" operator="equal">
      <formula>"Napkin Hs"</formula>
    </cfRule>
    <cfRule type="cellIs" dxfId="5171" priority="5859" stopIfTrue="1" operator="equal">
      <formula>"Towel"</formula>
    </cfRule>
    <cfRule type="cellIs" dxfId="5170" priority="5860" stopIfTrue="1" operator="equal">
      <formula>"Napkin Hs"</formula>
    </cfRule>
    <cfRule type="cellIs" dxfId="5169" priority="5865" stopIfTrue="1" operator="equal">
      <formula>"Towel"</formula>
    </cfRule>
    <cfRule type="cellIs" dxfId="5168" priority="5866" stopIfTrue="1" operator="equal">
      <formula>"Napkin Hs"</formula>
    </cfRule>
    <cfRule type="cellIs" dxfId="5167" priority="5871" stopIfTrue="1" operator="equal">
      <formula>"Towel"</formula>
    </cfRule>
    <cfRule type="cellIs" dxfId="5166" priority="5872" stopIfTrue="1" operator="equal">
      <formula>"Napkin Hs"</formula>
    </cfRule>
    <cfRule type="cellIs" dxfId="5165" priority="5877" stopIfTrue="1" operator="equal">
      <formula>"Towel"</formula>
    </cfRule>
    <cfRule type="cellIs" dxfId="5164" priority="5878" stopIfTrue="1" operator="equal">
      <formula>"Napkin Hs"</formula>
    </cfRule>
  </conditionalFormatting>
  <conditionalFormatting sqref="C68">
    <cfRule type="cellIs" dxfId="5163" priority="5831" stopIfTrue="1" operator="equal">
      <formula>"Towel"</formula>
    </cfRule>
    <cfRule type="cellIs" dxfId="5162" priority="5832" stopIfTrue="1" operator="equal">
      <formula>"Napkin Hs"</formula>
    </cfRule>
    <cfRule type="cellIs" dxfId="5161" priority="5833" stopIfTrue="1" operator="equal">
      <formula>"Towel"</formula>
    </cfRule>
    <cfRule type="cellIs" dxfId="5160" priority="5834" stopIfTrue="1" operator="equal">
      <formula>"Napkin Hs"</formula>
    </cfRule>
    <cfRule type="cellIs" dxfId="5159" priority="5837" stopIfTrue="1" operator="equal">
      <formula>"Towel"</formula>
    </cfRule>
    <cfRule type="cellIs" dxfId="5158" priority="5838" stopIfTrue="1" operator="equal">
      <formula>"Napkin Hs"</formula>
    </cfRule>
    <cfRule type="cellIs" dxfId="5157" priority="5839" stopIfTrue="1" operator="equal">
      <formula>"Towel"</formula>
    </cfRule>
    <cfRule type="cellIs" dxfId="5156" priority="5840" stopIfTrue="1" operator="equal">
      <formula>"Napkin Hs"</formula>
    </cfRule>
    <cfRule type="cellIs" dxfId="5155" priority="5843" stopIfTrue="1" operator="equal">
      <formula>"Towel"</formula>
    </cfRule>
    <cfRule type="cellIs" dxfId="5154" priority="5844" stopIfTrue="1" operator="equal">
      <formula>"Napkin Hs"</formula>
    </cfRule>
    <cfRule type="cellIs" dxfId="5153" priority="5845" stopIfTrue="1" operator="equal">
      <formula>"Towel"</formula>
    </cfRule>
    <cfRule type="cellIs" dxfId="5152" priority="5846" stopIfTrue="1" operator="equal">
      <formula>"Napkin Hs"</formula>
    </cfRule>
    <cfRule type="cellIs" dxfId="5151" priority="5849" stopIfTrue="1" operator="equal">
      <formula>"Towel"</formula>
    </cfRule>
    <cfRule type="cellIs" dxfId="5150" priority="5850" stopIfTrue="1" operator="equal">
      <formula>"Napkin Hs"</formula>
    </cfRule>
    <cfRule type="cellIs" dxfId="5149" priority="5851" stopIfTrue="1" operator="equal">
      <formula>"Towel"</formula>
    </cfRule>
    <cfRule type="cellIs" dxfId="5148" priority="5852" stopIfTrue="1" operator="equal">
      <formula>"Napkin Hs"</formula>
    </cfRule>
    <cfRule type="cellIs" dxfId="5147" priority="5855" stopIfTrue="1" operator="equal">
      <formula>"Towel"</formula>
    </cfRule>
    <cfRule type="cellIs" dxfId="5146" priority="5856" stopIfTrue="1" operator="equal">
      <formula>"Napkin Hs"</formula>
    </cfRule>
    <cfRule type="cellIs" dxfId="5145" priority="5857" stopIfTrue="1" operator="equal">
      <formula>"Towel"</formula>
    </cfRule>
    <cfRule type="cellIs" dxfId="5144" priority="5858" stopIfTrue="1" operator="equal">
      <formula>"Napkin Hs"</formula>
    </cfRule>
    <cfRule type="cellIs" dxfId="5143" priority="5861" stopIfTrue="1" operator="equal">
      <formula>"Towel"</formula>
    </cfRule>
    <cfRule type="cellIs" dxfId="5142" priority="5862" stopIfTrue="1" operator="equal">
      <formula>"Napkin Hs"</formula>
    </cfRule>
    <cfRule type="cellIs" dxfId="5141" priority="5863" stopIfTrue="1" operator="equal">
      <formula>"Towel"</formula>
    </cfRule>
    <cfRule type="cellIs" dxfId="5140" priority="5864" stopIfTrue="1" operator="equal">
      <formula>"Napkin Hs"</formula>
    </cfRule>
    <cfRule type="cellIs" dxfId="5139" priority="5867" stopIfTrue="1" operator="equal">
      <formula>"Towel"</formula>
    </cfRule>
    <cfRule type="cellIs" dxfId="5138" priority="5868" stopIfTrue="1" operator="equal">
      <formula>"Napkin Hs"</formula>
    </cfRule>
    <cfRule type="cellIs" dxfId="5137" priority="5869" stopIfTrue="1" operator="equal">
      <formula>"Towel"</formula>
    </cfRule>
    <cfRule type="cellIs" dxfId="5136" priority="5870" stopIfTrue="1" operator="equal">
      <formula>"Napkin Hs"</formula>
    </cfRule>
    <cfRule type="cellIs" dxfId="5135" priority="5873" stopIfTrue="1" operator="equal">
      <formula>"Towel"</formula>
    </cfRule>
    <cfRule type="cellIs" dxfId="5134" priority="5874" stopIfTrue="1" operator="equal">
      <formula>"Napkin Hs"</formula>
    </cfRule>
  </conditionalFormatting>
  <conditionalFormatting sqref="C68">
    <cfRule type="cellIs" dxfId="5133" priority="5875" stopIfTrue="1" operator="equal">
      <formula>"Towel"</formula>
    </cfRule>
    <cfRule type="cellIs" dxfId="5132" priority="5876" stopIfTrue="1" operator="equal">
      <formula>"Napkin Hs"</formula>
    </cfRule>
  </conditionalFormatting>
  <conditionalFormatting sqref="B68">
    <cfRule type="cellIs" dxfId="5131" priority="5825" stopIfTrue="1" operator="equal">
      <formula>"Towel"</formula>
    </cfRule>
    <cfRule type="cellIs" dxfId="5130" priority="5826" stopIfTrue="1" operator="equal">
      <formula>"Napkin Hs"</formula>
    </cfRule>
    <cfRule type="cellIs" dxfId="5129" priority="5827" stopIfTrue="1" operator="equal">
      <formula>"Towel"</formula>
    </cfRule>
    <cfRule type="cellIs" dxfId="5128" priority="5828" stopIfTrue="1" operator="equal">
      <formula>"Napkin Hs"</formula>
    </cfRule>
    <cfRule type="cellIs" dxfId="5127" priority="5829" stopIfTrue="1" operator="equal">
      <formula>"Towel"</formula>
    </cfRule>
    <cfRule type="cellIs" dxfId="5126" priority="5830" stopIfTrue="1" operator="equal">
      <formula>"Napkin Hs"</formula>
    </cfRule>
  </conditionalFormatting>
  <conditionalFormatting sqref="B68:C68">
    <cfRule type="cellIs" dxfId="5125" priority="5787" stopIfTrue="1" operator="equal">
      <formula>"Towel"</formula>
    </cfRule>
    <cfRule type="cellIs" dxfId="5124" priority="5788" stopIfTrue="1" operator="equal">
      <formula>"Napkin Hs"</formula>
    </cfRule>
    <cfRule type="cellIs" dxfId="5123" priority="5793" stopIfTrue="1" operator="equal">
      <formula>"Towel"</formula>
    </cfRule>
    <cfRule type="cellIs" dxfId="5122" priority="5794" stopIfTrue="1" operator="equal">
      <formula>"Napkin Hs"</formula>
    </cfRule>
    <cfRule type="cellIs" dxfId="5121" priority="5799" stopIfTrue="1" operator="equal">
      <formula>"Towel"</formula>
    </cfRule>
    <cfRule type="cellIs" dxfId="5120" priority="5800" stopIfTrue="1" operator="equal">
      <formula>"Napkin Hs"</formula>
    </cfRule>
    <cfRule type="cellIs" dxfId="5119" priority="5805" stopIfTrue="1" operator="equal">
      <formula>"Towel"</formula>
    </cfRule>
    <cfRule type="cellIs" dxfId="5118" priority="5806" stopIfTrue="1" operator="equal">
      <formula>"Napkin Hs"</formula>
    </cfRule>
    <cfRule type="cellIs" dxfId="5117" priority="5811" stopIfTrue="1" operator="equal">
      <formula>"Towel"</formula>
    </cfRule>
    <cfRule type="cellIs" dxfId="5116" priority="5812" stopIfTrue="1" operator="equal">
      <formula>"Napkin Hs"</formula>
    </cfRule>
    <cfRule type="cellIs" dxfId="5115" priority="5817" stopIfTrue="1" operator="equal">
      <formula>"Towel"</formula>
    </cfRule>
    <cfRule type="cellIs" dxfId="5114" priority="5818" stopIfTrue="1" operator="equal">
      <formula>"Napkin Hs"</formula>
    </cfRule>
    <cfRule type="cellIs" dxfId="5113" priority="5823" stopIfTrue="1" operator="equal">
      <formula>"Towel"</formula>
    </cfRule>
    <cfRule type="cellIs" dxfId="5112" priority="5824" stopIfTrue="1" operator="equal">
      <formula>"Napkin Hs"</formula>
    </cfRule>
  </conditionalFormatting>
  <conditionalFormatting sqref="C68">
    <cfRule type="cellIs" dxfId="5111" priority="5783" stopIfTrue="1" operator="equal">
      <formula>"Towel"</formula>
    </cfRule>
    <cfRule type="cellIs" dxfId="5110" priority="5784" stopIfTrue="1" operator="equal">
      <formula>"Napkin Hs"</formula>
    </cfRule>
    <cfRule type="cellIs" dxfId="5109" priority="5785" stopIfTrue="1" operator="equal">
      <formula>"Towel"</formula>
    </cfRule>
    <cfRule type="cellIs" dxfId="5108" priority="5786" stopIfTrue="1" operator="equal">
      <formula>"Napkin Hs"</formula>
    </cfRule>
    <cfRule type="cellIs" dxfId="5107" priority="5789" stopIfTrue="1" operator="equal">
      <formula>"Towel"</formula>
    </cfRule>
    <cfRule type="cellIs" dxfId="5106" priority="5790" stopIfTrue="1" operator="equal">
      <formula>"Napkin Hs"</formula>
    </cfRule>
    <cfRule type="cellIs" dxfId="5105" priority="5791" stopIfTrue="1" operator="equal">
      <formula>"Towel"</formula>
    </cfRule>
    <cfRule type="cellIs" dxfId="5104" priority="5792" stopIfTrue="1" operator="equal">
      <formula>"Napkin Hs"</formula>
    </cfRule>
    <cfRule type="cellIs" dxfId="5103" priority="5795" stopIfTrue="1" operator="equal">
      <formula>"Towel"</formula>
    </cfRule>
    <cfRule type="cellIs" dxfId="5102" priority="5796" stopIfTrue="1" operator="equal">
      <formula>"Napkin Hs"</formula>
    </cfRule>
    <cfRule type="cellIs" dxfId="5101" priority="5797" stopIfTrue="1" operator="equal">
      <formula>"Towel"</formula>
    </cfRule>
    <cfRule type="cellIs" dxfId="5100" priority="5798" stopIfTrue="1" operator="equal">
      <formula>"Napkin Hs"</formula>
    </cfRule>
    <cfRule type="cellIs" dxfId="5099" priority="5801" stopIfTrue="1" operator="equal">
      <formula>"Towel"</formula>
    </cfRule>
    <cfRule type="cellIs" dxfId="5098" priority="5802" stopIfTrue="1" operator="equal">
      <formula>"Napkin Hs"</formula>
    </cfRule>
    <cfRule type="cellIs" dxfId="5097" priority="5803" stopIfTrue="1" operator="equal">
      <formula>"Towel"</formula>
    </cfRule>
    <cfRule type="cellIs" dxfId="5096" priority="5804" stopIfTrue="1" operator="equal">
      <formula>"Napkin Hs"</formula>
    </cfRule>
    <cfRule type="cellIs" dxfId="5095" priority="5807" stopIfTrue="1" operator="equal">
      <formula>"Towel"</formula>
    </cfRule>
    <cfRule type="cellIs" dxfId="5094" priority="5808" stopIfTrue="1" operator="equal">
      <formula>"Napkin Hs"</formula>
    </cfRule>
    <cfRule type="cellIs" dxfId="5093" priority="5809" stopIfTrue="1" operator="equal">
      <formula>"Towel"</formula>
    </cfRule>
    <cfRule type="cellIs" dxfId="5092" priority="5810" stopIfTrue="1" operator="equal">
      <formula>"Napkin Hs"</formula>
    </cfRule>
    <cfRule type="cellIs" dxfId="5091" priority="5813" stopIfTrue="1" operator="equal">
      <formula>"Towel"</formula>
    </cfRule>
    <cfRule type="cellIs" dxfId="5090" priority="5814" stopIfTrue="1" operator="equal">
      <formula>"Napkin Hs"</formula>
    </cfRule>
    <cfRule type="cellIs" dxfId="5089" priority="5815" stopIfTrue="1" operator="equal">
      <formula>"Towel"</formula>
    </cfRule>
    <cfRule type="cellIs" dxfId="5088" priority="5816" stopIfTrue="1" operator="equal">
      <formula>"Napkin Hs"</formula>
    </cfRule>
    <cfRule type="cellIs" dxfId="5087" priority="5819" stopIfTrue="1" operator="equal">
      <formula>"Towel"</formula>
    </cfRule>
    <cfRule type="cellIs" dxfId="5086" priority="5820" stopIfTrue="1" operator="equal">
      <formula>"Napkin Hs"</formula>
    </cfRule>
  </conditionalFormatting>
  <conditionalFormatting sqref="C68">
    <cfRule type="cellIs" dxfId="5085" priority="5821" stopIfTrue="1" operator="equal">
      <formula>"Towel"</formula>
    </cfRule>
    <cfRule type="cellIs" dxfId="5084" priority="5822" stopIfTrue="1" operator="equal">
      <formula>"Napkin Hs"</formula>
    </cfRule>
  </conditionalFormatting>
  <conditionalFormatting sqref="B68:C68">
    <cfRule type="cellIs" dxfId="5083" priority="5781" stopIfTrue="1" operator="equal">
      <formula>"Towel"</formula>
    </cfRule>
    <cfRule type="cellIs" dxfId="5082" priority="5782" stopIfTrue="1" operator="equal">
      <formula>"Napkin Hs"</formula>
    </cfRule>
  </conditionalFormatting>
  <conditionalFormatting sqref="B68:C68">
    <cfRule type="cellIs" dxfId="5081" priority="5745" stopIfTrue="1" operator="equal">
      <formula>"Towel"</formula>
    </cfRule>
    <cfRule type="cellIs" dxfId="5080" priority="5746" stopIfTrue="1" operator="equal">
      <formula>"Napkin Hs"</formula>
    </cfRule>
    <cfRule type="cellIs" dxfId="5079" priority="5751" stopIfTrue="1" operator="equal">
      <formula>"Towel"</formula>
    </cfRule>
    <cfRule type="cellIs" dxfId="5078" priority="5752" stopIfTrue="1" operator="equal">
      <formula>"Napkin Hs"</formula>
    </cfRule>
    <cfRule type="cellIs" dxfId="5077" priority="5757" stopIfTrue="1" operator="equal">
      <formula>"Towel"</formula>
    </cfRule>
    <cfRule type="cellIs" dxfId="5076" priority="5758" stopIfTrue="1" operator="equal">
      <formula>"Napkin Hs"</formula>
    </cfRule>
    <cfRule type="cellIs" dxfId="5075" priority="5763" stopIfTrue="1" operator="equal">
      <formula>"Towel"</formula>
    </cfRule>
    <cfRule type="cellIs" dxfId="5074" priority="5764" stopIfTrue="1" operator="equal">
      <formula>"Napkin Hs"</formula>
    </cfRule>
    <cfRule type="cellIs" dxfId="5073" priority="5769" stopIfTrue="1" operator="equal">
      <formula>"Towel"</formula>
    </cfRule>
    <cfRule type="cellIs" dxfId="5072" priority="5770" stopIfTrue="1" operator="equal">
      <formula>"Napkin Hs"</formula>
    </cfRule>
    <cfRule type="cellIs" dxfId="5071" priority="5775" stopIfTrue="1" operator="equal">
      <formula>"Towel"</formula>
    </cfRule>
    <cfRule type="cellIs" dxfId="5070" priority="5776" stopIfTrue="1" operator="equal">
      <formula>"Napkin Hs"</formula>
    </cfRule>
  </conditionalFormatting>
  <conditionalFormatting sqref="C68">
    <cfRule type="cellIs" dxfId="5069" priority="5780" stopIfTrue="1" operator="equal">
      <formula>"Napkin Hs"</formula>
    </cfRule>
  </conditionalFormatting>
  <conditionalFormatting sqref="C68">
    <cfRule type="cellIs" dxfId="5068" priority="5779" stopIfTrue="1" operator="equal">
      <formula>"Towel"</formula>
    </cfRule>
  </conditionalFormatting>
  <conditionalFormatting sqref="C68">
    <cfRule type="cellIs" dxfId="5067" priority="5773" stopIfTrue="1" operator="equal">
      <formula>"Towel"</formula>
    </cfRule>
    <cfRule type="cellIs" dxfId="5066" priority="5774" stopIfTrue="1" operator="equal">
      <formula>"Napkin Hs"</formula>
    </cfRule>
  </conditionalFormatting>
  <conditionalFormatting sqref="C68">
    <cfRule type="cellIs" dxfId="5065" priority="5771" stopIfTrue="1" operator="equal">
      <formula>"Towel"</formula>
    </cfRule>
    <cfRule type="cellIs" dxfId="5064" priority="5772" stopIfTrue="1" operator="equal">
      <formula>"Napkin Hs"</formula>
    </cfRule>
    <cfRule type="cellIs" dxfId="5063" priority="5777" stopIfTrue="1" operator="equal">
      <formula>"Towel"</formula>
    </cfRule>
    <cfRule type="cellIs" dxfId="5062" priority="5778" stopIfTrue="1" operator="equal">
      <formula>"Napkin Hs"</formula>
    </cfRule>
  </conditionalFormatting>
  <conditionalFormatting sqref="C68">
    <cfRule type="cellIs" dxfId="5061" priority="5743" stopIfTrue="1" operator="equal">
      <formula>"Towel"</formula>
    </cfRule>
    <cfRule type="cellIs" dxfId="5060" priority="5744" stopIfTrue="1" operator="equal">
      <formula>"Napkin Hs"</formula>
    </cfRule>
    <cfRule type="cellIs" dxfId="5059" priority="5747" stopIfTrue="1" operator="equal">
      <formula>"Towel"</formula>
    </cfRule>
    <cfRule type="cellIs" dxfId="5058" priority="5748" stopIfTrue="1" operator="equal">
      <formula>"Napkin Hs"</formula>
    </cfRule>
    <cfRule type="cellIs" dxfId="5057" priority="5749" stopIfTrue="1" operator="equal">
      <formula>"Towel"</formula>
    </cfRule>
    <cfRule type="cellIs" dxfId="5056" priority="5750" stopIfTrue="1" operator="equal">
      <formula>"Napkin Hs"</formula>
    </cfRule>
    <cfRule type="cellIs" dxfId="5055" priority="5753" stopIfTrue="1" operator="equal">
      <formula>"Towel"</formula>
    </cfRule>
    <cfRule type="cellIs" dxfId="5054" priority="5754" stopIfTrue="1" operator="equal">
      <formula>"Napkin Hs"</formula>
    </cfRule>
    <cfRule type="cellIs" dxfId="5053" priority="5755" stopIfTrue="1" operator="equal">
      <formula>"Towel"</formula>
    </cfRule>
    <cfRule type="cellIs" dxfId="5052" priority="5756" stopIfTrue="1" operator="equal">
      <formula>"Napkin Hs"</formula>
    </cfRule>
    <cfRule type="cellIs" dxfId="5051" priority="5759" stopIfTrue="1" operator="equal">
      <formula>"Towel"</formula>
    </cfRule>
    <cfRule type="cellIs" dxfId="5050" priority="5760" stopIfTrue="1" operator="equal">
      <formula>"Napkin Hs"</formula>
    </cfRule>
    <cfRule type="cellIs" dxfId="5049" priority="5761" stopIfTrue="1" operator="equal">
      <formula>"Towel"</formula>
    </cfRule>
    <cfRule type="cellIs" dxfId="5048" priority="5762" stopIfTrue="1" operator="equal">
      <formula>"Napkin Hs"</formula>
    </cfRule>
    <cfRule type="cellIs" dxfId="5047" priority="5765" stopIfTrue="1" operator="equal">
      <formula>"Towel"</formula>
    </cfRule>
    <cfRule type="cellIs" dxfId="5046" priority="5766" stopIfTrue="1" operator="equal">
      <formula>"Napkin Hs"</formula>
    </cfRule>
    <cfRule type="cellIs" dxfId="5045" priority="5767" stopIfTrue="1" operator="equal">
      <formula>"Towel"</formula>
    </cfRule>
    <cfRule type="cellIs" dxfId="5044" priority="5768" stopIfTrue="1" operator="equal">
      <formula>"Napkin Hs"</formula>
    </cfRule>
  </conditionalFormatting>
  <conditionalFormatting sqref="C68">
    <cfRule type="cellIs" dxfId="5043" priority="5741" stopIfTrue="1" operator="equal">
      <formula>"Towel"</formula>
    </cfRule>
    <cfRule type="cellIs" dxfId="5042" priority="5742" stopIfTrue="1" operator="equal">
      <formula>"Napkin Hs"</formula>
    </cfRule>
  </conditionalFormatting>
  <conditionalFormatting sqref="C68">
    <cfRule type="cellIs" dxfId="5041" priority="5721" stopIfTrue="1" operator="equal">
      <formula>"Towel"</formula>
    </cfRule>
    <cfRule type="cellIs" dxfId="5040" priority="5722" stopIfTrue="1" operator="equal">
      <formula>"Napkin Hs"</formula>
    </cfRule>
    <cfRule type="cellIs" dxfId="5039" priority="5727" stopIfTrue="1" operator="equal">
      <formula>"Towel"</formula>
    </cfRule>
    <cfRule type="cellIs" dxfId="5038" priority="5728" stopIfTrue="1" operator="equal">
      <formula>"Napkin Hs"</formula>
    </cfRule>
    <cfRule type="cellIs" dxfId="5037" priority="5733" stopIfTrue="1" operator="equal">
      <formula>"Towel"</formula>
    </cfRule>
    <cfRule type="cellIs" dxfId="5036" priority="5734" stopIfTrue="1" operator="equal">
      <formula>"Napkin Hs"</formula>
    </cfRule>
    <cfRule type="cellIs" dxfId="5035" priority="5739" stopIfTrue="1" operator="equal">
      <formula>"Towel"</formula>
    </cfRule>
    <cfRule type="cellIs" dxfId="5034" priority="5740" stopIfTrue="1" operator="equal">
      <formula>"Napkin Hs"</formula>
    </cfRule>
  </conditionalFormatting>
  <conditionalFormatting sqref="C68">
    <cfRule type="cellIs" dxfId="5033" priority="5731" stopIfTrue="1" operator="equal">
      <formula>"Towel"</formula>
    </cfRule>
    <cfRule type="cellIs" dxfId="5032" priority="5732" stopIfTrue="1" operator="equal">
      <formula>"Napkin Hs"</formula>
    </cfRule>
    <cfRule type="cellIs" dxfId="5031" priority="5737" stopIfTrue="1" operator="equal">
      <formula>"Towel"</formula>
    </cfRule>
    <cfRule type="cellIs" dxfId="5030" priority="5738" stopIfTrue="1" operator="equal">
      <formula>"Napkin Hs"</formula>
    </cfRule>
  </conditionalFormatting>
  <conditionalFormatting sqref="C68">
    <cfRule type="cellIs" dxfId="5029" priority="5717" stopIfTrue="1" operator="equal">
      <formula>"Towel"</formula>
    </cfRule>
    <cfRule type="cellIs" dxfId="5028" priority="5718" stopIfTrue="1" operator="equal">
      <formula>"Napkin Hs"</formula>
    </cfRule>
    <cfRule type="cellIs" dxfId="5027" priority="5725" stopIfTrue="1" operator="equal">
      <formula>"Towel"</formula>
    </cfRule>
    <cfRule type="cellIs" dxfId="5026" priority="5726" stopIfTrue="1" operator="equal">
      <formula>"Napkin Hs"</formula>
    </cfRule>
    <cfRule type="cellIs" dxfId="5025" priority="5729" stopIfTrue="1" operator="equal">
      <formula>"Towel"</formula>
    </cfRule>
    <cfRule type="cellIs" dxfId="5024" priority="5730" stopIfTrue="1" operator="equal">
      <formula>"Napkin Hs"</formula>
    </cfRule>
  </conditionalFormatting>
  <conditionalFormatting sqref="C68">
    <cfRule type="cellIs" dxfId="5023" priority="5719" stopIfTrue="1" operator="equal">
      <formula>"Towel"</formula>
    </cfRule>
    <cfRule type="cellIs" dxfId="5022" priority="5720" stopIfTrue="1" operator="equal">
      <formula>"Napkin Hs"</formula>
    </cfRule>
    <cfRule type="cellIs" dxfId="5021" priority="5723" stopIfTrue="1" operator="equal">
      <formula>"Towel"</formula>
    </cfRule>
    <cfRule type="cellIs" dxfId="5020" priority="5724" stopIfTrue="1" operator="equal">
      <formula>"Napkin Hs"</formula>
    </cfRule>
    <cfRule type="cellIs" dxfId="5019" priority="5735" stopIfTrue="1" operator="equal">
      <formula>"Towel"</formula>
    </cfRule>
    <cfRule type="cellIs" dxfId="5018" priority="5736" stopIfTrue="1" operator="equal">
      <formula>"Napkin Hs"</formula>
    </cfRule>
  </conditionalFormatting>
  <conditionalFormatting sqref="C68">
    <cfRule type="cellIs" dxfId="5017" priority="5715" stopIfTrue="1" operator="equal">
      <formula>"Towel"</formula>
    </cfRule>
    <cfRule type="cellIs" dxfId="5016" priority="5716" stopIfTrue="1" operator="equal">
      <formula>"Napkin Hs"</formula>
    </cfRule>
  </conditionalFormatting>
  <conditionalFormatting sqref="C68">
    <cfRule type="cellIs" dxfId="5015" priority="5711" stopIfTrue="1" operator="equal">
      <formula>"Towel"</formula>
    </cfRule>
    <cfRule type="cellIs" dxfId="5014" priority="5712" stopIfTrue="1" operator="equal">
      <formula>"Napkin Hs"</formula>
    </cfRule>
  </conditionalFormatting>
  <conditionalFormatting sqref="C68">
    <cfRule type="cellIs" dxfId="5013" priority="5713" stopIfTrue="1" operator="equal">
      <formula>"Towel"</formula>
    </cfRule>
    <cfRule type="cellIs" dxfId="5012" priority="5714" stopIfTrue="1" operator="equal">
      <formula>"Napkin Hs"</formula>
    </cfRule>
  </conditionalFormatting>
  <conditionalFormatting sqref="C68">
    <cfRule type="cellIs" dxfId="5011" priority="5709" stopIfTrue="1" operator="equal">
      <formula>"Towel"</formula>
    </cfRule>
    <cfRule type="cellIs" dxfId="5010" priority="5710" stopIfTrue="1" operator="equal">
      <formula>"Napkin Hs"</formula>
    </cfRule>
  </conditionalFormatting>
  <conditionalFormatting sqref="C68">
    <cfRule type="cellIs" dxfId="5009" priority="5705" stopIfTrue="1" operator="equal">
      <formula>"Towel"</formula>
    </cfRule>
    <cfRule type="cellIs" dxfId="5008" priority="5706" stopIfTrue="1" operator="equal">
      <formula>"Napkin Hs"</formula>
    </cfRule>
  </conditionalFormatting>
  <conditionalFormatting sqref="C68">
    <cfRule type="cellIs" dxfId="5007" priority="5707" stopIfTrue="1" operator="equal">
      <formula>"Towel"</formula>
    </cfRule>
    <cfRule type="cellIs" dxfId="5006" priority="5708" stopIfTrue="1" operator="equal">
      <formula>"Napkin Hs"</formula>
    </cfRule>
  </conditionalFormatting>
  <conditionalFormatting sqref="C68">
    <cfRule type="cellIs" dxfId="5005" priority="5703" stopIfTrue="1" operator="equal">
      <formula>"Towel"</formula>
    </cfRule>
    <cfRule type="cellIs" dxfId="5004" priority="5704" stopIfTrue="1" operator="equal">
      <formula>"Napkin Hs"</formula>
    </cfRule>
  </conditionalFormatting>
  <conditionalFormatting sqref="C68">
    <cfRule type="cellIs" dxfId="5003" priority="5699" stopIfTrue="1" operator="equal">
      <formula>"Towel"</formula>
    </cfRule>
    <cfRule type="cellIs" dxfId="5002" priority="5700" stopIfTrue="1" operator="equal">
      <formula>"Napkin Hs"</formula>
    </cfRule>
  </conditionalFormatting>
  <conditionalFormatting sqref="C68">
    <cfRule type="cellIs" dxfId="5001" priority="5701" stopIfTrue="1" operator="equal">
      <formula>"Towel"</formula>
    </cfRule>
    <cfRule type="cellIs" dxfId="5000" priority="5702" stopIfTrue="1" operator="equal">
      <formula>"Napkin Hs"</formula>
    </cfRule>
  </conditionalFormatting>
  <conditionalFormatting sqref="C68">
    <cfRule type="cellIs" dxfId="4999" priority="5697" stopIfTrue="1" operator="equal">
      <formula>"Towel"</formula>
    </cfRule>
    <cfRule type="cellIs" dxfId="4998" priority="5698" stopIfTrue="1" operator="equal">
      <formula>"Napkin Hs"</formula>
    </cfRule>
  </conditionalFormatting>
  <conditionalFormatting sqref="C68">
    <cfRule type="cellIs" dxfId="4997" priority="5695" stopIfTrue="1" operator="equal">
      <formula>"Towel"</formula>
    </cfRule>
    <cfRule type="cellIs" dxfId="4996" priority="5696" stopIfTrue="1" operator="equal">
      <formula>"Napkin Hs"</formula>
    </cfRule>
  </conditionalFormatting>
  <conditionalFormatting sqref="C68">
    <cfRule type="cellIs" dxfId="4995" priority="5693" stopIfTrue="1" operator="equal">
      <formula>"Towel"</formula>
    </cfRule>
    <cfRule type="cellIs" dxfId="4994" priority="5694" stopIfTrue="1" operator="equal">
      <formula>"Napkin Hs"</formula>
    </cfRule>
  </conditionalFormatting>
  <conditionalFormatting sqref="C68">
    <cfRule type="cellIs" dxfId="4993" priority="5691" stopIfTrue="1" operator="equal">
      <formula>"Towel"</formula>
    </cfRule>
    <cfRule type="cellIs" dxfId="4992" priority="5692" stopIfTrue="1" operator="equal">
      <formula>"Napkin Hs"</formula>
    </cfRule>
  </conditionalFormatting>
  <conditionalFormatting sqref="C68">
    <cfRule type="cellIs" dxfId="4991" priority="5690" stopIfTrue="1" operator="equal">
      <formula>"Napkin Hs"</formula>
    </cfRule>
  </conditionalFormatting>
  <conditionalFormatting sqref="C68">
    <cfRule type="cellIs" dxfId="4990" priority="5687" stopIfTrue="1" operator="equal">
      <formula>"Towel"</formula>
    </cfRule>
    <cfRule type="cellIs" dxfId="4989" priority="5688" stopIfTrue="1" operator="equal">
      <formula>"Napkin Hs"</formula>
    </cfRule>
  </conditionalFormatting>
  <conditionalFormatting sqref="C68">
    <cfRule type="cellIs" dxfId="4988" priority="5689" stopIfTrue="1" operator="equal">
      <formula>"Towel"</formula>
    </cfRule>
  </conditionalFormatting>
  <conditionalFormatting sqref="B68">
    <cfRule type="cellIs" dxfId="4987" priority="5685" stopIfTrue="1" operator="equal">
      <formula>"Towel"</formula>
    </cfRule>
    <cfRule type="cellIs" dxfId="4986" priority="5686" stopIfTrue="1" operator="equal">
      <formula>"Napkin Hs"</formula>
    </cfRule>
  </conditionalFormatting>
  <conditionalFormatting sqref="B68">
    <cfRule type="cellIs" dxfId="4985" priority="5683" stopIfTrue="1" operator="equal">
      <formula>"Towel"</formula>
    </cfRule>
    <cfRule type="cellIs" dxfId="4984" priority="5684" stopIfTrue="1" operator="equal">
      <formula>"Napkin Hs"</formula>
    </cfRule>
  </conditionalFormatting>
  <conditionalFormatting sqref="B68">
    <cfRule type="cellIs" dxfId="4983" priority="5681" stopIfTrue="1" operator="equal">
      <formula>"Towel"</formula>
    </cfRule>
    <cfRule type="cellIs" dxfId="4982" priority="5682" stopIfTrue="1" operator="equal">
      <formula>"Napkin Hs"</formula>
    </cfRule>
  </conditionalFormatting>
  <conditionalFormatting sqref="B68">
    <cfRule type="cellIs" dxfId="4981" priority="5679" stopIfTrue="1" operator="equal">
      <formula>"Towel"</formula>
    </cfRule>
    <cfRule type="cellIs" dxfId="4980" priority="5680" stopIfTrue="1" operator="equal">
      <formula>"Napkin Hs"</formula>
    </cfRule>
  </conditionalFormatting>
  <conditionalFormatting sqref="B68">
    <cfRule type="cellIs" dxfId="4979" priority="5677" stopIfTrue="1" operator="equal">
      <formula>"Towel"</formula>
    </cfRule>
    <cfRule type="cellIs" dxfId="4978" priority="5678" stopIfTrue="1" operator="equal">
      <formula>"Napkin Hs"</formula>
    </cfRule>
  </conditionalFormatting>
  <conditionalFormatting sqref="B68">
    <cfRule type="cellIs" dxfId="4977" priority="5675" stopIfTrue="1" operator="equal">
      <formula>"Towel"</formula>
    </cfRule>
    <cfRule type="cellIs" dxfId="4976" priority="5676" stopIfTrue="1" operator="equal">
      <formula>"Napkin Hs"</formula>
    </cfRule>
  </conditionalFormatting>
  <conditionalFormatting sqref="B68">
    <cfRule type="cellIs" dxfId="4975" priority="5671" stopIfTrue="1" operator="equal">
      <formula>"Towel"</formula>
    </cfRule>
    <cfRule type="cellIs" dxfId="4974" priority="5672" stopIfTrue="1" operator="equal">
      <formula>"Napkin Hs"</formula>
    </cfRule>
    <cfRule type="cellIs" dxfId="4973" priority="5673" stopIfTrue="1" operator="equal">
      <formula>"Towel"</formula>
    </cfRule>
    <cfRule type="cellIs" dxfId="4972" priority="5674" stopIfTrue="1" operator="equal">
      <formula>"Napkin Hs"</formula>
    </cfRule>
  </conditionalFormatting>
  <conditionalFormatting sqref="B68">
    <cfRule type="cellIs" dxfId="4971" priority="5669" stopIfTrue="1" operator="equal">
      <formula>"Towel"</formula>
    </cfRule>
    <cfRule type="cellIs" dxfId="4970" priority="5670" stopIfTrue="1" operator="equal">
      <formula>"Napkin Hs"</formula>
    </cfRule>
  </conditionalFormatting>
  <conditionalFormatting sqref="B68">
    <cfRule type="cellIs" dxfId="4969" priority="5667" stopIfTrue="1" operator="equal">
      <formula>"Towel"</formula>
    </cfRule>
    <cfRule type="cellIs" dxfId="4968" priority="5668" stopIfTrue="1" operator="equal">
      <formula>"Napkin Hs"</formula>
    </cfRule>
  </conditionalFormatting>
  <conditionalFormatting sqref="B68">
    <cfRule type="cellIs" dxfId="4967" priority="5665" stopIfTrue="1" operator="equal">
      <formula>"Towel"</formula>
    </cfRule>
    <cfRule type="cellIs" dxfId="4966" priority="5666" stopIfTrue="1" operator="equal">
      <formula>"Napkin Hs"</formula>
    </cfRule>
  </conditionalFormatting>
  <conditionalFormatting sqref="B68">
    <cfRule type="cellIs" dxfId="4965" priority="5663" stopIfTrue="1" operator="equal">
      <formula>"Towel"</formula>
    </cfRule>
    <cfRule type="cellIs" dxfId="4964" priority="5664" stopIfTrue="1" operator="equal">
      <formula>"Napkin Hs"</formula>
    </cfRule>
  </conditionalFormatting>
  <conditionalFormatting sqref="B68">
    <cfRule type="cellIs" dxfId="4963" priority="5661" stopIfTrue="1" operator="equal">
      <formula>"Towel"</formula>
    </cfRule>
    <cfRule type="cellIs" dxfId="4962" priority="5662" stopIfTrue="1" operator="equal">
      <formula>"Napkin Hs"</formula>
    </cfRule>
  </conditionalFormatting>
  <conditionalFormatting sqref="B68:C68">
    <cfRule type="cellIs" dxfId="4961" priority="5647" stopIfTrue="1" operator="equal">
      <formula>"Towel"</formula>
    </cfRule>
    <cfRule type="cellIs" dxfId="4960" priority="5648" stopIfTrue="1" operator="equal">
      <formula>"Napkin Hs"</formula>
    </cfRule>
    <cfRule type="cellIs" dxfId="4959" priority="5653" stopIfTrue="1" operator="equal">
      <formula>"Towel"</formula>
    </cfRule>
    <cfRule type="cellIs" dxfId="4958" priority="5654" stopIfTrue="1" operator="equal">
      <formula>"Napkin Hs"</formula>
    </cfRule>
    <cfRule type="cellIs" dxfId="4957" priority="5659" stopIfTrue="1" operator="equal">
      <formula>"Towel"</formula>
    </cfRule>
    <cfRule type="cellIs" dxfId="4956" priority="5660" stopIfTrue="1" operator="equal">
      <formula>"Napkin Hs"</formula>
    </cfRule>
  </conditionalFormatting>
  <conditionalFormatting sqref="C68">
    <cfRule type="cellIs" dxfId="4955" priority="5641" stopIfTrue="1" operator="equal">
      <formula>"Towel"</formula>
    </cfRule>
    <cfRule type="cellIs" dxfId="4954" priority="5642" stopIfTrue="1" operator="equal">
      <formula>"Napkin Hs"</formula>
    </cfRule>
    <cfRule type="cellIs" dxfId="4953" priority="5643" stopIfTrue="1" operator="equal">
      <formula>"Towel"</formula>
    </cfRule>
    <cfRule type="cellIs" dxfId="4952" priority="5644" stopIfTrue="1" operator="equal">
      <formula>"Napkin Hs"</formula>
    </cfRule>
    <cfRule type="cellIs" dxfId="4951" priority="5651" stopIfTrue="1" operator="equal">
      <formula>"Towel"</formula>
    </cfRule>
    <cfRule type="cellIs" dxfId="4950" priority="5652" stopIfTrue="1" operator="equal">
      <formula>"Napkin Hs"</formula>
    </cfRule>
    <cfRule type="cellIs" dxfId="4949" priority="5655" stopIfTrue="1" operator="equal">
      <formula>"Towel"</formula>
    </cfRule>
    <cfRule type="cellIs" dxfId="4948" priority="5656" stopIfTrue="1" operator="equal">
      <formula>"Napkin Hs"</formula>
    </cfRule>
  </conditionalFormatting>
  <conditionalFormatting sqref="C68">
    <cfRule type="cellIs" dxfId="4947" priority="5645" stopIfTrue="1" operator="equal">
      <formula>"Towel"</formula>
    </cfRule>
    <cfRule type="cellIs" dxfId="4946" priority="5646" stopIfTrue="1" operator="equal">
      <formula>"Napkin Hs"</formula>
    </cfRule>
    <cfRule type="cellIs" dxfId="4945" priority="5649" stopIfTrue="1" operator="equal">
      <formula>"Towel"</formula>
    </cfRule>
    <cfRule type="cellIs" dxfId="4944" priority="5650" stopIfTrue="1" operator="equal">
      <formula>"Napkin Hs"</formula>
    </cfRule>
    <cfRule type="cellIs" dxfId="4943" priority="5657" stopIfTrue="1" operator="equal">
      <formula>"Towel"</formula>
    </cfRule>
    <cfRule type="cellIs" dxfId="4942" priority="5658" stopIfTrue="1" operator="equal">
      <formula>"Napkin Hs"</formula>
    </cfRule>
  </conditionalFormatting>
  <conditionalFormatting sqref="B68:C68">
    <cfRule type="cellIs" dxfId="4941" priority="5639" stopIfTrue="1" operator="equal">
      <formula>"Towel"</formula>
    </cfRule>
    <cfRule type="cellIs" dxfId="4940" priority="5640" stopIfTrue="1" operator="equal">
      <formula>"Napkin Hs"</formula>
    </cfRule>
  </conditionalFormatting>
  <conditionalFormatting sqref="B68:C68">
    <cfRule type="cellIs" dxfId="4939" priority="5631" stopIfTrue="1" operator="equal">
      <formula>"Towel"</formula>
    </cfRule>
    <cfRule type="cellIs" dxfId="4938" priority="5632" stopIfTrue="1" operator="equal">
      <formula>"Napkin Hs"</formula>
    </cfRule>
    <cfRule type="cellIs" dxfId="4937" priority="5637" stopIfTrue="1" operator="equal">
      <formula>"Towel"</formula>
    </cfRule>
    <cfRule type="cellIs" dxfId="4936" priority="5638" stopIfTrue="1" operator="equal">
      <formula>"Napkin Hs"</formula>
    </cfRule>
  </conditionalFormatting>
  <conditionalFormatting sqref="C68">
    <cfRule type="cellIs" dxfId="4935" priority="5627" stopIfTrue="1" operator="equal">
      <formula>"Towel"</formula>
    </cfRule>
    <cfRule type="cellIs" dxfId="4934" priority="5628" stopIfTrue="1" operator="equal">
      <formula>"Napkin Hs"</formula>
    </cfRule>
  </conditionalFormatting>
  <conditionalFormatting sqref="C68">
    <cfRule type="cellIs" dxfId="4933" priority="5625" stopIfTrue="1" operator="equal">
      <formula>"Towel"</formula>
    </cfRule>
    <cfRule type="cellIs" dxfId="4932" priority="5626" stopIfTrue="1" operator="equal">
      <formula>"Napkin Hs"</formula>
    </cfRule>
    <cfRule type="cellIs" dxfId="4931" priority="5635" stopIfTrue="1" operator="equal">
      <formula>"Towel"</formula>
    </cfRule>
    <cfRule type="cellIs" dxfId="4930" priority="5636" stopIfTrue="1" operator="equal">
      <formula>"Napkin Hs"</formula>
    </cfRule>
  </conditionalFormatting>
  <conditionalFormatting sqref="C68">
    <cfRule type="cellIs" dxfId="4929" priority="5629" stopIfTrue="1" operator="equal">
      <formula>"Towel"</formula>
    </cfRule>
    <cfRule type="cellIs" dxfId="4928" priority="5630" stopIfTrue="1" operator="equal">
      <formula>"Napkin Hs"</formula>
    </cfRule>
    <cfRule type="cellIs" dxfId="4927" priority="5633" stopIfTrue="1" operator="equal">
      <formula>"Towel"</formula>
    </cfRule>
    <cfRule type="cellIs" dxfId="4926" priority="5634" stopIfTrue="1" operator="equal">
      <formula>"Napkin Hs"</formula>
    </cfRule>
  </conditionalFormatting>
  <conditionalFormatting sqref="C68">
    <cfRule type="cellIs" dxfId="4925" priority="5624" stopIfTrue="1" operator="equal">
      <formula>"Napkin Hs"</formula>
    </cfRule>
  </conditionalFormatting>
  <conditionalFormatting sqref="C68">
    <cfRule type="cellIs" dxfId="4924" priority="5623" stopIfTrue="1" operator="equal">
      <formula>"Towel"</formula>
    </cfRule>
  </conditionalFormatting>
  <conditionalFormatting sqref="C68">
    <cfRule type="cellIs" dxfId="4923" priority="5619" stopIfTrue="1" operator="equal">
      <formula>"Towel"</formula>
    </cfRule>
    <cfRule type="cellIs" dxfId="4922" priority="5620" stopIfTrue="1" operator="equal">
      <formula>"Napkin Hs"</formula>
    </cfRule>
    <cfRule type="cellIs" dxfId="4921" priority="5621" stopIfTrue="1" operator="equal">
      <formula>"Towel"</formula>
    </cfRule>
    <cfRule type="cellIs" dxfId="4920" priority="5622" stopIfTrue="1" operator="equal">
      <formula>"Napkin Hs"</formula>
    </cfRule>
  </conditionalFormatting>
  <conditionalFormatting sqref="B68:C68">
    <cfRule type="cellIs" dxfId="4919" priority="5617" stopIfTrue="1" operator="equal">
      <formula>"Towel"</formula>
    </cfRule>
    <cfRule type="cellIs" dxfId="4918" priority="5618" stopIfTrue="1" operator="equal">
      <formula>"Napkin Hs"</formula>
    </cfRule>
  </conditionalFormatting>
  <conditionalFormatting sqref="C68">
    <cfRule type="cellIs" dxfId="4917" priority="5613" stopIfTrue="1" operator="equal">
      <formula>"Towel"</formula>
    </cfRule>
    <cfRule type="cellIs" dxfId="4916" priority="5614" stopIfTrue="1" operator="equal">
      <formula>"Napkin Hs"</formula>
    </cfRule>
  </conditionalFormatting>
  <conditionalFormatting sqref="C68">
    <cfRule type="cellIs" dxfId="4915" priority="5615" stopIfTrue="1" operator="equal">
      <formula>"Towel"</formula>
    </cfRule>
    <cfRule type="cellIs" dxfId="4914" priority="5616" stopIfTrue="1" operator="equal">
      <formula>"Napkin Hs"</formula>
    </cfRule>
  </conditionalFormatting>
  <conditionalFormatting sqref="B68:C68">
    <cfRule type="cellIs" dxfId="4913" priority="5611" stopIfTrue="1" operator="equal">
      <formula>"Towel"</formula>
    </cfRule>
    <cfRule type="cellIs" dxfId="4912" priority="5612" stopIfTrue="1" operator="equal">
      <formula>"Napkin Hs"</formula>
    </cfRule>
  </conditionalFormatting>
  <conditionalFormatting sqref="C68">
    <cfRule type="cellIs" dxfId="4911" priority="5607" stopIfTrue="1" operator="equal">
      <formula>"Towel"</formula>
    </cfRule>
    <cfRule type="cellIs" dxfId="4910" priority="5608" stopIfTrue="1" operator="equal">
      <formula>"Napkin Hs"</formula>
    </cfRule>
  </conditionalFormatting>
  <conditionalFormatting sqref="C68">
    <cfRule type="cellIs" dxfId="4909" priority="5609" stopIfTrue="1" operator="equal">
      <formula>"Towel"</formula>
    </cfRule>
    <cfRule type="cellIs" dxfId="4908" priority="5610" stopIfTrue="1" operator="equal">
      <formula>"Napkin Hs"</formula>
    </cfRule>
  </conditionalFormatting>
  <conditionalFormatting sqref="B68:C68">
    <cfRule type="cellIs" dxfId="4907" priority="5605" stopIfTrue="1" operator="equal">
      <formula>"Towel"</formula>
    </cfRule>
    <cfRule type="cellIs" dxfId="4906" priority="5606" stopIfTrue="1" operator="equal">
      <formula>"Napkin Hs"</formula>
    </cfRule>
  </conditionalFormatting>
  <conditionalFormatting sqref="C68">
    <cfRule type="cellIs" dxfId="4905" priority="5601" stopIfTrue="1" operator="equal">
      <formula>"Towel"</formula>
    </cfRule>
    <cfRule type="cellIs" dxfId="4904" priority="5602" stopIfTrue="1" operator="equal">
      <formula>"Napkin Hs"</formula>
    </cfRule>
  </conditionalFormatting>
  <conditionalFormatting sqref="C68">
    <cfRule type="cellIs" dxfId="4903" priority="5603" stopIfTrue="1" operator="equal">
      <formula>"Towel"</formula>
    </cfRule>
    <cfRule type="cellIs" dxfId="4902" priority="5604" stopIfTrue="1" operator="equal">
      <formula>"Napkin Hs"</formula>
    </cfRule>
  </conditionalFormatting>
  <conditionalFormatting sqref="B68:C68">
    <cfRule type="cellIs" dxfId="4901" priority="5599" stopIfTrue="1" operator="equal">
      <formula>"Towel"</formula>
    </cfRule>
    <cfRule type="cellIs" dxfId="4900" priority="5600" stopIfTrue="1" operator="equal">
      <formula>"Napkin Hs"</formula>
    </cfRule>
  </conditionalFormatting>
  <conditionalFormatting sqref="C68">
    <cfRule type="cellIs" dxfId="4899" priority="5597" stopIfTrue="1" operator="equal">
      <formula>"Towel"</formula>
    </cfRule>
    <cfRule type="cellIs" dxfId="4898" priority="5598" stopIfTrue="1" operator="equal">
      <formula>"Napkin Hs"</formula>
    </cfRule>
  </conditionalFormatting>
  <conditionalFormatting sqref="C68">
    <cfRule type="cellIs" dxfId="4897" priority="5595" stopIfTrue="1" operator="equal">
      <formula>"Towel"</formula>
    </cfRule>
    <cfRule type="cellIs" dxfId="4896" priority="5596" stopIfTrue="1" operator="equal">
      <formula>"Napkin Hs"</formula>
    </cfRule>
  </conditionalFormatting>
  <conditionalFormatting sqref="B68:C68">
    <cfRule type="cellIs" dxfId="4895" priority="5593" stopIfTrue="1" operator="equal">
      <formula>"Towel"</formula>
    </cfRule>
    <cfRule type="cellIs" dxfId="4894" priority="5594" stopIfTrue="1" operator="equal">
      <formula>"Napkin Hs"</formula>
    </cfRule>
  </conditionalFormatting>
  <conditionalFormatting sqref="C68">
    <cfRule type="cellIs" dxfId="4893" priority="5592" stopIfTrue="1" operator="equal">
      <formula>"Napkin Hs"</formula>
    </cfRule>
  </conditionalFormatting>
  <conditionalFormatting sqref="C68">
    <cfRule type="cellIs" dxfId="4892" priority="5589" stopIfTrue="1" operator="equal">
      <formula>"Towel"</formula>
    </cfRule>
    <cfRule type="cellIs" dxfId="4891" priority="5590" stopIfTrue="1" operator="equal">
      <formula>"Napkin Hs"</formula>
    </cfRule>
  </conditionalFormatting>
  <conditionalFormatting sqref="C68">
    <cfRule type="cellIs" dxfId="4890" priority="5591" stopIfTrue="1" operator="equal">
      <formula>"Towel"</formula>
    </cfRule>
  </conditionalFormatting>
  <conditionalFormatting sqref="B67:C67">
    <cfRule type="cellIs" dxfId="4889" priority="5587" stopIfTrue="1" operator="equal">
      <formula>"Towel"</formula>
    </cfRule>
    <cfRule type="cellIs" dxfId="4888" priority="5588" stopIfTrue="1" operator="equal">
      <formula>"Napkin Hs"</formula>
    </cfRule>
  </conditionalFormatting>
  <conditionalFormatting sqref="B67:C67">
    <cfRule type="cellIs" dxfId="4887" priority="5563" stopIfTrue="1" operator="equal">
      <formula>"Towel"</formula>
    </cfRule>
    <cfRule type="cellIs" dxfId="4886" priority="5564" stopIfTrue="1" operator="equal">
      <formula>"Napkin Hs"</formula>
    </cfRule>
    <cfRule type="cellIs" dxfId="4885" priority="5569" stopIfTrue="1" operator="equal">
      <formula>"Towel"</formula>
    </cfRule>
    <cfRule type="cellIs" dxfId="4884" priority="5570" stopIfTrue="1" operator="equal">
      <formula>"Napkin Hs"</formula>
    </cfRule>
    <cfRule type="cellIs" dxfId="4883" priority="5575" stopIfTrue="1" operator="equal">
      <formula>"Towel"</formula>
    </cfRule>
    <cfRule type="cellIs" dxfId="4882" priority="5576" stopIfTrue="1" operator="equal">
      <formula>"Napkin Hs"</formula>
    </cfRule>
    <cfRule type="cellIs" dxfId="4881" priority="5581" stopIfTrue="1" operator="equal">
      <formula>"Towel"</formula>
    </cfRule>
    <cfRule type="cellIs" dxfId="4880" priority="5582" stopIfTrue="1" operator="equal">
      <formula>"Napkin Hs"</formula>
    </cfRule>
  </conditionalFormatting>
  <conditionalFormatting sqref="C67">
    <cfRule type="cellIs" dxfId="4879" priority="5577" stopIfTrue="1" operator="equal">
      <formula>"Towel"</formula>
    </cfRule>
    <cfRule type="cellIs" dxfId="4878" priority="5578" stopIfTrue="1" operator="equal">
      <formula>"Napkin Hs"</formula>
    </cfRule>
    <cfRule type="cellIs" dxfId="4877" priority="5583" stopIfTrue="1" operator="equal">
      <formula>"Towel"</formula>
    </cfRule>
    <cfRule type="cellIs" dxfId="4876" priority="5584" stopIfTrue="1" operator="equal">
      <formula>"Napkin Hs"</formula>
    </cfRule>
  </conditionalFormatting>
  <conditionalFormatting sqref="C67">
    <cfRule type="cellIs" dxfId="4875" priority="5557" stopIfTrue="1" operator="equal">
      <formula>"Towel"</formula>
    </cfRule>
    <cfRule type="cellIs" dxfId="4874" priority="5558" stopIfTrue="1" operator="equal">
      <formula>"Napkin Hs"</formula>
    </cfRule>
    <cfRule type="cellIs" dxfId="4873" priority="5559" stopIfTrue="1" operator="equal">
      <formula>"Towel"</formula>
    </cfRule>
    <cfRule type="cellIs" dxfId="4872" priority="5560" stopIfTrue="1" operator="equal">
      <formula>"Napkin Hs"</formula>
    </cfRule>
    <cfRule type="cellIs" dxfId="4871" priority="5567" stopIfTrue="1" operator="equal">
      <formula>"Towel"</formula>
    </cfRule>
    <cfRule type="cellIs" dxfId="4870" priority="5568" stopIfTrue="1" operator="equal">
      <formula>"Napkin Hs"</formula>
    </cfRule>
    <cfRule type="cellIs" dxfId="4869" priority="5571" stopIfTrue="1" operator="equal">
      <formula>"Towel"</formula>
    </cfRule>
    <cfRule type="cellIs" dxfId="4868" priority="5572" stopIfTrue="1" operator="equal">
      <formula>"Napkin Hs"</formula>
    </cfRule>
    <cfRule type="cellIs" dxfId="4867" priority="5573" stopIfTrue="1" operator="equal">
      <formula>"Towel"</formula>
    </cfRule>
    <cfRule type="cellIs" dxfId="4866" priority="5574" stopIfTrue="1" operator="equal">
      <formula>"Napkin Hs"</formula>
    </cfRule>
  </conditionalFormatting>
  <conditionalFormatting sqref="C67">
    <cfRule type="cellIs" dxfId="4865" priority="5585" stopIfTrue="1" operator="equal">
      <formula>"Towel"</formula>
    </cfRule>
    <cfRule type="cellIs" dxfId="4864" priority="5586" stopIfTrue="1" operator="equal">
      <formula>"Napkin Hs"</formula>
    </cfRule>
  </conditionalFormatting>
  <conditionalFormatting sqref="C67">
    <cfRule type="cellIs" dxfId="4863" priority="5561" stopIfTrue="1" operator="equal">
      <formula>"Towel"</formula>
    </cfRule>
    <cfRule type="cellIs" dxfId="4862" priority="5562" stopIfTrue="1" operator="equal">
      <formula>"Napkin Hs"</formula>
    </cfRule>
    <cfRule type="cellIs" dxfId="4861" priority="5565" stopIfTrue="1" operator="equal">
      <formula>"Towel"</formula>
    </cfRule>
    <cfRule type="cellIs" dxfId="4860" priority="5566" stopIfTrue="1" operator="equal">
      <formula>"Napkin Hs"</formula>
    </cfRule>
    <cfRule type="cellIs" dxfId="4859" priority="5579" stopIfTrue="1" operator="equal">
      <formula>"Towel"</formula>
    </cfRule>
    <cfRule type="cellIs" dxfId="4858" priority="5580" stopIfTrue="1" operator="equal">
      <formula>"Napkin Hs"</formula>
    </cfRule>
  </conditionalFormatting>
  <conditionalFormatting sqref="B67:C67">
    <cfRule type="cellIs" dxfId="4857" priority="5513" stopIfTrue="1" operator="equal">
      <formula>"Towel"</formula>
    </cfRule>
    <cfRule type="cellIs" dxfId="4856" priority="5514" stopIfTrue="1" operator="equal">
      <formula>"Napkin Hs"</formula>
    </cfRule>
    <cfRule type="cellIs" dxfId="4855" priority="5519" stopIfTrue="1" operator="equal">
      <formula>"Towel"</formula>
    </cfRule>
    <cfRule type="cellIs" dxfId="4854" priority="5520" stopIfTrue="1" operator="equal">
      <formula>"Napkin Hs"</formula>
    </cfRule>
    <cfRule type="cellIs" dxfId="4853" priority="5525" stopIfTrue="1" operator="equal">
      <formula>"Towel"</formula>
    </cfRule>
    <cfRule type="cellIs" dxfId="4852" priority="5526" stopIfTrue="1" operator="equal">
      <formula>"Napkin Hs"</formula>
    </cfRule>
    <cfRule type="cellIs" dxfId="4851" priority="5531" stopIfTrue="1" operator="equal">
      <formula>"Towel"</formula>
    </cfRule>
    <cfRule type="cellIs" dxfId="4850" priority="5532" stopIfTrue="1" operator="equal">
      <formula>"Napkin Hs"</formula>
    </cfRule>
    <cfRule type="cellIs" dxfId="4849" priority="5537" stopIfTrue="1" operator="equal">
      <formula>"Towel"</formula>
    </cfRule>
    <cfRule type="cellIs" dxfId="4848" priority="5538" stopIfTrue="1" operator="equal">
      <formula>"Napkin Hs"</formula>
    </cfRule>
    <cfRule type="cellIs" dxfId="4847" priority="5543" stopIfTrue="1" operator="equal">
      <formula>"Towel"</formula>
    </cfRule>
    <cfRule type="cellIs" dxfId="4846" priority="5544" stopIfTrue="1" operator="equal">
      <formula>"Napkin Hs"</formula>
    </cfRule>
    <cfRule type="cellIs" dxfId="4845" priority="5549" stopIfTrue="1" operator="equal">
      <formula>"Towel"</formula>
    </cfRule>
    <cfRule type="cellIs" dxfId="4844" priority="5550" stopIfTrue="1" operator="equal">
      <formula>"Napkin Hs"</formula>
    </cfRule>
    <cfRule type="cellIs" dxfId="4843" priority="5555" stopIfTrue="1" operator="equal">
      <formula>"Towel"</formula>
    </cfRule>
    <cfRule type="cellIs" dxfId="4842" priority="5556" stopIfTrue="1" operator="equal">
      <formula>"Napkin Hs"</formula>
    </cfRule>
  </conditionalFormatting>
  <conditionalFormatting sqref="C67">
    <cfRule type="cellIs" dxfId="4841" priority="5509" stopIfTrue="1" operator="equal">
      <formula>"Towel"</formula>
    </cfRule>
    <cfRule type="cellIs" dxfId="4840" priority="5510" stopIfTrue="1" operator="equal">
      <formula>"Napkin Hs"</formula>
    </cfRule>
    <cfRule type="cellIs" dxfId="4839" priority="5511" stopIfTrue="1" operator="equal">
      <formula>"Towel"</formula>
    </cfRule>
    <cfRule type="cellIs" dxfId="4838" priority="5512" stopIfTrue="1" operator="equal">
      <formula>"Napkin Hs"</formula>
    </cfRule>
    <cfRule type="cellIs" dxfId="4837" priority="5515" stopIfTrue="1" operator="equal">
      <formula>"Towel"</formula>
    </cfRule>
    <cfRule type="cellIs" dxfId="4836" priority="5516" stopIfTrue="1" operator="equal">
      <formula>"Napkin Hs"</formula>
    </cfRule>
    <cfRule type="cellIs" dxfId="4835" priority="5517" stopIfTrue="1" operator="equal">
      <formula>"Towel"</formula>
    </cfRule>
    <cfRule type="cellIs" dxfId="4834" priority="5518" stopIfTrue="1" operator="equal">
      <formula>"Napkin Hs"</formula>
    </cfRule>
    <cfRule type="cellIs" dxfId="4833" priority="5521" stopIfTrue="1" operator="equal">
      <formula>"Towel"</formula>
    </cfRule>
    <cfRule type="cellIs" dxfId="4832" priority="5522" stopIfTrue="1" operator="equal">
      <formula>"Napkin Hs"</formula>
    </cfRule>
    <cfRule type="cellIs" dxfId="4831" priority="5523" stopIfTrue="1" operator="equal">
      <formula>"Towel"</formula>
    </cfRule>
    <cfRule type="cellIs" dxfId="4830" priority="5524" stopIfTrue="1" operator="equal">
      <formula>"Napkin Hs"</formula>
    </cfRule>
    <cfRule type="cellIs" dxfId="4829" priority="5527" stopIfTrue="1" operator="equal">
      <formula>"Towel"</formula>
    </cfRule>
    <cfRule type="cellIs" dxfId="4828" priority="5528" stopIfTrue="1" operator="equal">
      <formula>"Napkin Hs"</formula>
    </cfRule>
    <cfRule type="cellIs" dxfId="4827" priority="5529" stopIfTrue="1" operator="equal">
      <formula>"Towel"</formula>
    </cfRule>
    <cfRule type="cellIs" dxfId="4826" priority="5530" stopIfTrue="1" operator="equal">
      <formula>"Napkin Hs"</formula>
    </cfRule>
    <cfRule type="cellIs" dxfId="4825" priority="5533" stopIfTrue="1" operator="equal">
      <formula>"Towel"</formula>
    </cfRule>
    <cfRule type="cellIs" dxfId="4824" priority="5534" stopIfTrue="1" operator="equal">
      <formula>"Napkin Hs"</formula>
    </cfRule>
    <cfRule type="cellIs" dxfId="4823" priority="5535" stopIfTrue="1" operator="equal">
      <formula>"Towel"</formula>
    </cfRule>
    <cfRule type="cellIs" dxfId="4822" priority="5536" stopIfTrue="1" operator="equal">
      <formula>"Napkin Hs"</formula>
    </cfRule>
    <cfRule type="cellIs" dxfId="4821" priority="5539" stopIfTrue="1" operator="equal">
      <formula>"Towel"</formula>
    </cfRule>
    <cfRule type="cellIs" dxfId="4820" priority="5540" stopIfTrue="1" operator="equal">
      <formula>"Napkin Hs"</formula>
    </cfRule>
    <cfRule type="cellIs" dxfId="4819" priority="5541" stopIfTrue="1" operator="equal">
      <formula>"Towel"</formula>
    </cfRule>
    <cfRule type="cellIs" dxfId="4818" priority="5542" stopIfTrue="1" operator="equal">
      <formula>"Napkin Hs"</formula>
    </cfRule>
    <cfRule type="cellIs" dxfId="4817" priority="5545" stopIfTrue="1" operator="equal">
      <formula>"Towel"</formula>
    </cfRule>
    <cfRule type="cellIs" dxfId="4816" priority="5546" stopIfTrue="1" operator="equal">
      <formula>"Napkin Hs"</formula>
    </cfRule>
    <cfRule type="cellIs" dxfId="4815" priority="5547" stopIfTrue="1" operator="equal">
      <formula>"Towel"</formula>
    </cfRule>
    <cfRule type="cellIs" dxfId="4814" priority="5548" stopIfTrue="1" operator="equal">
      <formula>"Napkin Hs"</formula>
    </cfRule>
    <cfRule type="cellIs" dxfId="4813" priority="5551" stopIfTrue="1" operator="equal">
      <formula>"Towel"</formula>
    </cfRule>
    <cfRule type="cellIs" dxfId="4812" priority="5552" stopIfTrue="1" operator="equal">
      <formula>"Napkin Hs"</formula>
    </cfRule>
  </conditionalFormatting>
  <conditionalFormatting sqref="C67">
    <cfRule type="cellIs" dxfId="4811" priority="5553" stopIfTrue="1" operator="equal">
      <formula>"Towel"</formula>
    </cfRule>
    <cfRule type="cellIs" dxfId="4810" priority="5554" stopIfTrue="1" operator="equal">
      <formula>"Napkin Hs"</formula>
    </cfRule>
  </conditionalFormatting>
  <conditionalFormatting sqref="B67">
    <cfRule type="cellIs" dxfId="4809" priority="5503" stopIfTrue="1" operator="equal">
      <formula>"Towel"</formula>
    </cfRule>
    <cfRule type="cellIs" dxfId="4808" priority="5504" stopIfTrue="1" operator="equal">
      <formula>"Napkin Hs"</formula>
    </cfRule>
    <cfRule type="cellIs" dxfId="4807" priority="5505" stopIfTrue="1" operator="equal">
      <formula>"Towel"</formula>
    </cfRule>
    <cfRule type="cellIs" dxfId="4806" priority="5506" stopIfTrue="1" operator="equal">
      <formula>"Napkin Hs"</formula>
    </cfRule>
    <cfRule type="cellIs" dxfId="4805" priority="5507" stopIfTrue="1" operator="equal">
      <formula>"Towel"</formula>
    </cfRule>
    <cfRule type="cellIs" dxfId="4804" priority="5508" stopIfTrue="1" operator="equal">
      <formula>"Napkin Hs"</formula>
    </cfRule>
  </conditionalFormatting>
  <conditionalFormatting sqref="B67:C67">
    <cfRule type="cellIs" dxfId="4803" priority="5465" stopIfTrue="1" operator="equal">
      <formula>"Towel"</formula>
    </cfRule>
    <cfRule type="cellIs" dxfId="4802" priority="5466" stopIfTrue="1" operator="equal">
      <formula>"Napkin Hs"</formula>
    </cfRule>
    <cfRule type="cellIs" dxfId="4801" priority="5471" stopIfTrue="1" operator="equal">
      <formula>"Towel"</formula>
    </cfRule>
    <cfRule type="cellIs" dxfId="4800" priority="5472" stopIfTrue="1" operator="equal">
      <formula>"Napkin Hs"</formula>
    </cfRule>
    <cfRule type="cellIs" dxfId="4799" priority="5477" stopIfTrue="1" operator="equal">
      <formula>"Towel"</formula>
    </cfRule>
    <cfRule type="cellIs" dxfId="4798" priority="5478" stopIfTrue="1" operator="equal">
      <formula>"Napkin Hs"</formula>
    </cfRule>
    <cfRule type="cellIs" dxfId="4797" priority="5483" stopIfTrue="1" operator="equal">
      <formula>"Towel"</formula>
    </cfRule>
    <cfRule type="cellIs" dxfId="4796" priority="5484" stopIfTrue="1" operator="equal">
      <formula>"Napkin Hs"</formula>
    </cfRule>
    <cfRule type="cellIs" dxfId="4795" priority="5489" stopIfTrue="1" operator="equal">
      <formula>"Towel"</formula>
    </cfRule>
    <cfRule type="cellIs" dxfId="4794" priority="5490" stopIfTrue="1" operator="equal">
      <formula>"Napkin Hs"</formula>
    </cfRule>
    <cfRule type="cellIs" dxfId="4793" priority="5495" stopIfTrue="1" operator="equal">
      <formula>"Towel"</formula>
    </cfRule>
    <cfRule type="cellIs" dxfId="4792" priority="5496" stopIfTrue="1" operator="equal">
      <formula>"Napkin Hs"</formula>
    </cfRule>
    <cfRule type="cellIs" dxfId="4791" priority="5501" stopIfTrue="1" operator="equal">
      <formula>"Towel"</formula>
    </cfRule>
    <cfRule type="cellIs" dxfId="4790" priority="5502" stopIfTrue="1" operator="equal">
      <formula>"Napkin Hs"</formula>
    </cfRule>
  </conditionalFormatting>
  <conditionalFormatting sqref="C67">
    <cfRule type="cellIs" dxfId="4789" priority="5461" stopIfTrue="1" operator="equal">
      <formula>"Towel"</formula>
    </cfRule>
    <cfRule type="cellIs" dxfId="4788" priority="5462" stopIfTrue="1" operator="equal">
      <formula>"Napkin Hs"</formula>
    </cfRule>
    <cfRule type="cellIs" dxfId="4787" priority="5463" stopIfTrue="1" operator="equal">
      <formula>"Towel"</formula>
    </cfRule>
    <cfRule type="cellIs" dxfId="4786" priority="5464" stopIfTrue="1" operator="equal">
      <formula>"Napkin Hs"</formula>
    </cfRule>
    <cfRule type="cellIs" dxfId="4785" priority="5467" stopIfTrue="1" operator="equal">
      <formula>"Towel"</formula>
    </cfRule>
    <cfRule type="cellIs" dxfId="4784" priority="5468" stopIfTrue="1" operator="equal">
      <formula>"Napkin Hs"</formula>
    </cfRule>
    <cfRule type="cellIs" dxfId="4783" priority="5469" stopIfTrue="1" operator="equal">
      <formula>"Towel"</formula>
    </cfRule>
    <cfRule type="cellIs" dxfId="4782" priority="5470" stopIfTrue="1" operator="equal">
      <formula>"Napkin Hs"</formula>
    </cfRule>
    <cfRule type="cellIs" dxfId="4781" priority="5473" stopIfTrue="1" operator="equal">
      <formula>"Towel"</formula>
    </cfRule>
    <cfRule type="cellIs" dxfId="4780" priority="5474" stopIfTrue="1" operator="equal">
      <formula>"Napkin Hs"</formula>
    </cfRule>
    <cfRule type="cellIs" dxfId="4779" priority="5475" stopIfTrue="1" operator="equal">
      <formula>"Towel"</formula>
    </cfRule>
    <cfRule type="cellIs" dxfId="4778" priority="5476" stopIfTrue="1" operator="equal">
      <formula>"Napkin Hs"</formula>
    </cfRule>
    <cfRule type="cellIs" dxfId="4777" priority="5479" stopIfTrue="1" operator="equal">
      <formula>"Towel"</formula>
    </cfRule>
    <cfRule type="cellIs" dxfId="4776" priority="5480" stopIfTrue="1" operator="equal">
      <formula>"Napkin Hs"</formula>
    </cfRule>
    <cfRule type="cellIs" dxfId="4775" priority="5481" stopIfTrue="1" operator="equal">
      <formula>"Towel"</formula>
    </cfRule>
    <cfRule type="cellIs" dxfId="4774" priority="5482" stopIfTrue="1" operator="equal">
      <formula>"Napkin Hs"</formula>
    </cfRule>
    <cfRule type="cellIs" dxfId="4773" priority="5485" stopIfTrue="1" operator="equal">
      <formula>"Towel"</formula>
    </cfRule>
    <cfRule type="cellIs" dxfId="4772" priority="5486" stopIfTrue="1" operator="equal">
      <formula>"Napkin Hs"</formula>
    </cfRule>
    <cfRule type="cellIs" dxfId="4771" priority="5487" stopIfTrue="1" operator="equal">
      <formula>"Towel"</formula>
    </cfRule>
    <cfRule type="cellIs" dxfId="4770" priority="5488" stopIfTrue="1" operator="equal">
      <formula>"Napkin Hs"</formula>
    </cfRule>
    <cfRule type="cellIs" dxfId="4769" priority="5491" stopIfTrue="1" operator="equal">
      <formula>"Towel"</formula>
    </cfRule>
    <cfRule type="cellIs" dxfId="4768" priority="5492" stopIfTrue="1" operator="equal">
      <formula>"Napkin Hs"</formula>
    </cfRule>
    <cfRule type="cellIs" dxfId="4767" priority="5493" stopIfTrue="1" operator="equal">
      <formula>"Towel"</formula>
    </cfRule>
    <cfRule type="cellIs" dxfId="4766" priority="5494" stopIfTrue="1" operator="equal">
      <formula>"Napkin Hs"</formula>
    </cfRule>
    <cfRule type="cellIs" dxfId="4765" priority="5497" stopIfTrue="1" operator="equal">
      <formula>"Towel"</formula>
    </cfRule>
    <cfRule type="cellIs" dxfId="4764" priority="5498" stopIfTrue="1" operator="equal">
      <formula>"Napkin Hs"</formula>
    </cfRule>
  </conditionalFormatting>
  <conditionalFormatting sqref="C67">
    <cfRule type="cellIs" dxfId="4763" priority="5499" stopIfTrue="1" operator="equal">
      <formula>"Towel"</formula>
    </cfRule>
    <cfRule type="cellIs" dxfId="4762" priority="5500" stopIfTrue="1" operator="equal">
      <formula>"Napkin Hs"</formula>
    </cfRule>
  </conditionalFormatting>
  <conditionalFormatting sqref="B67:C67">
    <cfRule type="cellIs" dxfId="4761" priority="5459" stopIfTrue="1" operator="equal">
      <formula>"Towel"</formula>
    </cfRule>
    <cfRule type="cellIs" dxfId="4760" priority="5460" stopIfTrue="1" operator="equal">
      <formula>"Napkin Hs"</formula>
    </cfRule>
  </conditionalFormatting>
  <conditionalFormatting sqref="B67:C67">
    <cfRule type="cellIs" dxfId="4759" priority="5423" stopIfTrue="1" operator="equal">
      <formula>"Towel"</formula>
    </cfRule>
    <cfRule type="cellIs" dxfId="4758" priority="5424" stopIfTrue="1" operator="equal">
      <formula>"Napkin Hs"</formula>
    </cfRule>
    <cfRule type="cellIs" dxfId="4757" priority="5429" stopIfTrue="1" operator="equal">
      <formula>"Towel"</formula>
    </cfRule>
    <cfRule type="cellIs" dxfId="4756" priority="5430" stopIfTrue="1" operator="equal">
      <formula>"Napkin Hs"</formula>
    </cfRule>
    <cfRule type="cellIs" dxfId="4755" priority="5435" stopIfTrue="1" operator="equal">
      <formula>"Towel"</formula>
    </cfRule>
    <cfRule type="cellIs" dxfId="4754" priority="5436" stopIfTrue="1" operator="equal">
      <formula>"Napkin Hs"</formula>
    </cfRule>
    <cfRule type="cellIs" dxfId="4753" priority="5441" stopIfTrue="1" operator="equal">
      <formula>"Towel"</formula>
    </cfRule>
    <cfRule type="cellIs" dxfId="4752" priority="5442" stopIfTrue="1" operator="equal">
      <formula>"Napkin Hs"</formula>
    </cfRule>
    <cfRule type="cellIs" dxfId="4751" priority="5447" stopIfTrue="1" operator="equal">
      <formula>"Towel"</formula>
    </cfRule>
    <cfRule type="cellIs" dxfId="4750" priority="5448" stopIfTrue="1" operator="equal">
      <formula>"Napkin Hs"</formula>
    </cfRule>
    <cfRule type="cellIs" dxfId="4749" priority="5453" stopIfTrue="1" operator="equal">
      <formula>"Towel"</formula>
    </cfRule>
    <cfRule type="cellIs" dxfId="4748" priority="5454" stopIfTrue="1" operator="equal">
      <formula>"Napkin Hs"</formula>
    </cfRule>
  </conditionalFormatting>
  <conditionalFormatting sqref="C67">
    <cfRule type="cellIs" dxfId="4747" priority="5458" stopIfTrue="1" operator="equal">
      <formula>"Napkin Hs"</formula>
    </cfRule>
  </conditionalFormatting>
  <conditionalFormatting sqref="C67">
    <cfRule type="cellIs" dxfId="4746" priority="5457" stopIfTrue="1" operator="equal">
      <formula>"Towel"</formula>
    </cfRule>
  </conditionalFormatting>
  <conditionalFormatting sqref="C67">
    <cfRule type="cellIs" dxfId="4745" priority="5451" stopIfTrue="1" operator="equal">
      <formula>"Towel"</formula>
    </cfRule>
    <cfRule type="cellIs" dxfId="4744" priority="5452" stopIfTrue="1" operator="equal">
      <formula>"Napkin Hs"</formula>
    </cfRule>
  </conditionalFormatting>
  <conditionalFormatting sqref="C67">
    <cfRule type="cellIs" dxfId="4743" priority="5449" stopIfTrue="1" operator="equal">
      <formula>"Towel"</formula>
    </cfRule>
    <cfRule type="cellIs" dxfId="4742" priority="5450" stopIfTrue="1" operator="equal">
      <formula>"Napkin Hs"</formula>
    </cfRule>
    <cfRule type="cellIs" dxfId="4741" priority="5455" stopIfTrue="1" operator="equal">
      <formula>"Towel"</formula>
    </cfRule>
    <cfRule type="cellIs" dxfId="4740" priority="5456" stopIfTrue="1" operator="equal">
      <formula>"Napkin Hs"</formula>
    </cfRule>
  </conditionalFormatting>
  <conditionalFormatting sqref="C67">
    <cfRule type="cellIs" dxfId="4739" priority="5421" stopIfTrue="1" operator="equal">
      <formula>"Towel"</formula>
    </cfRule>
    <cfRule type="cellIs" dxfId="4738" priority="5422" stopIfTrue="1" operator="equal">
      <formula>"Napkin Hs"</formula>
    </cfRule>
    <cfRule type="cellIs" dxfId="4737" priority="5425" stopIfTrue="1" operator="equal">
      <formula>"Towel"</formula>
    </cfRule>
    <cfRule type="cellIs" dxfId="4736" priority="5426" stopIfTrue="1" operator="equal">
      <formula>"Napkin Hs"</formula>
    </cfRule>
    <cfRule type="cellIs" dxfId="4735" priority="5427" stopIfTrue="1" operator="equal">
      <formula>"Towel"</formula>
    </cfRule>
    <cfRule type="cellIs" dxfId="4734" priority="5428" stopIfTrue="1" operator="equal">
      <formula>"Napkin Hs"</formula>
    </cfRule>
    <cfRule type="cellIs" dxfId="4733" priority="5431" stopIfTrue="1" operator="equal">
      <formula>"Towel"</formula>
    </cfRule>
    <cfRule type="cellIs" dxfId="4732" priority="5432" stopIfTrue="1" operator="equal">
      <formula>"Napkin Hs"</formula>
    </cfRule>
    <cfRule type="cellIs" dxfId="4731" priority="5433" stopIfTrue="1" operator="equal">
      <formula>"Towel"</formula>
    </cfRule>
    <cfRule type="cellIs" dxfId="4730" priority="5434" stopIfTrue="1" operator="equal">
      <formula>"Napkin Hs"</formula>
    </cfRule>
    <cfRule type="cellIs" dxfId="4729" priority="5437" stopIfTrue="1" operator="equal">
      <formula>"Towel"</formula>
    </cfRule>
    <cfRule type="cellIs" dxfId="4728" priority="5438" stopIfTrue="1" operator="equal">
      <formula>"Napkin Hs"</formula>
    </cfRule>
    <cfRule type="cellIs" dxfId="4727" priority="5439" stopIfTrue="1" operator="equal">
      <formula>"Towel"</formula>
    </cfRule>
    <cfRule type="cellIs" dxfId="4726" priority="5440" stopIfTrue="1" operator="equal">
      <formula>"Napkin Hs"</formula>
    </cfRule>
    <cfRule type="cellIs" dxfId="4725" priority="5443" stopIfTrue="1" operator="equal">
      <formula>"Towel"</formula>
    </cfRule>
    <cfRule type="cellIs" dxfId="4724" priority="5444" stopIfTrue="1" operator="equal">
      <formula>"Napkin Hs"</formula>
    </cfRule>
    <cfRule type="cellIs" dxfId="4723" priority="5445" stopIfTrue="1" operator="equal">
      <formula>"Towel"</formula>
    </cfRule>
    <cfRule type="cellIs" dxfId="4722" priority="5446" stopIfTrue="1" operator="equal">
      <formula>"Napkin Hs"</formula>
    </cfRule>
  </conditionalFormatting>
  <conditionalFormatting sqref="C67">
    <cfRule type="cellIs" dxfId="4721" priority="5419" stopIfTrue="1" operator="equal">
      <formula>"Towel"</formula>
    </cfRule>
    <cfRule type="cellIs" dxfId="4720" priority="5420" stopIfTrue="1" operator="equal">
      <formula>"Napkin Hs"</formula>
    </cfRule>
  </conditionalFormatting>
  <conditionalFormatting sqref="C67">
    <cfRule type="cellIs" dxfId="4719" priority="5399" stopIfTrue="1" operator="equal">
      <formula>"Towel"</formula>
    </cfRule>
    <cfRule type="cellIs" dxfId="4718" priority="5400" stopIfTrue="1" operator="equal">
      <formula>"Napkin Hs"</formula>
    </cfRule>
    <cfRule type="cellIs" dxfId="4717" priority="5405" stopIfTrue="1" operator="equal">
      <formula>"Towel"</formula>
    </cfRule>
    <cfRule type="cellIs" dxfId="4716" priority="5406" stopIfTrue="1" operator="equal">
      <formula>"Napkin Hs"</formula>
    </cfRule>
    <cfRule type="cellIs" dxfId="4715" priority="5411" stopIfTrue="1" operator="equal">
      <formula>"Towel"</formula>
    </cfRule>
    <cfRule type="cellIs" dxfId="4714" priority="5412" stopIfTrue="1" operator="equal">
      <formula>"Napkin Hs"</formula>
    </cfRule>
    <cfRule type="cellIs" dxfId="4713" priority="5417" stopIfTrue="1" operator="equal">
      <formula>"Towel"</formula>
    </cfRule>
    <cfRule type="cellIs" dxfId="4712" priority="5418" stopIfTrue="1" operator="equal">
      <formula>"Napkin Hs"</formula>
    </cfRule>
  </conditionalFormatting>
  <conditionalFormatting sqref="C67">
    <cfRule type="cellIs" dxfId="4711" priority="5409" stopIfTrue="1" operator="equal">
      <formula>"Towel"</formula>
    </cfRule>
    <cfRule type="cellIs" dxfId="4710" priority="5410" stopIfTrue="1" operator="equal">
      <formula>"Napkin Hs"</formula>
    </cfRule>
    <cfRule type="cellIs" dxfId="4709" priority="5415" stopIfTrue="1" operator="equal">
      <formula>"Towel"</formula>
    </cfRule>
    <cfRule type="cellIs" dxfId="4708" priority="5416" stopIfTrue="1" operator="equal">
      <formula>"Napkin Hs"</formula>
    </cfRule>
  </conditionalFormatting>
  <conditionalFormatting sqref="C67">
    <cfRule type="cellIs" dxfId="4707" priority="5395" stopIfTrue="1" operator="equal">
      <formula>"Towel"</formula>
    </cfRule>
    <cfRule type="cellIs" dxfId="4706" priority="5396" stopIfTrue="1" operator="equal">
      <formula>"Napkin Hs"</formula>
    </cfRule>
    <cfRule type="cellIs" dxfId="4705" priority="5403" stopIfTrue="1" operator="equal">
      <formula>"Towel"</formula>
    </cfRule>
    <cfRule type="cellIs" dxfId="4704" priority="5404" stopIfTrue="1" operator="equal">
      <formula>"Napkin Hs"</formula>
    </cfRule>
    <cfRule type="cellIs" dxfId="4703" priority="5407" stopIfTrue="1" operator="equal">
      <formula>"Towel"</formula>
    </cfRule>
    <cfRule type="cellIs" dxfId="4702" priority="5408" stopIfTrue="1" operator="equal">
      <formula>"Napkin Hs"</formula>
    </cfRule>
  </conditionalFormatting>
  <conditionalFormatting sqref="C67">
    <cfRule type="cellIs" dxfId="4701" priority="5397" stopIfTrue="1" operator="equal">
      <formula>"Towel"</formula>
    </cfRule>
    <cfRule type="cellIs" dxfId="4700" priority="5398" stopIfTrue="1" operator="equal">
      <formula>"Napkin Hs"</formula>
    </cfRule>
    <cfRule type="cellIs" dxfId="4699" priority="5401" stopIfTrue="1" operator="equal">
      <formula>"Towel"</formula>
    </cfRule>
    <cfRule type="cellIs" dxfId="4698" priority="5402" stopIfTrue="1" operator="equal">
      <formula>"Napkin Hs"</formula>
    </cfRule>
    <cfRule type="cellIs" dxfId="4697" priority="5413" stopIfTrue="1" operator="equal">
      <formula>"Towel"</formula>
    </cfRule>
    <cfRule type="cellIs" dxfId="4696" priority="5414" stopIfTrue="1" operator="equal">
      <formula>"Napkin Hs"</formula>
    </cfRule>
  </conditionalFormatting>
  <conditionalFormatting sqref="C67">
    <cfRule type="cellIs" dxfId="4695" priority="5393" stopIfTrue="1" operator="equal">
      <formula>"Towel"</formula>
    </cfRule>
    <cfRule type="cellIs" dxfId="4694" priority="5394" stopIfTrue="1" operator="equal">
      <formula>"Napkin Hs"</formula>
    </cfRule>
  </conditionalFormatting>
  <conditionalFormatting sqref="C67">
    <cfRule type="cellIs" dxfId="4693" priority="5389" stopIfTrue="1" operator="equal">
      <formula>"Towel"</formula>
    </cfRule>
    <cfRule type="cellIs" dxfId="4692" priority="5390" stopIfTrue="1" operator="equal">
      <formula>"Napkin Hs"</formula>
    </cfRule>
  </conditionalFormatting>
  <conditionalFormatting sqref="C67">
    <cfRule type="cellIs" dxfId="4691" priority="5391" stopIfTrue="1" operator="equal">
      <formula>"Towel"</formula>
    </cfRule>
    <cfRule type="cellIs" dxfId="4690" priority="5392" stopIfTrue="1" operator="equal">
      <formula>"Napkin Hs"</formula>
    </cfRule>
  </conditionalFormatting>
  <conditionalFormatting sqref="C67">
    <cfRule type="cellIs" dxfId="4689" priority="5387" stopIfTrue="1" operator="equal">
      <formula>"Towel"</formula>
    </cfRule>
    <cfRule type="cellIs" dxfId="4688" priority="5388" stopIfTrue="1" operator="equal">
      <formula>"Napkin Hs"</formula>
    </cfRule>
  </conditionalFormatting>
  <conditionalFormatting sqref="C67">
    <cfRule type="cellIs" dxfId="4687" priority="5383" stopIfTrue="1" operator="equal">
      <formula>"Towel"</formula>
    </cfRule>
    <cfRule type="cellIs" dxfId="4686" priority="5384" stopIfTrue="1" operator="equal">
      <formula>"Napkin Hs"</formula>
    </cfRule>
  </conditionalFormatting>
  <conditionalFormatting sqref="C67">
    <cfRule type="cellIs" dxfId="4685" priority="5385" stopIfTrue="1" operator="equal">
      <formula>"Towel"</formula>
    </cfRule>
    <cfRule type="cellIs" dxfId="4684" priority="5386" stopIfTrue="1" operator="equal">
      <formula>"Napkin Hs"</formula>
    </cfRule>
  </conditionalFormatting>
  <conditionalFormatting sqref="C67">
    <cfRule type="cellIs" dxfId="4683" priority="5381" stopIfTrue="1" operator="equal">
      <formula>"Towel"</formula>
    </cfRule>
    <cfRule type="cellIs" dxfId="4682" priority="5382" stopIfTrue="1" operator="equal">
      <formula>"Napkin Hs"</formula>
    </cfRule>
  </conditionalFormatting>
  <conditionalFormatting sqref="C67">
    <cfRule type="cellIs" dxfId="4681" priority="5377" stopIfTrue="1" operator="equal">
      <formula>"Towel"</formula>
    </cfRule>
    <cfRule type="cellIs" dxfId="4680" priority="5378" stopIfTrue="1" operator="equal">
      <formula>"Napkin Hs"</formula>
    </cfRule>
  </conditionalFormatting>
  <conditionalFormatting sqref="C67">
    <cfRule type="cellIs" dxfId="4679" priority="5379" stopIfTrue="1" operator="equal">
      <formula>"Towel"</formula>
    </cfRule>
    <cfRule type="cellIs" dxfId="4678" priority="5380" stopIfTrue="1" operator="equal">
      <formula>"Napkin Hs"</formula>
    </cfRule>
  </conditionalFormatting>
  <conditionalFormatting sqref="C67">
    <cfRule type="cellIs" dxfId="4677" priority="5375" stopIfTrue="1" operator="equal">
      <formula>"Towel"</formula>
    </cfRule>
    <cfRule type="cellIs" dxfId="4676" priority="5376" stopIfTrue="1" operator="equal">
      <formula>"Napkin Hs"</formula>
    </cfRule>
  </conditionalFormatting>
  <conditionalFormatting sqref="C67">
    <cfRule type="cellIs" dxfId="4675" priority="5373" stopIfTrue="1" operator="equal">
      <formula>"Towel"</formula>
    </cfRule>
    <cfRule type="cellIs" dxfId="4674" priority="5374" stopIfTrue="1" operator="equal">
      <formula>"Napkin Hs"</formula>
    </cfRule>
  </conditionalFormatting>
  <conditionalFormatting sqref="C67">
    <cfRule type="cellIs" dxfId="4673" priority="5371" stopIfTrue="1" operator="equal">
      <formula>"Towel"</formula>
    </cfRule>
    <cfRule type="cellIs" dxfId="4672" priority="5372" stopIfTrue="1" operator="equal">
      <formula>"Napkin Hs"</formula>
    </cfRule>
  </conditionalFormatting>
  <conditionalFormatting sqref="C67">
    <cfRule type="cellIs" dxfId="4671" priority="5369" stopIfTrue="1" operator="equal">
      <formula>"Towel"</formula>
    </cfRule>
    <cfRule type="cellIs" dxfId="4670" priority="5370" stopIfTrue="1" operator="equal">
      <formula>"Napkin Hs"</formula>
    </cfRule>
  </conditionalFormatting>
  <conditionalFormatting sqref="C67">
    <cfRule type="cellIs" dxfId="4669" priority="5368" stopIfTrue="1" operator="equal">
      <formula>"Napkin Hs"</formula>
    </cfRule>
  </conditionalFormatting>
  <conditionalFormatting sqref="C67">
    <cfRule type="cellIs" dxfId="4668" priority="5365" stopIfTrue="1" operator="equal">
      <formula>"Towel"</formula>
    </cfRule>
    <cfRule type="cellIs" dxfId="4667" priority="5366" stopIfTrue="1" operator="equal">
      <formula>"Napkin Hs"</formula>
    </cfRule>
  </conditionalFormatting>
  <conditionalFormatting sqref="C67">
    <cfRule type="cellIs" dxfId="4666" priority="5367" stopIfTrue="1" operator="equal">
      <formula>"Towel"</formula>
    </cfRule>
  </conditionalFormatting>
  <conditionalFormatting sqref="B67">
    <cfRule type="cellIs" dxfId="4665" priority="5363" stopIfTrue="1" operator="equal">
      <formula>"Towel"</formula>
    </cfRule>
    <cfRule type="cellIs" dxfId="4664" priority="5364" stopIfTrue="1" operator="equal">
      <formula>"Napkin Hs"</formula>
    </cfRule>
  </conditionalFormatting>
  <conditionalFormatting sqref="B67">
    <cfRule type="cellIs" dxfId="4663" priority="5361" stopIfTrue="1" operator="equal">
      <formula>"Towel"</formula>
    </cfRule>
    <cfRule type="cellIs" dxfId="4662" priority="5362" stopIfTrue="1" operator="equal">
      <formula>"Napkin Hs"</formula>
    </cfRule>
  </conditionalFormatting>
  <conditionalFormatting sqref="B67">
    <cfRule type="cellIs" dxfId="4661" priority="5359" stopIfTrue="1" operator="equal">
      <formula>"Towel"</formula>
    </cfRule>
    <cfRule type="cellIs" dxfId="4660" priority="5360" stopIfTrue="1" operator="equal">
      <formula>"Napkin Hs"</formula>
    </cfRule>
  </conditionalFormatting>
  <conditionalFormatting sqref="B67">
    <cfRule type="cellIs" dxfId="4659" priority="5357" stopIfTrue="1" operator="equal">
      <formula>"Towel"</formula>
    </cfRule>
    <cfRule type="cellIs" dxfId="4658" priority="5358" stopIfTrue="1" operator="equal">
      <formula>"Napkin Hs"</formula>
    </cfRule>
  </conditionalFormatting>
  <conditionalFormatting sqref="B67">
    <cfRule type="cellIs" dxfId="4657" priority="5355" stopIfTrue="1" operator="equal">
      <formula>"Towel"</formula>
    </cfRule>
    <cfRule type="cellIs" dxfId="4656" priority="5356" stopIfTrue="1" operator="equal">
      <formula>"Napkin Hs"</formula>
    </cfRule>
  </conditionalFormatting>
  <conditionalFormatting sqref="B67">
    <cfRule type="cellIs" dxfId="4655" priority="5353" stopIfTrue="1" operator="equal">
      <formula>"Towel"</formula>
    </cfRule>
    <cfRule type="cellIs" dxfId="4654" priority="5354" stopIfTrue="1" operator="equal">
      <formula>"Napkin Hs"</formula>
    </cfRule>
  </conditionalFormatting>
  <conditionalFormatting sqref="B67">
    <cfRule type="cellIs" dxfId="4653" priority="5349" stopIfTrue="1" operator="equal">
      <formula>"Towel"</formula>
    </cfRule>
    <cfRule type="cellIs" dxfId="4652" priority="5350" stopIfTrue="1" operator="equal">
      <formula>"Napkin Hs"</formula>
    </cfRule>
    <cfRule type="cellIs" dxfId="4651" priority="5351" stopIfTrue="1" operator="equal">
      <formula>"Towel"</formula>
    </cfRule>
    <cfRule type="cellIs" dxfId="4650" priority="5352" stopIfTrue="1" operator="equal">
      <formula>"Napkin Hs"</formula>
    </cfRule>
  </conditionalFormatting>
  <conditionalFormatting sqref="B67">
    <cfRule type="cellIs" dxfId="4649" priority="5347" stopIfTrue="1" operator="equal">
      <formula>"Towel"</formula>
    </cfRule>
    <cfRule type="cellIs" dxfId="4648" priority="5348" stopIfTrue="1" operator="equal">
      <formula>"Napkin Hs"</formula>
    </cfRule>
  </conditionalFormatting>
  <conditionalFormatting sqref="B67">
    <cfRule type="cellIs" dxfId="4647" priority="5345" stopIfTrue="1" operator="equal">
      <formula>"Towel"</formula>
    </cfRule>
    <cfRule type="cellIs" dxfId="4646" priority="5346" stopIfTrue="1" operator="equal">
      <formula>"Napkin Hs"</formula>
    </cfRule>
  </conditionalFormatting>
  <conditionalFormatting sqref="B67">
    <cfRule type="cellIs" dxfId="4645" priority="5343" stopIfTrue="1" operator="equal">
      <formula>"Towel"</formula>
    </cfRule>
    <cfRule type="cellIs" dxfId="4644" priority="5344" stopIfTrue="1" operator="equal">
      <formula>"Napkin Hs"</formula>
    </cfRule>
  </conditionalFormatting>
  <conditionalFormatting sqref="B67">
    <cfRule type="cellIs" dxfId="4643" priority="5341" stopIfTrue="1" operator="equal">
      <formula>"Towel"</formula>
    </cfRule>
    <cfRule type="cellIs" dxfId="4642" priority="5342" stopIfTrue="1" operator="equal">
      <formula>"Napkin Hs"</formula>
    </cfRule>
  </conditionalFormatting>
  <conditionalFormatting sqref="B67">
    <cfRule type="cellIs" dxfId="4641" priority="5339" stopIfTrue="1" operator="equal">
      <formula>"Towel"</formula>
    </cfRule>
    <cfRule type="cellIs" dxfId="4640" priority="5340" stopIfTrue="1" operator="equal">
      <formula>"Napkin Hs"</formula>
    </cfRule>
  </conditionalFormatting>
  <conditionalFormatting sqref="B67:C67">
    <cfRule type="cellIs" dxfId="4639" priority="5325" stopIfTrue="1" operator="equal">
      <formula>"Towel"</formula>
    </cfRule>
    <cfRule type="cellIs" dxfId="4638" priority="5326" stopIfTrue="1" operator="equal">
      <formula>"Napkin Hs"</formula>
    </cfRule>
    <cfRule type="cellIs" dxfId="4637" priority="5331" stopIfTrue="1" operator="equal">
      <formula>"Towel"</formula>
    </cfRule>
    <cfRule type="cellIs" dxfId="4636" priority="5332" stopIfTrue="1" operator="equal">
      <formula>"Napkin Hs"</formula>
    </cfRule>
    <cfRule type="cellIs" dxfId="4635" priority="5337" stopIfTrue="1" operator="equal">
      <formula>"Towel"</formula>
    </cfRule>
    <cfRule type="cellIs" dxfId="4634" priority="5338" stopIfTrue="1" operator="equal">
      <formula>"Napkin Hs"</formula>
    </cfRule>
  </conditionalFormatting>
  <conditionalFormatting sqref="C67">
    <cfRule type="cellIs" dxfId="4633" priority="5319" stopIfTrue="1" operator="equal">
      <formula>"Towel"</formula>
    </cfRule>
    <cfRule type="cellIs" dxfId="4632" priority="5320" stopIfTrue="1" operator="equal">
      <formula>"Napkin Hs"</formula>
    </cfRule>
    <cfRule type="cellIs" dxfId="4631" priority="5321" stopIfTrue="1" operator="equal">
      <formula>"Towel"</formula>
    </cfRule>
    <cfRule type="cellIs" dxfId="4630" priority="5322" stopIfTrue="1" operator="equal">
      <formula>"Napkin Hs"</formula>
    </cfRule>
    <cfRule type="cellIs" dxfId="4629" priority="5329" stopIfTrue="1" operator="equal">
      <formula>"Towel"</formula>
    </cfRule>
    <cfRule type="cellIs" dxfId="4628" priority="5330" stopIfTrue="1" operator="equal">
      <formula>"Napkin Hs"</formula>
    </cfRule>
    <cfRule type="cellIs" dxfId="4627" priority="5333" stopIfTrue="1" operator="equal">
      <formula>"Towel"</formula>
    </cfRule>
    <cfRule type="cellIs" dxfId="4626" priority="5334" stopIfTrue="1" operator="equal">
      <formula>"Napkin Hs"</formula>
    </cfRule>
  </conditionalFormatting>
  <conditionalFormatting sqref="C67">
    <cfRule type="cellIs" dxfId="4625" priority="5323" stopIfTrue="1" operator="equal">
      <formula>"Towel"</formula>
    </cfRule>
    <cfRule type="cellIs" dxfId="4624" priority="5324" stopIfTrue="1" operator="equal">
      <formula>"Napkin Hs"</formula>
    </cfRule>
    <cfRule type="cellIs" dxfId="4623" priority="5327" stopIfTrue="1" operator="equal">
      <formula>"Towel"</formula>
    </cfRule>
    <cfRule type="cellIs" dxfId="4622" priority="5328" stopIfTrue="1" operator="equal">
      <formula>"Napkin Hs"</formula>
    </cfRule>
    <cfRule type="cellIs" dxfId="4621" priority="5335" stopIfTrue="1" operator="equal">
      <formula>"Towel"</formula>
    </cfRule>
    <cfRule type="cellIs" dxfId="4620" priority="5336" stopIfTrue="1" operator="equal">
      <formula>"Napkin Hs"</formula>
    </cfRule>
  </conditionalFormatting>
  <conditionalFormatting sqref="B67:C67">
    <cfRule type="cellIs" dxfId="4619" priority="5317" stopIfTrue="1" operator="equal">
      <formula>"Towel"</formula>
    </cfRule>
    <cfRule type="cellIs" dxfId="4618" priority="5318" stopIfTrue="1" operator="equal">
      <formula>"Napkin Hs"</formula>
    </cfRule>
  </conditionalFormatting>
  <conditionalFormatting sqref="B67:C67">
    <cfRule type="cellIs" dxfId="4617" priority="5309" stopIfTrue="1" operator="equal">
      <formula>"Towel"</formula>
    </cfRule>
    <cfRule type="cellIs" dxfId="4616" priority="5310" stopIfTrue="1" operator="equal">
      <formula>"Napkin Hs"</formula>
    </cfRule>
    <cfRule type="cellIs" dxfId="4615" priority="5315" stopIfTrue="1" operator="equal">
      <formula>"Towel"</formula>
    </cfRule>
    <cfRule type="cellIs" dxfId="4614" priority="5316" stopIfTrue="1" operator="equal">
      <formula>"Napkin Hs"</formula>
    </cfRule>
  </conditionalFormatting>
  <conditionalFormatting sqref="C67">
    <cfRule type="cellIs" dxfId="4613" priority="5305" stopIfTrue="1" operator="equal">
      <formula>"Towel"</formula>
    </cfRule>
    <cfRule type="cellIs" dxfId="4612" priority="5306" stopIfTrue="1" operator="equal">
      <formula>"Napkin Hs"</formula>
    </cfRule>
  </conditionalFormatting>
  <conditionalFormatting sqref="C67">
    <cfRule type="cellIs" dxfId="4611" priority="5303" stopIfTrue="1" operator="equal">
      <formula>"Towel"</formula>
    </cfRule>
    <cfRule type="cellIs" dxfId="4610" priority="5304" stopIfTrue="1" operator="equal">
      <formula>"Napkin Hs"</formula>
    </cfRule>
    <cfRule type="cellIs" dxfId="4609" priority="5313" stopIfTrue="1" operator="equal">
      <formula>"Towel"</formula>
    </cfRule>
    <cfRule type="cellIs" dxfId="4608" priority="5314" stopIfTrue="1" operator="equal">
      <formula>"Napkin Hs"</formula>
    </cfRule>
  </conditionalFormatting>
  <conditionalFormatting sqref="C67">
    <cfRule type="cellIs" dxfId="4607" priority="5307" stopIfTrue="1" operator="equal">
      <formula>"Towel"</formula>
    </cfRule>
    <cfRule type="cellIs" dxfId="4606" priority="5308" stopIfTrue="1" operator="equal">
      <formula>"Napkin Hs"</formula>
    </cfRule>
    <cfRule type="cellIs" dxfId="4605" priority="5311" stopIfTrue="1" operator="equal">
      <formula>"Towel"</formula>
    </cfRule>
    <cfRule type="cellIs" dxfId="4604" priority="5312" stopIfTrue="1" operator="equal">
      <formula>"Napkin Hs"</formula>
    </cfRule>
  </conditionalFormatting>
  <conditionalFormatting sqref="C67">
    <cfRule type="cellIs" dxfId="4603" priority="5302" stopIfTrue="1" operator="equal">
      <formula>"Napkin Hs"</formula>
    </cfRule>
  </conditionalFormatting>
  <conditionalFormatting sqref="C67">
    <cfRule type="cellIs" dxfId="4602" priority="5301" stopIfTrue="1" operator="equal">
      <formula>"Towel"</formula>
    </cfRule>
  </conditionalFormatting>
  <conditionalFormatting sqref="C67">
    <cfRule type="cellIs" dxfId="4601" priority="5297" stopIfTrue="1" operator="equal">
      <formula>"Towel"</formula>
    </cfRule>
    <cfRule type="cellIs" dxfId="4600" priority="5298" stopIfTrue="1" operator="equal">
      <formula>"Napkin Hs"</formula>
    </cfRule>
    <cfRule type="cellIs" dxfId="4599" priority="5299" stopIfTrue="1" operator="equal">
      <formula>"Towel"</formula>
    </cfRule>
    <cfRule type="cellIs" dxfId="4598" priority="5300" stopIfTrue="1" operator="equal">
      <formula>"Napkin Hs"</formula>
    </cfRule>
  </conditionalFormatting>
  <conditionalFormatting sqref="B67:C67">
    <cfRule type="cellIs" dxfId="4597" priority="5295" stopIfTrue="1" operator="equal">
      <formula>"Towel"</formula>
    </cfRule>
    <cfRule type="cellIs" dxfId="4596" priority="5296" stopIfTrue="1" operator="equal">
      <formula>"Napkin Hs"</formula>
    </cfRule>
  </conditionalFormatting>
  <conditionalFormatting sqref="C67">
    <cfRule type="cellIs" dxfId="4595" priority="5291" stopIfTrue="1" operator="equal">
      <formula>"Towel"</formula>
    </cfRule>
    <cfRule type="cellIs" dxfId="4594" priority="5292" stopIfTrue="1" operator="equal">
      <formula>"Napkin Hs"</formula>
    </cfRule>
  </conditionalFormatting>
  <conditionalFormatting sqref="C67">
    <cfRule type="cellIs" dxfId="4593" priority="5293" stopIfTrue="1" operator="equal">
      <formula>"Towel"</formula>
    </cfRule>
    <cfRule type="cellIs" dxfId="4592" priority="5294" stopIfTrue="1" operator="equal">
      <formula>"Napkin Hs"</formula>
    </cfRule>
  </conditionalFormatting>
  <conditionalFormatting sqref="B67:C67">
    <cfRule type="cellIs" dxfId="4591" priority="5289" stopIfTrue="1" operator="equal">
      <formula>"Towel"</formula>
    </cfRule>
    <cfRule type="cellIs" dxfId="4590" priority="5290" stopIfTrue="1" operator="equal">
      <formula>"Napkin Hs"</formula>
    </cfRule>
  </conditionalFormatting>
  <conditionalFormatting sqref="C67">
    <cfRule type="cellIs" dxfId="4589" priority="5285" stopIfTrue="1" operator="equal">
      <formula>"Towel"</formula>
    </cfRule>
    <cfRule type="cellIs" dxfId="4588" priority="5286" stopIfTrue="1" operator="equal">
      <formula>"Napkin Hs"</formula>
    </cfRule>
  </conditionalFormatting>
  <conditionalFormatting sqref="C67">
    <cfRule type="cellIs" dxfId="4587" priority="5287" stopIfTrue="1" operator="equal">
      <formula>"Towel"</formula>
    </cfRule>
    <cfRule type="cellIs" dxfId="4586" priority="5288" stopIfTrue="1" operator="equal">
      <formula>"Napkin Hs"</formula>
    </cfRule>
  </conditionalFormatting>
  <conditionalFormatting sqref="B67:C67">
    <cfRule type="cellIs" dxfId="4585" priority="5283" stopIfTrue="1" operator="equal">
      <formula>"Towel"</formula>
    </cfRule>
    <cfRule type="cellIs" dxfId="4584" priority="5284" stopIfTrue="1" operator="equal">
      <formula>"Napkin Hs"</formula>
    </cfRule>
  </conditionalFormatting>
  <conditionalFormatting sqref="C67">
    <cfRule type="cellIs" dxfId="4583" priority="5279" stopIfTrue="1" operator="equal">
      <formula>"Towel"</formula>
    </cfRule>
    <cfRule type="cellIs" dxfId="4582" priority="5280" stopIfTrue="1" operator="equal">
      <formula>"Napkin Hs"</formula>
    </cfRule>
  </conditionalFormatting>
  <conditionalFormatting sqref="C67">
    <cfRule type="cellIs" dxfId="4581" priority="5281" stopIfTrue="1" operator="equal">
      <formula>"Towel"</formula>
    </cfRule>
    <cfRule type="cellIs" dxfId="4580" priority="5282" stopIfTrue="1" operator="equal">
      <formula>"Napkin Hs"</formula>
    </cfRule>
  </conditionalFormatting>
  <conditionalFormatting sqref="B67:C67">
    <cfRule type="cellIs" dxfId="4579" priority="5277" stopIfTrue="1" operator="equal">
      <formula>"Towel"</formula>
    </cfRule>
    <cfRule type="cellIs" dxfId="4578" priority="5278" stopIfTrue="1" operator="equal">
      <formula>"Napkin Hs"</formula>
    </cfRule>
  </conditionalFormatting>
  <conditionalFormatting sqref="C67">
    <cfRule type="cellIs" dxfId="4577" priority="5275" stopIfTrue="1" operator="equal">
      <formula>"Towel"</formula>
    </cfRule>
    <cfRule type="cellIs" dxfId="4576" priority="5276" stopIfTrue="1" operator="equal">
      <formula>"Napkin Hs"</formula>
    </cfRule>
  </conditionalFormatting>
  <conditionalFormatting sqref="C67">
    <cfRule type="cellIs" dxfId="4575" priority="5273" stopIfTrue="1" operator="equal">
      <formula>"Towel"</formula>
    </cfRule>
    <cfRule type="cellIs" dxfId="4574" priority="5274" stopIfTrue="1" operator="equal">
      <formula>"Napkin Hs"</formula>
    </cfRule>
  </conditionalFormatting>
  <conditionalFormatting sqref="B67:C67">
    <cfRule type="cellIs" dxfId="4573" priority="5271" stopIfTrue="1" operator="equal">
      <formula>"Towel"</formula>
    </cfRule>
    <cfRule type="cellIs" dxfId="4572" priority="5272" stopIfTrue="1" operator="equal">
      <formula>"Napkin Hs"</formula>
    </cfRule>
  </conditionalFormatting>
  <conditionalFormatting sqref="C67">
    <cfRule type="cellIs" dxfId="4571" priority="5270" stopIfTrue="1" operator="equal">
      <formula>"Napkin Hs"</formula>
    </cfRule>
  </conditionalFormatting>
  <conditionalFormatting sqref="C67">
    <cfRule type="cellIs" dxfId="4570" priority="5267" stopIfTrue="1" operator="equal">
      <formula>"Towel"</formula>
    </cfRule>
    <cfRule type="cellIs" dxfId="4569" priority="5268" stopIfTrue="1" operator="equal">
      <formula>"Napkin Hs"</formula>
    </cfRule>
  </conditionalFormatting>
  <conditionalFormatting sqref="C67">
    <cfRule type="cellIs" dxfId="4568" priority="5269" stopIfTrue="1" operator="equal">
      <formula>"Towel"</formula>
    </cfRule>
  </conditionalFormatting>
  <conditionalFormatting sqref="B71:C71">
    <cfRule type="cellIs" dxfId="4567" priority="5265" stopIfTrue="1" operator="equal">
      <formula>"Towel"</formula>
    </cfRule>
    <cfRule type="cellIs" dxfId="4566" priority="5266" stopIfTrue="1" operator="equal">
      <formula>"Napkin Hs"</formula>
    </cfRule>
  </conditionalFormatting>
  <conditionalFormatting sqref="B72:C72">
    <cfRule type="cellIs" dxfId="4565" priority="5137" stopIfTrue="1" operator="equal">
      <formula>"Towel"</formula>
    </cfRule>
    <cfRule type="cellIs" dxfId="4564" priority="5138" stopIfTrue="1" operator="equal">
      <formula>"Napkin Hs"</formula>
    </cfRule>
    <cfRule type="cellIs" dxfId="4563" priority="5143" stopIfTrue="1" operator="equal">
      <formula>"Towel"</formula>
    </cfRule>
    <cfRule type="cellIs" dxfId="4562" priority="5144" stopIfTrue="1" operator="equal">
      <formula>"Napkin Hs"</formula>
    </cfRule>
    <cfRule type="cellIs" dxfId="4561" priority="5149" stopIfTrue="1" operator="equal">
      <formula>"Towel"</formula>
    </cfRule>
    <cfRule type="cellIs" dxfId="4560" priority="5150" stopIfTrue="1" operator="equal">
      <formula>"Napkin Hs"</formula>
    </cfRule>
    <cfRule type="cellIs" dxfId="4559" priority="5155" stopIfTrue="1" operator="equal">
      <formula>"Towel"</formula>
    </cfRule>
    <cfRule type="cellIs" dxfId="4558" priority="5156" stopIfTrue="1" operator="equal">
      <formula>"Napkin Hs"</formula>
    </cfRule>
    <cfRule type="cellIs" dxfId="4557" priority="5161" stopIfTrue="1" operator="equal">
      <formula>"Towel"</formula>
    </cfRule>
    <cfRule type="cellIs" dxfId="4556" priority="5162" stopIfTrue="1" operator="equal">
      <formula>"Napkin Hs"</formula>
    </cfRule>
    <cfRule type="cellIs" dxfId="4555" priority="5167" stopIfTrue="1" operator="equal">
      <formula>"Towel"</formula>
    </cfRule>
    <cfRule type="cellIs" dxfId="4554" priority="5168" stopIfTrue="1" operator="equal">
      <formula>"Napkin Hs"</formula>
    </cfRule>
    <cfRule type="cellIs" dxfId="4553" priority="5173" stopIfTrue="1" operator="equal">
      <formula>"Towel"</formula>
    </cfRule>
    <cfRule type="cellIs" dxfId="4552" priority="5174" stopIfTrue="1" operator="equal">
      <formula>"Napkin Hs"</formula>
    </cfRule>
    <cfRule type="cellIs" dxfId="4551" priority="5179" stopIfTrue="1" operator="equal">
      <formula>"Towel"</formula>
    </cfRule>
    <cfRule type="cellIs" dxfId="4550" priority="5180" stopIfTrue="1" operator="equal">
      <formula>"Napkin Hs"</formula>
    </cfRule>
  </conditionalFormatting>
  <conditionalFormatting sqref="B73:C73">
    <cfRule type="cellIs" dxfId="4549" priority="5183" stopIfTrue="1" operator="equal">
      <formula>"Towel"</formula>
    </cfRule>
    <cfRule type="cellIs" dxfId="4548" priority="5184" stopIfTrue="1" operator="equal">
      <formula>"Napkin Hs"</formula>
    </cfRule>
    <cfRule type="cellIs" dxfId="4547" priority="5189" stopIfTrue="1" operator="equal">
      <formula>"Towel"</formula>
    </cfRule>
    <cfRule type="cellIs" dxfId="4546" priority="5190" stopIfTrue="1" operator="equal">
      <formula>"Napkin Hs"</formula>
    </cfRule>
    <cfRule type="cellIs" dxfId="4545" priority="5195" stopIfTrue="1" operator="equal">
      <formula>"Towel"</formula>
    </cfRule>
    <cfRule type="cellIs" dxfId="4544" priority="5196" stopIfTrue="1" operator="equal">
      <formula>"Napkin Hs"</formula>
    </cfRule>
    <cfRule type="cellIs" dxfId="4543" priority="5201" stopIfTrue="1" operator="equal">
      <formula>"Towel"</formula>
    </cfRule>
    <cfRule type="cellIs" dxfId="4542" priority="5202" stopIfTrue="1" operator="equal">
      <formula>"Napkin Hs"</formula>
    </cfRule>
    <cfRule type="cellIs" dxfId="4541" priority="5207" stopIfTrue="1" operator="equal">
      <formula>"Towel"</formula>
    </cfRule>
    <cfRule type="cellIs" dxfId="4540" priority="5208" stopIfTrue="1" operator="equal">
      <formula>"Napkin Hs"</formula>
    </cfRule>
    <cfRule type="cellIs" dxfId="4539" priority="5213" stopIfTrue="1" operator="equal">
      <formula>"Towel"</formula>
    </cfRule>
    <cfRule type="cellIs" dxfId="4538" priority="5214" stopIfTrue="1" operator="equal">
      <formula>"Napkin Hs"</formula>
    </cfRule>
    <cfRule type="cellIs" dxfId="4537" priority="5219" stopIfTrue="1" operator="equal">
      <formula>"Towel"</formula>
    </cfRule>
    <cfRule type="cellIs" dxfId="4536" priority="5220" stopIfTrue="1" operator="equal">
      <formula>"Napkin Hs"</formula>
    </cfRule>
    <cfRule type="cellIs" dxfId="4535" priority="5251" stopIfTrue="1" operator="equal">
      <formula>"Towel"</formula>
    </cfRule>
    <cfRule type="cellIs" dxfId="4534" priority="5252" stopIfTrue="1" operator="equal">
      <formula>"Napkin Hs"</formula>
    </cfRule>
  </conditionalFormatting>
  <conditionalFormatting sqref="B74:C74">
    <cfRule type="cellIs" dxfId="4533" priority="5223" stopIfTrue="1" operator="equal">
      <formula>"Towel"</formula>
    </cfRule>
    <cfRule type="cellIs" dxfId="4532" priority="5224" stopIfTrue="1" operator="equal">
      <formula>"Napkin Hs"</formula>
    </cfRule>
    <cfRule type="cellIs" dxfId="4531" priority="5229" stopIfTrue="1" operator="equal">
      <formula>"Towel"</formula>
    </cfRule>
    <cfRule type="cellIs" dxfId="4530" priority="5230" stopIfTrue="1" operator="equal">
      <formula>"Napkin Hs"</formula>
    </cfRule>
    <cfRule type="cellIs" dxfId="4529" priority="5235" stopIfTrue="1" operator="equal">
      <formula>"Towel"</formula>
    </cfRule>
    <cfRule type="cellIs" dxfId="4528" priority="5236" stopIfTrue="1" operator="equal">
      <formula>"Napkin Hs"</formula>
    </cfRule>
    <cfRule type="cellIs" dxfId="4527" priority="5241" stopIfTrue="1" operator="equal">
      <formula>"Towel"</formula>
    </cfRule>
    <cfRule type="cellIs" dxfId="4526" priority="5242" stopIfTrue="1" operator="equal">
      <formula>"Napkin Hs"</formula>
    </cfRule>
    <cfRule type="cellIs" dxfId="4525" priority="5247" stopIfTrue="1" operator="equal">
      <formula>"Towel"</formula>
    </cfRule>
    <cfRule type="cellIs" dxfId="4524" priority="5248" stopIfTrue="1" operator="equal">
      <formula>"Napkin Hs"</formula>
    </cfRule>
    <cfRule type="cellIs" dxfId="4523" priority="5255" stopIfTrue="1" operator="equal">
      <formula>"Towel"</formula>
    </cfRule>
    <cfRule type="cellIs" dxfId="4522" priority="5256" stopIfTrue="1" operator="equal">
      <formula>"Napkin Hs"</formula>
    </cfRule>
  </conditionalFormatting>
  <conditionalFormatting sqref="C71">
    <cfRule type="cellIs" dxfId="4521" priority="5257" stopIfTrue="1" operator="equal">
      <formula>"Towel"</formula>
    </cfRule>
    <cfRule type="cellIs" dxfId="4520" priority="5258" stopIfTrue="1" operator="equal">
      <formula>"Napkin Hs"</formula>
    </cfRule>
  </conditionalFormatting>
  <conditionalFormatting sqref="C71">
    <cfRule type="cellIs" dxfId="4519" priority="5263" stopIfTrue="1" operator="equal">
      <formula>"Towel"</formula>
    </cfRule>
    <cfRule type="cellIs" dxfId="4518" priority="5264" stopIfTrue="1" operator="equal">
      <formula>"Napkin Hs"</formula>
    </cfRule>
  </conditionalFormatting>
  <conditionalFormatting sqref="C72">
    <cfRule type="cellIs" dxfId="4517" priority="5133" stopIfTrue="1" operator="equal">
      <formula>"Towel"</formula>
    </cfRule>
    <cfRule type="cellIs" dxfId="4516" priority="5134" stopIfTrue="1" operator="equal">
      <formula>"Napkin Hs"</formula>
    </cfRule>
    <cfRule type="cellIs" dxfId="4515" priority="5135" stopIfTrue="1" operator="equal">
      <formula>"Towel"</formula>
    </cfRule>
    <cfRule type="cellIs" dxfId="4514" priority="5136" stopIfTrue="1" operator="equal">
      <formula>"Napkin Hs"</formula>
    </cfRule>
    <cfRule type="cellIs" dxfId="4513" priority="5139" stopIfTrue="1" operator="equal">
      <formula>"Towel"</formula>
    </cfRule>
    <cfRule type="cellIs" dxfId="4512" priority="5140" stopIfTrue="1" operator="equal">
      <formula>"Napkin Hs"</formula>
    </cfRule>
    <cfRule type="cellIs" dxfId="4511" priority="5141" stopIfTrue="1" operator="equal">
      <formula>"Towel"</formula>
    </cfRule>
    <cfRule type="cellIs" dxfId="4510" priority="5142" stopIfTrue="1" operator="equal">
      <formula>"Napkin Hs"</formula>
    </cfRule>
    <cfRule type="cellIs" dxfId="4509" priority="5145" stopIfTrue="1" operator="equal">
      <formula>"Towel"</formula>
    </cfRule>
    <cfRule type="cellIs" dxfId="4508" priority="5146" stopIfTrue="1" operator="equal">
      <formula>"Napkin Hs"</formula>
    </cfRule>
    <cfRule type="cellIs" dxfId="4507" priority="5147" stopIfTrue="1" operator="equal">
      <formula>"Towel"</formula>
    </cfRule>
    <cfRule type="cellIs" dxfId="4506" priority="5148" stopIfTrue="1" operator="equal">
      <formula>"Napkin Hs"</formula>
    </cfRule>
    <cfRule type="cellIs" dxfId="4505" priority="5151" stopIfTrue="1" operator="equal">
      <formula>"Towel"</formula>
    </cfRule>
    <cfRule type="cellIs" dxfId="4504" priority="5152" stopIfTrue="1" operator="equal">
      <formula>"Napkin Hs"</formula>
    </cfRule>
    <cfRule type="cellIs" dxfId="4503" priority="5153" stopIfTrue="1" operator="equal">
      <formula>"Towel"</formula>
    </cfRule>
    <cfRule type="cellIs" dxfId="4502" priority="5154" stopIfTrue="1" operator="equal">
      <formula>"Napkin Hs"</formula>
    </cfRule>
    <cfRule type="cellIs" dxfId="4501" priority="5157" stopIfTrue="1" operator="equal">
      <formula>"Towel"</formula>
    </cfRule>
    <cfRule type="cellIs" dxfId="4500" priority="5158" stopIfTrue="1" operator="equal">
      <formula>"Napkin Hs"</formula>
    </cfRule>
    <cfRule type="cellIs" dxfId="4499" priority="5159" stopIfTrue="1" operator="equal">
      <formula>"Towel"</formula>
    </cfRule>
    <cfRule type="cellIs" dxfId="4498" priority="5160" stopIfTrue="1" operator="equal">
      <formula>"Napkin Hs"</formula>
    </cfRule>
    <cfRule type="cellIs" dxfId="4497" priority="5163" stopIfTrue="1" operator="equal">
      <formula>"Towel"</formula>
    </cfRule>
    <cfRule type="cellIs" dxfId="4496" priority="5164" stopIfTrue="1" operator="equal">
      <formula>"Napkin Hs"</formula>
    </cfRule>
    <cfRule type="cellIs" dxfId="4495" priority="5165" stopIfTrue="1" operator="equal">
      <formula>"Towel"</formula>
    </cfRule>
    <cfRule type="cellIs" dxfId="4494" priority="5166" stopIfTrue="1" operator="equal">
      <formula>"Napkin Hs"</formula>
    </cfRule>
    <cfRule type="cellIs" dxfId="4493" priority="5169" stopIfTrue="1" operator="equal">
      <formula>"Towel"</formula>
    </cfRule>
    <cfRule type="cellIs" dxfId="4492" priority="5170" stopIfTrue="1" operator="equal">
      <formula>"Napkin Hs"</formula>
    </cfRule>
    <cfRule type="cellIs" dxfId="4491" priority="5171" stopIfTrue="1" operator="equal">
      <formula>"Towel"</formula>
    </cfRule>
    <cfRule type="cellIs" dxfId="4490" priority="5172" stopIfTrue="1" operator="equal">
      <formula>"Napkin Hs"</formula>
    </cfRule>
    <cfRule type="cellIs" dxfId="4489" priority="5175" stopIfTrue="1" operator="equal">
      <formula>"Towel"</formula>
    </cfRule>
    <cfRule type="cellIs" dxfId="4488" priority="5176" stopIfTrue="1" operator="equal">
      <formula>"Napkin Hs"</formula>
    </cfRule>
  </conditionalFormatting>
  <conditionalFormatting sqref="C72:C73">
    <cfRule type="cellIs" dxfId="4487" priority="5177" stopIfTrue="1" operator="equal">
      <formula>"Towel"</formula>
    </cfRule>
    <cfRule type="cellIs" dxfId="4486" priority="5178" stopIfTrue="1" operator="equal">
      <formula>"Napkin Hs"</formula>
    </cfRule>
  </conditionalFormatting>
  <conditionalFormatting sqref="C73">
    <cfRule type="cellIs" dxfId="4485" priority="5181" stopIfTrue="1" operator="equal">
      <formula>"Towel"</formula>
    </cfRule>
    <cfRule type="cellIs" dxfId="4484" priority="5182" stopIfTrue="1" operator="equal">
      <formula>"Napkin Hs"</formula>
    </cfRule>
    <cfRule type="cellIs" dxfId="4483" priority="5185" stopIfTrue="1" operator="equal">
      <formula>"Towel"</formula>
    </cfRule>
    <cfRule type="cellIs" dxfId="4482" priority="5186" stopIfTrue="1" operator="equal">
      <formula>"Napkin Hs"</formula>
    </cfRule>
    <cfRule type="cellIs" dxfId="4481" priority="5187" stopIfTrue="1" operator="equal">
      <formula>"Towel"</formula>
    </cfRule>
    <cfRule type="cellIs" dxfId="4480" priority="5188" stopIfTrue="1" operator="equal">
      <formula>"Napkin Hs"</formula>
    </cfRule>
    <cfRule type="cellIs" dxfId="4479" priority="5191" stopIfTrue="1" operator="equal">
      <formula>"Towel"</formula>
    </cfRule>
    <cfRule type="cellIs" dxfId="4478" priority="5192" stopIfTrue="1" operator="equal">
      <formula>"Napkin Hs"</formula>
    </cfRule>
    <cfRule type="cellIs" dxfId="4477" priority="5193" stopIfTrue="1" operator="equal">
      <formula>"Towel"</formula>
    </cfRule>
    <cfRule type="cellIs" dxfId="4476" priority="5194" stopIfTrue="1" operator="equal">
      <formula>"Napkin Hs"</formula>
    </cfRule>
    <cfRule type="cellIs" dxfId="4475" priority="5197" stopIfTrue="1" operator="equal">
      <formula>"Towel"</formula>
    </cfRule>
    <cfRule type="cellIs" dxfId="4474" priority="5198" stopIfTrue="1" operator="equal">
      <formula>"Napkin Hs"</formula>
    </cfRule>
    <cfRule type="cellIs" dxfId="4473" priority="5199" stopIfTrue="1" operator="equal">
      <formula>"Towel"</formula>
    </cfRule>
    <cfRule type="cellIs" dxfId="4472" priority="5200" stopIfTrue="1" operator="equal">
      <formula>"Napkin Hs"</formula>
    </cfRule>
    <cfRule type="cellIs" dxfId="4471" priority="5203" stopIfTrue="1" operator="equal">
      <formula>"Towel"</formula>
    </cfRule>
    <cfRule type="cellIs" dxfId="4470" priority="5204" stopIfTrue="1" operator="equal">
      <formula>"Napkin Hs"</formula>
    </cfRule>
    <cfRule type="cellIs" dxfId="4469" priority="5205" stopIfTrue="1" operator="equal">
      <formula>"Towel"</formula>
    </cfRule>
    <cfRule type="cellIs" dxfId="4468" priority="5206" stopIfTrue="1" operator="equal">
      <formula>"Napkin Hs"</formula>
    </cfRule>
    <cfRule type="cellIs" dxfId="4467" priority="5209" stopIfTrue="1" operator="equal">
      <formula>"Towel"</formula>
    </cfRule>
    <cfRule type="cellIs" dxfId="4466" priority="5210" stopIfTrue="1" operator="equal">
      <formula>"Napkin Hs"</formula>
    </cfRule>
    <cfRule type="cellIs" dxfId="4465" priority="5211" stopIfTrue="1" operator="equal">
      <formula>"Towel"</formula>
    </cfRule>
    <cfRule type="cellIs" dxfId="4464" priority="5212" stopIfTrue="1" operator="equal">
      <formula>"Napkin Hs"</formula>
    </cfRule>
    <cfRule type="cellIs" dxfId="4463" priority="5215" stopIfTrue="1" operator="equal">
      <formula>"Towel"</formula>
    </cfRule>
    <cfRule type="cellIs" dxfId="4462" priority="5216" stopIfTrue="1" operator="equal">
      <formula>"Napkin Hs"</formula>
    </cfRule>
  </conditionalFormatting>
  <conditionalFormatting sqref="C73:C74">
    <cfRule type="cellIs" dxfId="4461" priority="5217" stopIfTrue="1" operator="equal">
      <formula>"Towel"</formula>
    </cfRule>
    <cfRule type="cellIs" dxfId="4460" priority="5218" stopIfTrue="1" operator="equal">
      <formula>"Napkin Hs"</formula>
    </cfRule>
    <cfRule type="cellIs" dxfId="4459" priority="5245" stopIfTrue="1" operator="equal">
      <formula>"Towel"</formula>
    </cfRule>
    <cfRule type="cellIs" dxfId="4458" priority="5246" stopIfTrue="1" operator="equal">
      <formula>"Napkin Hs"</formula>
    </cfRule>
    <cfRule type="cellIs" dxfId="4457" priority="5249" stopIfTrue="1" operator="equal">
      <formula>"Towel"</formula>
    </cfRule>
    <cfRule type="cellIs" dxfId="4456" priority="5250" stopIfTrue="1" operator="equal">
      <formula>"Napkin Hs"</formula>
    </cfRule>
  </conditionalFormatting>
  <conditionalFormatting sqref="C74">
    <cfRule type="cellIs" dxfId="4455" priority="5221" stopIfTrue="1" operator="equal">
      <formula>"Towel"</formula>
    </cfRule>
    <cfRule type="cellIs" dxfId="4454" priority="5222" stopIfTrue="1" operator="equal">
      <formula>"Napkin Hs"</formula>
    </cfRule>
    <cfRule type="cellIs" dxfId="4453" priority="5225" stopIfTrue="1" operator="equal">
      <formula>"Towel"</formula>
    </cfRule>
    <cfRule type="cellIs" dxfId="4452" priority="5226" stopIfTrue="1" operator="equal">
      <formula>"Napkin Hs"</formula>
    </cfRule>
    <cfRule type="cellIs" dxfId="4451" priority="5227" stopIfTrue="1" operator="equal">
      <formula>"Towel"</formula>
    </cfRule>
    <cfRule type="cellIs" dxfId="4450" priority="5228" stopIfTrue="1" operator="equal">
      <formula>"Napkin Hs"</formula>
    </cfRule>
    <cfRule type="cellIs" dxfId="4449" priority="5231" stopIfTrue="1" operator="equal">
      <formula>"Towel"</formula>
    </cfRule>
    <cfRule type="cellIs" dxfId="4448" priority="5232" stopIfTrue="1" operator="equal">
      <formula>"Napkin Hs"</formula>
    </cfRule>
    <cfRule type="cellIs" dxfId="4447" priority="5233" stopIfTrue="1" operator="equal">
      <formula>"Towel"</formula>
    </cfRule>
    <cfRule type="cellIs" dxfId="4446" priority="5234" stopIfTrue="1" operator="equal">
      <formula>"Napkin Hs"</formula>
    </cfRule>
    <cfRule type="cellIs" dxfId="4445" priority="5237" stopIfTrue="1" operator="equal">
      <formula>"Towel"</formula>
    </cfRule>
    <cfRule type="cellIs" dxfId="4444" priority="5238" stopIfTrue="1" operator="equal">
      <formula>"Napkin Hs"</formula>
    </cfRule>
    <cfRule type="cellIs" dxfId="4443" priority="5239" stopIfTrue="1" operator="equal">
      <formula>"Towel"</formula>
    </cfRule>
    <cfRule type="cellIs" dxfId="4442" priority="5240" stopIfTrue="1" operator="equal">
      <formula>"Napkin Hs"</formula>
    </cfRule>
    <cfRule type="cellIs" dxfId="4441" priority="5243" stopIfTrue="1" operator="equal">
      <formula>"Towel"</formula>
    </cfRule>
    <cfRule type="cellIs" dxfId="4440" priority="5244" stopIfTrue="1" operator="equal">
      <formula>"Napkin Hs"</formula>
    </cfRule>
  </conditionalFormatting>
  <conditionalFormatting sqref="C74">
    <cfRule type="cellIs" dxfId="4439" priority="5253" stopIfTrue="1" operator="equal">
      <formula>"Towel"</formula>
    </cfRule>
    <cfRule type="cellIs" dxfId="4438" priority="5254" stopIfTrue="1" operator="equal">
      <formula>"Napkin Hs"</formula>
    </cfRule>
  </conditionalFormatting>
  <conditionalFormatting sqref="B71:C71">
    <cfRule type="cellIs" dxfId="4437" priority="4949" stopIfTrue="1" operator="equal">
      <formula>"Towel"</formula>
    </cfRule>
    <cfRule type="cellIs" dxfId="4436" priority="4950" stopIfTrue="1" operator="equal">
      <formula>"Napkin Hs"</formula>
    </cfRule>
    <cfRule type="cellIs" dxfId="4435" priority="4955" stopIfTrue="1" operator="equal">
      <formula>"Towel"</formula>
    </cfRule>
    <cfRule type="cellIs" dxfId="4434" priority="4956" stopIfTrue="1" operator="equal">
      <formula>"Napkin Hs"</formula>
    </cfRule>
    <cfRule type="cellIs" dxfId="4433" priority="4961" stopIfTrue="1" operator="equal">
      <formula>"Towel"</formula>
    </cfRule>
    <cfRule type="cellIs" dxfId="4432" priority="4962" stopIfTrue="1" operator="equal">
      <formula>"Napkin Hs"</formula>
    </cfRule>
    <cfRule type="cellIs" dxfId="4431" priority="4967" stopIfTrue="1" operator="equal">
      <formula>"Towel"</formula>
    </cfRule>
    <cfRule type="cellIs" dxfId="4430" priority="4968" stopIfTrue="1" operator="equal">
      <formula>"Napkin Hs"</formula>
    </cfRule>
    <cfRule type="cellIs" dxfId="4429" priority="4973" stopIfTrue="1" operator="equal">
      <formula>"Towel"</formula>
    </cfRule>
    <cfRule type="cellIs" dxfId="4428" priority="4974" stopIfTrue="1" operator="equal">
      <formula>"Napkin Hs"</formula>
    </cfRule>
    <cfRule type="cellIs" dxfId="4427" priority="4979" stopIfTrue="1" operator="equal">
      <formula>"Towel"</formula>
    </cfRule>
    <cfRule type="cellIs" dxfId="4426" priority="4980" stopIfTrue="1" operator="equal">
      <formula>"Napkin Hs"</formula>
    </cfRule>
    <cfRule type="cellIs" dxfId="4425" priority="4985" stopIfTrue="1" operator="equal">
      <formula>"Towel"</formula>
    </cfRule>
    <cfRule type="cellIs" dxfId="4424" priority="4986" stopIfTrue="1" operator="equal">
      <formula>"Napkin Hs"</formula>
    </cfRule>
    <cfRule type="cellIs" dxfId="4423" priority="4991" stopIfTrue="1" operator="equal">
      <formula>"Towel"</formula>
    </cfRule>
    <cfRule type="cellIs" dxfId="4422" priority="4992" stopIfTrue="1" operator="equal">
      <formula>"Napkin Hs"</formula>
    </cfRule>
  </conditionalFormatting>
  <conditionalFormatting sqref="B72:C72">
    <cfRule type="cellIs" dxfId="4421" priority="4995" stopIfTrue="1" operator="equal">
      <formula>"Towel"</formula>
    </cfRule>
    <cfRule type="cellIs" dxfId="4420" priority="4996" stopIfTrue="1" operator="equal">
      <formula>"Napkin Hs"</formula>
    </cfRule>
    <cfRule type="cellIs" dxfId="4419" priority="5001" stopIfTrue="1" operator="equal">
      <formula>"Towel"</formula>
    </cfRule>
    <cfRule type="cellIs" dxfId="4418" priority="5002" stopIfTrue="1" operator="equal">
      <formula>"Napkin Hs"</formula>
    </cfRule>
    <cfRule type="cellIs" dxfId="4417" priority="5007" stopIfTrue="1" operator="equal">
      <formula>"Towel"</formula>
    </cfRule>
    <cfRule type="cellIs" dxfId="4416" priority="5008" stopIfTrue="1" operator="equal">
      <formula>"Napkin Hs"</formula>
    </cfRule>
    <cfRule type="cellIs" dxfId="4415" priority="5013" stopIfTrue="1" operator="equal">
      <formula>"Towel"</formula>
    </cfRule>
    <cfRule type="cellIs" dxfId="4414" priority="5014" stopIfTrue="1" operator="equal">
      <formula>"Napkin Hs"</formula>
    </cfRule>
    <cfRule type="cellIs" dxfId="4413" priority="5019" stopIfTrue="1" operator="equal">
      <formula>"Towel"</formula>
    </cfRule>
    <cfRule type="cellIs" dxfId="4412" priority="5020" stopIfTrue="1" operator="equal">
      <formula>"Napkin Hs"</formula>
    </cfRule>
    <cfRule type="cellIs" dxfId="4411" priority="5025" stopIfTrue="1" operator="equal">
      <formula>"Towel"</formula>
    </cfRule>
    <cfRule type="cellIs" dxfId="4410" priority="5026" stopIfTrue="1" operator="equal">
      <formula>"Napkin Hs"</formula>
    </cfRule>
    <cfRule type="cellIs" dxfId="4409" priority="5031" stopIfTrue="1" operator="equal">
      <formula>"Towel"</formula>
    </cfRule>
    <cfRule type="cellIs" dxfId="4408" priority="5032" stopIfTrue="1" operator="equal">
      <formula>"Napkin Hs"</formula>
    </cfRule>
    <cfRule type="cellIs" dxfId="4407" priority="5037" stopIfTrue="1" operator="equal">
      <formula>"Towel"</formula>
    </cfRule>
    <cfRule type="cellIs" dxfId="4406" priority="5038" stopIfTrue="1" operator="equal">
      <formula>"Napkin Hs"</formula>
    </cfRule>
  </conditionalFormatting>
  <conditionalFormatting sqref="C71">
    <cfRule type="cellIs" dxfId="4405" priority="4945" stopIfTrue="1" operator="equal">
      <formula>"Towel"</formula>
    </cfRule>
    <cfRule type="cellIs" dxfId="4404" priority="4946" stopIfTrue="1" operator="equal">
      <formula>"Napkin Hs"</formula>
    </cfRule>
    <cfRule type="cellIs" dxfId="4403" priority="4947" stopIfTrue="1" operator="equal">
      <formula>"Towel"</formula>
    </cfRule>
    <cfRule type="cellIs" dxfId="4402" priority="4948" stopIfTrue="1" operator="equal">
      <formula>"Napkin Hs"</formula>
    </cfRule>
    <cfRule type="cellIs" dxfId="4401" priority="4951" stopIfTrue="1" operator="equal">
      <formula>"Towel"</formula>
    </cfRule>
    <cfRule type="cellIs" dxfId="4400" priority="4952" stopIfTrue="1" operator="equal">
      <formula>"Napkin Hs"</formula>
    </cfRule>
    <cfRule type="cellIs" dxfId="4399" priority="4953" stopIfTrue="1" operator="equal">
      <formula>"Towel"</formula>
    </cfRule>
    <cfRule type="cellIs" dxfId="4398" priority="4954" stopIfTrue="1" operator="equal">
      <formula>"Napkin Hs"</formula>
    </cfRule>
    <cfRule type="cellIs" dxfId="4397" priority="4957" stopIfTrue="1" operator="equal">
      <formula>"Towel"</formula>
    </cfRule>
    <cfRule type="cellIs" dxfId="4396" priority="4958" stopIfTrue="1" operator="equal">
      <formula>"Napkin Hs"</formula>
    </cfRule>
    <cfRule type="cellIs" dxfId="4395" priority="4959" stopIfTrue="1" operator="equal">
      <formula>"Towel"</formula>
    </cfRule>
    <cfRule type="cellIs" dxfId="4394" priority="4960" stopIfTrue="1" operator="equal">
      <formula>"Napkin Hs"</formula>
    </cfRule>
    <cfRule type="cellIs" dxfId="4393" priority="4963" stopIfTrue="1" operator="equal">
      <formula>"Towel"</formula>
    </cfRule>
    <cfRule type="cellIs" dxfId="4392" priority="4964" stopIfTrue="1" operator="equal">
      <formula>"Napkin Hs"</formula>
    </cfRule>
    <cfRule type="cellIs" dxfId="4391" priority="4965" stopIfTrue="1" operator="equal">
      <formula>"Towel"</formula>
    </cfRule>
    <cfRule type="cellIs" dxfId="4390" priority="4966" stopIfTrue="1" operator="equal">
      <formula>"Napkin Hs"</formula>
    </cfRule>
    <cfRule type="cellIs" dxfId="4389" priority="4969" stopIfTrue="1" operator="equal">
      <formula>"Towel"</formula>
    </cfRule>
    <cfRule type="cellIs" dxfId="4388" priority="4970" stopIfTrue="1" operator="equal">
      <formula>"Napkin Hs"</formula>
    </cfRule>
    <cfRule type="cellIs" dxfId="4387" priority="4971" stopIfTrue="1" operator="equal">
      <formula>"Towel"</formula>
    </cfRule>
    <cfRule type="cellIs" dxfId="4386" priority="4972" stopIfTrue="1" operator="equal">
      <formula>"Napkin Hs"</formula>
    </cfRule>
    <cfRule type="cellIs" dxfId="4385" priority="4975" stopIfTrue="1" operator="equal">
      <formula>"Towel"</formula>
    </cfRule>
    <cfRule type="cellIs" dxfId="4384" priority="4976" stopIfTrue="1" operator="equal">
      <formula>"Napkin Hs"</formula>
    </cfRule>
    <cfRule type="cellIs" dxfId="4383" priority="4977" stopIfTrue="1" operator="equal">
      <formula>"Towel"</formula>
    </cfRule>
    <cfRule type="cellIs" dxfId="4382" priority="4978" stopIfTrue="1" operator="equal">
      <formula>"Napkin Hs"</formula>
    </cfRule>
    <cfRule type="cellIs" dxfId="4381" priority="4981" stopIfTrue="1" operator="equal">
      <formula>"Towel"</formula>
    </cfRule>
    <cfRule type="cellIs" dxfId="4380" priority="4982" stopIfTrue="1" operator="equal">
      <formula>"Napkin Hs"</formula>
    </cfRule>
    <cfRule type="cellIs" dxfId="4379" priority="4983" stopIfTrue="1" operator="equal">
      <formula>"Towel"</formula>
    </cfRule>
    <cfRule type="cellIs" dxfId="4378" priority="4984" stopIfTrue="1" operator="equal">
      <formula>"Napkin Hs"</formula>
    </cfRule>
    <cfRule type="cellIs" dxfId="4377" priority="4987" stopIfTrue="1" operator="equal">
      <formula>"Towel"</formula>
    </cfRule>
    <cfRule type="cellIs" dxfId="4376" priority="4988" stopIfTrue="1" operator="equal">
      <formula>"Napkin Hs"</formula>
    </cfRule>
  </conditionalFormatting>
  <conditionalFormatting sqref="C71:C72">
    <cfRule type="cellIs" dxfId="4375" priority="4989" stopIfTrue="1" operator="equal">
      <formula>"Towel"</formula>
    </cfRule>
    <cfRule type="cellIs" dxfId="4374" priority="4990" stopIfTrue="1" operator="equal">
      <formula>"Napkin Hs"</formula>
    </cfRule>
  </conditionalFormatting>
  <conditionalFormatting sqref="C72">
    <cfRule type="cellIs" dxfId="4373" priority="4993" stopIfTrue="1" operator="equal">
      <formula>"Towel"</formula>
    </cfRule>
    <cfRule type="cellIs" dxfId="4372" priority="4994" stopIfTrue="1" operator="equal">
      <formula>"Napkin Hs"</formula>
    </cfRule>
    <cfRule type="cellIs" dxfId="4371" priority="4997" stopIfTrue="1" operator="equal">
      <formula>"Towel"</formula>
    </cfRule>
    <cfRule type="cellIs" dxfId="4370" priority="4998" stopIfTrue="1" operator="equal">
      <formula>"Napkin Hs"</formula>
    </cfRule>
    <cfRule type="cellIs" dxfId="4369" priority="4999" stopIfTrue="1" operator="equal">
      <formula>"Towel"</formula>
    </cfRule>
    <cfRule type="cellIs" dxfId="4368" priority="5000" stopIfTrue="1" operator="equal">
      <formula>"Napkin Hs"</formula>
    </cfRule>
    <cfRule type="cellIs" dxfId="4367" priority="5003" stopIfTrue="1" operator="equal">
      <formula>"Towel"</formula>
    </cfRule>
    <cfRule type="cellIs" dxfId="4366" priority="5004" stopIfTrue="1" operator="equal">
      <formula>"Napkin Hs"</formula>
    </cfRule>
    <cfRule type="cellIs" dxfId="4365" priority="5005" stopIfTrue="1" operator="equal">
      <formula>"Towel"</formula>
    </cfRule>
    <cfRule type="cellIs" dxfId="4364" priority="5006" stopIfTrue="1" operator="equal">
      <formula>"Napkin Hs"</formula>
    </cfRule>
    <cfRule type="cellIs" dxfId="4363" priority="5009" stopIfTrue="1" operator="equal">
      <formula>"Towel"</formula>
    </cfRule>
    <cfRule type="cellIs" dxfId="4362" priority="5010" stopIfTrue="1" operator="equal">
      <formula>"Napkin Hs"</formula>
    </cfRule>
    <cfRule type="cellIs" dxfId="4361" priority="5011" stopIfTrue="1" operator="equal">
      <formula>"Towel"</formula>
    </cfRule>
    <cfRule type="cellIs" dxfId="4360" priority="5012" stopIfTrue="1" operator="equal">
      <formula>"Napkin Hs"</formula>
    </cfRule>
    <cfRule type="cellIs" dxfId="4359" priority="5015" stopIfTrue="1" operator="equal">
      <formula>"Towel"</formula>
    </cfRule>
    <cfRule type="cellIs" dxfId="4358" priority="5016" stopIfTrue="1" operator="equal">
      <formula>"Napkin Hs"</formula>
    </cfRule>
    <cfRule type="cellIs" dxfId="4357" priority="5017" stopIfTrue="1" operator="equal">
      <formula>"Towel"</formula>
    </cfRule>
    <cfRule type="cellIs" dxfId="4356" priority="5018" stopIfTrue="1" operator="equal">
      <formula>"Napkin Hs"</formula>
    </cfRule>
    <cfRule type="cellIs" dxfId="4355" priority="5021" stopIfTrue="1" operator="equal">
      <formula>"Towel"</formula>
    </cfRule>
    <cfRule type="cellIs" dxfId="4354" priority="5022" stopIfTrue="1" operator="equal">
      <formula>"Napkin Hs"</formula>
    </cfRule>
    <cfRule type="cellIs" dxfId="4353" priority="5023" stopIfTrue="1" operator="equal">
      <formula>"Towel"</formula>
    </cfRule>
    <cfRule type="cellIs" dxfId="4352" priority="5024" stopIfTrue="1" operator="equal">
      <formula>"Napkin Hs"</formula>
    </cfRule>
    <cfRule type="cellIs" dxfId="4351" priority="5027" stopIfTrue="1" operator="equal">
      <formula>"Towel"</formula>
    </cfRule>
    <cfRule type="cellIs" dxfId="4350" priority="5028" stopIfTrue="1" operator="equal">
      <formula>"Napkin Hs"</formula>
    </cfRule>
  </conditionalFormatting>
  <conditionalFormatting sqref="C72">
    <cfRule type="cellIs" dxfId="4349" priority="5029" stopIfTrue="1" operator="equal">
      <formula>"Towel"</formula>
    </cfRule>
    <cfRule type="cellIs" dxfId="4348" priority="5030" stopIfTrue="1" operator="equal">
      <formula>"Napkin Hs"</formula>
    </cfRule>
    <cfRule type="cellIs" dxfId="4347" priority="5033" stopIfTrue="1" operator="equal">
      <formula>"Towel"</formula>
    </cfRule>
    <cfRule type="cellIs" dxfId="4346" priority="5034" stopIfTrue="1" operator="equal">
      <formula>"Napkin Hs"</formula>
    </cfRule>
    <cfRule type="cellIs" dxfId="4345" priority="5035" stopIfTrue="1" operator="equal">
      <formula>"Towel"</formula>
    </cfRule>
    <cfRule type="cellIs" dxfId="4344" priority="5036" stopIfTrue="1" operator="equal">
      <formula>"Napkin Hs"</formula>
    </cfRule>
  </conditionalFormatting>
  <conditionalFormatting sqref="B71:C71">
    <cfRule type="cellIs" dxfId="4343" priority="4821" stopIfTrue="1" operator="equal">
      <formula>"Towel"</formula>
    </cfRule>
    <cfRule type="cellIs" dxfId="4342" priority="4822" stopIfTrue="1" operator="equal">
      <formula>"Napkin Hs"</formula>
    </cfRule>
    <cfRule type="cellIs" dxfId="4341" priority="4827" stopIfTrue="1" operator="equal">
      <formula>"Towel"</formula>
    </cfRule>
    <cfRule type="cellIs" dxfId="4340" priority="4828" stopIfTrue="1" operator="equal">
      <formula>"Napkin Hs"</formula>
    </cfRule>
    <cfRule type="cellIs" dxfId="4339" priority="4833" stopIfTrue="1" operator="equal">
      <formula>"Towel"</formula>
    </cfRule>
    <cfRule type="cellIs" dxfId="4338" priority="4834" stopIfTrue="1" operator="equal">
      <formula>"Napkin Hs"</formula>
    </cfRule>
    <cfRule type="cellIs" dxfId="4337" priority="4839" stopIfTrue="1" operator="equal">
      <formula>"Towel"</formula>
    </cfRule>
    <cfRule type="cellIs" dxfId="4336" priority="4840" stopIfTrue="1" operator="equal">
      <formula>"Napkin Hs"</formula>
    </cfRule>
    <cfRule type="cellIs" dxfId="4335" priority="4845" stopIfTrue="1" operator="equal">
      <formula>"Towel"</formula>
    </cfRule>
    <cfRule type="cellIs" dxfId="4334" priority="4846" stopIfTrue="1" operator="equal">
      <formula>"Napkin Hs"</formula>
    </cfRule>
    <cfRule type="cellIs" dxfId="4333" priority="4851" stopIfTrue="1" operator="equal">
      <formula>"Towel"</formula>
    </cfRule>
    <cfRule type="cellIs" dxfId="4332" priority="4852" stopIfTrue="1" operator="equal">
      <formula>"Napkin Hs"</formula>
    </cfRule>
    <cfRule type="cellIs" dxfId="4331" priority="4857" stopIfTrue="1" operator="equal">
      <formula>"Towel"</formula>
    </cfRule>
    <cfRule type="cellIs" dxfId="4330" priority="4858" stopIfTrue="1" operator="equal">
      <formula>"Napkin Hs"</formula>
    </cfRule>
    <cfRule type="cellIs" dxfId="4329" priority="4863" stopIfTrue="1" operator="equal">
      <formula>"Towel"</formula>
    </cfRule>
    <cfRule type="cellIs" dxfId="4328" priority="4864" stopIfTrue="1" operator="equal">
      <formula>"Napkin Hs"</formula>
    </cfRule>
  </conditionalFormatting>
  <conditionalFormatting sqref="B72:C72">
    <cfRule type="cellIs" dxfId="4327" priority="4867" stopIfTrue="1" operator="equal">
      <formula>"Towel"</formula>
    </cfRule>
    <cfRule type="cellIs" dxfId="4326" priority="4868" stopIfTrue="1" operator="equal">
      <formula>"Napkin Hs"</formula>
    </cfRule>
    <cfRule type="cellIs" dxfId="4325" priority="4873" stopIfTrue="1" operator="equal">
      <formula>"Towel"</formula>
    </cfRule>
    <cfRule type="cellIs" dxfId="4324" priority="4874" stopIfTrue="1" operator="equal">
      <formula>"Napkin Hs"</formula>
    </cfRule>
    <cfRule type="cellIs" dxfId="4323" priority="4879" stopIfTrue="1" operator="equal">
      <formula>"Towel"</formula>
    </cfRule>
    <cfRule type="cellIs" dxfId="4322" priority="4880" stopIfTrue="1" operator="equal">
      <formula>"Napkin Hs"</formula>
    </cfRule>
    <cfRule type="cellIs" dxfId="4321" priority="4885" stopIfTrue="1" operator="equal">
      <formula>"Towel"</formula>
    </cfRule>
    <cfRule type="cellIs" dxfId="4320" priority="4886" stopIfTrue="1" operator="equal">
      <formula>"Napkin Hs"</formula>
    </cfRule>
    <cfRule type="cellIs" dxfId="4319" priority="4891" stopIfTrue="1" operator="equal">
      <formula>"Towel"</formula>
    </cfRule>
    <cfRule type="cellIs" dxfId="4318" priority="4892" stopIfTrue="1" operator="equal">
      <formula>"Napkin Hs"</formula>
    </cfRule>
    <cfRule type="cellIs" dxfId="4317" priority="4897" stopIfTrue="1" operator="equal">
      <formula>"Towel"</formula>
    </cfRule>
    <cfRule type="cellIs" dxfId="4316" priority="4898" stopIfTrue="1" operator="equal">
      <formula>"Napkin Hs"</formula>
    </cfRule>
    <cfRule type="cellIs" dxfId="4315" priority="4903" stopIfTrue="1" operator="equal">
      <formula>"Towel"</formula>
    </cfRule>
    <cfRule type="cellIs" dxfId="4314" priority="4904" stopIfTrue="1" operator="equal">
      <formula>"Napkin Hs"</formula>
    </cfRule>
    <cfRule type="cellIs" dxfId="4313" priority="4935" stopIfTrue="1" operator="equal">
      <formula>"Towel"</formula>
    </cfRule>
    <cfRule type="cellIs" dxfId="4312" priority="4936" stopIfTrue="1" operator="equal">
      <formula>"Napkin Hs"</formula>
    </cfRule>
  </conditionalFormatting>
  <conditionalFormatting sqref="B73:C73">
    <cfRule type="cellIs" dxfId="4311" priority="4907" stopIfTrue="1" operator="equal">
      <formula>"Towel"</formula>
    </cfRule>
    <cfRule type="cellIs" dxfId="4310" priority="4908" stopIfTrue="1" operator="equal">
      <formula>"Napkin Hs"</formula>
    </cfRule>
    <cfRule type="cellIs" dxfId="4309" priority="4913" stopIfTrue="1" operator="equal">
      <formula>"Towel"</formula>
    </cfRule>
    <cfRule type="cellIs" dxfId="4308" priority="4914" stopIfTrue="1" operator="equal">
      <formula>"Napkin Hs"</formula>
    </cfRule>
    <cfRule type="cellIs" dxfId="4307" priority="4919" stopIfTrue="1" operator="equal">
      <formula>"Towel"</formula>
    </cfRule>
    <cfRule type="cellIs" dxfId="4306" priority="4920" stopIfTrue="1" operator="equal">
      <formula>"Napkin Hs"</formula>
    </cfRule>
    <cfRule type="cellIs" dxfId="4305" priority="4925" stopIfTrue="1" operator="equal">
      <formula>"Towel"</formula>
    </cfRule>
    <cfRule type="cellIs" dxfId="4304" priority="4926" stopIfTrue="1" operator="equal">
      <formula>"Napkin Hs"</formula>
    </cfRule>
    <cfRule type="cellIs" dxfId="4303" priority="4931" stopIfTrue="1" operator="equal">
      <formula>"Towel"</formula>
    </cfRule>
    <cfRule type="cellIs" dxfId="4302" priority="4932" stopIfTrue="1" operator="equal">
      <formula>"Napkin Hs"</formula>
    </cfRule>
    <cfRule type="cellIs" dxfId="4301" priority="4939" stopIfTrue="1" operator="equal">
      <formula>"Towel"</formula>
    </cfRule>
    <cfRule type="cellIs" dxfId="4300" priority="4940" stopIfTrue="1" operator="equal">
      <formula>"Napkin Hs"</formula>
    </cfRule>
  </conditionalFormatting>
  <conditionalFormatting sqref="B74:C74">
    <cfRule type="cellIs" dxfId="4299" priority="4943" stopIfTrue="1" operator="equal">
      <formula>"Towel"</formula>
    </cfRule>
    <cfRule type="cellIs" dxfId="4298" priority="4944" stopIfTrue="1" operator="equal">
      <formula>"Napkin Hs"</formula>
    </cfRule>
  </conditionalFormatting>
  <conditionalFormatting sqref="C71">
    <cfRule type="cellIs" dxfId="4297" priority="4817" stopIfTrue="1" operator="equal">
      <formula>"Towel"</formula>
    </cfRule>
    <cfRule type="cellIs" dxfId="4296" priority="4818" stopIfTrue="1" operator="equal">
      <formula>"Napkin Hs"</formula>
    </cfRule>
    <cfRule type="cellIs" dxfId="4295" priority="4819" stopIfTrue="1" operator="equal">
      <formula>"Towel"</formula>
    </cfRule>
    <cfRule type="cellIs" dxfId="4294" priority="4820" stopIfTrue="1" operator="equal">
      <formula>"Napkin Hs"</formula>
    </cfRule>
    <cfRule type="cellIs" dxfId="4293" priority="4823" stopIfTrue="1" operator="equal">
      <formula>"Towel"</formula>
    </cfRule>
    <cfRule type="cellIs" dxfId="4292" priority="4824" stopIfTrue="1" operator="equal">
      <formula>"Napkin Hs"</formula>
    </cfRule>
    <cfRule type="cellIs" dxfId="4291" priority="4825" stopIfTrue="1" operator="equal">
      <formula>"Towel"</formula>
    </cfRule>
    <cfRule type="cellIs" dxfId="4290" priority="4826" stopIfTrue="1" operator="equal">
      <formula>"Napkin Hs"</formula>
    </cfRule>
    <cfRule type="cellIs" dxfId="4289" priority="4829" stopIfTrue="1" operator="equal">
      <formula>"Towel"</formula>
    </cfRule>
    <cfRule type="cellIs" dxfId="4288" priority="4830" stopIfTrue="1" operator="equal">
      <formula>"Napkin Hs"</formula>
    </cfRule>
    <cfRule type="cellIs" dxfId="4287" priority="4831" stopIfTrue="1" operator="equal">
      <formula>"Towel"</formula>
    </cfRule>
    <cfRule type="cellIs" dxfId="4286" priority="4832" stopIfTrue="1" operator="equal">
      <formula>"Napkin Hs"</formula>
    </cfRule>
    <cfRule type="cellIs" dxfId="4285" priority="4835" stopIfTrue="1" operator="equal">
      <formula>"Towel"</formula>
    </cfRule>
    <cfRule type="cellIs" dxfId="4284" priority="4836" stopIfTrue="1" operator="equal">
      <formula>"Napkin Hs"</formula>
    </cfRule>
    <cfRule type="cellIs" dxfId="4283" priority="4837" stopIfTrue="1" operator="equal">
      <formula>"Towel"</formula>
    </cfRule>
    <cfRule type="cellIs" dxfId="4282" priority="4838" stopIfTrue="1" operator="equal">
      <formula>"Napkin Hs"</formula>
    </cfRule>
    <cfRule type="cellIs" dxfId="4281" priority="4841" stopIfTrue="1" operator="equal">
      <formula>"Towel"</formula>
    </cfRule>
    <cfRule type="cellIs" dxfId="4280" priority="4842" stopIfTrue="1" operator="equal">
      <formula>"Napkin Hs"</formula>
    </cfRule>
    <cfRule type="cellIs" dxfId="4279" priority="4843" stopIfTrue="1" operator="equal">
      <formula>"Towel"</formula>
    </cfRule>
    <cfRule type="cellIs" dxfId="4278" priority="4844" stopIfTrue="1" operator="equal">
      <formula>"Napkin Hs"</formula>
    </cfRule>
    <cfRule type="cellIs" dxfId="4277" priority="4847" stopIfTrue="1" operator="equal">
      <formula>"Towel"</formula>
    </cfRule>
    <cfRule type="cellIs" dxfId="4276" priority="4848" stopIfTrue="1" operator="equal">
      <formula>"Napkin Hs"</formula>
    </cfRule>
    <cfRule type="cellIs" dxfId="4275" priority="4849" stopIfTrue="1" operator="equal">
      <formula>"Towel"</formula>
    </cfRule>
    <cfRule type="cellIs" dxfId="4274" priority="4850" stopIfTrue="1" operator="equal">
      <formula>"Napkin Hs"</formula>
    </cfRule>
    <cfRule type="cellIs" dxfId="4273" priority="4853" stopIfTrue="1" operator="equal">
      <formula>"Towel"</formula>
    </cfRule>
    <cfRule type="cellIs" dxfId="4272" priority="4854" stopIfTrue="1" operator="equal">
      <formula>"Napkin Hs"</formula>
    </cfRule>
    <cfRule type="cellIs" dxfId="4271" priority="4855" stopIfTrue="1" operator="equal">
      <formula>"Towel"</formula>
    </cfRule>
    <cfRule type="cellIs" dxfId="4270" priority="4856" stopIfTrue="1" operator="equal">
      <formula>"Napkin Hs"</formula>
    </cfRule>
    <cfRule type="cellIs" dxfId="4269" priority="4859" stopIfTrue="1" operator="equal">
      <formula>"Towel"</formula>
    </cfRule>
    <cfRule type="cellIs" dxfId="4268" priority="4860" stopIfTrue="1" operator="equal">
      <formula>"Napkin Hs"</formula>
    </cfRule>
  </conditionalFormatting>
  <conditionalFormatting sqref="C71:C72">
    <cfRule type="cellIs" dxfId="4267" priority="4861" stopIfTrue="1" operator="equal">
      <formula>"Towel"</formula>
    </cfRule>
    <cfRule type="cellIs" dxfId="4266" priority="4862" stopIfTrue="1" operator="equal">
      <formula>"Napkin Hs"</formula>
    </cfRule>
  </conditionalFormatting>
  <conditionalFormatting sqref="C72">
    <cfRule type="cellIs" dxfId="4265" priority="4865" stopIfTrue="1" operator="equal">
      <formula>"Towel"</formula>
    </cfRule>
    <cfRule type="cellIs" dxfId="4264" priority="4866" stopIfTrue="1" operator="equal">
      <formula>"Napkin Hs"</formula>
    </cfRule>
    <cfRule type="cellIs" dxfId="4263" priority="4869" stopIfTrue="1" operator="equal">
      <formula>"Towel"</formula>
    </cfRule>
    <cfRule type="cellIs" dxfId="4262" priority="4870" stopIfTrue="1" operator="equal">
      <formula>"Napkin Hs"</formula>
    </cfRule>
    <cfRule type="cellIs" dxfId="4261" priority="4871" stopIfTrue="1" operator="equal">
      <formula>"Towel"</formula>
    </cfRule>
    <cfRule type="cellIs" dxfId="4260" priority="4872" stopIfTrue="1" operator="equal">
      <formula>"Napkin Hs"</formula>
    </cfRule>
    <cfRule type="cellIs" dxfId="4259" priority="4875" stopIfTrue="1" operator="equal">
      <formula>"Towel"</formula>
    </cfRule>
    <cfRule type="cellIs" dxfId="4258" priority="4876" stopIfTrue="1" operator="equal">
      <formula>"Napkin Hs"</formula>
    </cfRule>
    <cfRule type="cellIs" dxfId="4257" priority="4877" stopIfTrue="1" operator="equal">
      <formula>"Towel"</formula>
    </cfRule>
    <cfRule type="cellIs" dxfId="4256" priority="4878" stopIfTrue="1" operator="equal">
      <formula>"Napkin Hs"</formula>
    </cfRule>
    <cfRule type="cellIs" dxfId="4255" priority="4881" stopIfTrue="1" operator="equal">
      <formula>"Towel"</formula>
    </cfRule>
    <cfRule type="cellIs" dxfId="4254" priority="4882" stopIfTrue="1" operator="equal">
      <formula>"Napkin Hs"</formula>
    </cfRule>
    <cfRule type="cellIs" dxfId="4253" priority="4883" stopIfTrue="1" operator="equal">
      <formula>"Towel"</formula>
    </cfRule>
    <cfRule type="cellIs" dxfId="4252" priority="4884" stopIfTrue="1" operator="equal">
      <formula>"Napkin Hs"</formula>
    </cfRule>
    <cfRule type="cellIs" dxfId="4251" priority="4887" stopIfTrue="1" operator="equal">
      <formula>"Towel"</formula>
    </cfRule>
    <cfRule type="cellIs" dxfId="4250" priority="4888" stopIfTrue="1" operator="equal">
      <formula>"Napkin Hs"</formula>
    </cfRule>
    <cfRule type="cellIs" dxfId="4249" priority="4889" stopIfTrue="1" operator="equal">
      <formula>"Towel"</formula>
    </cfRule>
    <cfRule type="cellIs" dxfId="4248" priority="4890" stopIfTrue="1" operator="equal">
      <formula>"Napkin Hs"</formula>
    </cfRule>
    <cfRule type="cellIs" dxfId="4247" priority="4893" stopIfTrue="1" operator="equal">
      <formula>"Towel"</formula>
    </cfRule>
    <cfRule type="cellIs" dxfId="4246" priority="4894" stopIfTrue="1" operator="equal">
      <formula>"Napkin Hs"</formula>
    </cfRule>
    <cfRule type="cellIs" dxfId="4245" priority="4895" stopIfTrue="1" operator="equal">
      <formula>"Towel"</formula>
    </cfRule>
    <cfRule type="cellIs" dxfId="4244" priority="4896" stopIfTrue="1" operator="equal">
      <formula>"Napkin Hs"</formula>
    </cfRule>
    <cfRule type="cellIs" dxfId="4243" priority="4899" stopIfTrue="1" operator="equal">
      <formula>"Towel"</formula>
    </cfRule>
    <cfRule type="cellIs" dxfId="4242" priority="4900" stopIfTrue="1" operator="equal">
      <formula>"Napkin Hs"</formula>
    </cfRule>
  </conditionalFormatting>
  <conditionalFormatting sqref="C72:C73">
    <cfRule type="cellIs" dxfId="4241" priority="4901" stopIfTrue="1" operator="equal">
      <formula>"Towel"</formula>
    </cfRule>
    <cfRule type="cellIs" dxfId="4240" priority="4902" stopIfTrue="1" operator="equal">
      <formula>"Napkin Hs"</formula>
    </cfRule>
    <cfRule type="cellIs" dxfId="4239" priority="4929" stopIfTrue="1" operator="equal">
      <formula>"Towel"</formula>
    </cfRule>
    <cfRule type="cellIs" dxfId="4238" priority="4930" stopIfTrue="1" operator="equal">
      <formula>"Napkin Hs"</formula>
    </cfRule>
    <cfRule type="cellIs" dxfId="4237" priority="4933" stopIfTrue="1" operator="equal">
      <formula>"Towel"</formula>
    </cfRule>
    <cfRule type="cellIs" dxfId="4236" priority="4934" stopIfTrue="1" operator="equal">
      <formula>"Napkin Hs"</formula>
    </cfRule>
  </conditionalFormatting>
  <conditionalFormatting sqref="C73">
    <cfRule type="cellIs" dxfId="4235" priority="4905" stopIfTrue="1" operator="equal">
      <formula>"Towel"</formula>
    </cfRule>
    <cfRule type="cellIs" dxfId="4234" priority="4906" stopIfTrue="1" operator="equal">
      <formula>"Napkin Hs"</formula>
    </cfRule>
    <cfRule type="cellIs" dxfId="4233" priority="4909" stopIfTrue="1" operator="equal">
      <formula>"Towel"</formula>
    </cfRule>
    <cfRule type="cellIs" dxfId="4232" priority="4910" stopIfTrue="1" operator="equal">
      <formula>"Napkin Hs"</formula>
    </cfRule>
    <cfRule type="cellIs" dxfId="4231" priority="4911" stopIfTrue="1" operator="equal">
      <formula>"Towel"</formula>
    </cfRule>
    <cfRule type="cellIs" dxfId="4230" priority="4912" stopIfTrue="1" operator="equal">
      <formula>"Napkin Hs"</formula>
    </cfRule>
    <cfRule type="cellIs" dxfId="4229" priority="4915" stopIfTrue="1" operator="equal">
      <formula>"Towel"</formula>
    </cfRule>
    <cfRule type="cellIs" dxfId="4228" priority="4916" stopIfTrue="1" operator="equal">
      <formula>"Napkin Hs"</formula>
    </cfRule>
    <cfRule type="cellIs" dxfId="4227" priority="4917" stopIfTrue="1" operator="equal">
      <formula>"Towel"</formula>
    </cfRule>
    <cfRule type="cellIs" dxfId="4226" priority="4918" stopIfTrue="1" operator="equal">
      <formula>"Napkin Hs"</formula>
    </cfRule>
    <cfRule type="cellIs" dxfId="4225" priority="4921" stopIfTrue="1" operator="equal">
      <formula>"Towel"</formula>
    </cfRule>
    <cfRule type="cellIs" dxfId="4224" priority="4922" stopIfTrue="1" operator="equal">
      <formula>"Napkin Hs"</formula>
    </cfRule>
    <cfRule type="cellIs" dxfId="4223" priority="4923" stopIfTrue="1" operator="equal">
      <formula>"Towel"</formula>
    </cfRule>
    <cfRule type="cellIs" dxfId="4222" priority="4924" stopIfTrue="1" operator="equal">
      <formula>"Napkin Hs"</formula>
    </cfRule>
    <cfRule type="cellIs" dxfId="4221" priority="4927" stopIfTrue="1" operator="equal">
      <formula>"Towel"</formula>
    </cfRule>
    <cfRule type="cellIs" dxfId="4220" priority="4928" stopIfTrue="1" operator="equal">
      <formula>"Napkin Hs"</formula>
    </cfRule>
  </conditionalFormatting>
  <conditionalFormatting sqref="C73:C74">
    <cfRule type="cellIs" dxfId="4219" priority="4937" stopIfTrue="1" operator="equal">
      <formula>"Towel"</formula>
    </cfRule>
    <cfRule type="cellIs" dxfId="4218" priority="4938" stopIfTrue="1" operator="equal">
      <formula>"Napkin Hs"</formula>
    </cfRule>
  </conditionalFormatting>
  <conditionalFormatting sqref="C74">
    <cfRule type="cellIs" dxfId="4217" priority="4941" stopIfTrue="1" operator="equal">
      <formula>"Towel"</formula>
    </cfRule>
    <cfRule type="cellIs" dxfId="4216" priority="4942" stopIfTrue="1" operator="equal">
      <formula>"Napkin Hs"</formula>
    </cfRule>
  </conditionalFormatting>
  <conditionalFormatting sqref="B72:C72">
    <cfRule type="cellIs" dxfId="4215" priority="4763" stopIfTrue="1" operator="equal">
      <formula>"Towel"</formula>
    </cfRule>
    <cfRule type="cellIs" dxfId="4214" priority="4764" stopIfTrue="1" operator="equal">
      <formula>"Napkin Hs"</formula>
    </cfRule>
  </conditionalFormatting>
  <conditionalFormatting sqref="B72:C72">
    <cfRule type="cellIs" dxfId="4213" priority="4739" stopIfTrue="1" operator="equal">
      <formula>"Towel"</formula>
    </cfRule>
    <cfRule type="cellIs" dxfId="4212" priority="4740" stopIfTrue="1" operator="equal">
      <formula>"Napkin Hs"</formula>
    </cfRule>
    <cfRule type="cellIs" dxfId="4211" priority="4745" stopIfTrue="1" operator="equal">
      <formula>"Towel"</formula>
    </cfRule>
    <cfRule type="cellIs" dxfId="4210" priority="4746" stopIfTrue="1" operator="equal">
      <formula>"Napkin Hs"</formula>
    </cfRule>
    <cfRule type="cellIs" dxfId="4209" priority="4751" stopIfTrue="1" operator="equal">
      <formula>"Towel"</formula>
    </cfRule>
    <cfRule type="cellIs" dxfId="4208" priority="4752" stopIfTrue="1" operator="equal">
      <formula>"Napkin Hs"</formula>
    </cfRule>
    <cfRule type="cellIs" dxfId="4207" priority="4757" stopIfTrue="1" operator="equal">
      <formula>"Towel"</formula>
    </cfRule>
    <cfRule type="cellIs" dxfId="4206" priority="4758" stopIfTrue="1" operator="equal">
      <formula>"Napkin Hs"</formula>
    </cfRule>
  </conditionalFormatting>
  <conditionalFormatting sqref="B73:C74">
    <cfRule type="cellIs" dxfId="4205" priority="4767" stopIfTrue="1" operator="equal">
      <formula>"Towel"</formula>
    </cfRule>
    <cfRule type="cellIs" dxfId="4204" priority="4768" stopIfTrue="1" operator="equal">
      <formula>"Napkin Hs"</formula>
    </cfRule>
  </conditionalFormatting>
  <conditionalFormatting sqref="C72">
    <cfRule type="cellIs" dxfId="4203" priority="4753" stopIfTrue="1" operator="equal">
      <formula>"Towel"</formula>
    </cfRule>
    <cfRule type="cellIs" dxfId="4202" priority="4754" stopIfTrue="1" operator="equal">
      <formula>"Napkin Hs"</formula>
    </cfRule>
    <cfRule type="cellIs" dxfId="4201" priority="4759" stopIfTrue="1" operator="equal">
      <formula>"Towel"</formula>
    </cfRule>
    <cfRule type="cellIs" dxfId="4200" priority="4760" stopIfTrue="1" operator="equal">
      <formula>"Napkin Hs"</formula>
    </cfRule>
  </conditionalFormatting>
  <conditionalFormatting sqref="C72">
    <cfRule type="cellIs" dxfId="4199" priority="4733" stopIfTrue="1" operator="equal">
      <formula>"Towel"</formula>
    </cfRule>
    <cfRule type="cellIs" dxfId="4198" priority="4734" stopIfTrue="1" operator="equal">
      <formula>"Napkin Hs"</formula>
    </cfRule>
    <cfRule type="cellIs" dxfId="4197" priority="4735" stopIfTrue="1" operator="equal">
      <formula>"Towel"</formula>
    </cfRule>
    <cfRule type="cellIs" dxfId="4196" priority="4736" stopIfTrue="1" operator="equal">
      <formula>"Napkin Hs"</formula>
    </cfRule>
    <cfRule type="cellIs" dxfId="4195" priority="4743" stopIfTrue="1" operator="equal">
      <formula>"Towel"</formula>
    </cfRule>
    <cfRule type="cellIs" dxfId="4194" priority="4744" stopIfTrue="1" operator="equal">
      <formula>"Napkin Hs"</formula>
    </cfRule>
    <cfRule type="cellIs" dxfId="4193" priority="4747" stopIfTrue="1" operator="equal">
      <formula>"Towel"</formula>
    </cfRule>
    <cfRule type="cellIs" dxfId="4192" priority="4748" stopIfTrue="1" operator="equal">
      <formula>"Napkin Hs"</formula>
    </cfRule>
    <cfRule type="cellIs" dxfId="4191" priority="4749" stopIfTrue="1" operator="equal">
      <formula>"Towel"</formula>
    </cfRule>
    <cfRule type="cellIs" dxfId="4190" priority="4750" stopIfTrue="1" operator="equal">
      <formula>"Napkin Hs"</formula>
    </cfRule>
  </conditionalFormatting>
  <conditionalFormatting sqref="C72:C74">
    <cfRule type="cellIs" dxfId="4189" priority="4761" stopIfTrue="1" operator="equal">
      <formula>"Towel"</formula>
    </cfRule>
    <cfRule type="cellIs" dxfId="4188" priority="4762" stopIfTrue="1" operator="equal">
      <formula>"Napkin Hs"</formula>
    </cfRule>
  </conditionalFormatting>
  <conditionalFormatting sqref="C72">
    <cfRule type="cellIs" dxfId="4187" priority="4737" stopIfTrue="1" operator="equal">
      <formula>"Towel"</formula>
    </cfRule>
    <cfRule type="cellIs" dxfId="4186" priority="4738" stopIfTrue="1" operator="equal">
      <formula>"Napkin Hs"</formula>
    </cfRule>
    <cfRule type="cellIs" dxfId="4185" priority="4741" stopIfTrue="1" operator="equal">
      <formula>"Towel"</formula>
    </cfRule>
    <cfRule type="cellIs" dxfId="4184" priority="4742" stopIfTrue="1" operator="equal">
      <formula>"Napkin Hs"</formula>
    </cfRule>
    <cfRule type="cellIs" dxfId="4183" priority="4755" stopIfTrue="1" operator="equal">
      <formula>"Towel"</formula>
    </cfRule>
    <cfRule type="cellIs" dxfId="4182" priority="4756" stopIfTrue="1" operator="equal">
      <formula>"Napkin Hs"</formula>
    </cfRule>
  </conditionalFormatting>
  <conditionalFormatting sqref="C73:C74">
    <cfRule type="cellIs" dxfId="4181" priority="4765" stopIfTrue="1" operator="equal">
      <formula>"Towel"</formula>
    </cfRule>
    <cfRule type="cellIs" dxfId="4180" priority="4766" stopIfTrue="1" operator="equal">
      <formula>"Napkin Hs"</formula>
    </cfRule>
  </conditionalFormatting>
  <conditionalFormatting sqref="B73:C73">
    <cfRule type="cellIs" dxfId="4179" priority="4643" stopIfTrue="1" operator="equal">
      <formula>"Towel"</formula>
    </cfRule>
    <cfRule type="cellIs" dxfId="4178" priority="4644" stopIfTrue="1" operator="equal">
      <formula>"Napkin Hs"</formula>
    </cfRule>
    <cfRule type="cellIs" dxfId="4177" priority="4649" stopIfTrue="1" operator="equal">
      <formula>"Towel"</formula>
    </cfRule>
    <cfRule type="cellIs" dxfId="4176" priority="4650" stopIfTrue="1" operator="equal">
      <formula>"Napkin Hs"</formula>
    </cfRule>
    <cfRule type="cellIs" dxfId="4175" priority="4655" stopIfTrue="1" operator="equal">
      <formula>"Towel"</formula>
    </cfRule>
    <cfRule type="cellIs" dxfId="4174" priority="4656" stopIfTrue="1" operator="equal">
      <formula>"Napkin Hs"</formula>
    </cfRule>
    <cfRule type="cellIs" dxfId="4173" priority="4661" stopIfTrue="1" operator="equal">
      <formula>"Towel"</formula>
    </cfRule>
    <cfRule type="cellIs" dxfId="4172" priority="4662" stopIfTrue="1" operator="equal">
      <formula>"Napkin Hs"</formula>
    </cfRule>
    <cfRule type="cellIs" dxfId="4171" priority="4667" stopIfTrue="1" operator="equal">
      <formula>"Towel"</formula>
    </cfRule>
    <cfRule type="cellIs" dxfId="4170" priority="4668" stopIfTrue="1" operator="equal">
      <formula>"Napkin Hs"</formula>
    </cfRule>
    <cfRule type="cellIs" dxfId="4169" priority="4673" stopIfTrue="1" operator="equal">
      <formula>"Towel"</formula>
    </cfRule>
    <cfRule type="cellIs" dxfId="4168" priority="4674" stopIfTrue="1" operator="equal">
      <formula>"Napkin Hs"</formula>
    </cfRule>
    <cfRule type="cellIs" dxfId="4167" priority="4679" stopIfTrue="1" operator="equal">
      <formula>"Towel"</formula>
    </cfRule>
    <cfRule type="cellIs" dxfId="4166" priority="4680" stopIfTrue="1" operator="equal">
      <formula>"Napkin Hs"</formula>
    </cfRule>
    <cfRule type="cellIs" dxfId="4165" priority="4685" stopIfTrue="1" operator="equal">
      <formula>"Towel"</formula>
    </cfRule>
    <cfRule type="cellIs" dxfId="4164" priority="4686" stopIfTrue="1" operator="equal">
      <formula>"Napkin Hs"</formula>
    </cfRule>
  </conditionalFormatting>
  <conditionalFormatting sqref="B74:C74">
    <cfRule type="cellIs" dxfId="4163" priority="4689" stopIfTrue="1" operator="equal">
      <formula>"Towel"</formula>
    </cfRule>
    <cfRule type="cellIs" dxfId="4162" priority="4690" stopIfTrue="1" operator="equal">
      <formula>"Napkin Hs"</formula>
    </cfRule>
    <cfRule type="cellIs" dxfId="4161" priority="4695" stopIfTrue="1" operator="equal">
      <formula>"Towel"</formula>
    </cfRule>
    <cfRule type="cellIs" dxfId="4160" priority="4696" stopIfTrue="1" operator="equal">
      <formula>"Napkin Hs"</formula>
    </cfRule>
    <cfRule type="cellIs" dxfId="4159" priority="4701" stopIfTrue="1" operator="equal">
      <formula>"Towel"</formula>
    </cfRule>
    <cfRule type="cellIs" dxfId="4158" priority="4702" stopIfTrue="1" operator="equal">
      <formula>"Napkin Hs"</formula>
    </cfRule>
    <cfRule type="cellIs" dxfId="4157" priority="4707" stopIfTrue="1" operator="equal">
      <formula>"Towel"</formula>
    </cfRule>
    <cfRule type="cellIs" dxfId="4156" priority="4708" stopIfTrue="1" operator="equal">
      <formula>"Napkin Hs"</formula>
    </cfRule>
    <cfRule type="cellIs" dxfId="4155" priority="4713" stopIfTrue="1" operator="equal">
      <formula>"Towel"</formula>
    </cfRule>
    <cfRule type="cellIs" dxfId="4154" priority="4714" stopIfTrue="1" operator="equal">
      <formula>"Napkin Hs"</formula>
    </cfRule>
    <cfRule type="cellIs" dxfId="4153" priority="4719" stopIfTrue="1" operator="equal">
      <formula>"Towel"</formula>
    </cfRule>
    <cfRule type="cellIs" dxfId="4152" priority="4720" stopIfTrue="1" operator="equal">
      <formula>"Napkin Hs"</formula>
    </cfRule>
    <cfRule type="cellIs" dxfId="4151" priority="4725" stopIfTrue="1" operator="equal">
      <formula>"Towel"</formula>
    </cfRule>
    <cfRule type="cellIs" dxfId="4150" priority="4726" stopIfTrue="1" operator="equal">
      <formula>"Napkin Hs"</formula>
    </cfRule>
    <cfRule type="cellIs" dxfId="4149" priority="4731" stopIfTrue="1" operator="equal">
      <formula>"Towel"</formula>
    </cfRule>
    <cfRule type="cellIs" dxfId="4148" priority="4732" stopIfTrue="1" operator="equal">
      <formula>"Napkin Hs"</formula>
    </cfRule>
  </conditionalFormatting>
  <conditionalFormatting sqref="C73">
    <cfRule type="cellIs" dxfId="4147" priority="4639" stopIfTrue="1" operator="equal">
      <formula>"Towel"</formula>
    </cfRule>
    <cfRule type="cellIs" dxfId="4146" priority="4640" stopIfTrue="1" operator="equal">
      <formula>"Napkin Hs"</formula>
    </cfRule>
    <cfRule type="cellIs" dxfId="4145" priority="4641" stopIfTrue="1" operator="equal">
      <formula>"Towel"</formula>
    </cfRule>
    <cfRule type="cellIs" dxfId="4144" priority="4642" stopIfTrue="1" operator="equal">
      <formula>"Napkin Hs"</formula>
    </cfRule>
    <cfRule type="cellIs" dxfId="4143" priority="4645" stopIfTrue="1" operator="equal">
      <formula>"Towel"</formula>
    </cfRule>
    <cfRule type="cellIs" dxfId="4142" priority="4646" stopIfTrue="1" operator="equal">
      <formula>"Napkin Hs"</formula>
    </cfRule>
    <cfRule type="cellIs" dxfId="4141" priority="4647" stopIfTrue="1" operator="equal">
      <formula>"Towel"</formula>
    </cfRule>
    <cfRule type="cellIs" dxfId="4140" priority="4648" stopIfTrue="1" operator="equal">
      <formula>"Napkin Hs"</formula>
    </cfRule>
    <cfRule type="cellIs" dxfId="4139" priority="4651" stopIfTrue="1" operator="equal">
      <formula>"Towel"</formula>
    </cfRule>
    <cfRule type="cellIs" dxfId="4138" priority="4652" stopIfTrue="1" operator="equal">
      <formula>"Napkin Hs"</formula>
    </cfRule>
    <cfRule type="cellIs" dxfId="4137" priority="4653" stopIfTrue="1" operator="equal">
      <formula>"Towel"</formula>
    </cfRule>
    <cfRule type="cellIs" dxfId="4136" priority="4654" stopIfTrue="1" operator="equal">
      <formula>"Napkin Hs"</formula>
    </cfRule>
    <cfRule type="cellIs" dxfId="4135" priority="4657" stopIfTrue="1" operator="equal">
      <formula>"Towel"</formula>
    </cfRule>
    <cfRule type="cellIs" dxfId="4134" priority="4658" stopIfTrue="1" operator="equal">
      <formula>"Napkin Hs"</formula>
    </cfRule>
    <cfRule type="cellIs" dxfId="4133" priority="4659" stopIfTrue="1" operator="equal">
      <formula>"Towel"</formula>
    </cfRule>
    <cfRule type="cellIs" dxfId="4132" priority="4660" stopIfTrue="1" operator="equal">
      <formula>"Napkin Hs"</formula>
    </cfRule>
    <cfRule type="cellIs" dxfId="4131" priority="4663" stopIfTrue="1" operator="equal">
      <formula>"Towel"</formula>
    </cfRule>
    <cfRule type="cellIs" dxfId="4130" priority="4664" stopIfTrue="1" operator="equal">
      <formula>"Napkin Hs"</formula>
    </cfRule>
    <cfRule type="cellIs" dxfId="4129" priority="4665" stopIfTrue="1" operator="equal">
      <formula>"Towel"</formula>
    </cfRule>
    <cfRule type="cellIs" dxfId="4128" priority="4666" stopIfTrue="1" operator="equal">
      <formula>"Napkin Hs"</formula>
    </cfRule>
    <cfRule type="cellIs" dxfId="4127" priority="4669" stopIfTrue="1" operator="equal">
      <formula>"Towel"</formula>
    </cfRule>
    <cfRule type="cellIs" dxfId="4126" priority="4670" stopIfTrue="1" operator="equal">
      <formula>"Napkin Hs"</formula>
    </cfRule>
    <cfRule type="cellIs" dxfId="4125" priority="4671" stopIfTrue="1" operator="equal">
      <formula>"Towel"</formula>
    </cfRule>
    <cfRule type="cellIs" dxfId="4124" priority="4672" stopIfTrue="1" operator="equal">
      <formula>"Napkin Hs"</formula>
    </cfRule>
    <cfRule type="cellIs" dxfId="4123" priority="4675" stopIfTrue="1" operator="equal">
      <formula>"Towel"</formula>
    </cfRule>
    <cfRule type="cellIs" dxfId="4122" priority="4676" stopIfTrue="1" operator="equal">
      <formula>"Napkin Hs"</formula>
    </cfRule>
    <cfRule type="cellIs" dxfId="4121" priority="4677" stopIfTrue="1" operator="equal">
      <formula>"Towel"</formula>
    </cfRule>
    <cfRule type="cellIs" dxfId="4120" priority="4678" stopIfTrue="1" operator="equal">
      <formula>"Napkin Hs"</formula>
    </cfRule>
    <cfRule type="cellIs" dxfId="4119" priority="4681" stopIfTrue="1" operator="equal">
      <formula>"Towel"</formula>
    </cfRule>
    <cfRule type="cellIs" dxfId="4118" priority="4682" stopIfTrue="1" operator="equal">
      <formula>"Napkin Hs"</formula>
    </cfRule>
  </conditionalFormatting>
  <conditionalFormatting sqref="C73:C74">
    <cfRule type="cellIs" dxfId="4117" priority="4683" stopIfTrue="1" operator="equal">
      <formula>"Towel"</formula>
    </cfRule>
    <cfRule type="cellIs" dxfId="4116" priority="4684" stopIfTrue="1" operator="equal">
      <formula>"Napkin Hs"</formula>
    </cfRule>
  </conditionalFormatting>
  <conditionalFormatting sqref="C74">
    <cfRule type="cellIs" dxfId="4115" priority="4687" stopIfTrue="1" operator="equal">
      <formula>"Towel"</formula>
    </cfRule>
    <cfRule type="cellIs" dxfId="4114" priority="4688" stopIfTrue="1" operator="equal">
      <formula>"Napkin Hs"</formula>
    </cfRule>
    <cfRule type="cellIs" dxfId="4113" priority="4691" stopIfTrue="1" operator="equal">
      <formula>"Towel"</formula>
    </cfRule>
    <cfRule type="cellIs" dxfId="4112" priority="4692" stopIfTrue="1" operator="equal">
      <formula>"Napkin Hs"</formula>
    </cfRule>
    <cfRule type="cellIs" dxfId="4111" priority="4693" stopIfTrue="1" operator="equal">
      <formula>"Towel"</formula>
    </cfRule>
    <cfRule type="cellIs" dxfId="4110" priority="4694" stopIfTrue="1" operator="equal">
      <formula>"Napkin Hs"</formula>
    </cfRule>
    <cfRule type="cellIs" dxfId="4109" priority="4697" stopIfTrue="1" operator="equal">
      <formula>"Towel"</formula>
    </cfRule>
    <cfRule type="cellIs" dxfId="4108" priority="4698" stopIfTrue="1" operator="equal">
      <formula>"Napkin Hs"</formula>
    </cfRule>
    <cfRule type="cellIs" dxfId="4107" priority="4699" stopIfTrue="1" operator="equal">
      <formula>"Towel"</formula>
    </cfRule>
    <cfRule type="cellIs" dxfId="4106" priority="4700" stopIfTrue="1" operator="equal">
      <formula>"Napkin Hs"</formula>
    </cfRule>
    <cfRule type="cellIs" dxfId="4105" priority="4703" stopIfTrue="1" operator="equal">
      <formula>"Towel"</formula>
    </cfRule>
    <cfRule type="cellIs" dxfId="4104" priority="4704" stopIfTrue="1" operator="equal">
      <formula>"Napkin Hs"</formula>
    </cfRule>
    <cfRule type="cellIs" dxfId="4103" priority="4705" stopIfTrue="1" operator="equal">
      <formula>"Towel"</formula>
    </cfRule>
    <cfRule type="cellIs" dxfId="4102" priority="4706" stopIfTrue="1" operator="equal">
      <formula>"Napkin Hs"</formula>
    </cfRule>
    <cfRule type="cellIs" dxfId="4101" priority="4709" stopIfTrue="1" operator="equal">
      <formula>"Towel"</formula>
    </cfRule>
    <cfRule type="cellIs" dxfId="4100" priority="4710" stopIfTrue="1" operator="equal">
      <formula>"Napkin Hs"</formula>
    </cfRule>
    <cfRule type="cellIs" dxfId="4099" priority="4711" stopIfTrue="1" operator="equal">
      <formula>"Towel"</formula>
    </cfRule>
    <cfRule type="cellIs" dxfId="4098" priority="4712" stopIfTrue="1" operator="equal">
      <formula>"Napkin Hs"</formula>
    </cfRule>
    <cfRule type="cellIs" dxfId="4097" priority="4715" stopIfTrue="1" operator="equal">
      <formula>"Towel"</formula>
    </cfRule>
    <cfRule type="cellIs" dxfId="4096" priority="4716" stopIfTrue="1" operator="equal">
      <formula>"Napkin Hs"</formula>
    </cfRule>
    <cfRule type="cellIs" dxfId="4095" priority="4717" stopIfTrue="1" operator="equal">
      <formula>"Towel"</formula>
    </cfRule>
    <cfRule type="cellIs" dxfId="4094" priority="4718" stopIfTrue="1" operator="equal">
      <formula>"Napkin Hs"</formula>
    </cfRule>
    <cfRule type="cellIs" dxfId="4093" priority="4721" stopIfTrue="1" operator="equal">
      <formula>"Towel"</formula>
    </cfRule>
    <cfRule type="cellIs" dxfId="4092" priority="4722" stopIfTrue="1" operator="equal">
      <formula>"Napkin Hs"</formula>
    </cfRule>
  </conditionalFormatting>
  <conditionalFormatting sqref="C74">
    <cfRule type="cellIs" dxfId="4091" priority="4723" stopIfTrue="1" operator="equal">
      <formula>"Towel"</formula>
    </cfRule>
    <cfRule type="cellIs" dxfId="4090" priority="4724" stopIfTrue="1" operator="equal">
      <formula>"Napkin Hs"</formula>
    </cfRule>
  </conditionalFormatting>
  <conditionalFormatting sqref="C74">
    <cfRule type="cellIs" dxfId="4089" priority="4727" stopIfTrue="1" operator="equal">
      <formula>"Towel"</formula>
    </cfRule>
    <cfRule type="cellIs" dxfId="4088" priority="4728" stopIfTrue="1" operator="equal">
      <formula>"Napkin Hs"</formula>
    </cfRule>
    <cfRule type="cellIs" dxfId="4087" priority="4729" stopIfTrue="1" operator="equal">
      <formula>"Towel"</formula>
    </cfRule>
    <cfRule type="cellIs" dxfId="4086" priority="4730" stopIfTrue="1" operator="equal">
      <formula>"Napkin Hs"</formula>
    </cfRule>
  </conditionalFormatting>
  <conditionalFormatting sqref="B73">
    <cfRule type="cellIs" dxfId="4085" priority="4633" stopIfTrue="1" operator="equal">
      <formula>"Towel"</formula>
    </cfRule>
    <cfRule type="cellIs" dxfId="4084" priority="4634" stopIfTrue="1" operator="equal">
      <formula>"Napkin Hs"</formula>
    </cfRule>
    <cfRule type="cellIs" dxfId="4083" priority="4635" stopIfTrue="1" operator="equal">
      <formula>"Towel"</formula>
    </cfRule>
    <cfRule type="cellIs" dxfId="4082" priority="4636" stopIfTrue="1" operator="equal">
      <formula>"Napkin Hs"</formula>
    </cfRule>
    <cfRule type="cellIs" dxfId="4081" priority="4637" stopIfTrue="1" operator="equal">
      <formula>"Towel"</formula>
    </cfRule>
    <cfRule type="cellIs" dxfId="4080" priority="4638" stopIfTrue="1" operator="equal">
      <formula>"Napkin Hs"</formula>
    </cfRule>
  </conditionalFormatting>
  <conditionalFormatting sqref="B73:C74">
    <cfRule type="cellIs" dxfId="4079" priority="4595" stopIfTrue="1" operator="equal">
      <formula>"Towel"</formula>
    </cfRule>
    <cfRule type="cellIs" dxfId="4078" priority="4596" stopIfTrue="1" operator="equal">
      <formula>"Napkin Hs"</formula>
    </cfRule>
    <cfRule type="cellIs" dxfId="4077" priority="4601" stopIfTrue="1" operator="equal">
      <formula>"Towel"</formula>
    </cfRule>
    <cfRule type="cellIs" dxfId="4076" priority="4602" stopIfTrue="1" operator="equal">
      <formula>"Napkin Hs"</formula>
    </cfRule>
    <cfRule type="cellIs" dxfId="4075" priority="4607" stopIfTrue="1" operator="equal">
      <formula>"Towel"</formula>
    </cfRule>
    <cfRule type="cellIs" dxfId="4074" priority="4608" stopIfTrue="1" operator="equal">
      <formula>"Napkin Hs"</formula>
    </cfRule>
    <cfRule type="cellIs" dxfId="4073" priority="4613" stopIfTrue="1" operator="equal">
      <formula>"Towel"</formula>
    </cfRule>
    <cfRule type="cellIs" dxfId="4072" priority="4614" stopIfTrue="1" operator="equal">
      <formula>"Napkin Hs"</formula>
    </cfRule>
    <cfRule type="cellIs" dxfId="4071" priority="4619" stopIfTrue="1" operator="equal">
      <formula>"Towel"</formula>
    </cfRule>
    <cfRule type="cellIs" dxfId="4070" priority="4620" stopIfTrue="1" operator="equal">
      <formula>"Napkin Hs"</formula>
    </cfRule>
    <cfRule type="cellIs" dxfId="4069" priority="4625" stopIfTrue="1" operator="equal">
      <formula>"Towel"</formula>
    </cfRule>
    <cfRule type="cellIs" dxfId="4068" priority="4626" stopIfTrue="1" operator="equal">
      <formula>"Napkin Hs"</formula>
    </cfRule>
    <cfRule type="cellIs" dxfId="4067" priority="4631" stopIfTrue="1" operator="equal">
      <formula>"Towel"</formula>
    </cfRule>
    <cfRule type="cellIs" dxfId="4066" priority="4632" stopIfTrue="1" operator="equal">
      <formula>"Napkin Hs"</formula>
    </cfRule>
  </conditionalFormatting>
  <conditionalFormatting sqref="C73:C74">
    <cfRule type="cellIs" dxfId="4065" priority="4591" stopIfTrue="1" operator="equal">
      <formula>"Towel"</formula>
    </cfRule>
    <cfRule type="cellIs" dxfId="4064" priority="4592" stopIfTrue="1" operator="equal">
      <formula>"Napkin Hs"</formula>
    </cfRule>
    <cfRule type="cellIs" dxfId="4063" priority="4593" stopIfTrue="1" operator="equal">
      <formula>"Towel"</formula>
    </cfRule>
    <cfRule type="cellIs" dxfId="4062" priority="4594" stopIfTrue="1" operator="equal">
      <formula>"Napkin Hs"</formula>
    </cfRule>
    <cfRule type="cellIs" dxfId="4061" priority="4597" stopIfTrue="1" operator="equal">
      <formula>"Towel"</formula>
    </cfRule>
    <cfRule type="cellIs" dxfId="4060" priority="4598" stopIfTrue="1" operator="equal">
      <formula>"Napkin Hs"</formula>
    </cfRule>
    <cfRule type="cellIs" dxfId="4059" priority="4599" stopIfTrue="1" operator="equal">
      <formula>"Towel"</formula>
    </cfRule>
    <cfRule type="cellIs" dxfId="4058" priority="4600" stopIfTrue="1" operator="equal">
      <formula>"Napkin Hs"</formula>
    </cfRule>
    <cfRule type="cellIs" dxfId="4057" priority="4603" stopIfTrue="1" operator="equal">
      <formula>"Towel"</formula>
    </cfRule>
    <cfRule type="cellIs" dxfId="4056" priority="4604" stopIfTrue="1" operator="equal">
      <formula>"Napkin Hs"</formula>
    </cfRule>
    <cfRule type="cellIs" dxfId="4055" priority="4605" stopIfTrue="1" operator="equal">
      <formula>"Towel"</formula>
    </cfRule>
    <cfRule type="cellIs" dxfId="4054" priority="4606" stopIfTrue="1" operator="equal">
      <formula>"Napkin Hs"</formula>
    </cfRule>
    <cfRule type="cellIs" dxfId="4053" priority="4609" stopIfTrue="1" operator="equal">
      <formula>"Towel"</formula>
    </cfRule>
    <cfRule type="cellIs" dxfId="4052" priority="4610" stopIfTrue="1" operator="equal">
      <formula>"Napkin Hs"</formula>
    </cfRule>
    <cfRule type="cellIs" dxfId="4051" priority="4611" stopIfTrue="1" operator="equal">
      <formula>"Towel"</formula>
    </cfRule>
    <cfRule type="cellIs" dxfId="4050" priority="4612" stopIfTrue="1" operator="equal">
      <formula>"Napkin Hs"</formula>
    </cfRule>
    <cfRule type="cellIs" dxfId="4049" priority="4615" stopIfTrue="1" operator="equal">
      <formula>"Towel"</formula>
    </cfRule>
    <cfRule type="cellIs" dxfId="4048" priority="4616" stopIfTrue="1" operator="equal">
      <formula>"Napkin Hs"</formula>
    </cfRule>
    <cfRule type="cellIs" dxfId="4047" priority="4617" stopIfTrue="1" operator="equal">
      <formula>"Towel"</formula>
    </cfRule>
    <cfRule type="cellIs" dxfId="4046" priority="4618" stopIfTrue="1" operator="equal">
      <formula>"Napkin Hs"</formula>
    </cfRule>
    <cfRule type="cellIs" dxfId="4045" priority="4621" stopIfTrue="1" operator="equal">
      <formula>"Towel"</formula>
    </cfRule>
    <cfRule type="cellIs" dxfId="4044" priority="4622" stopIfTrue="1" operator="equal">
      <formula>"Napkin Hs"</formula>
    </cfRule>
    <cfRule type="cellIs" dxfId="4043" priority="4623" stopIfTrue="1" operator="equal">
      <formula>"Towel"</formula>
    </cfRule>
    <cfRule type="cellIs" dxfId="4042" priority="4624" stopIfTrue="1" operator="equal">
      <formula>"Napkin Hs"</formula>
    </cfRule>
    <cfRule type="cellIs" dxfId="4041" priority="4627" stopIfTrue="1" operator="equal">
      <formula>"Towel"</formula>
    </cfRule>
    <cfRule type="cellIs" dxfId="4040" priority="4628" stopIfTrue="1" operator="equal">
      <formula>"Napkin Hs"</formula>
    </cfRule>
  </conditionalFormatting>
  <conditionalFormatting sqref="C73:C74">
    <cfRule type="cellIs" dxfId="4039" priority="4629" stopIfTrue="1" operator="equal">
      <formula>"Towel"</formula>
    </cfRule>
    <cfRule type="cellIs" dxfId="4038" priority="4630" stopIfTrue="1" operator="equal">
      <formula>"Napkin Hs"</formula>
    </cfRule>
  </conditionalFormatting>
  <conditionalFormatting sqref="B73:C73">
    <cfRule type="cellIs" dxfId="4037" priority="4589" stopIfTrue="1" operator="equal">
      <formula>"Towel"</formula>
    </cfRule>
    <cfRule type="cellIs" dxfId="4036" priority="4590" stopIfTrue="1" operator="equal">
      <formula>"Napkin Hs"</formula>
    </cfRule>
  </conditionalFormatting>
  <conditionalFormatting sqref="B73:C73">
    <cfRule type="cellIs" dxfId="4035" priority="4553" stopIfTrue="1" operator="equal">
      <formula>"Towel"</formula>
    </cfRule>
    <cfRule type="cellIs" dxfId="4034" priority="4554" stopIfTrue="1" operator="equal">
      <formula>"Napkin Hs"</formula>
    </cfRule>
    <cfRule type="cellIs" dxfId="4033" priority="4559" stopIfTrue="1" operator="equal">
      <formula>"Towel"</formula>
    </cfRule>
    <cfRule type="cellIs" dxfId="4032" priority="4560" stopIfTrue="1" operator="equal">
      <formula>"Napkin Hs"</formula>
    </cfRule>
    <cfRule type="cellIs" dxfId="4031" priority="4565" stopIfTrue="1" operator="equal">
      <formula>"Towel"</formula>
    </cfRule>
    <cfRule type="cellIs" dxfId="4030" priority="4566" stopIfTrue="1" operator="equal">
      <formula>"Napkin Hs"</formula>
    </cfRule>
    <cfRule type="cellIs" dxfId="4029" priority="4571" stopIfTrue="1" operator="equal">
      <formula>"Towel"</formula>
    </cfRule>
    <cfRule type="cellIs" dxfId="4028" priority="4572" stopIfTrue="1" operator="equal">
      <formula>"Napkin Hs"</formula>
    </cfRule>
    <cfRule type="cellIs" dxfId="4027" priority="4577" stopIfTrue="1" operator="equal">
      <formula>"Towel"</formula>
    </cfRule>
    <cfRule type="cellIs" dxfId="4026" priority="4578" stopIfTrue="1" operator="equal">
      <formula>"Napkin Hs"</formula>
    </cfRule>
    <cfRule type="cellIs" dxfId="4025" priority="4583" stopIfTrue="1" operator="equal">
      <formula>"Towel"</formula>
    </cfRule>
    <cfRule type="cellIs" dxfId="4024" priority="4584" stopIfTrue="1" operator="equal">
      <formula>"Napkin Hs"</formula>
    </cfRule>
  </conditionalFormatting>
  <conditionalFormatting sqref="B74:C74">
    <cfRule type="cellIs" dxfId="4023" priority="4513" stopIfTrue="1" operator="equal">
      <formula>"Towel"</formula>
    </cfRule>
    <cfRule type="cellIs" dxfId="4022" priority="4514" stopIfTrue="1" operator="equal">
      <formula>"Napkin Hs"</formula>
    </cfRule>
    <cfRule type="cellIs" dxfId="4021" priority="4519" stopIfTrue="1" operator="equal">
      <formula>"Towel"</formula>
    </cfRule>
    <cfRule type="cellIs" dxfId="4020" priority="4520" stopIfTrue="1" operator="equal">
      <formula>"Napkin Hs"</formula>
    </cfRule>
    <cfRule type="cellIs" dxfId="4019" priority="4525" stopIfTrue="1" operator="equal">
      <formula>"Towel"</formula>
    </cfRule>
    <cfRule type="cellIs" dxfId="4018" priority="4526" stopIfTrue="1" operator="equal">
      <formula>"Napkin Hs"</formula>
    </cfRule>
    <cfRule type="cellIs" dxfId="4017" priority="4531" stopIfTrue="1" operator="equal">
      <formula>"Towel"</formula>
    </cfRule>
    <cfRule type="cellIs" dxfId="4016" priority="4532" stopIfTrue="1" operator="equal">
      <formula>"Napkin Hs"</formula>
    </cfRule>
    <cfRule type="cellIs" dxfId="4015" priority="4537" stopIfTrue="1" operator="equal">
      <formula>"Towel"</formula>
    </cfRule>
    <cfRule type="cellIs" dxfId="4014" priority="4538" stopIfTrue="1" operator="equal">
      <formula>"Napkin Hs"</formula>
    </cfRule>
    <cfRule type="cellIs" dxfId="4013" priority="4543" stopIfTrue="1" operator="equal">
      <formula>"Towel"</formula>
    </cfRule>
    <cfRule type="cellIs" dxfId="4012" priority="4544" stopIfTrue="1" operator="equal">
      <formula>"Napkin Hs"</formula>
    </cfRule>
    <cfRule type="cellIs" dxfId="4011" priority="4549" stopIfTrue="1" operator="equal">
      <formula>"Towel"</formula>
    </cfRule>
    <cfRule type="cellIs" dxfId="4010" priority="4550" stopIfTrue="1" operator="equal">
      <formula>"Napkin Hs"</formula>
    </cfRule>
  </conditionalFormatting>
  <conditionalFormatting sqref="C73">
    <cfRule type="cellIs" dxfId="4009" priority="4588" stopIfTrue="1" operator="equal">
      <formula>"Napkin Hs"</formula>
    </cfRule>
  </conditionalFormatting>
  <conditionalFormatting sqref="C73">
    <cfRule type="cellIs" dxfId="4008" priority="4587" stopIfTrue="1" operator="equal">
      <formula>"Towel"</formula>
    </cfRule>
  </conditionalFormatting>
  <conditionalFormatting sqref="C73">
    <cfRule type="cellIs" dxfId="4007" priority="4581" stopIfTrue="1" operator="equal">
      <formula>"Towel"</formula>
    </cfRule>
    <cfRule type="cellIs" dxfId="4006" priority="4582" stopIfTrue="1" operator="equal">
      <formula>"Napkin Hs"</formula>
    </cfRule>
  </conditionalFormatting>
  <conditionalFormatting sqref="C73">
    <cfRule type="cellIs" dxfId="4005" priority="4579" stopIfTrue="1" operator="equal">
      <formula>"Towel"</formula>
    </cfRule>
    <cfRule type="cellIs" dxfId="4004" priority="4580" stopIfTrue="1" operator="equal">
      <formula>"Napkin Hs"</formula>
    </cfRule>
    <cfRule type="cellIs" dxfId="4003" priority="4585" stopIfTrue="1" operator="equal">
      <formula>"Towel"</formula>
    </cfRule>
    <cfRule type="cellIs" dxfId="4002" priority="4586" stopIfTrue="1" operator="equal">
      <formula>"Napkin Hs"</formula>
    </cfRule>
  </conditionalFormatting>
  <conditionalFormatting sqref="C73">
    <cfRule type="cellIs" dxfId="4001" priority="4551" stopIfTrue="1" operator="equal">
      <formula>"Towel"</formula>
    </cfRule>
    <cfRule type="cellIs" dxfId="4000" priority="4552" stopIfTrue="1" operator="equal">
      <formula>"Napkin Hs"</formula>
    </cfRule>
    <cfRule type="cellIs" dxfId="3999" priority="4555" stopIfTrue="1" operator="equal">
      <formula>"Towel"</formula>
    </cfRule>
    <cfRule type="cellIs" dxfId="3998" priority="4556" stopIfTrue="1" operator="equal">
      <formula>"Napkin Hs"</formula>
    </cfRule>
    <cfRule type="cellIs" dxfId="3997" priority="4557" stopIfTrue="1" operator="equal">
      <formula>"Towel"</formula>
    </cfRule>
    <cfRule type="cellIs" dxfId="3996" priority="4558" stopIfTrue="1" operator="equal">
      <formula>"Napkin Hs"</formula>
    </cfRule>
    <cfRule type="cellIs" dxfId="3995" priority="4561" stopIfTrue="1" operator="equal">
      <formula>"Towel"</formula>
    </cfRule>
    <cfRule type="cellIs" dxfId="3994" priority="4562" stopIfTrue="1" operator="equal">
      <formula>"Napkin Hs"</formula>
    </cfRule>
    <cfRule type="cellIs" dxfId="3993" priority="4563" stopIfTrue="1" operator="equal">
      <formula>"Towel"</formula>
    </cfRule>
    <cfRule type="cellIs" dxfId="3992" priority="4564" stopIfTrue="1" operator="equal">
      <formula>"Napkin Hs"</formula>
    </cfRule>
    <cfRule type="cellIs" dxfId="3991" priority="4567" stopIfTrue="1" operator="equal">
      <formula>"Towel"</formula>
    </cfRule>
    <cfRule type="cellIs" dxfId="3990" priority="4568" stopIfTrue="1" operator="equal">
      <formula>"Napkin Hs"</formula>
    </cfRule>
    <cfRule type="cellIs" dxfId="3989" priority="4569" stopIfTrue="1" operator="equal">
      <formula>"Towel"</formula>
    </cfRule>
    <cfRule type="cellIs" dxfId="3988" priority="4570" stopIfTrue="1" operator="equal">
      <formula>"Napkin Hs"</formula>
    </cfRule>
    <cfRule type="cellIs" dxfId="3987" priority="4573" stopIfTrue="1" operator="equal">
      <formula>"Towel"</formula>
    </cfRule>
    <cfRule type="cellIs" dxfId="3986" priority="4574" stopIfTrue="1" operator="equal">
      <formula>"Napkin Hs"</formula>
    </cfRule>
    <cfRule type="cellIs" dxfId="3985" priority="4575" stopIfTrue="1" operator="equal">
      <formula>"Towel"</formula>
    </cfRule>
    <cfRule type="cellIs" dxfId="3984" priority="4576" stopIfTrue="1" operator="equal">
      <formula>"Napkin Hs"</formula>
    </cfRule>
  </conditionalFormatting>
  <conditionalFormatting sqref="C73:C74">
    <cfRule type="cellIs" dxfId="3983" priority="4547" stopIfTrue="1" operator="equal">
      <formula>"Towel"</formula>
    </cfRule>
    <cfRule type="cellIs" dxfId="3982" priority="4548" stopIfTrue="1" operator="equal">
      <formula>"Napkin Hs"</formula>
    </cfRule>
  </conditionalFormatting>
  <conditionalFormatting sqref="C74">
    <cfRule type="cellIs" dxfId="3981" priority="4509" stopIfTrue="1" operator="equal">
      <formula>"Towel"</formula>
    </cfRule>
    <cfRule type="cellIs" dxfId="3980" priority="4510" stopIfTrue="1" operator="equal">
      <formula>"Napkin Hs"</formula>
    </cfRule>
    <cfRule type="cellIs" dxfId="3979" priority="4511" stopIfTrue="1" operator="equal">
      <formula>"Towel"</formula>
    </cfRule>
    <cfRule type="cellIs" dxfId="3978" priority="4512" stopIfTrue="1" operator="equal">
      <formula>"Napkin Hs"</formula>
    </cfRule>
    <cfRule type="cellIs" dxfId="3977" priority="4515" stopIfTrue="1" operator="equal">
      <formula>"Towel"</formula>
    </cfRule>
    <cfRule type="cellIs" dxfId="3976" priority="4516" stopIfTrue="1" operator="equal">
      <formula>"Napkin Hs"</formula>
    </cfRule>
    <cfRule type="cellIs" dxfId="3975" priority="4517" stopIfTrue="1" operator="equal">
      <formula>"Towel"</formula>
    </cfRule>
    <cfRule type="cellIs" dxfId="3974" priority="4518" stopIfTrue="1" operator="equal">
      <formula>"Napkin Hs"</formula>
    </cfRule>
    <cfRule type="cellIs" dxfId="3973" priority="4521" stopIfTrue="1" operator="equal">
      <formula>"Towel"</formula>
    </cfRule>
    <cfRule type="cellIs" dxfId="3972" priority="4522" stopIfTrue="1" operator="equal">
      <formula>"Napkin Hs"</formula>
    </cfRule>
    <cfRule type="cellIs" dxfId="3971" priority="4523" stopIfTrue="1" operator="equal">
      <formula>"Towel"</formula>
    </cfRule>
    <cfRule type="cellIs" dxfId="3970" priority="4524" stopIfTrue="1" operator="equal">
      <formula>"Napkin Hs"</formula>
    </cfRule>
    <cfRule type="cellIs" dxfId="3969" priority="4527" stopIfTrue="1" operator="equal">
      <formula>"Towel"</formula>
    </cfRule>
    <cfRule type="cellIs" dxfId="3968" priority="4528" stopIfTrue="1" operator="equal">
      <formula>"Napkin Hs"</formula>
    </cfRule>
    <cfRule type="cellIs" dxfId="3967" priority="4529" stopIfTrue="1" operator="equal">
      <formula>"Towel"</formula>
    </cfRule>
    <cfRule type="cellIs" dxfId="3966" priority="4530" stopIfTrue="1" operator="equal">
      <formula>"Napkin Hs"</formula>
    </cfRule>
    <cfRule type="cellIs" dxfId="3965" priority="4533" stopIfTrue="1" operator="equal">
      <formula>"Towel"</formula>
    </cfRule>
    <cfRule type="cellIs" dxfId="3964" priority="4534" stopIfTrue="1" operator="equal">
      <formula>"Napkin Hs"</formula>
    </cfRule>
    <cfRule type="cellIs" dxfId="3963" priority="4535" stopIfTrue="1" operator="equal">
      <formula>"Towel"</formula>
    </cfRule>
    <cfRule type="cellIs" dxfId="3962" priority="4536" stopIfTrue="1" operator="equal">
      <formula>"Napkin Hs"</formula>
    </cfRule>
    <cfRule type="cellIs" dxfId="3961" priority="4539" stopIfTrue="1" operator="equal">
      <formula>"Towel"</formula>
    </cfRule>
    <cfRule type="cellIs" dxfId="3960" priority="4540" stopIfTrue="1" operator="equal">
      <formula>"Napkin Hs"</formula>
    </cfRule>
    <cfRule type="cellIs" dxfId="3959" priority="4541" stopIfTrue="1" operator="equal">
      <formula>"Towel"</formula>
    </cfRule>
    <cfRule type="cellIs" dxfId="3958" priority="4542" stopIfTrue="1" operator="equal">
      <formula>"Napkin Hs"</formula>
    </cfRule>
    <cfRule type="cellIs" dxfId="3957" priority="4545" stopIfTrue="1" operator="equal">
      <formula>"Towel"</formula>
    </cfRule>
    <cfRule type="cellIs" dxfId="3956" priority="4546" stopIfTrue="1" operator="equal">
      <formula>"Napkin Hs"</formula>
    </cfRule>
  </conditionalFormatting>
  <conditionalFormatting sqref="C73">
    <cfRule type="cellIs" dxfId="3955" priority="4477" stopIfTrue="1" operator="equal">
      <formula>"Towel"</formula>
    </cfRule>
    <cfRule type="cellIs" dxfId="3954" priority="4478" stopIfTrue="1" operator="equal">
      <formula>"Napkin Hs"</formula>
    </cfRule>
    <cfRule type="cellIs" dxfId="3953" priority="4491" stopIfTrue="1" operator="equal">
      <formula>"Towel"</formula>
    </cfRule>
    <cfRule type="cellIs" dxfId="3952" priority="4492" stopIfTrue="1" operator="equal">
      <formula>"Napkin Hs"</formula>
    </cfRule>
    <cfRule type="cellIs" dxfId="3951" priority="4497" stopIfTrue="1" operator="equal">
      <formula>"Towel"</formula>
    </cfRule>
    <cfRule type="cellIs" dxfId="3950" priority="4498" stopIfTrue="1" operator="equal">
      <formula>"Napkin Hs"</formula>
    </cfRule>
    <cfRule type="cellIs" dxfId="3949" priority="4507" stopIfTrue="1" operator="equal">
      <formula>"Towel"</formula>
    </cfRule>
    <cfRule type="cellIs" dxfId="3948" priority="4508" stopIfTrue="1" operator="equal">
      <formula>"Napkin Hs"</formula>
    </cfRule>
  </conditionalFormatting>
  <conditionalFormatting sqref="B74:C74">
    <cfRule type="cellIs" dxfId="3947" priority="4481" stopIfTrue="1" operator="equal">
      <formula>"Towel"</formula>
    </cfRule>
    <cfRule type="cellIs" dxfId="3946" priority="4482" stopIfTrue="1" operator="equal">
      <formula>"Napkin Hs"</formula>
    </cfRule>
    <cfRule type="cellIs" dxfId="3945" priority="4487" stopIfTrue="1" operator="equal">
      <formula>"Towel"</formula>
    </cfRule>
    <cfRule type="cellIs" dxfId="3944" priority="4488" stopIfTrue="1" operator="equal">
      <formula>"Napkin Hs"</formula>
    </cfRule>
    <cfRule type="cellIs" dxfId="3943" priority="4503" stopIfTrue="1" operator="equal">
      <formula>"Towel"</formula>
    </cfRule>
    <cfRule type="cellIs" dxfId="3942" priority="4504" stopIfTrue="1" operator="equal">
      <formula>"Napkin Hs"</formula>
    </cfRule>
  </conditionalFormatting>
  <conditionalFormatting sqref="C73">
    <cfRule type="cellIs" dxfId="3941" priority="4495" stopIfTrue="1" operator="equal">
      <formula>"Towel"</formula>
    </cfRule>
    <cfRule type="cellIs" dxfId="3940" priority="4496" stopIfTrue="1" operator="equal">
      <formula>"Napkin Hs"</formula>
    </cfRule>
    <cfRule type="cellIs" dxfId="3939" priority="4505" stopIfTrue="1" operator="equal">
      <formula>"Towel"</formula>
    </cfRule>
    <cfRule type="cellIs" dxfId="3938" priority="4506" stopIfTrue="1" operator="equal">
      <formula>"Napkin Hs"</formula>
    </cfRule>
  </conditionalFormatting>
  <conditionalFormatting sqref="C73">
    <cfRule type="cellIs" dxfId="3937" priority="4473" stopIfTrue="1" operator="equal">
      <formula>"Towel"</formula>
    </cfRule>
    <cfRule type="cellIs" dxfId="3936" priority="4474" stopIfTrue="1" operator="equal">
      <formula>"Napkin Hs"</formula>
    </cfRule>
    <cfRule type="cellIs" dxfId="3935" priority="4489" stopIfTrue="1" operator="equal">
      <formula>"Towel"</formula>
    </cfRule>
    <cfRule type="cellIs" dxfId="3934" priority="4490" stopIfTrue="1" operator="equal">
      <formula>"Napkin Hs"</formula>
    </cfRule>
    <cfRule type="cellIs" dxfId="3933" priority="4493" stopIfTrue="1" operator="equal">
      <formula>"Towel"</formula>
    </cfRule>
    <cfRule type="cellIs" dxfId="3932" priority="4494" stopIfTrue="1" operator="equal">
      <formula>"Napkin Hs"</formula>
    </cfRule>
  </conditionalFormatting>
  <conditionalFormatting sqref="C73:C74">
    <cfRule type="cellIs" dxfId="3931" priority="4475" stopIfTrue="1" operator="equal">
      <formula>"Towel"</formula>
    </cfRule>
    <cfRule type="cellIs" dxfId="3930" priority="4476" stopIfTrue="1" operator="equal">
      <formula>"Napkin Hs"</formula>
    </cfRule>
    <cfRule type="cellIs" dxfId="3929" priority="4485" stopIfTrue="1" operator="equal">
      <formula>"Towel"</formula>
    </cfRule>
    <cfRule type="cellIs" dxfId="3928" priority="4486" stopIfTrue="1" operator="equal">
      <formula>"Napkin Hs"</formula>
    </cfRule>
    <cfRule type="cellIs" dxfId="3927" priority="4501" stopIfTrue="1" operator="equal">
      <formula>"Towel"</formula>
    </cfRule>
    <cfRule type="cellIs" dxfId="3926" priority="4502" stopIfTrue="1" operator="equal">
      <formula>"Napkin Hs"</formula>
    </cfRule>
  </conditionalFormatting>
  <conditionalFormatting sqref="C74">
    <cfRule type="cellIs" dxfId="3925" priority="4479" stopIfTrue="1" operator="equal">
      <formula>"Towel"</formula>
    </cfRule>
    <cfRule type="cellIs" dxfId="3924" priority="4480" stopIfTrue="1" operator="equal">
      <formula>"Napkin Hs"</formula>
    </cfRule>
    <cfRule type="cellIs" dxfId="3923" priority="4499" stopIfTrue="1" operator="equal">
      <formula>"Towel"</formula>
    </cfRule>
    <cfRule type="cellIs" dxfId="3922" priority="4500" stopIfTrue="1" operator="equal">
      <formula>"Napkin Hs"</formula>
    </cfRule>
  </conditionalFormatting>
  <conditionalFormatting sqref="C74">
    <cfRule type="cellIs" dxfId="3921" priority="4483" stopIfTrue="1" operator="equal">
      <formula>"Towel"</formula>
    </cfRule>
    <cfRule type="cellIs" dxfId="3920" priority="4484" stopIfTrue="1" operator="equal">
      <formula>"Napkin Hs"</formula>
    </cfRule>
  </conditionalFormatting>
  <conditionalFormatting sqref="B74:C74">
    <cfRule type="cellIs" dxfId="3919" priority="4471" stopIfTrue="1" operator="equal">
      <formula>"Towel"</formula>
    </cfRule>
    <cfRule type="cellIs" dxfId="3918" priority="4472" stopIfTrue="1" operator="equal">
      <formula>"Napkin Hs"</formula>
    </cfRule>
  </conditionalFormatting>
  <conditionalFormatting sqref="B74:C74">
    <cfRule type="cellIs" dxfId="3917" priority="4465" stopIfTrue="1" operator="equal">
      <formula>"Towel"</formula>
    </cfRule>
    <cfRule type="cellIs" dxfId="3916" priority="4466" stopIfTrue="1" operator="equal">
      <formula>"Napkin Hs"</formula>
    </cfRule>
  </conditionalFormatting>
  <conditionalFormatting sqref="C74">
    <cfRule type="cellIs" dxfId="3915" priority="4470" stopIfTrue="1" operator="equal">
      <formula>"Napkin Hs"</formula>
    </cfRule>
  </conditionalFormatting>
  <conditionalFormatting sqref="C74">
    <cfRule type="cellIs" dxfId="3914" priority="4467" stopIfTrue="1" operator="equal">
      <formula>"Towel"</formula>
    </cfRule>
    <cfRule type="cellIs" dxfId="3913" priority="4468" stopIfTrue="1" operator="equal">
      <formula>"Napkin Hs"</formula>
    </cfRule>
  </conditionalFormatting>
  <conditionalFormatting sqref="C74">
    <cfRule type="cellIs" dxfId="3912" priority="4461" stopIfTrue="1" operator="equal">
      <formula>"Towel"</formula>
    </cfRule>
    <cfRule type="cellIs" dxfId="3911" priority="4462" stopIfTrue="1" operator="equal">
      <formula>"Napkin Hs"</formula>
    </cfRule>
  </conditionalFormatting>
  <conditionalFormatting sqref="C74">
    <cfRule type="cellIs" dxfId="3910" priority="4463" stopIfTrue="1" operator="equal">
      <formula>"Towel"</formula>
    </cfRule>
    <cfRule type="cellIs" dxfId="3909" priority="4464" stopIfTrue="1" operator="equal">
      <formula>"Napkin Hs"</formula>
    </cfRule>
  </conditionalFormatting>
  <conditionalFormatting sqref="C74">
    <cfRule type="cellIs" dxfId="3908" priority="4469" stopIfTrue="1" operator="equal">
      <formula>"Towel"</formula>
    </cfRule>
  </conditionalFormatting>
  <conditionalFormatting sqref="B74:C74">
    <cfRule type="cellIs" dxfId="3907" priority="4459" stopIfTrue="1" operator="equal">
      <formula>"Towel"</formula>
    </cfRule>
    <cfRule type="cellIs" dxfId="3906" priority="4460" stopIfTrue="1" operator="equal">
      <formula>"Napkin Hs"</formula>
    </cfRule>
  </conditionalFormatting>
  <conditionalFormatting sqref="C74">
    <cfRule type="cellIs" dxfId="3905" priority="4455" stopIfTrue="1" operator="equal">
      <formula>"Towel"</formula>
    </cfRule>
    <cfRule type="cellIs" dxfId="3904" priority="4456" stopIfTrue="1" operator="equal">
      <formula>"Napkin Hs"</formula>
    </cfRule>
  </conditionalFormatting>
  <conditionalFormatting sqref="C74">
    <cfRule type="cellIs" dxfId="3903" priority="4457" stopIfTrue="1" operator="equal">
      <formula>"Towel"</formula>
    </cfRule>
    <cfRule type="cellIs" dxfId="3902" priority="4458" stopIfTrue="1" operator="equal">
      <formula>"Napkin Hs"</formula>
    </cfRule>
  </conditionalFormatting>
  <conditionalFormatting sqref="B74:C74">
    <cfRule type="cellIs" dxfId="3901" priority="4451" stopIfTrue="1" operator="equal">
      <formula>"Towel"</formula>
    </cfRule>
    <cfRule type="cellIs" dxfId="3900" priority="4452" stopIfTrue="1" operator="equal">
      <formula>"Napkin Hs"</formula>
    </cfRule>
  </conditionalFormatting>
  <conditionalFormatting sqref="C74">
    <cfRule type="cellIs" dxfId="3899" priority="4453" stopIfTrue="1" operator="equal">
      <formula>"Towel"</formula>
    </cfRule>
    <cfRule type="cellIs" dxfId="3898" priority="4454" stopIfTrue="1" operator="equal">
      <formula>"Napkin Hs"</formula>
    </cfRule>
  </conditionalFormatting>
  <conditionalFormatting sqref="C74">
    <cfRule type="cellIs" dxfId="3897" priority="4447" stopIfTrue="1" operator="equal">
      <formula>"Towel"</formula>
    </cfRule>
    <cfRule type="cellIs" dxfId="3896" priority="4448" stopIfTrue="1" operator="equal">
      <formula>"Napkin Hs"</formula>
    </cfRule>
  </conditionalFormatting>
  <conditionalFormatting sqref="C74">
    <cfRule type="cellIs" dxfId="3895" priority="4449" stopIfTrue="1" operator="equal">
      <formula>"Towel"</formula>
    </cfRule>
    <cfRule type="cellIs" dxfId="3894" priority="4450" stopIfTrue="1" operator="equal">
      <formula>"Napkin Hs"</formula>
    </cfRule>
  </conditionalFormatting>
  <conditionalFormatting sqref="B74:C74">
    <cfRule type="cellIs" dxfId="3893" priority="4445" stopIfTrue="1" operator="equal">
      <formula>"Towel"</formula>
    </cfRule>
    <cfRule type="cellIs" dxfId="3892" priority="4446" stopIfTrue="1" operator="equal">
      <formula>"Napkin Hs"</formula>
    </cfRule>
  </conditionalFormatting>
  <conditionalFormatting sqref="C74">
    <cfRule type="cellIs" dxfId="3891" priority="4444" stopIfTrue="1" operator="equal">
      <formula>"Napkin Hs"</formula>
    </cfRule>
  </conditionalFormatting>
  <conditionalFormatting sqref="C74">
    <cfRule type="cellIs" dxfId="3890" priority="4443" stopIfTrue="1" operator="equal">
      <formula>"Towel"</formula>
    </cfRule>
  </conditionalFormatting>
  <conditionalFormatting sqref="C73">
    <cfRule type="cellIs" dxfId="3889" priority="4441" stopIfTrue="1" operator="equal">
      <formula>"Towel"</formula>
    </cfRule>
    <cfRule type="cellIs" dxfId="3888" priority="4442" stopIfTrue="1" operator="equal">
      <formula>"Napkin Hs"</formula>
    </cfRule>
  </conditionalFormatting>
  <conditionalFormatting sqref="C73">
    <cfRule type="cellIs" dxfId="3887" priority="4437" stopIfTrue="1" operator="equal">
      <formula>"Towel"</formula>
    </cfRule>
    <cfRule type="cellIs" dxfId="3886" priority="4438" stopIfTrue="1" operator="equal">
      <formula>"Napkin Hs"</formula>
    </cfRule>
  </conditionalFormatting>
  <conditionalFormatting sqref="C73">
    <cfRule type="cellIs" dxfId="3885" priority="4439" stopIfTrue="1" operator="equal">
      <formula>"Towel"</formula>
    </cfRule>
    <cfRule type="cellIs" dxfId="3884" priority="4440" stopIfTrue="1" operator="equal">
      <formula>"Napkin Hs"</formula>
    </cfRule>
  </conditionalFormatting>
  <conditionalFormatting sqref="C73">
    <cfRule type="cellIs" dxfId="3883" priority="4435" stopIfTrue="1" operator="equal">
      <formula>"Towel"</formula>
    </cfRule>
    <cfRule type="cellIs" dxfId="3882" priority="4436" stopIfTrue="1" operator="equal">
      <formula>"Napkin Hs"</formula>
    </cfRule>
  </conditionalFormatting>
  <conditionalFormatting sqref="C73">
    <cfRule type="cellIs" dxfId="3881" priority="4431" stopIfTrue="1" operator="equal">
      <formula>"Towel"</formula>
    </cfRule>
    <cfRule type="cellIs" dxfId="3880" priority="4432" stopIfTrue="1" operator="equal">
      <formula>"Napkin Hs"</formula>
    </cfRule>
  </conditionalFormatting>
  <conditionalFormatting sqref="C73">
    <cfRule type="cellIs" dxfId="3879" priority="4433" stopIfTrue="1" operator="equal">
      <formula>"Towel"</formula>
    </cfRule>
    <cfRule type="cellIs" dxfId="3878" priority="4434" stopIfTrue="1" operator="equal">
      <formula>"Napkin Hs"</formula>
    </cfRule>
  </conditionalFormatting>
  <conditionalFormatting sqref="C73">
    <cfRule type="cellIs" dxfId="3877" priority="4429" stopIfTrue="1" operator="equal">
      <formula>"Towel"</formula>
    </cfRule>
    <cfRule type="cellIs" dxfId="3876" priority="4430" stopIfTrue="1" operator="equal">
      <formula>"Napkin Hs"</formula>
    </cfRule>
  </conditionalFormatting>
  <conditionalFormatting sqref="C73">
    <cfRule type="cellIs" dxfId="3875" priority="4425" stopIfTrue="1" operator="equal">
      <formula>"Towel"</formula>
    </cfRule>
    <cfRule type="cellIs" dxfId="3874" priority="4426" stopIfTrue="1" operator="equal">
      <formula>"Napkin Hs"</formula>
    </cfRule>
  </conditionalFormatting>
  <conditionalFormatting sqref="C73">
    <cfRule type="cellIs" dxfId="3873" priority="4427" stopIfTrue="1" operator="equal">
      <formula>"Towel"</formula>
    </cfRule>
    <cfRule type="cellIs" dxfId="3872" priority="4428" stopIfTrue="1" operator="equal">
      <formula>"Napkin Hs"</formula>
    </cfRule>
  </conditionalFormatting>
  <conditionalFormatting sqref="C73">
    <cfRule type="cellIs" dxfId="3871" priority="4423" stopIfTrue="1" operator="equal">
      <formula>"Towel"</formula>
    </cfRule>
    <cfRule type="cellIs" dxfId="3870" priority="4424" stopIfTrue="1" operator="equal">
      <formula>"Napkin Hs"</formula>
    </cfRule>
  </conditionalFormatting>
  <conditionalFormatting sqref="C73">
    <cfRule type="cellIs" dxfId="3869" priority="4421" stopIfTrue="1" operator="equal">
      <formula>"Towel"</formula>
    </cfRule>
    <cfRule type="cellIs" dxfId="3868" priority="4422" stopIfTrue="1" operator="equal">
      <formula>"Napkin Hs"</formula>
    </cfRule>
  </conditionalFormatting>
  <conditionalFormatting sqref="C73">
    <cfRule type="cellIs" dxfId="3867" priority="4419" stopIfTrue="1" operator="equal">
      <formula>"Towel"</formula>
    </cfRule>
    <cfRule type="cellIs" dxfId="3866" priority="4420" stopIfTrue="1" operator="equal">
      <formula>"Napkin Hs"</formula>
    </cfRule>
  </conditionalFormatting>
  <conditionalFormatting sqref="C73">
    <cfRule type="cellIs" dxfId="3865" priority="4417" stopIfTrue="1" operator="equal">
      <formula>"Towel"</formula>
    </cfRule>
    <cfRule type="cellIs" dxfId="3864" priority="4418" stopIfTrue="1" operator="equal">
      <formula>"Napkin Hs"</formula>
    </cfRule>
  </conditionalFormatting>
  <conditionalFormatting sqref="C73">
    <cfRule type="cellIs" dxfId="3863" priority="4416" stopIfTrue="1" operator="equal">
      <formula>"Napkin Hs"</formula>
    </cfRule>
  </conditionalFormatting>
  <conditionalFormatting sqref="C73">
    <cfRule type="cellIs" dxfId="3862" priority="4413" stopIfTrue="1" operator="equal">
      <formula>"Towel"</formula>
    </cfRule>
    <cfRule type="cellIs" dxfId="3861" priority="4414" stopIfTrue="1" operator="equal">
      <formula>"Napkin Hs"</formula>
    </cfRule>
  </conditionalFormatting>
  <conditionalFormatting sqref="C73">
    <cfRule type="cellIs" dxfId="3860" priority="4415" stopIfTrue="1" operator="equal">
      <formula>"Towel"</formula>
    </cfRule>
  </conditionalFormatting>
  <conditionalFormatting sqref="B73">
    <cfRule type="cellIs" dxfId="3859" priority="4411" stopIfTrue="1" operator="equal">
      <formula>"Towel"</formula>
    </cfRule>
    <cfRule type="cellIs" dxfId="3858" priority="4412" stopIfTrue="1" operator="equal">
      <formula>"Napkin Hs"</formula>
    </cfRule>
  </conditionalFormatting>
  <conditionalFormatting sqref="B73">
    <cfRule type="cellIs" dxfId="3857" priority="4409" stopIfTrue="1" operator="equal">
      <formula>"Towel"</formula>
    </cfRule>
    <cfRule type="cellIs" dxfId="3856" priority="4410" stopIfTrue="1" operator="equal">
      <formula>"Napkin Hs"</formula>
    </cfRule>
  </conditionalFormatting>
  <conditionalFormatting sqref="B73">
    <cfRule type="cellIs" dxfId="3855" priority="4407" stopIfTrue="1" operator="equal">
      <formula>"Towel"</formula>
    </cfRule>
    <cfRule type="cellIs" dxfId="3854" priority="4408" stopIfTrue="1" operator="equal">
      <formula>"Napkin Hs"</formula>
    </cfRule>
  </conditionalFormatting>
  <conditionalFormatting sqref="B73">
    <cfRule type="cellIs" dxfId="3853" priority="4405" stopIfTrue="1" operator="equal">
      <formula>"Towel"</formula>
    </cfRule>
    <cfRule type="cellIs" dxfId="3852" priority="4406" stopIfTrue="1" operator="equal">
      <formula>"Napkin Hs"</formula>
    </cfRule>
  </conditionalFormatting>
  <conditionalFormatting sqref="B73">
    <cfRule type="cellIs" dxfId="3851" priority="4403" stopIfTrue="1" operator="equal">
      <formula>"Towel"</formula>
    </cfRule>
    <cfRule type="cellIs" dxfId="3850" priority="4404" stopIfTrue="1" operator="equal">
      <formula>"Napkin Hs"</formula>
    </cfRule>
  </conditionalFormatting>
  <conditionalFormatting sqref="B73">
    <cfRule type="cellIs" dxfId="3849" priority="4401" stopIfTrue="1" operator="equal">
      <formula>"Towel"</formula>
    </cfRule>
    <cfRule type="cellIs" dxfId="3848" priority="4402" stopIfTrue="1" operator="equal">
      <formula>"Napkin Hs"</formula>
    </cfRule>
  </conditionalFormatting>
  <conditionalFormatting sqref="B73">
    <cfRule type="cellIs" dxfId="3847" priority="4397" stopIfTrue="1" operator="equal">
      <formula>"Towel"</formula>
    </cfRule>
    <cfRule type="cellIs" dxfId="3846" priority="4398" stopIfTrue="1" operator="equal">
      <formula>"Napkin Hs"</formula>
    </cfRule>
    <cfRule type="cellIs" dxfId="3845" priority="4399" stopIfTrue="1" operator="equal">
      <formula>"Towel"</formula>
    </cfRule>
    <cfRule type="cellIs" dxfId="3844" priority="4400" stopIfTrue="1" operator="equal">
      <formula>"Napkin Hs"</formula>
    </cfRule>
  </conditionalFormatting>
  <conditionalFormatting sqref="B73">
    <cfRule type="cellIs" dxfId="3843" priority="4395" stopIfTrue="1" operator="equal">
      <formula>"Towel"</formula>
    </cfRule>
    <cfRule type="cellIs" dxfId="3842" priority="4396" stopIfTrue="1" operator="equal">
      <formula>"Napkin Hs"</formula>
    </cfRule>
  </conditionalFormatting>
  <conditionalFormatting sqref="B73">
    <cfRule type="cellIs" dxfId="3841" priority="4393" stopIfTrue="1" operator="equal">
      <formula>"Towel"</formula>
    </cfRule>
    <cfRule type="cellIs" dxfId="3840" priority="4394" stopIfTrue="1" operator="equal">
      <formula>"Napkin Hs"</formula>
    </cfRule>
  </conditionalFormatting>
  <conditionalFormatting sqref="B73">
    <cfRule type="cellIs" dxfId="3839" priority="4391" stopIfTrue="1" operator="equal">
      <formula>"Towel"</formula>
    </cfRule>
    <cfRule type="cellIs" dxfId="3838" priority="4392" stopIfTrue="1" operator="equal">
      <formula>"Napkin Hs"</formula>
    </cfRule>
  </conditionalFormatting>
  <conditionalFormatting sqref="B73">
    <cfRule type="cellIs" dxfId="3837" priority="4389" stopIfTrue="1" operator="equal">
      <formula>"Towel"</formula>
    </cfRule>
    <cfRule type="cellIs" dxfId="3836" priority="4390" stopIfTrue="1" operator="equal">
      <formula>"Napkin Hs"</formula>
    </cfRule>
  </conditionalFormatting>
  <conditionalFormatting sqref="B73">
    <cfRule type="cellIs" dxfId="3835" priority="4387" stopIfTrue="1" operator="equal">
      <formula>"Towel"</formula>
    </cfRule>
    <cfRule type="cellIs" dxfId="3834" priority="4388" stopIfTrue="1" operator="equal">
      <formula>"Napkin Hs"</formula>
    </cfRule>
  </conditionalFormatting>
  <conditionalFormatting sqref="B73:C73">
    <cfRule type="cellIs" dxfId="3833" priority="4373" stopIfTrue="1" operator="equal">
      <formula>"Towel"</formula>
    </cfRule>
    <cfRule type="cellIs" dxfId="3832" priority="4374" stopIfTrue="1" operator="equal">
      <formula>"Napkin Hs"</formula>
    </cfRule>
    <cfRule type="cellIs" dxfId="3831" priority="4379" stopIfTrue="1" operator="equal">
      <formula>"Towel"</formula>
    </cfRule>
    <cfRule type="cellIs" dxfId="3830" priority="4380" stopIfTrue="1" operator="equal">
      <formula>"Napkin Hs"</formula>
    </cfRule>
    <cfRule type="cellIs" dxfId="3829" priority="4385" stopIfTrue="1" operator="equal">
      <formula>"Towel"</formula>
    </cfRule>
    <cfRule type="cellIs" dxfId="3828" priority="4386" stopIfTrue="1" operator="equal">
      <formula>"Napkin Hs"</formula>
    </cfRule>
  </conditionalFormatting>
  <conditionalFormatting sqref="C73">
    <cfRule type="cellIs" dxfId="3827" priority="4367" stopIfTrue="1" operator="equal">
      <formula>"Towel"</formula>
    </cfRule>
    <cfRule type="cellIs" dxfId="3826" priority="4368" stopIfTrue="1" operator="equal">
      <formula>"Napkin Hs"</formula>
    </cfRule>
    <cfRule type="cellIs" dxfId="3825" priority="4369" stopIfTrue="1" operator="equal">
      <formula>"Towel"</formula>
    </cfRule>
    <cfRule type="cellIs" dxfId="3824" priority="4370" stopIfTrue="1" operator="equal">
      <formula>"Napkin Hs"</formula>
    </cfRule>
    <cfRule type="cellIs" dxfId="3823" priority="4377" stopIfTrue="1" operator="equal">
      <formula>"Towel"</formula>
    </cfRule>
    <cfRule type="cellIs" dxfId="3822" priority="4378" stopIfTrue="1" operator="equal">
      <formula>"Napkin Hs"</formula>
    </cfRule>
    <cfRule type="cellIs" dxfId="3821" priority="4381" stopIfTrue="1" operator="equal">
      <formula>"Towel"</formula>
    </cfRule>
    <cfRule type="cellIs" dxfId="3820" priority="4382" stopIfTrue="1" operator="equal">
      <formula>"Napkin Hs"</formula>
    </cfRule>
  </conditionalFormatting>
  <conditionalFormatting sqref="C73">
    <cfRule type="cellIs" dxfId="3819" priority="4371" stopIfTrue="1" operator="equal">
      <formula>"Towel"</formula>
    </cfRule>
    <cfRule type="cellIs" dxfId="3818" priority="4372" stopIfTrue="1" operator="equal">
      <formula>"Napkin Hs"</formula>
    </cfRule>
    <cfRule type="cellIs" dxfId="3817" priority="4375" stopIfTrue="1" operator="equal">
      <formula>"Towel"</formula>
    </cfRule>
    <cfRule type="cellIs" dxfId="3816" priority="4376" stopIfTrue="1" operator="equal">
      <formula>"Napkin Hs"</formula>
    </cfRule>
    <cfRule type="cellIs" dxfId="3815" priority="4383" stopIfTrue="1" operator="equal">
      <formula>"Towel"</formula>
    </cfRule>
    <cfRule type="cellIs" dxfId="3814" priority="4384" stopIfTrue="1" operator="equal">
      <formula>"Napkin Hs"</formula>
    </cfRule>
  </conditionalFormatting>
  <conditionalFormatting sqref="B73:C73">
    <cfRule type="cellIs" dxfId="3813" priority="4365" stopIfTrue="1" operator="equal">
      <formula>"Towel"</formula>
    </cfRule>
    <cfRule type="cellIs" dxfId="3812" priority="4366" stopIfTrue="1" operator="equal">
      <formula>"Napkin Hs"</formula>
    </cfRule>
  </conditionalFormatting>
  <conditionalFormatting sqref="B73:C73">
    <cfRule type="cellIs" dxfId="3811" priority="4357" stopIfTrue="1" operator="equal">
      <formula>"Towel"</formula>
    </cfRule>
    <cfRule type="cellIs" dxfId="3810" priority="4358" stopIfTrue="1" operator="equal">
      <formula>"Napkin Hs"</formula>
    </cfRule>
    <cfRule type="cellIs" dxfId="3809" priority="4363" stopIfTrue="1" operator="equal">
      <formula>"Towel"</formula>
    </cfRule>
    <cfRule type="cellIs" dxfId="3808" priority="4364" stopIfTrue="1" operator="equal">
      <formula>"Napkin Hs"</formula>
    </cfRule>
  </conditionalFormatting>
  <conditionalFormatting sqref="C73">
    <cfRule type="cellIs" dxfId="3807" priority="4353" stopIfTrue="1" operator="equal">
      <formula>"Towel"</formula>
    </cfRule>
    <cfRule type="cellIs" dxfId="3806" priority="4354" stopIfTrue="1" operator="equal">
      <formula>"Napkin Hs"</formula>
    </cfRule>
  </conditionalFormatting>
  <conditionalFormatting sqref="C73">
    <cfRule type="cellIs" dxfId="3805" priority="4351" stopIfTrue="1" operator="equal">
      <formula>"Towel"</formula>
    </cfRule>
    <cfRule type="cellIs" dxfId="3804" priority="4352" stopIfTrue="1" operator="equal">
      <formula>"Napkin Hs"</formula>
    </cfRule>
    <cfRule type="cellIs" dxfId="3803" priority="4361" stopIfTrue="1" operator="equal">
      <formula>"Towel"</formula>
    </cfRule>
    <cfRule type="cellIs" dxfId="3802" priority="4362" stopIfTrue="1" operator="equal">
      <formula>"Napkin Hs"</formula>
    </cfRule>
  </conditionalFormatting>
  <conditionalFormatting sqref="C73">
    <cfRule type="cellIs" dxfId="3801" priority="4355" stopIfTrue="1" operator="equal">
      <formula>"Towel"</formula>
    </cfRule>
    <cfRule type="cellIs" dxfId="3800" priority="4356" stopIfTrue="1" operator="equal">
      <formula>"Napkin Hs"</formula>
    </cfRule>
    <cfRule type="cellIs" dxfId="3799" priority="4359" stopIfTrue="1" operator="equal">
      <formula>"Towel"</formula>
    </cfRule>
    <cfRule type="cellIs" dxfId="3798" priority="4360" stopIfTrue="1" operator="equal">
      <formula>"Napkin Hs"</formula>
    </cfRule>
  </conditionalFormatting>
  <conditionalFormatting sqref="C73">
    <cfRule type="cellIs" dxfId="3797" priority="4350" stopIfTrue="1" operator="equal">
      <formula>"Napkin Hs"</formula>
    </cfRule>
  </conditionalFormatting>
  <conditionalFormatting sqref="C73">
    <cfRule type="cellIs" dxfId="3796" priority="4349" stopIfTrue="1" operator="equal">
      <formula>"Towel"</formula>
    </cfRule>
  </conditionalFormatting>
  <conditionalFormatting sqref="C73">
    <cfRule type="cellIs" dxfId="3795" priority="4345" stopIfTrue="1" operator="equal">
      <formula>"Towel"</formula>
    </cfRule>
    <cfRule type="cellIs" dxfId="3794" priority="4346" stopIfTrue="1" operator="equal">
      <formula>"Napkin Hs"</formula>
    </cfRule>
    <cfRule type="cellIs" dxfId="3793" priority="4347" stopIfTrue="1" operator="equal">
      <formula>"Towel"</formula>
    </cfRule>
    <cfRule type="cellIs" dxfId="3792" priority="4348" stopIfTrue="1" operator="equal">
      <formula>"Napkin Hs"</formula>
    </cfRule>
  </conditionalFormatting>
  <conditionalFormatting sqref="B73:C73">
    <cfRule type="cellIs" dxfId="3791" priority="4343" stopIfTrue="1" operator="equal">
      <formula>"Towel"</formula>
    </cfRule>
    <cfRule type="cellIs" dxfId="3790" priority="4344" stopIfTrue="1" operator="equal">
      <formula>"Napkin Hs"</formula>
    </cfRule>
  </conditionalFormatting>
  <conditionalFormatting sqref="C73">
    <cfRule type="cellIs" dxfId="3789" priority="4339" stopIfTrue="1" operator="equal">
      <formula>"Towel"</formula>
    </cfRule>
    <cfRule type="cellIs" dxfId="3788" priority="4340" stopIfTrue="1" operator="equal">
      <formula>"Napkin Hs"</formula>
    </cfRule>
  </conditionalFormatting>
  <conditionalFormatting sqref="C73">
    <cfRule type="cellIs" dxfId="3787" priority="4341" stopIfTrue="1" operator="equal">
      <formula>"Towel"</formula>
    </cfRule>
    <cfRule type="cellIs" dxfId="3786" priority="4342" stopIfTrue="1" operator="equal">
      <formula>"Napkin Hs"</formula>
    </cfRule>
  </conditionalFormatting>
  <conditionalFormatting sqref="B73:C73">
    <cfRule type="cellIs" dxfId="3785" priority="4337" stopIfTrue="1" operator="equal">
      <formula>"Towel"</formula>
    </cfRule>
    <cfRule type="cellIs" dxfId="3784" priority="4338" stopIfTrue="1" operator="equal">
      <formula>"Napkin Hs"</formula>
    </cfRule>
  </conditionalFormatting>
  <conditionalFormatting sqref="C73">
    <cfRule type="cellIs" dxfId="3783" priority="4333" stopIfTrue="1" operator="equal">
      <formula>"Towel"</formula>
    </cfRule>
    <cfRule type="cellIs" dxfId="3782" priority="4334" stopIfTrue="1" operator="equal">
      <formula>"Napkin Hs"</formula>
    </cfRule>
  </conditionalFormatting>
  <conditionalFormatting sqref="C73">
    <cfRule type="cellIs" dxfId="3781" priority="4335" stopIfTrue="1" operator="equal">
      <formula>"Towel"</formula>
    </cfRule>
    <cfRule type="cellIs" dxfId="3780" priority="4336" stopIfTrue="1" operator="equal">
      <formula>"Napkin Hs"</formula>
    </cfRule>
  </conditionalFormatting>
  <conditionalFormatting sqref="B73:C73">
    <cfRule type="cellIs" dxfId="3779" priority="4331" stopIfTrue="1" operator="equal">
      <formula>"Towel"</formula>
    </cfRule>
    <cfRule type="cellIs" dxfId="3778" priority="4332" stopIfTrue="1" operator="equal">
      <formula>"Napkin Hs"</formula>
    </cfRule>
  </conditionalFormatting>
  <conditionalFormatting sqref="C73">
    <cfRule type="cellIs" dxfId="3777" priority="4327" stopIfTrue="1" operator="equal">
      <formula>"Towel"</formula>
    </cfRule>
    <cfRule type="cellIs" dxfId="3776" priority="4328" stopIfTrue="1" operator="equal">
      <formula>"Napkin Hs"</formula>
    </cfRule>
  </conditionalFormatting>
  <conditionalFormatting sqref="C73">
    <cfRule type="cellIs" dxfId="3775" priority="4329" stopIfTrue="1" operator="equal">
      <formula>"Towel"</formula>
    </cfRule>
    <cfRule type="cellIs" dxfId="3774" priority="4330" stopIfTrue="1" operator="equal">
      <formula>"Napkin Hs"</formula>
    </cfRule>
  </conditionalFormatting>
  <conditionalFormatting sqref="B73:C73">
    <cfRule type="cellIs" dxfId="3773" priority="4325" stopIfTrue="1" operator="equal">
      <formula>"Towel"</formula>
    </cfRule>
    <cfRule type="cellIs" dxfId="3772" priority="4326" stopIfTrue="1" operator="equal">
      <formula>"Napkin Hs"</formula>
    </cfRule>
  </conditionalFormatting>
  <conditionalFormatting sqref="C73">
    <cfRule type="cellIs" dxfId="3771" priority="4323" stopIfTrue="1" operator="equal">
      <formula>"Towel"</formula>
    </cfRule>
    <cfRule type="cellIs" dxfId="3770" priority="4324" stopIfTrue="1" operator="equal">
      <formula>"Napkin Hs"</formula>
    </cfRule>
  </conditionalFormatting>
  <conditionalFormatting sqref="C73">
    <cfRule type="cellIs" dxfId="3769" priority="4321" stopIfTrue="1" operator="equal">
      <formula>"Towel"</formula>
    </cfRule>
    <cfRule type="cellIs" dxfId="3768" priority="4322" stopIfTrue="1" operator="equal">
      <formula>"Napkin Hs"</formula>
    </cfRule>
  </conditionalFormatting>
  <conditionalFormatting sqref="B73:C73">
    <cfRule type="cellIs" dxfId="3767" priority="4319" stopIfTrue="1" operator="equal">
      <formula>"Towel"</formula>
    </cfRule>
    <cfRule type="cellIs" dxfId="3766" priority="4320" stopIfTrue="1" operator="equal">
      <formula>"Napkin Hs"</formula>
    </cfRule>
  </conditionalFormatting>
  <conditionalFormatting sqref="C73">
    <cfRule type="cellIs" dxfId="3765" priority="4318" stopIfTrue="1" operator="equal">
      <formula>"Napkin Hs"</formula>
    </cfRule>
  </conditionalFormatting>
  <conditionalFormatting sqref="C73">
    <cfRule type="cellIs" dxfId="3764" priority="4315" stopIfTrue="1" operator="equal">
      <formula>"Towel"</formula>
    </cfRule>
    <cfRule type="cellIs" dxfId="3763" priority="4316" stopIfTrue="1" operator="equal">
      <formula>"Napkin Hs"</formula>
    </cfRule>
  </conditionalFormatting>
  <conditionalFormatting sqref="C73">
    <cfRule type="cellIs" dxfId="3762" priority="4317" stopIfTrue="1" operator="equal">
      <formula>"Towel"</formula>
    </cfRule>
  </conditionalFormatting>
  <conditionalFormatting sqref="B72:C72">
    <cfRule type="cellIs" dxfId="3761" priority="4271" stopIfTrue="1" operator="equal">
      <formula>"Towel"</formula>
    </cfRule>
    <cfRule type="cellIs" dxfId="3760" priority="4272" stopIfTrue="1" operator="equal">
      <formula>"Napkin Hs"</formula>
    </cfRule>
    <cfRule type="cellIs" dxfId="3759" priority="4277" stopIfTrue="1" operator="equal">
      <formula>"Towel"</formula>
    </cfRule>
    <cfRule type="cellIs" dxfId="3758" priority="4278" stopIfTrue="1" operator="equal">
      <formula>"Napkin Hs"</formula>
    </cfRule>
    <cfRule type="cellIs" dxfId="3757" priority="4283" stopIfTrue="1" operator="equal">
      <formula>"Towel"</formula>
    </cfRule>
    <cfRule type="cellIs" dxfId="3756" priority="4284" stopIfTrue="1" operator="equal">
      <formula>"Napkin Hs"</formula>
    </cfRule>
    <cfRule type="cellIs" dxfId="3755" priority="4289" stopIfTrue="1" operator="equal">
      <formula>"Towel"</formula>
    </cfRule>
    <cfRule type="cellIs" dxfId="3754" priority="4290" stopIfTrue="1" operator="equal">
      <formula>"Napkin Hs"</formula>
    </cfRule>
    <cfRule type="cellIs" dxfId="3753" priority="4295" stopIfTrue="1" operator="equal">
      <formula>"Towel"</formula>
    </cfRule>
    <cfRule type="cellIs" dxfId="3752" priority="4296" stopIfTrue="1" operator="equal">
      <formula>"Napkin Hs"</formula>
    </cfRule>
    <cfRule type="cellIs" dxfId="3751" priority="4301" stopIfTrue="1" operator="equal">
      <formula>"Towel"</formula>
    </cfRule>
    <cfRule type="cellIs" dxfId="3750" priority="4302" stopIfTrue="1" operator="equal">
      <formula>"Napkin Hs"</formula>
    </cfRule>
    <cfRule type="cellIs" dxfId="3749" priority="4307" stopIfTrue="1" operator="equal">
      <formula>"Towel"</formula>
    </cfRule>
    <cfRule type="cellIs" dxfId="3748" priority="4308" stopIfTrue="1" operator="equal">
      <formula>"Napkin Hs"</formula>
    </cfRule>
    <cfRule type="cellIs" dxfId="3747" priority="4313" stopIfTrue="1" operator="equal">
      <formula>"Towel"</formula>
    </cfRule>
    <cfRule type="cellIs" dxfId="3746" priority="4314" stopIfTrue="1" operator="equal">
      <formula>"Napkin Hs"</formula>
    </cfRule>
  </conditionalFormatting>
  <conditionalFormatting sqref="C72">
    <cfRule type="cellIs" dxfId="3745" priority="4267" stopIfTrue="1" operator="equal">
      <formula>"Towel"</formula>
    </cfRule>
    <cfRule type="cellIs" dxfId="3744" priority="4268" stopIfTrue="1" operator="equal">
      <formula>"Napkin Hs"</formula>
    </cfRule>
    <cfRule type="cellIs" dxfId="3743" priority="4269" stopIfTrue="1" operator="equal">
      <formula>"Towel"</formula>
    </cfRule>
    <cfRule type="cellIs" dxfId="3742" priority="4270" stopIfTrue="1" operator="equal">
      <formula>"Napkin Hs"</formula>
    </cfRule>
    <cfRule type="cellIs" dxfId="3741" priority="4273" stopIfTrue="1" operator="equal">
      <formula>"Towel"</formula>
    </cfRule>
    <cfRule type="cellIs" dxfId="3740" priority="4274" stopIfTrue="1" operator="equal">
      <formula>"Napkin Hs"</formula>
    </cfRule>
    <cfRule type="cellIs" dxfId="3739" priority="4275" stopIfTrue="1" operator="equal">
      <formula>"Towel"</formula>
    </cfRule>
    <cfRule type="cellIs" dxfId="3738" priority="4276" stopIfTrue="1" operator="equal">
      <formula>"Napkin Hs"</formula>
    </cfRule>
    <cfRule type="cellIs" dxfId="3737" priority="4279" stopIfTrue="1" operator="equal">
      <formula>"Towel"</formula>
    </cfRule>
    <cfRule type="cellIs" dxfId="3736" priority="4280" stopIfTrue="1" operator="equal">
      <formula>"Napkin Hs"</formula>
    </cfRule>
    <cfRule type="cellIs" dxfId="3735" priority="4281" stopIfTrue="1" operator="equal">
      <formula>"Towel"</formula>
    </cfRule>
    <cfRule type="cellIs" dxfId="3734" priority="4282" stopIfTrue="1" operator="equal">
      <formula>"Napkin Hs"</formula>
    </cfRule>
    <cfRule type="cellIs" dxfId="3733" priority="4285" stopIfTrue="1" operator="equal">
      <formula>"Towel"</formula>
    </cfRule>
    <cfRule type="cellIs" dxfId="3732" priority="4286" stopIfTrue="1" operator="equal">
      <formula>"Napkin Hs"</formula>
    </cfRule>
    <cfRule type="cellIs" dxfId="3731" priority="4287" stopIfTrue="1" operator="equal">
      <formula>"Towel"</formula>
    </cfRule>
    <cfRule type="cellIs" dxfId="3730" priority="4288" stopIfTrue="1" operator="equal">
      <formula>"Napkin Hs"</formula>
    </cfRule>
    <cfRule type="cellIs" dxfId="3729" priority="4291" stopIfTrue="1" operator="equal">
      <formula>"Towel"</formula>
    </cfRule>
    <cfRule type="cellIs" dxfId="3728" priority="4292" stopIfTrue="1" operator="equal">
      <formula>"Napkin Hs"</formula>
    </cfRule>
    <cfRule type="cellIs" dxfId="3727" priority="4293" stopIfTrue="1" operator="equal">
      <formula>"Towel"</formula>
    </cfRule>
    <cfRule type="cellIs" dxfId="3726" priority="4294" stopIfTrue="1" operator="equal">
      <formula>"Napkin Hs"</formula>
    </cfRule>
    <cfRule type="cellIs" dxfId="3725" priority="4297" stopIfTrue="1" operator="equal">
      <formula>"Towel"</formula>
    </cfRule>
    <cfRule type="cellIs" dxfId="3724" priority="4298" stopIfTrue="1" operator="equal">
      <formula>"Napkin Hs"</formula>
    </cfRule>
    <cfRule type="cellIs" dxfId="3723" priority="4299" stopIfTrue="1" operator="equal">
      <formula>"Towel"</formula>
    </cfRule>
    <cfRule type="cellIs" dxfId="3722" priority="4300" stopIfTrue="1" operator="equal">
      <formula>"Napkin Hs"</formula>
    </cfRule>
    <cfRule type="cellIs" dxfId="3721" priority="4303" stopIfTrue="1" operator="equal">
      <formula>"Towel"</formula>
    </cfRule>
    <cfRule type="cellIs" dxfId="3720" priority="4304" stopIfTrue="1" operator="equal">
      <formula>"Napkin Hs"</formula>
    </cfRule>
    <cfRule type="cellIs" dxfId="3719" priority="4305" stopIfTrue="1" operator="equal">
      <formula>"Towel"</formula>
    </cfRule>
    <cfRule type="cellIs" dxfId="3718" priority="4306" stopIfTrue="1" operator="equal">
      <formula>"Napkin Hs"</formula>
    </cfRule>
    <cfRule type="cellIs" dxfId="3717" priority="4309" stopIfTrue="1" operator="equal">
      <formula>"Towel"</formula>
    </cfRule>
    <cfRule type="cellIs" dxfId="3716" priority="4310" stopIfTrue="1" operator="equal">
      <formula>"Napkin Hs"</formula>
    </cfRule>
  </conditionalFormatting>
  <conditionalFormatting sqref="C72">
    <cfRule type="cellIs" dxfId="3715" priority="4311" stopIfTrue="1" operator="equal">
      <formula>"Towel"</formula>
    </cfRule>
    <cfRule type="cellIs" dxfId="3714" priority="4312" stopIfTrue="1" operator="equal">
      <formula>"Napkin Hs"</formula>
    </cfRule>
  </conditionalFormatting>
  <conditionalFormatting sqref="B72">
    <cfRule type="cellIs" dxfId="3713" priority="4261" stopIfTrue="1" operator="equal">
      <formula>"Towel"</formula>
    </cfRule>
    <cfRule type="cellIs" dxfId="3712" priority="4262" stopIfTrue="1" operator="equal">
      <formula>"Napkin Hs"</formula>
    </cfRule>
    <cfRule type="cellIs" dxfId="3711" priority="4263" stopIfTrue="1" operator="equal">
      <formula>"Towel"</formula>
    </cfRule>
    <cfRule type="cellIs" dxfId="3710" priority="4264" stopIfTrue="1" operator="equal">
      <formula>"Napkin Hs"</formula>
    </cfRule>
    <cfRule type="cellIs" dxfId="3709" priority="4265" stopIfTrue="1" operator="equal">
      <formula>"Towel"</formula>
    </cfRule>
    <cfRule type="cellIs" dxfId="3708" priority="4266" stopIfTrue="1" operator="equal">
      <formula>"Napkin Hs"</formula>
    </cfRule>
  </conditionalFormatting>
  <conditionalFormatting sqref="B72:C72">
    <cfRule type="cellIs" dxfId="3707" priority="4223" stopIfTrue="1" operator="equal">
      <formula>"Towel"</formula>
    </cfRule>
    <cfRule type="cellIs" dxfId="3706" priority="4224" stopIfTrue="1" operator="equal">
      <formula>"Napkin Hs"</formula>
    </cfRule>
    <cfRule type="cellIs" dxfId="3705" priority="4229" stopIfTrue="1" operator="equal">
      <formula>"Towel"</formula>
    </cfRule>
    <cfRule type="cellIs" dxfId="3704" priority="4230" stopIfTrue="1" operator="equal">
      <formula>"Napkin Hs"</formula>
    </cfRule>
    <cfRule type="cellIs" dxfId="3703" priority="4235" stopIfTrue="1" operator="equal">
      <formula>"Towel"</formula>
    </cfRule>
    <cfRule type="cellIs" dxfId="3702" priority="4236" stopIfTrue="1" operator="equal">
      <formula>"Napkin Hs"</formula>
    </cfRule>
    <cfRule type="cellIs" dxfId="3701" priority="4241" stopIfTrue="1" operator="equal">
      <formula>"Towel"</formula>
    </cfRule>
    <cfRule type="cellIs" dxfId="3700" priority="4242" stopIfTrue="1" operator="equal">
      <formula>"Napkin Hs"</formula>
    </cfRule>
    <cfRule type="cellIs" dxfId="3699" priority="4247" stopIfTrue="1" operator="equal">
      <formula>"Towel"</formula>
    </cfRule>
    <cfRule type="cellIs" dxfId="3698" priority="4248" stopIfTrue="1" operator="equal">
      <formula>"Napkin Hs"</formula>
    </cfRule>
    <cfRule type="cellIs" dxfId="3697" priority="4253" stopIfTrue="1" operator="equal">
      <formula>"Towel"</formula>
    </cfRule>
    <cfRule type="cellIs" dxfId="3696" priority="4254" stopIfTrue="1" operator="equal">
      <formula>"Napkin Hs"</formula>
    </cfRule>
    <cfRule type="cellIs" dxfId="3695" priority="4259" stopIfTrue="1" operator="equal">
      <formula>"Towel"</formula>
    </cfRule>
    <cfRule type="cellIs" dxfId="3694" priority="4260" stopIfTrue="1" operator="equal">
      <formula>"Napkin Hs"</formula>
    </cfRule>
  </conditionalFormatting>
  <conditionalFormatting sqref="C72">
    <cfRule type="cellIs" dxfId="3693" priority="4219" stopIfTrue="1" operator="equal">
      <formula>"Towel"</formula>
    </cfRule>
    <cfRule type="cellIs" dxfId="3692" priority="4220" stopIfTrue="1" operator="equal">
      <formula>"Napkin Hs"</formula>
    </cfRule>
    <cfRule type="cellIs" dxfId="3691" priority="4221" stopIfTrue="1" operator="equal">
      <formula>"Towel"</formula>
    </cfRule>
    <cfRule type="cellIs" dxfId="3690" priority="4222" stopIfTrue="1" operator="equal">
      <formula>"Napkin Hs"</formula>
    </cfRule>
    <cfRule type="cellIs" dxfId="3689" priority="4225" stopIfTrue="1" operator="equal">
      <formula>"Towel"</formula>
    </cfRule>
    <cfRule type="cellIs" dxfId="3688" priority="4226" stopIfTrue="1" operator="equal">
      <formula>"Napkin Hs"</formula>
    </cfRule>
    <cfRule type="cellIs" dxfId="3687" priority="4227" stopIfTrue="1" operator="equal">
      <formula>"Towel"</formula>
    </cfRule>
    <cfRule type="cellIs" dxfId="3686" priority="4228" stopIfTrue="1" operator="equal">
      <formula>"Napkin Hs"</formula>
    </cfRule>
    <cfRule type="cellIs" dxfId="3685" priority="4231" stopIfTrue="1" operator="equal">
      <formula>"Towel"</formula>
    </cfRule>
    <cfRule type="cellIs" dxfId="3684" priority="4232" stopIfTrue="1" operator="equal">
      <formula>"Napkin Hs"</formula>
    </cfRule>
    <cfRule type="cellIs" dxfId="3683" priority="4233" stopIfTrue="1" operator="equal">
      <formula>"Towel"</formula>
    </cfRule>
    <cfRule type="cellIs" dxfId="3682" priority="4234" stopIfTrue="1" operator="equal">
      <formula>"Napkin Hs"</formula>
    </cfRule>
    <cfRule type="cellIs" dxfId="3681" priority="4237" stopIfTrue="1" operator="equal">
      <formula>"Towel"</formula>
    </cfRule>
    <cfRule type="cellIs" dxfId="3680" priority="4238" stopIfTrue="1" operator="equal">
      <formula>"Napkin Hs"</formula>
    </cfRule>
    <cfRule type="cellIs" dxfId="3679" priority="4239" stopIfTrue="1" operator="equal">
      <formula>"Towel"</formula>
    </cfRule>
    <cfRule type="cellIs" dxfId="3678" priority="4240" stopIfTrue="1" operator="equal">
      <formula>"Napkin Hs"</formula>
    </cfRule>
    <cfRule type="cellIs" dxfId="3677" priority="4243" stopIfTrue="1" operator="equal">
      <formula>"Towel"</formula>
    </cfRule>
    <cfRule type="cellIs" dxfId="3676" priority="4244" stopIfTrue="1" operator="equal">
      <formula>"Napkin Hs"</formula>
    </cfRule>
    <cfRule type="cellIs" dxfId="3675" priority="4245" stopIfTrue="1" operator="equal">
      <formula>"Towel"</formula>
    </cfRule>
    <cfRule type="cellIs" dxfId="3674" priority="4246" stopIfTrue="1" operator="equal">
      <formula>"Napkin Hs"</formula>
    </cfRule>
    <cfRule type="cellIs" dxfId="3673" priority="4249" stopIfTrue="1" operator="equal">
      <formula>"Towel"</formula>
    </cfRule>
    <cfRule type="cellIs" dxfId="3672" priority="4250" stopIfTrue="1" operator="equal">
      <formula>"Napkin Hs"</formula>
    </cfRule>
    <cfRule type="cellIs" dxfId="3671" priority="4251" stopIfTrue="1" operator="equal">
      <formula>"Towel"</formula>
    </cfRule>
    <cfRule type="cellIs" dxfId="3670" priority="4252" stopIfTrue="1" operator="equal">
      <formula>"Napkin Hs"</formula>
    </cfRule>
    <cfRule type="cellIs" dxfId="3669" priority="4255" stopIfTrue="1" operator="equal">
      <formula>"Towel"</formula>
    </cfRule>
    <cfRule type="cellIs" dxfId="3668" priority="4256" stopIfTrue="1" operator="equal">
      <formula>"Napkin Hs"</formula>
    </cfRule>
  </conditionalFormatting>
  <conditionalFormatting sqref="C72">
    <cfRule type="cellIs" dxfId="3667" priority="4257" stopIfTrue="1" operator="equal">
      <formula>"Towel"</formula>
    </cfRule>
    <cfRule type="cellIs" dxfId="3666" priority="4258" stopIfTrue="1" operator="equal">
      <formula>"Napkin Hs"</formula>
    </cfRule>
  </conditionalFormatting>
  <conditionalFormatting sqref="B72:C72">
    <cfRule type="cellIs" dxfId="3665" priority="4217" stopIfTrue="1" operator="equal">
      <formula>"Towel"</formula>
    </cfRule>
    <cfRule type="cellIs" dxfId="3664" priority="4218" stopIfTrue="1" operator="equal">
      <formula>"Napkin Hs"</formula>
    </cfRule>
  </conditionalFormatting>
  <conditionalFormatting sqref="B72:C72">
    <cfRule type="cellIs" dxfId="3663" priority="4181" stopIfTrue="1" operator="equal">
      <formula>"Towel"</formula>
    </cfRule>
    <cfRule type="cellIs" dxfId="3662" priority="4182" stopIfTrue="1" operator="equal">
      <formula>"Napkin Hs"</formula>
    </cfRule>
    <cfRule type="cellIs" dxfId="3661" priority="4187" stopIfTrue="1" operator="equal">
      <formula>"Towel"</formula>
    </cfRule>
    <cfRule type="cellIs" dxfId="3660" priority="4188" stopIfTrue="1" operator="equal">
      <formula>"Napkin Hs"</formula>
    </cfRule>
    <cfRule type="cellIs" dxfId="3659" priority="4193" stopIfTrue="1" operator="equal">
      <formula>"Towel"</formula>
    </cfRule>
    <cfRule type="cellIs" dxfId="3658" priority="4194" stopIfTrue="1" operator="equal">
      <formula>"Napkin Hs"</formula>
    </cfRule>
    <cfRule type="cellIs" dxfId="3657" priority="4199" stopIfTrue="1" operator="equal">
      <formula>"Towel"</formula>
    </cfRule>
    <cfRule type="cellIs" dxfId="3656" priority="4200" stopIfTrue="1" operator="equal">
      <formula>"Napkin Hs"</formula>
    </cfRule>
    <cfRule type="cellIs" dxfId="3655" priority="4205" stopIfTrue="1" operator="equal">
      <formula>"Towel"</formula>
    </cfRule>
    <cfRule type="cellIs" dxfId="3654" priority="4206" stopIfTrue="1" operator="equal">
      <formula>"Napkin Hs"</formula>
    </cfRule>
    <cfRule type="cellIs" dxfId="3653" priority="4211" stopIfTrue="1" operator="equal">
      <formula>"Towel"</formula>
    </cfRule>
    <cfRule type="cellIs" dxfId="3652" priority="4212" stopIfTrue="1" operator="equal">
      <formula>"Napkin Hs"</formula>
    </cfRule>
  </conditionalFormatting>
  <conditionalFormatting sqref="C72">
    <cfRule type="cellIs" dxfId="3651" priority="4216" stopIfTrue="1" operator="equal">
      <formula>"Napkin Hs"</formula>
    </cfRule>
  </conditionalFormatting>
  <conditionalFormatting sqref="C72">
    <cfRule type="cellIs" dxfId="3650" priority="4215" stopIfTrue="1" operator="equal">
      <formula>"Towel"</formula>
    </cfRule>
  </conditionalFormatting>
  <conditionalFormatting sqref="C72">
    <cfRule type="cellIs" dxfId="3649" priority="4209" stopIfTrue="1" operator="equal">
      <formula>"Towel"</formula>
    </cfRule>
    <cfRule type="cellIs" dxfId="3648" priority="4210" stopIfTrue="1" operator="equal">
      <formula>"Napkin Hs"</formula>
    </cfRule>
  </conditionalFormatting>
  <conditionalFormatting sqref="C72">
    <cfRule type="cellIs" dxfId="3647" priority="4207" stopIfTrue="1" operator="equal">
      <formula>"Towel"</formula>
    </cfRule>
    <cfRule type="cellIs" dxfId="3646" priority="4208" stopIfTrue="1" operator="equal">
      <formula>"Napkin Hs"</formula>
    </cfRule>
    <cfRule type="cellIs" dxfId="3645" priority="4213" stopIfTrue="1" operator="equal">
      <formula>"Towel"</formula>
    </cfRule>
    <cfRule type="cellIs" dxfId="3644" priority="4214" stopIfTrue="1" operator="equal">
      <formula>"Napkin Hs"</formula>
    </cfRule>
  </conditionalFormatting>
  <conditionalFormatting sqref="C72">
    <cfRule type="cellIs" dxfId="3643" priority="4179" stopIfTrue="1" operator="equal">
      <formula>"Towel"</formula>
    </cfRule>
    <cfRule type="cellIs" dxfId="3642" priority="4180" stopIfTrue="1" operator="equal">
      <formula>"Napkin Hs"</formula>
    </cfRule>
    <cfRule type="cellIs" dxfId="3641" priority="4183" stopIfTrue="1" operator="equal">
      <formula>"Towel"</formula>
    </cfRule>
    <cfRule type="cellIs" dxfId="3640" priority="4184" stopIfTrue="1" operator="equal">
      <formula>"Napkin Hs"</formula>
    </cfRule>
    <cfRule type="cellIs" dxfId="3639" priority="4185" stopIfTrue="1" operator="equal">
      <formula>"Towel"</formula>
    </cfRule>
    <cfRule type="cellIs" dxfId="3638" priority="4186" stopIfTrue="1" operator="equal">
      <formula>"Napkin Hs"</formula>
    </cfRule>
    <cfRule type="cellIs" dxfId="3637" priority="4189" stopIfTrue="1" operator="equal">
      <formula>"Towel"</formula>
    </cfRule>
    <cfRule type="cellIs" dxfId="3636" priority="4190" stopIfTrue="1" operator="equal">
      <formula>"Napkin Hs"</formula>
    </cfRule>
    <cfRule type="cellIs" dxfId="3635" priority="4191" stopIfTrue="1" operator="equal">
      <formula>"Towel"</formula>
    </cfRule>
    <cfRule type="cellIs" dxfId="3634" priority="4192" stopIfTrue="1" operator="equal">
      <formula>"Napkin Hs"</formula>
    </cfRule>
    <cfRule type="cellIs" dxfId="3633" priority="4195" stopIfTrue="1" operator="equal">
      <formula>"Towel"</formula>
    </cfRule>
    <cfRule type="cellIs" dxfId="3632" priority="4196" stopIfTrue="1" operator="equal">
      <formula>"Napkin Hs"</formula>
    </cfRule>
    <cfRule type="cellIs" dxfId="3631" priority="4197" stopIfTrue="1" operator="equal">
      <formula>"Towel"</formula>
    </cfRule>
    <cfRule type="cellIs" dxfId="3630" priority="4198" stopIfTrue="1" operator="equal">
      <formula>"Napkin Hs"</formula>
    </cfRule>
    <cfRule type="cellIs" dxfId="3629" priority="4201" stopIfTrue="1" operator="equal">
      <formula>"Towel"</formula>
    </cfRule>
    <cfRule type="cellIs" dxfId="3628" priority="4202" stopIfTrue="1" operator="equal">
      <formula>"Napkin Hs"</formula>
    </cfRule>
    <cfRule type="cellIs" dxfId="3627" priority="4203" stopIfTrue="1" operator="equal">
      <formula>"Towel"</formula>
    </cfRule>
    <cfRule type="cellIs" dxfId="3626" priority="4204" stopIfTrue="1" operator="equal">
      <formula>"Napkin Hs"</formula>
    </cfRule>
  </conditionalFormatting>
  <conditionalFormatting sqref="C72">
    <cfRule type="cellIs" dxfId="3625" priority="4177" stopIfTrue="1" operator="equal">
      <formula>"Towel"</formula>
    </cfRule>
    <cfRule type="cellIs" dxfId="3624" priority="4178" stopIfTrue="1" operator="equal">
      <formula>"Napkin Hs"</formula>
    </cfRule>
  </conditionalFormatting>
  <conditionalFormatting sqref="C72">
    <cfRule type="cellIs" dxfId="3623" priority="4157" stopIfTrue="1" operator="equal">
      <formula>"Towel"</formula>
    </cfRule>
    <cfRule type="cellIs" dxfId="3622" priority="4158" stopIfTrue="1" operator="equal">
      <formula>"Napkin Hs"</formula>
    </cfRule>
    <cfRule type="cellIs" dxfId="3621" priority="4163" stopIfTrue="1" operator="equal">
      <formula>"Towel"</formula>
    </cfRule>
    <cfRule type="cellIs" dxfId="3620" priority="4164" stopIfTrue="1" operator="equal">
      <formula>"Napkin Hs"</formula>
    </cfRule>
    <cfRule type="cellIs" dxfId="3619" priority="4169" stopIfTrue="1" operator="equal">
      <formula>"Towel"</formula>
    </cfRule>
    <cfRule type="cellIs" dxfId="3618" priority="4170" stopIfTrue="1" operator="equal">
      <formula>"Napkin Hs"</formula>
    </cfRule>
    <cfRule type="cellIs" dxfId="3617" priority="4175" stopIfTrue="1" operator="equal">
      <formula>"Towel"</formula>
    </cfRule>
    <cfRule type="cellIs" dxfId="3616" priority="4176" stopIfTrue="1" operator="equal">
      <formula>"Napkin Hs"</formula>
    </cfRule>
  </conditionalFormatting>
  <conditionalFormatting sqref="C72">
    <cfRule type="cellIs" dxfId="3615" priority="4167" stopIfTrue="1" operator="equal">
      <formula>"Towel"</formula>
    </cfRule>
    <cfRule type="cellIs" dxfId="3614" priority="4168" stopIfTrue="1" operator="equal">
      <formula>"Napkin Hs"</formula>
    </cfRule>
    <cfRule type="cellIs" dxfId="3613" priority="4173" stopIfTrue="1" operator="equal">
      <formula>"Towel"</formula>
    </cfRule>
    <cfRule type="cellIs" dxfId="3612" priority="4174" stopIfTrue="1" operator="equal">
      <formula>"Napkin Hs"</formula>
    </cfRule>
  </conditionalFormatting>
  <conditionalFormatting sqref="C72">
    <cfRule type="cellIs" dxfId="3611" priority="4153" stopIfTrue="1" operator="equal">
      <formula>"Towel"</formula>
    </cfRule>
    <cfRule type="cellIs" dxfId="3610" priority="4154" stopIfTrue="1" operator="equal">
      <formula>"Napkin Hs"</formula>
    </cfRule>
    <cfRule type="cellIs" dxfId="3609" priority="4161" stopIfTrue="1" operator="equal">
      <formula>"Towel"</formula>
    </cfRule>
    <cfRule type="cellIs" dxfId="3608" priority="4162" stopIfTrue="1" operator="equal">
      <formula>"Napkin Hs"</formula>
    </cfRule>
    <cfRule type="cellIs" dxfId="3607" priority="4165" stopIfTrue="1" operator="equal">
      <formula>"Towel"</formula>
    </cfRule>
    <cfRule type="cellIs" dxfId="3606" priority="4166" stopIfTrue="1" operator="equal">
      <formula>"Napkin Hs"</formula>
    </cfRule>
  </conditionalFormatting>
  <conditionalFormatting sqref="C72">
    <cfRule type="cellIs" dxfId="3605" priority="4155" stopIfTrue="1" operator="equal">
      <formula>"Towel"</formula>
    </cfRule>
    <cfRule type="cellIs" dxfId="3604" priority="4156" stopIfTrue="1" operator="equal">
      <formula>"Napkin Hs"</formula>
    </cfRule>
    <cfRule type="cellIs" dxfId="3603" priority="4159" stopIfTrue="1" operator="equal">
      <formula>"Towel"</formula>
    </cfRule>
    <cfRule type="cellIs" dxfId="3602" priority="4160" stopIfTrue="1" operator="equal">
      <formula>"Napkin Hs"</formula>
    </cfRule>
    <cfRule type="cellIs" dxfId="3601" priority="4171" stopIfTrue="1" operator="equal">
      <formula>"Towel"</formula>
    </cfRule>
    <cfRule type="cellIs" dxfId="3600" priority="4172" stopIfTrue="1" operator="equal">
      <formula>"Napkin Hs"</formula>
    </cfRule>
  </conditionalFormatting>
  <conditionalFormatting sqref="C72">
    <cfRule type="cellIs" dxfId="3599" priority="4151" stopIfTrue="1" operator="equal">
      <formula>"Towel"</formula>
    </cfRule>
    <cfRule type="cellIs" dxfId="3598" priority="4152" stopIfTrue="1" operator="equal">
      <formula>"Napkin Hs"</formula>
    </cfRule>
  </conditionalFormatting>
  <conditionalFormatting sqref="C72">
    <cfRule type="cellIs" dxfId="3597" priority="4147" stopIfTrue="1" operator="equal">
      <formula>"Towel"</formula>
    </cfRule>
    <cfRule type="cellIs" dxfId="3596" priority="4148" stopIfTrue="1" operator="equal">
      <formula>"Napkin Hs"</formula>
    </cfRule>
  </conditionalFormatting>
  <conditionalFormatting sqref="C72">
    <cfRule type="cellIs" dxfId="3595" priority="4149" stopIfTrue="1" operator="equal">
      <formula>"Towel"</formula>
    </cfRule>
    <cfRule type="cellIs" dxfId="3594" priority="4150" stopIfTrue="1" operator="equal">
      <formula>"Napkin Hs"</formula>
    </cfRule>
  </conditionalFormatting>
  <conditionalFormatting sqref="C72">
    <cfRule type="cellIs" dxfId="3593" priority="4145" stopIfTrue="1" operator="equal">
      <formula>"Towel"</formula>
    </cfRule>
    <cfRule type="cellIs" dxfId="3592" priority="4146" stopIfTrue="1" operator="equal">
      <formula>"Napkin Hs"</formula>
    </cfRule>
  </conditionalFormatting>
  <conditionalFormatting sqref="C72">
    <cfRule type="cellIs" dxfId="3591" priority="4141" stopIfTrue="1" operator="equal">
      <formula>"Towel"</formula>
    </cfRule>
    <cfRule type="cellIs" dxfId="3590" priority="4142" stopIfTrue="1" operator="equal">
      <formula>"Napkin Hs"</formula>
    </cfRule>
  </conditionalFormatting>
  <conditionalFormatting sqref="C72">
    <cfRule type="cellIs" dxfId="3589" priority="4143" stopIfTrue="1" operator="equal">
      <formula>"Towel"</formula>
    </cfRule>
    <cfRule type="cellIs" dxfId="3588" priority="4144" stopIfTrue="1" operator="equal">
      <formula>"Napkin Hs"</formula>
    </cfRule>
  </conditionalFormatting>
  <conditionalFormatting sqref="C72">
    <cfRule type="cellIs" dxfId="3587" priority="4139" stopIfTrue="1" operator="equal">
      <formula>"Towel"</formula>
    </cfRule>
    <cfRule type="cellIs" dxfId="3586" priority="4140" stopIfTrue="1" operator="equal">
      <formula>"Napkin Hs"</formula>
    </cfRule>
  </conditionalFormatting>
  <conditionalFormatting sqref="C72">
    <cfRule type="cellIs" dxfId="3585" priority="4135" stopIfTrue="1" operator="equal">
      <formula>"Towel"</formula>
    </cfRule>
    <cfRule type="cellIs" dxfId="3584" priority="4136" stopIfTrue="1" operator="equal">
      <formula>"Napkin Hs"</formula>
    </cfRule>
  </conditionalFormatting>
  <conditionalFormatting sqref="C72">
    <cfRule type="cellIs" dxfId="3583" priority="4137" stopIfTrue="1" operator="equal">
      <formula>"Towel"</formula>
    </cfRule>
    <cfRule type="cellIs" dxfId="3582" priority="4138" stopIfTrue="1" operator="equal">
      <formula>"Napkin Hs"</formula>
    </cfRule>
  </conditionalFormatting>
  <conditionalFormatting sqref="C72">
    <cfRule type="cellIs" dxfId="3581" priority="4133" stopIfTrue="1" operator="equal">
      <formula>"Towel"</formula>
    </cfRule>
    <cfRule type="cellIs" dxfId="3580" priority="4134" stopIfTrue="1" operator="equal">
      <formula>"Napkin Hs"</formula>
    </cfRule>
  </conditionalFormatting>
  <conditionalFormatting sqref="C72">
    <cfRule type="cellIs" dxfId="3579" priority="4131" stopIfTrue="1" operator="equal">
      <formula>"Towel"</formula>
    </cfRule>
    <cfRule type="cellIs" dxfId="3578" priority="4132" stopIfTrue="1" operator="equal">
      <formula>"Napkin Hs"</formula>
    </cfRule>
  </conditionalFormatting>
  <conditionalFormatting sqref="C72">
    <cfRule type="cellIs" dxfId="3577" priority="4129" stopIfTrue="1" operator="equal">
      <formula>"Towel"</formula>
    </cfRule>
    <cfRule type="cellIs" dxfId="3576" priority="4130" stopIfTrue="1" operator="equal">
      <formula>"Napkin Hs"</formula>
    </cfRule>
  </conditionalFormatting>
  <conditionalFormatting sqref="C72">
    <cfRule type="cellIs" dxfId="3575" priority="4127" stopIfTrue="1" operator="equal">
      <formula>"Towel"</formula>
    </cfRule>
    <cfRule type="cellIs" dxfId="3574" priority="4128" stopIfTrue="1" operator="equal">
      <formula>"Napkin Hs"</formula>
    </cfRule>
  </conditionalFormatting>
  <conditionalFormatting sqref="C72">
    <cfRule type="cellIs" dxfId="3573" priority="4126" stopIfTrue="1" operator="equal">
      <formula>"Napkin Hs"</formula>
    </cfRule>
  </conditionalFormatting>
  <conditionalFormatting sqref="C72">
    <cfRule type="cellIs" dxfId="3572" priority="4123" stopIfTrue="1" operator="equal">
      <formula>"Towel"</formula>
    </cfRule>
    <cfRule type="cellIs" dxfId="3571" priority="4124" stopIfTrue="1" operator="equal">
      <formula>"Napkin Hs"</formula>
    </cfRule>
  </conditionalFormatting>
  <conditionalFormatting sqref="C72">
    <cfRule type="cellIs" dxfId="3570" priority="4125" stopIfTrue="1" operator="equal">
      <formula>"Towel"</formula>
    </cfRule>
  </conditionalFormatting>
  <conditionalFormatting sqref="B72">
    <cfRule type="cellIs" dxfId="3569" priority="4121" stopIfTrue="1" operator="equal">
      <formula>"Towel"</formula>
    </cfRule>
    <cfRule type="cellIs" dxfId="3568" priority="4122" stopIfTrue="1" operator="equal">
      <formula>"Napkin Hs"</formula>
    </cfRule>
  </conditionalFormatting>
  <conditionalFormatting sqref="B72">
    <cfRule type="cellIs" dxfId="3567" priority="4119" stopIfTrue="1" operator="equal">
      <formula>"Towel"</formula>
    </cfRule>
    <cfRule type="cellIs" dxfId="3566" priority="4120" stopIfTrue="1" operator="equal">
      <formula>"Napkin Hs"</formula>
    </cfRule>
  </conditionalFormatting>
  <conditionalFormatting sqref="B72">
    <cfRule type="cellIs" dxfId="3565" priority="4117" stopIfTrue="1" operator="equal">
      <formula>"Towel"</formula>
    </cfRule>
    <cfRule type="cellIs" dxfId="3564" priority="4118" stopIfTrue="1" operator="equal">
      <formula>"Napkin Hs"</formula>
    </cfRule>
  </conditionalFormatting>
  <conditionalFormatting sqref="B72">
    <cfRule type="cellIs" dxfId="3563" priority="4115" stopIfTrue="1" operator="equal">
      <formula>"Towel"</formula>
    </cfRule>
    <cfRule type="cellIs" dxfId="3562" priority="4116" stopIfTrue="1" operator="equal">
      <formula>"Napkin Hs"</formula>
    </cfRule>
  </conditionalFormatting>
  <conditionalFormatting sqref="B72">
    <cfRule type="cellIs" dxfId="3561" priority="4113" stopIfTrue="1" operator="equal">
      <formula>"Towel"</formula>
    </cfRule>
    <cfRule type="cellIs" dxfId="3560" priority="4114" stopIfTrue="1" operator="equal">
      <formula>"Napkin Hs"</formula>
    </cfRule>
  </conditionalFormatting>
  <conditionalFormatting sqref="B72">
    <cfRule type="cellIs" dxfId="3559" priority="4111" stopIfTrue="1" operator="equal">
      <formula>"Towel"</formula>
    </cfRule>
    <cfRule type="cellIs" dxfId="3558" priority="4112" stopIfTrue="1" operator="equal">
      <formula>"Napkin Hs"</formula>
    </cfRule>
  </conditionalFormatting>
  <conditionalFormatting sqref="B72">
    <cfRule type="cellIs" dxfId="3557" priority="4107" stopIfTrue="1" operator="equal">
      <formula>"Towel"</formula>
    </cfRule>
    <cfRule type="cellIs" dxfId="3556" priority="4108" stopIfTrue="1" operator="equal">
      <formula>"Napkin Hs"</formula>
    </cfRule>
    <cfRule type="cellIs" dxfId="3555" priority="4109" stopIfTrue="1" operator="equal">
      <formula>"Towel"</formula>
    </cfRule>
    <cfRule type="cellIs" dxfId="3554" priority="4110" stopIfTrue="1" operator="equal">
      <formula>"Napkin Hs"</formula>
    </cfRule>
  </conditionalFormatting>
  <conditionalFormatting sqref="B72">
    <cfRule type="cellIs" dxfId="3553" priority="4105" stopIfTrue="1" operator="equal">
      <formula>"Towel"</formula>
    </cfRule>
    <cfRule type="cellIs" dxfId="3552" priority="4106" stopIfTrue="1" operator="equal">
      <formula>"Napkin Hs"</formula>
    </cfRule>
  </conditionalFormatting>
  <conditionalFormatting sqref="B72">
    <cfRule type="cellIs" dxfId="3551" priority="4103" stopIfTrue="1" operator="equal">
      <formula>"Towel"</formula>
    </cfRule>
    <cfRule type="cellIs" dxfId="3550" priority="4104" stopIfTrue="1" operator="equal">
      <formula>"Napkin Hs"</formula>
    </cfRule>
  </conditionalFormatting>
  <conditionalFormatting sqref="B72">
    <cfRule type="cellIs" dxfId="3549" priority="4101" stopIfTrue="1" operator="equal">
      <formula>"Towel"</formula>
    </cfRule>
    <cfRule type="cellIs" dxfId="3548" priority="4102" stopIfTrue="1" operator="equal">
      <formula>"Napkin Hs"</formula>
    </cfRule>
  </conditionalFormatting>
  <conditionalFormatting sqref="B72">
    <cfRule type="cellIs" dxfId="3547" priority="4099" stopIfTrue="1" operator="equal">
      <formula>"Towel"</formula>
    </cfRule>
    <cfRule type="cellIs" dxfId="3546" priority="4100" stopIfTrue="1" operator="equal">
      <formula>"Napkin Hs"</formula>
    </cfRule>
  </conditionalFormatting>
  <conditionalFormatting sqref="B72">
    <cfRule type="cellIs" dxfId="3545" priority="4097" stopIfTrue="1" operator="equal">
      <formula>"Towel"</formula>
    </cfRule>
    <cfRule type="cellIs" dxfId="3544" priority="4098" stopIfTrue="1" operator="equal">
      <formula>"Napkin Hs"</formula>
    </cfRule>
  </conditionalFormatting>
  <conditionalFormatting sqref="B72:C72">
    <cfRule type="cellIs" dxfId="3543" priority="4083" stopIfTrue="1" operator="equal">
      <formula>"Towel"</formula>
    </cfRule>
    <cfRule type="cellIs" dxfId="3542" priority="4084" stopIfTrue="1" operator="equal">
      <formula>"Napkin Hs"</formula>
    </cfRule>
    <cfRule type="cellIs" dxfId="3541" priority="4089" stopIfTrue="1" operator="equal">
      <formula>"Towel"</formula>
    </cfRule>
    <cfRule type="cellIs" dxfId="3540" priority="4090" stopIfTrue="1" operator="equal">
      <formula>"Napkin Hs"</formula>
    </cfRule>
    <cfRule type="cellIs" dxfId="3539" priority="4095" stopIfTrue="1" operator="equal">
      <formula>"Towel"</formula>
    </cfRule>
    <cfRule type="cellIs" dxfId="3538" priority="4096" stopIfTrue="1" operator="equal">
      <formula>"Napkin Hs"</formula>
    </cfRule>
  </conditionalFormatting>
  <conditionalFormatting sqref="C72">
    <cfRule type="cellIs" dxfId="3537" priority="4077" stopIfTrue="1" operator="equal">
      <formula>"Towel"</formula>
    </cfRule>
    <cfRule type="cellIs" dxfId="3536" priority="4078" stopIfTrue="1" operator="equal">
      <formula>"Napkin Hs"</formula>
    </cfRule>
    <cfRule type="cellIs" dxfId="3535" priority="4079" stopIfTrue="1" operator="equal">
      <formula>"Towel"</formula>
    </cfRule>
    <cfRule type="cellIs" dxfId="3534" priority="4080" stopIfTrue="1" operator="equal">
      <formula>"Napkin Hs"</formula>
    </cfRule>
    <cfRule type="cellIs" dxfId="3533" priority="4087" stopIfTrue="1" operator="equal">
      <formula>"Towel"</formula>
    </cfRule>
    <cfRule type="cellIs" dxfId="3532" priority="4088" stopIfTrue="1" operator="equal">
      <formula>"Napkin Hs"</formula>
    </cfRule>
    <cfRule type="cellIs" dxfId="3531" priority="4091" stopIfTrue="1" operator="equal">
      <formula>"Towel"</formula>
    </cfRule>
    <cfRule type="cellIs" dxfId="3530" priority="4092" stopIfTrue="1" operator="equal">
      <formula>"Napkin Hs"</formula>
    </cfRule>
  </conditionalFormatting>
  <conditionalFormatting sqref="C72">
    <cfRule type="cellIs" dxfId="3529" priority="4081" stopIfTrue="1" operator="equal">
      <formula>"Towel"</formula>
    </cfRule>
    <cfRule type="cellIs" dxfId="3528" priority="4082" stopIfTrue="1" operator="equal">
      <formula>"Napkin Hs"</formula>
    </cfRule>
    <cfRule type="cellIs" dxfId="3527" priority="4085" stopIfTrue="1" operator="equal">
      <formula>"Towel"</formula>
    </cfRule>
    <cfRule type="cellIs" dxfId="3526" priority="4086" stopIfTrue="1" operator="equal">
      <formula>"Napkin Hs"</formula>
    </cfRule>
    <cfRule type="cellIs" dxfId="3525" priority="4093" stopIfTrue="1" operator="equal">
      <formula>"Towel"</formula>
    </cfRule>
    <cfRule type="cellIs" dxfId="3524" priority="4094" stopIfTrue="1" operator="equal">
      <formula>"Napkin Hs"</formula>
    </cfRule>
  </conditionalFormatting>
  <conditionalFormatting sqref="B72:C72">
    <cfRule type="cellIs" dxfId="3523" priority="4075" stopIfTrue="1" operator="equal">
      <formula>"Towel"</formula>
    </cfRule>
    <cfRule type="cellIs" dxfId="3522" priority="4076" stopIfTrue="1" operator="equal">
      <formula>"Napkin Hs"</formula>
    </cfRule>
  </conditionalFormatting>
  <conditionalFormatting sqref="B72:C72">
    <cfRule type="cellIs" dxfId="3521" priority="4067" stopIfTrue="1" operator="equal">
      <formula>"Towel"</formula>
    </cfRule>
    <cfRule type="cellIs" dxfId="3520" priority="4068" stopIfTrue="1" operator="equal">
      <formula>"Napkin Hs"</formula>
    </cfRule>
    <cfRule type="cellIs" dxfId="3519" priority="4073" stopIfTrue="1" operator="equal">
      <formula>"Towel"</formula>
    </cfRule>
    <cfRule type="cellIs" dxfId="3518" priority="4074" stopIfTrue="1" operator="equal">
      <formula>"Napkin Hs"</formula>
    </cfRule>
  </conditionalFormatting>
  <conditionalFormatting sqref="C72">
    <cfRule type="cellIs" dxfId="3517" priority="4063" stopIfTrue="1" operator="equal">
      <formula>"Towel"</formula>
    </cfRule>
    <cfRule type="cellIs" dxfId="3516" priority="4064" stopIfTrue="1" operator="equal">
      <formula>"Napkin Hs"</formula>
    </cfRule>
  </conditionalFormatting>
  <conditionalFormatting sqref="C72">
    <cfRule type="cellIs" dxfId="3515" priority="4061" stopIfTrue="1" operator="equal">
      <formula>"Towel"</formula>
    </cfRule>
    <cfRule type="cellIs" dxfId="3514" priority="4062" stopIfTrue="1" operator="equal">
      <formula>"Napkin Hs"</formula>
    </cfRule>
    <cfRule type="cellIs" dxfId="3513" priority="4071" stopIfTrue="1" operator="equal">
      <formula>"Towel"</formula>
    </cfRule>
    <cfRule type="cellIs" dxfId="3512" priority="4072" stopIfTrue="1" operator="equal">
      <formula>"Napkin Hs"</formula>
    </cfRule>
  </conditionalFormatting>
  <conditionalFormatting sqref="C72">
    <cfRule type="cellIs" dxfId="3511" priority="4065" stopIfTrue="1" operator="equal">
      <formula>"Towel"</formula>
    </cfRule>
    <cfRule type="cellIs" dxfId="3510" priority="4066" stopIfTrue="1" operator="equal">
      <formula>"Napkin Hs"</formula>
    </cfRule>
    <cfRule type="cellIs" dxfId="3509" priority="4069" stopIfTrue="1" operator="equal">
      <formula>"Towel"</formula>
    </cfRule>
    <cfRule type="cellIs" dxfId="3508" priority="4070" stopIfTrue="1" operator="equal">
      <formula>"Napkin Hs"</formula>
    </cfRule>
  </conditionalFormatting>
  <conditionalFormatting sqref="C72">
    <cfRule type="cellIs" dxfId="3507" priority="4060" stopIfTrue="1" operator="equal">
      <formula>"Napkin Hs"</formula>
    </cfRule>
  </conditionalFormatting>
  <conditionalFormatting sqref="C72">
    <cfRule type="cellIs" dxfId="3506" priority="4059" stopIfTrue="1" operator="equal">
      <formula>"Towel"</formula>
    </cfRule>
  </conditionalFormatting>
  <conditionalFormatting sqref="C72">
    <cfRule type="cellIs" dxfId="3505" priority="4055" stopIfTrue="1" operator="equal">
      <formula>"Towel"</formula>
    </cfRule>
    <cfRule type="cellIs" dxfId="3504" priority="4056" stopIfTrue="1" operator="equal">
      <formula>"Napkin Hs"</formula>
    </cfRule>
    <cfRule type="cellIs" dxfId="3503" priority="4057" stopIfTrue="1" operator="equal">
      <formula>"Towel"</formula>
    </cfRule>
    <cfRule type="cellIs" dxfId="3502" priority="4058" stopIfTrue="1" operator="equal">
      <formula>"Napkin Hs"</formula>
    </cfRule>
  </conditionalFormatting>
  <conditionalFormatting sqref="B72:C72">
    <cfRule type="cellIs" dxfId="3501" priority="4053" stopIfTrue="1" operator="equal">
      <formula>"Towel"</formula>
    </cfRule>
    <cfRule type="cellIs" dxfId="3500" priority="4054" stopIfTrue="1" operator="equal">
      <formula>"Napkin Hs"</formula>
    </cfRule>
  </conditionalFormatting>
  <conditionalFormatting sqref="C72">
    <cfRule type="cellIs" dxfId="3499" priority="4049" stopIfTrue="1" operator="equal">
      <formula>"Towel"</formula>
    </cfRule>
    <cfRule type="cellIs" dxfId="3498" priority="4050" stopIfTrue="1" operator="equal">
      <formula>"Napkin Hs"</formula>
    </cfRule>
  </conditionalFormatting>
  <conditionalFormatting sqref="C72">
    <cfRule type="cellIs" dxfId="3497" priority="4051" stopIfTrue="1" operator="equal">
      <formula>"Towel"</formula>
    </cfRule>
    <cfRule type="cellIs" dxfId="3496" priority="4052" stopIfTrue="1" operator="equal">
      <formula>"Napkin Hs"</formula>
    </cfRule>
  </conditionalFormatting>
  <conditionalFormatting sqref="B72:C72">
    <cfRule type="cellIs" dxfId="3495" priority="4047" stopIfTrue="1" operator="equal">
      <formula>"Towel"</formula>
    </cfRule>
    <cfRule type="cellIs" dxfId="3494" priority="4048" stopIfTrue="1" operator="equal">
      <formula>"Napkin Hs"</formula>
    </cfRule>
  </conditionalFormatting>
  <conditionalFormatting sqref="C72">
    <cfRule type="cellIs" dxfId="3493" priority="4043" stopIfTrue="1" operator="equal">
      <formula>"Towel"</formula>
    </cfRule>
    <cfRule type="cellIs" dxfId="3492" priority="4044" stopIfTrue="1" operator="equal">
      <formula>"Napkin Hs"</formula>
    </cfRule>
  </conditionalFormatting>
  <conditionalFormatting sqref="C72">
    <cfRule type="cellIs" dxfId="3491" priority="4045" stopIfTrue="1" operator="equal">
      <formula>"Towel"</formula>
    </cfRule>
    <cfRule type="cellIs" dxfId="3490" priority="4046" stopIfTrue="1" operator="equal">
      <formula>"Napkin Hs"</formula>
    </cfRule>
  </conditionalFormatting>
  <conditionalFormatting sqref="B72:C72">
    <cfRule type="cellIs" dxfId="3489" priority="4041" stopIfTrue="1" operator="equal">
      <formula>"Towel"</formula>
    </cfRule>
    <cfRule type="cellIs" dxfId="3488" priority="4042" stopIfTrue="1" operator="equal">
      <formula>"Napkin Hs"</formula>
    </cfRule>
  </conditionalFormatting>
  <conditionalFormatting sqref="C72">
    <cfRule type="cellIs" dxfId="3487" priority="4037" stopIfTrue="1" operator="equal">
      <formula>"Towel"</formula>
    </cfRule>
    <cfRule type="cellIs" dxfId="3486" priority="4038" stopIfTrue="1" operator="equal">
      <formula>"Napkin Hs"</formula>
    </cfRule>
  </conditionalFormatting>
  <conditionalFormatting sqref="C72">
    <cfRule type="cellIs" dxfId="3485" priority="4039" stopIfTrue="1" operator="equal">
      <formula>"Towel"</formula>
    </cfRule>
    <cfRule type="cellIs" dxfId="3484" priority="4040" stopIfTrue="1" operator="equal">
      <formula>"Napkin Hs"</formula>
    </cfRule>
  </conditionalFormatting>
  <conditionalFormatting sqref="B72:C72">
    <cfRule type="cellIs" dxfId="3483" priority="4035" stopIfTrue="1" operator="equal">
      <formula>"Towel"</formula>
    </cfRule>
    <cfRule type="cellIs" dxfId="3482" priority="4036" stopIfTrue="1" operator="equal">
      <formula>"Napkin Hs"</formula>
    </cfRule>
  </conditionalFormatting>
  <conditionalFormatting sqref="C72">
    <cfRule type="cellIs" dxfId="3481" priority="4033" stopIfTrue="1" operator="equal">
      <formula>"Towel"</formula>
    </cfRule>
    <cfRule type="cellIs" dxfId="3480" priority="4034" stopIfTrue="1" operator="equal">
      <formula>"Napkin Hs"</formula>
    </cfRule>
  </conditionalFormatting>
  <conditionalFormatting sqref="C72">
    <cfRule type="cellIs" dxfId="3479" priority="4031" stopIfTrue="1" operator="equal">
      <formula>"Towel"</formula>
    </cfRule>
    <cfRule type="cellIs" dxfId="3478" priority="4032" stopIfTrue="1" operator="equal">
      <formula>"Napkin Hs"</formula>
    </cfRule>
  </conditionalFormatting>
  <conditionalFormatting sqref="B72:C72">
    <cfRule type="cellIs" dxfId="3477" priority="4029" stopIfTrue="1" operator="equal">
      <formula>"Towel"</formula>
    </cfRule>
    <cfRule type="cellIs" dxfId="3476" priority="4030" stopIfTrue="1" operator="equal">
      <formula>"Napkin Hs"</formula>
    </cfRule>
  </conditionalFormatting>
  <conditionalFormatting sqref="C72">
    <cfRule type="cellIs" dxfId="3475" priority="4028" stopIfTrue="1" operator="equal">
      <formula>"Napkin Hs"</formula>
    </cfRule>
  </conditionalFormatting>
  <conditionalFormatting sqref="C72">
    <cfRule type="cellIs" dxfId="3474" priority="4025" stopIfTrue="1" operator="equal">
      <formula>"Towel"</formula>
    </cfRule>
    <cfRule type="cellIs" dxfId="3473" priority="4026" stopIfTrue="1" operator="equal">
      <formula>"Napkin Hs"</formula>
    </cfRule>
  </conditionalFormatting>
  <conditionalFormatting sqref="C72">
    <cfRule type="cellIs" dxfId="3472" priority="4027" stopIfTrue="1" operator="equal">
      <formula>"Towel"</formula>
    </cfRule>
  </conditionalFormatting>
  <conditionalFormatting sqref="B71:C71">
    <cfRule type="cellIs" dxfId="3471" priority="4023" stopIfTrue="1" operator="equal">
      <formula>"Towel"</formula>
    </cfRule>
    <cfRule type="cellIs" dxfId="3470" priority="4024" stopIfTrue="1" operator="equal">
      <formula>"Napkin Hs"</formula>
    </cfRule>
  </conditionalFormatting>
  <conditionalFormatting sqref="B71:C71">
    <cfRule type="cellIs" dxfId="3469" priority="3999" stopIfTrue="1" operator="equal">
      <formula>"Towel"</formula>
    </cfRule>
    <cfRule type="cellIs" dxfId="3468" priority="4000" stopIfTrue="1" operator="equal">
      <formula>"Napkin Hs"</formula>
    </cfRule>
    <cfRule type="cellIs" dxfId="3467" priority="4005" stopIfTrue="1" operator="equal">
      <formula>"Towel"</formula>
    </cfRule>
    <cfRule type="cellIs" dxfId="3466" priority="4006" stopIfTrue="1" operator="equal">
      <formula>"Napkin Hs"</formula>
    </cfRule>
    <cfRule type="cellIs" dxfId="3465" priority="4011" stopIfTrue="1" operator="equal">
      <formula>"Towel"</formula>
    </cfRule>
    <cfRule type="cellIs" dxfId="3464" priority="4012" stopIfTrue="1" operator="equal">
      <formula>"Napkin Hs"</formula>
    </cfRule>
    <cfRule type="cellIs" dxfId="3463" priority="4017" stopIfTrue="1" operator="equal">
      <formula>"Towel"</formula>
    </cfRule>
    <cfRule type="cellIs" dxfId="3462" priority="4018" stopIfTrue="1" operator="equal">
      <formula>"Napkin Hs"</formula>
    </cfRule>
  </conditionalFormatting>
  <conditionalFormatting sqref="C71">
    <cfRule type="cellIs" dxfId="3461" priority="4013" stopIfTrue="1" operator="equal">
      <formula>"Towel"</formula>
    </cfRule>
    <cfRule type="cellIs" dxfId="3460" priority="4014" stopIfTrue="1" operator="equal">
      <formula>"Napkin Hs"</formula>
    </cfRule>
    <cfRule type="cellIs" dxfId="3459" priority="4019" stopIfTrue="1" operator="equal">
      <formula>"Towel"</formula>
    </cfRule>
    <cfRule type="cellIs" dxfId="3458" priority="4020" stopIfTrue="1" operator="equal">
      <formula>"Napkin Hs"</formula>
    </cfRule>
  </conditionalFormatting>
  <conditionalFormatting sqref="C71">
    <cfRule type="cellIs" dxfId="3457" priority="3993" stopIfTrue="1" operator="equal">
      <formula>"Towel"</formula>
    </cfRule>
    <cfRule type="cellIs" dxfId="3456" priority="3994" stopIfTrue="1" operator="equal">
      <formula>"Napkin Hs"</formula>
    </cfRule>
    <cfRule type="cellIs" dxfId="3455" priority="3995" stopIfTrue="1" operator="equal">
      <formula>"Towel"</formula>
    </cfRule>
    <cfRule type="cellIs" dxfId="3454" priority="3996" stopIfTrue="1" operator="equal">
      <formula>"Napkin Hs"</formula>
    </cfRule>
    <cfRule type="cellIs" dxfId="3453" priority="4003" stopIfTrue="1" operator="equal">
      <formula>"Towel"</formula>
    </cfRule>
    <cfRule type="cellIs" dxfId="3452" priority="4004" stopIfTrue="1" operator="equal">
      <formula>"Napkin Hs"</formula>
    </cfRule>
    <cfRule type="cellIs" dxfId="3451" priority="4007" stopIfTrue="1" operator="equal">
      <formula>"Towel"</formula>
    </cfRule>
    <cfRule type="cellIs" dxfId="3450" priority="4008" stopIfTrue="1" operator="equal">
      <formula>"Napkin Hs"</formula>
    </cfRule>
    <cfRule type="cellIs" dxfId="3449" priority="4009" stopIfTrue="1" operator="equal">
      <formula>"Towel"</formula>
    </cfRule>
    <cfRule type="cellIs" dxfId="3448" priority="4010" stopIfTrue="1" operator="equal">
      <formula>"Napkin Hs"</formula>
    </cfRule>
  </conditionalFormatting>
  <conditionalFormatting sqref="C71">
    <cfRule type="cellIs" dxfId="3447" priority="4021" stopIfTrue="1" operator="equal">
      <formula>"Towel"</formula>
    </cfRule>
    <cfRule type="cellIs" dxfId="3446" priority="4022" stopIfTrue="1" operator="equal">
      <formula>"Napkin Hs"</formula>
    </cfRule>
  </conditionalFormatting>
  <conditionalFormatting sqref="C71">
    <cfRule type="cellIs" dxfId="3445" priority="3997" stopIfTrue="1" operator="equal">
      <formula>"Towel"</formula>
    </cfRule>
    <cfRule type="cellIs" dxfId="3444" priority="3998" stopIfTrue="1" operator="equal">
      <formula>"Napkin Hs"</formula>
    </cfRule>
    <cfRule type="cellIs" dxfId="3443" priority="4001" stopIfTrue="1" operator="equal">
      <formula>"Towel"</formula>
    </cfRule>
    <cfRule type="cellIs" dxfId="3442" priority="4002" stopIfTrue="1" operator="equal">
      <formula>"Napkin Hs"</formula>
    </cfRule>
    <cfRule type="cellIs" dxfId="3441" priority="4015" stopIfTrue="1" operator="equal">
      <formula>"Towel"</formula>
    </cfRule>
    <cfRule type="cellIs" dxfId="3440" priority="4016" stopIfTrue="1" operator="equal">
      <formula>"Napkin Hs"</formula>
    </cfRule>
  </conditionalFormatting>
  <conditionalFormatting sqref="B71:C71">
    <cfRule type="cellIs" dxfId="3439" priority="3949" stopIfTrue="1" operator="equal">
      <formula>"Towel"</formula>
    </cfRule>
    <cfRule type="cellIs" dxfId="3438" priority="3950" stopIfTrue="1" operator="equal">
      <formula>"Napkin Hs"</formula>
    </cfRule>
    <cfRule type="cellIs" dxfId="3437" priority="3955" stopIfTrue="1" operator="equal">
      <formula>"Towel"</formula>
    </cfRule>
    <cfRule type="cellIs" dxfId="3436" priority="3956" stopIfTrue="1" operator="equal">
      <formula>"Napkin Hs"</formula>
    </cfRule>
    <cfRule type="cellIs" dxfId="3435" priority="3961" stopIfTrue="1" operator="equal">
      <formula>"Towel"</formula>
    </cfRule>
    <cfRule type="cellIs" dxfId="3434" priority="3962" stopIfTrue="1" operator="equal">
      <formula>"Napkin Hs"</formula>
    </cfRule>
    <cfRule type="cellIs" dxfId="3433" priority="3967" stopIfTrue="1" operator="equal">
      <formula>"Towel"</formula>
    </cfRule>
    <cfRule type="cellIs" dxfId="3432" priority="3968" stopIfTrue="1" operator="equal">
      <formula>"Napkin Hs"</formula>
    </cfRule>
    <cfRule type="cellIs" dxfId="3431" priority="3973" stopIfTrue="1" operator="equal">
      <formula>"Towel"</formula>
    </cfRule>
    <cfRule type="cellIs" dxfId="3430" priority="3974" stopIfTrue="1" operator="equal">
      <formula>"Napkin Hs"</formula>
    </cfRule>
    <cfRule type="cellIs" dxfId="3429" priority="3979" stopIfTrue="1" operator="equal">
      <formula>"Towel"</formula>
    </cfRule>
    <cfRule type="cellIs" dxfId="3428" priority="3980" stopIfTrue="1" operator="equal">
      <formula>"Napkin Hs"</formula>
    </cfRule>
    <cfRule type="cellIs" dxfId="3427" priority="3985" stopIfTrue="1" operator="equal">
      <formula>"Towel"</formula>
    </cfRule>
    <cfRule type="cellIs" dxfId="3426" priority="3986" stopIfTrue="1" operator="equal">
      <formula>"Napkin Hs"</formula>
    </cfRule>
    <cfRule type="cellIs" dxfId="3425" priority="3991" stopIfTrue="1" operator="equal">
      <formula>"Towel"</formula>
    </cfRule>
    <cfRule type="cellIs" dxfId="3424" priority="3992" stopIfTrue="1" operator="equal">
      <formula>"Napkin Hs"</formula>
    </cfRule>
  </conditionalFormatting>
  <conditionalFormatting sqref="C71">
    <cfRule type="cellIs" dxfId="3423" priority="3945" stopIfTrue="1" operator="equal">
      <formula>"Towel"</formula>
    </cfRule>
    <cfRule type="cellIs" dxfId="3422" priority="3946" stopIfTrue="1" operator="equal">
      <formula>"Napkin Hs"</formula>
    </cfRule>
    <cfRule type="cellIs" dxfId="3421" priority="3947" stopIfTrue="1" operator="equal">
      <formula>"Towel"</formula>
    </cfRule>
    <cfRule type="cellIs" dxfId="3420" priority="3948" stopIfTrue="1" operator="equal">
      <formula>"Napkin Hs"</formula>
    </cfRule>
    <cfRule type="cellIs" dxfId="3419" priority="3951" stopIfTrue="1" operator="equal">
      <formula>"Towel"</formula>
    </cfRule>
    <cfRule type="cellIs" dxfId="3418" priority="3952" stopIfTrue="1" operator="equal">
      <formula>"Napkin Hs"</formula>
    </cfRule>
    <cfRule type="cellIs" dxfId="3417" priority="3953" stopIfTrue="1" operator="equal">
      <formula>"Towel"</formula>
    </cfRule>
    <cfRule type="cellIs" dxfId="3416" priority="3954" stopIfTrue="1" operator="equal">
      <formula>"Napkin Hs"</formula>
    </cfRule>
    <cfRule type="cellIs" dxfId="3415" priority="3957" stopIfTrue="1" operator="equal">
      <formula>"Towel"</formula>
    </cfRule>
    <cfRule type="cellIs" dxfId="3414" priority="3958" stopIfTrue="1" operator="equal">
      <formula>"Napkin Hs"</formula>
    </cfRule>
    <cfRule type="cellIs" dxfId="3413" priority="3959" stopIfTrue="1" operator="equal">
      <formula>"Towel"</formula>
    </cfRule>
    <cfRule type="cellIs" dxfId="3412" priority="3960" stopIfTrue="1" operator="equal">
      <formula>"Napkin Hs"</formula>
    </cfRule>
    <cfRule type="cellIs" dxfId="3411" priority="3963" stopIfTrue="1" operator="equal">
      <formula>"Towel"</formula>
    </cfRule>
    <cfRule type="cellIs" dxfId="3410" priority="3964" stopIfTrue="1" operator="equal">
      <formula>"Napkin Hs"</formula>
    </cfRule>
    <cfRule type="cellIs" dxfId="3409" priority="3965" stopIfTrue="1" operator="equal">
      <formula>"Towel"</formula>
    </cfRule>
    <cfRule type="cellIs" dxfId="3408" priority="3966" stopIfTrue="1" operator="equal">
      <formula>"Napkin Hs"</formula>
    </cfRule>
    <cfRule type="cellIs" dxfId="3407" priority="3969" stopIfTrue="1" operator="equal">
      <formula>"Towel"</formula>
    </cfRule>
    <cfRule type="cellIs" dxfId="3406" priority="3970" stopIfTrue="1" operator="equal">
      <formula>"Napkin Hs"</formula>
    </cfRule>
    <cfRule type="cellIs" dxfId="3405" priority="3971" stopIfTrue="1" operator="equal">
      <formula>"Towel"</formula>
    </cfRule>
    <cfRule type="cellIs" dxfId="3404" priority="3972" stopIfTrue="1" operator="equal">
      <formula>"Napkin Hs"</formula>
    </cfRule>
    <cfRule type="cellIs" dxfId="3403" priority="3975" stopIfTrue="1" operator="equal">
      <formula>"Towel"</formula>
    </cfRule>
    <cfRule type="cellIs" dxfId="3402" priority="3976" stopIfTrue="1" operator="equal">
      <formula>"Napkin Hs"</formula>
    </cfRule>
    <cfRule type="cellIs" dxfId="3401" priority="3977" stopIfTrue="1" operator="equal">
      <formula>"Towel"</formula>
    </cfRule>
    <cfRule type="cellIs" dxfId="3400" priority="3978" stopIfTrue="1" operator="equal">
      <formula>"Napkin Hs"</formula>
    </cfRule>
    <cfRule type="cellIs" dxfId="3399" priority="3981" stopIfTrue="1" operator="equal">
      <formula>"Towel"</formula>
    </cfRule>
    <cfRule type="cellIs" dxfId="3398" priority="3982" stopIfTrue="1" operator="equal">
      <formula>"Napkin Hs"</formula>
    </cfRule>
    <cfRule type="cellIs" dxfId="3397" priority="3983" stopIfTrue="1" operator="equal">
      <formula>"Towel"</formula>
    </cfRule>
    <cfRule type="cellIs" dxfId="3396" priority="3984" stopIfTrue="1" operator="equal">
      <formula>"Napkin Hs"</formula>
    </cfRule>
    <cfRule type="cellIs" dxfId="3395" priority="3987" stopIfTrue="1" operator="equal">
      <formula>"Towel"</formula>
    </cfRule>
    <cfRule type="cellIs" dxfId="3394" priority="3988" stopIfTrue="1" operator="equal">
      <formula>"Napkin Hs"</formula>
    </cfRule>
  </conditionalFormatting>
  <conditionalFormatting sqref="C71">
    <cfRule type="cellIs" dxfId="3393" priority="3989" stopIfTrue="1" operator="equal">
      <formula>"Towel"</formula>
    </cfRule>
    <cfRule type="cellIs" dxfId="3392" priority="3990" stopIfTrue="1" operator="equal">
      <formula>"Napkin Hs"</formula>
    </cfRule>
  </conditionalFormatting>
  <conditionalFormatting sqref="B71">
    <cfRule type="cellIs" dxfId="3391" priority="3939" stopIfTrue="1" operator="equal">
      <formula>"Towel"</formula>
    </cfRule>
    <cfRule type="cellIs" dxfId="3390" priority="3940" stopIfTrue="1" operator="equal">
      <formula>"Napkin Hs"</formula>
    </cfRule>
    <cfRule type="cellIs" dxfId="3389" priority="3941" stopIfTrue="1" operator="equal">
      <formula>"Towel"</formula>
    </cfRule>
    <cfRule type="cellIs" dxfId="3388" priority="3942" stopIfTrue="1" operator="equal">
      <formula>"Napkin Hs"</formula>
    </cfRule>
    <cfRule type="cellIs" dxfId="3387" priority="3943" stopIfTrue="1" operator="equal">
      <formula>"Towel"</formula>
    </cfRule>
    <cfRule type="cellIs" dxfId="3386" priority="3944" stopIfTrue="1" operator="equal">
      <formula>"Napkin Hs"</formula>
    </cfRule>
  </conditionalFormatting>
  <conditionalFormatting sqref="B71:C71">
    <cfRule type="cellIs" dxfId="3385" priority="3901" stopIfTrue="1" operator="equal">
      <formula>"Towel"</formula>
    </cfRule>
    <cfRule type="cellIs" dxfId="3384" priority="3902" stopIfTrue="1" operator="equal">
      <formula>"Napkin Hs"</formula>
    </cfRule>
    <cfRule type="cellIs" dxfId="3383" priority="3907" stopIfTrue="1" operator="equal">
      <formula>"Towel"</formula>
    </cfRule>
    <cfRule type="cellIs" dxfId="3382" priority="3908" stopIfTrue="1" operator="equal">
      <formula>"Napkin Hs"</formula>
    </cfRule>
    <cfRule type="cellIs" dxfId="3381" priority="3913" stopIfTrue="1" operator="equal">
      <formula>"Towel"</formula>
    </cfRule>
    <cfRule type="cellIs" dxfId="3380" priority="3914" stopIfTrue="1" operator="equal">
      <formula>"Napkin Hs"</formula>
    </cfRule>
    <cfRule type="cellIs" dxfId="3379" priority="3919" stopIfTrue="1" operator="equal">
      <formula>"Towel"</formula>
    </cfRule>
    <cfRule type="cellIs" dxfId="3378" priority="3920" stopIfTrue="1" operator="equal">
      <formula>"Napkin Hs"</formula>
    </cfRule>
    <cfRule type="cellIs" dxfId="3377" priority="3925" stopIfTrue="1" operator="equal">
      <formula>"Towel"</formula>
    </cfRule>
    <cfRule type="cellIs" dxfId="3376" priority="3926" stopIfTrue="1" operator="equal">
      <formula>"Napkin Hs"</formula>
    </cfRule>
    <cfRule type="cellIs" dxfId="3375" priority="3931" stopIfTrue="1" operator="equal">
      <formula>"Towel"</formula>
    </cfRule>
    <cfRule type="cellIs" dxfId="3374" priority="3932" stopIfTrue="1" operator="equal">
      <formula>"Napkin Hs"</formula>
    </cfRule>
    <cfRule type="cellIs" dxfId="3373" priority="3937" stopIfTrue="1" operator="equal">
      <formula>"Towel"</formula>
    </cfRule>
    <cfRule type="cellIs" dxfId="3372" priority="3938" stopIfTrue="1" operator="equal">
      <formula>"Napkin Hs"</formula>
    </cfRule>
  </conditionalFormatting>
  <conditionalFormatting sqref="C71">
    <cfRule type="cellIs" dxfId="3371" priority="3897" stopIfTrue="1" operator="equal">
      <formula>"Towel"</formula>
    </cfRule>
    <cfRule type="cellIs" dxfId="3370" priority="3898" stopIfTrue="1" operator="equal">
      <formula>"Napkin Hs"</formula>
    </cfRule>
    <cfRule type="cellIs" dxfId="3369" priority="3899" stopIfTrue="1" operator="equal">
      <formula>"Towel"</formula>
    </cfRule>
    <cfRule type="cellIs" dxfId="3368" priority="3900" stopIfTrue="1" operator="equal">
      <formula>"Napkin Hs"</formula>
    </cfRule>
    <cfRule type="cellIs" dxfId="3367" priority="3903" stopIfTrue="1" operator="equal">
      <formula>"Towel"</formula>
    </cfRule>
    <cfRule type="cellIs" dxfId="3366" priority="3904" stopIfTrue="1" operator="equal">
      <formula>"Napkin Hs"</formula>
    </cfRule>
    <cfRule type="cellIs" dxfId="3365" priority="3905" stopIfTrue="1" operator="equal">
      <formula>"Towel"</formula>
    </cfRule>
    <cfRule type="cellIs" dxfId="3364" priority="3906" stopIfTrue="1" operator="equal">
      <formula>"Napkin Hs"</formula>
    </cfRule>
    <cfRule type="cellIs" dxfId="3363" priority="3909" stopIfTrue="1" operator="equal">
      <formula>"Towel"</formula>
    </cfRule>
    <cfRule type="cellIs" dxfId="3362" priority="3910" stopIfTrue="1" operator="equal">
      <formula>"Napkin Hs"</formula>
    </cfRule>
    <cfRule type="cellIs" dxfId="3361" priority="3911" stopIfTrue="1" operator="equal">
      <formula>"Towel"</formula>
    </cfRule>
    <cfRule type="cellIs" dxfId="3360" priority="3912" stopIfTrue="1" operator="equal">
      <formula>"Napkin Hs"</formula>
    </cfRule>
    <cfRule type="cellIs" dxfId="3359" priority="3915" stopIfTrue="1" operator="equal">
      <formula>"Towel"</formula>
    </cfRule>
    <cfRule type="cellIs" dxfId="3358" priority="3916" stopIfTrue="1" operator="equal">
      <formula>"Napkin Hs"</formula>
    </cfRule>
    <cfRule type="cellIs" dxfId="3357" priority="3917" stopIfTrue="1" operator="equal">
      <formula>"Towel"</formula>
    </cfRule>
    <cfRule type="cellIs" dxfId="3356" priority="3918" stopIfTrue="1" operator="equal">
      <formula>"Napkin Hs"</formula>
    </cfRule>
    <cfRule type="cellIs" dxfId="3355" priority="3921" stopIfTrue="1" operator="equal">
      <formula>"Towel"</formula>
    </cfRule>
    <cfRule type="cellIs" dxfId="3354" priority="3922" stopIfTrue="1" operator="equal">
      <formula>"Napkin Hs"</formula>
    </cfRule>
    <cfRule type="cellIs" dxfId="3353" priority="3923" stopIfTrue="1" operator="equal">
      <formula>"Towel"</formula>
    </cfRule>
    <cfRule type="cellIs" dxfId="3352" priority="3924" stopIfTrue="1" operator="equal">
      <formula>"Napkin Hs"</formula>
    </cfRule>
    <cfRule type="cellIs" dxfId="3351" priority="3927" stopIfTrue="1" operator="equal">
      <formula>"Towel"</formula>
    </cfRule>
    <cfRule type="cellIs" dxfId="3350" priority="3928" stopIfTrue="1" operator="equal">
      <formula>"Napkin Hs"</formula>
    </cfRule>
    <cfRule type="cellIs" dxfId="3349" priority="3929" stopIfTrue="1" operator="equal">
      <formula>"Towel"</formula>
    </cfRule>
    <cfRule type="cellIs" dxfId="3348" priority="3930" stopIfTrue="1" operator="equal">
      <formula>"Napkin Hs"</formula>
    </cfRule>
    <cfRule type="cellIs" dxfId="3347" priority="3933" stopIfTrue="1" operator="equal">
      <formula>"Towel"</formula>
    </cfRule>
    <cfRule type="cellIs" dxfId="3346" priority="3934" stopIfTrue="1" operator="equal">
      <formula>"Napkin Hs"</formula>
    </cfRule>
  </conditionalFormatting>
  <conditionalFormatting sqref="C71">
    <cfRule type="cellIs" dxfId="3345" priority="3935" stopIfTrue="1" operator="equal">
      <formula>"Towel"</formula>
    </cfRule>
    <cfRule type="cellIs" dxfId="3344" priority="3936" stopIfTrue="1" operator="equal">
      <formula>"Napkin Hs"</formula>
    </cfRule>
  </conditionalFormatting>
  <conditionalFormatting sqref="B71:C71">
    <cfRule type="cellIs" dxfId="3343" priority="3895" stopIfTrue="1" operator="equal">
      <formula>"Towel"</formula>
    </cfRule>
    <cfRule type="cellIs" dxfId="3342" priority="3896" stopIfTrue="1" operator="equal">
      <formula>"Napkin Hs"</formula>
    </cfRule>
  </conditionalFormatting>
  <conditionalFormatting sqref="B71:C71">
    <cfRule type="cellIs" dxfId="3341" priority="3859" stopIfTrue="1" operator="equal">
      <formula>"Towel"</formula>
    </cfRule>
    <cfRule type="cellIs" dxfId="3340" priority="3860" stopIfTrue="1" operator="equal">
      <formula>"Napkin Hs"</formula>
    </cfRule>
    <cfRule type="cellIs" dxfId="3339" priority="3865" stopIfTrue="1" operator="equal">
      <formula>"Towel"</formula>
    </cfRule>
    <cfRule type="cellIs" dxfId="3338" priority="3866" stopIfTrue="1" operator="equal">
      <formula>"Napkin Hs"</formula>
    </cfRule>
    <cfRule type="cellIs" dxfId="3337" priority="3871" stopIfTrue="1" operator="equal">
      <formula>"Towel"</formula>
    </cfRule>
    <cfRule type="cellIs" dxfId="3336" priority="3872" stopIfTrue="1" operator="equal">
      <formula>"Napkin Hs"</formula>
    </cfRule>
    <cfRule type="cellIs" dxfId="3335" priority="3877" stopIfTrue="1" operator="equal">
      <formula>"Towel"</formula>
    </cfRule>
    <cfRule type="cellIs" dxfId="3334" priority="3878" stopIfTrue="1" operator="equal">
      <formula>"Napkin Hs"</formula>
    </cfRule>
    <cfRule type="cellIs" dxfId="3333" priority="3883" stopIfTrue="1" operator="equal">
      <formula>"Towel"</formula>
    </cfRule>
    <cfRule type="cellIs" dxfId="3332" priority="3884" stopIfTrue="1" operator="equal">
      <formula>"Napkin Hs"</formula>
    </cfRule>
    <cfRule type="cellIs" dxfId="3331" priority="3889" stopIfTrue="1" operator="equal">
      <formula>"Towel"</formula>
    </cfRule>
    <cfRule type="cellIs" dxfId="3330" priority="3890" stopIfTrue="1" operator="equal">
      <formula>"Napkin Hs"</formula>
    </cfRule>
  </conditionalFormatting>
  <conditionalFormatting sqref="C71">
    <cfRule type="cellIs" dxfId="3329" priority="3894" stopIfTrue="1" operator="equal">
      <formula>"Napkin Hs"</formula>
    </cfRule>
  </conditionalFormatting>
  <conditionalFormatting sqref="C71">
    <cfRule type="cellIs" dxfId="3328" priority="3893" stopIfTrue="1" operator="equal">
      <formula>"Towel"</formula>
    </cfRule>
  </conditionalFormatting>
  <conditionalFormatting sqref="C71">
    <cfRule type="cellIs" dxfId="3327" priority="3887" stopIfTrue="1" operator="equal">
      <formula>"Towel"</formula>
    </cfRule>
    <cfRule type="cellIs" dxfId="3326" priority="3888" stopIfTrue="1" operator="equal">
      <formula>"Napkin Hs"</formula>
    </cfRule>
  </conditionalFormatting>
  <conditionalFormatting sqref="C71">
    <cfRule type="cellIs" dxfId="3325" priority="3885" stopIfTrue="1" operator="equal">
      <formula>"Towel"</formula>
    </cfRule>
    <cfRule type="cellIs" dxfId="3324" priority="3886" stopIfTrue="1" operator="equal">
      <formula>"Napkin Hs"</formula>
    </cfRule>
    <cfRule type="cellIs" dxfId="3323" priority="3891" stopIfTrue="1" operator="equal">
      <formula>"Towel"</formula>
    </cfRule>
    <cfRule type="cellIs" dxfId="3322" priority="3892" stopIfTrue="1" operator="equal">
      <formula>"Napkin Hs"</formula>
    </cfRule>
  </conditionalFormatting>
  <conditionalFormatting sqref="C71">
    <cfRule type="cellIs" dxfId="3321" priority="3857" stopIfTrue="1" operator="equal">
      <formula>"Towel"</formula>
    </cfRule>
    <cfRule type="cellIs" dxfId="3320" priority="3858" stopIfTrue="1" operator="equal">
      <formula>"Napkin Hs"</formula>
    </cfRule>
    <cfRule type="cellIs" dxfId="3319" priority="3861" stopIfTrue="1" operator="equal">
      <formula>"Towel"</formula>
    </cfRule>
    <cfRule type="cellIs" dxfId="3318" priority="3862" stopIfTrue="1" operator="equal">
      <formula>"Napkin Hs"</formula>
    </cfRule>
    <cfRule type="cellIs" dxfId="3317" priority="3863" stopIfTrue="1" operator="equal">
      <formula>"Towel"</formula>
    </cfRule>
    <cfRule type="cellIs" dxfId="3316" priority="3864" stopIfTrue="1" operator="equal">
      <formula>"Napkin Hs"</formula>
    </cfRule>
    <cfRule type="cellIs" dxfId="3315" priority="3867" stopIfTrue="1" operator="equal">
      <formula>"Towel"</formula>
    </cfRule>
    <cfRule type="cellIs" dxfId="3314" priority="3868" stopIfTrue="1" operator="equal">
      <formula>"Napkin Hs"</formula>
    </cfRule>
    <cfRule type="cellIs" dxfId="3313" priority="3869" stopIfTrue="1" operator="equal">
      <formula>"Towel"</formula>
    </cfRule>
    <cfRule type="cellIs" dxfId="3312" priority="3870" stopIfTrue="1" operator="equal">
      <formula>"Napkin Hs"</formula>
    </cfRule>
    <cfRule type="cellIs" dxfId="3311" priority="3873" stopIfTrue="1" operator="equal">
      <formula>"Towel"</formula>
    </cfRule>
    <cfRule type="cellIs" dxfId="3310" priority="3874" stopIfTrue="1" operator="equal">
      <formula>"Napkin Hs"</formula>
    </cfRule>
    <cfRule type="cellIs" dxfId="3309" priority="3875" stopIfTrue="1" operator="equal">
      <formula>"Towel"</formula>
    </cfRule>
    <cfRule type="cellIs" dxfId="3308" priority="3876" stopIfTrue="1" operator="equal">
      <formula>"Napkin Hs"</formula>
    </cfRule>
    <cfRule type="cellIs" dxfId="3307" priority="3879" stopIfTrue="1" operator="equal">
      <formula>"Towel"</formula>
    </cfRule>
    <cfRule type="cellIs" dxfId="3306" priority="3880" stopIfTrue="1" operator="equal">
      <formula>"Napkin Hs"</formula>
    </cfRule>
    <cfRule type="cellIs" dxfId="3305" priority="3881" stopIfTrue="1" operator="equal">
      <formula>"Towel"</formula>
    </cfRule>
    <cfRule type="cellIs" dxfId="3304" priority="3882" stopIfTrue="1" operator="equal">
      <formula>"Napkin Hs"</formula>
    </cfRule>
  </conditionalFormatting>
  <conditionalFormatting sqref="C71">
    <cfRule type="cellIs" dxfId="3303" priority="3855" stopIfTrue="1" operator="equal">
      <formula>"Towel"</formula>
    </cfRule>
    <cfRule type="cellIs" dxfId="3302" priority="3856" stopIfTrue="1" operator="equal">
      <formula>"Napkin Hs"</formula>
    </cfRule>
  </conditionalFormatting>
  <conditionalFormatting sqref="C71">
    <cfRule type="cellIs" dxfId="3301" priority="3835" stopIfTrue="1" operator="equal">
      <formula>"Towel"</formula>
    </cfRule>
    <cfRule type="cellIs" dxfId="3300" priority="3836" stopIfTrue="1" operator="equal">
      <formula>"Napkin Hs"</formula>
    </cfRule>
    <cfRule type="cellIs" dxfId="3299" priority="3841" stopIfTrue="1" operator="equal">
      <formula>"Towel"</formula>
    </cfRule>
    <cfRule type="cellIs" dxfId="3298" priority="3842" stopIfTrue="1" operator="equal">
      <formula>"Napkin Hs"</formula>
    </cfRule>
    <cfRule type="cellIs" dxfId="3297" priority="3847" stopIfTrue="1" operator="equal">
      <formula>"Towel"</formula>
    </cfRule>
    <cfRule type="cellIs" dxfId="3296" priority="3848" stopIfTrue="1" operator="equal">
      <formula>"Napkin Hs"</formula>
    </cfRule>
    <cfRule type="cellIs" dxfId="3295" priority="3853" stopIfTrue="1" operator="equal">
      <formula>"Towel"</formula>
    </cfRule>
    <cfRule type="cellIs" dxfId="3294" priority="3854" stopIfTrue="1" operator="equal">
      <formula>"Napkin Hs"</formula>
    </cfRule>
  </conditionalFormatting>
  <conditionalFormatting sqref="C71">
    <cfRule type="cellIs" dxfId="3293" priority="3845" stopIfTrue="1" operator="equal">
      <formula>"Towel"</formula>
    </cfRule>
    <cfRule type="cellIs" dxfId="3292" priority="3846" stopIfTrue="1" operator="equal">
      <formula>"Napkin Hs"</formula>
    </cfRule>
    <cfRule type="cellIs" dxfId="3291" priority="3851" stopIfTrue="1" operator="equal">
      <formula>"Towel"</formula>
    </cfRule>
    <cfRule type="cellIs" dxfId="3290" priority="3852" stopIfTrue="1" operator="equal">
      <formula>"Napkin Hs"</formula>
    </cfRule>
  </conditionalFormatting>
  <conditionalFormatting sqref="C71">
    <cfRule type="cellIs" dxfId="3289" priority="3831" stopIfTrue="1" operator="equal">
      <formula>"Towel"</formula>
    </cfRule>
    <cfRule type="cellIs" dxfId="3288" priority="3832" stopIfTrue="1" operator="equal">
      <formula>"Napkin Hs"</formula>
    </cfRule>
    <cfRule type="cellIs" dxfId="3287" priority="3839" stopIfTrue="1" operator="equal">
      <formula>"Towel"</formula>
    </cfRule>
    <cfRule type="cellIs" dxfId="3286" priority="3840" stopIfTrue="1" operator="equal">
      <formula>"Napkin Hs"</formula>
    </cfRule>
    <cfRule type="cellIs" dxfId="3285" priority="3843" stopIfTrue="1" operator="equal">
      <formula>"Towel"</formula>
    </cfRule>
    <cfRule type="cellIs" dxfId="3284" priority="3844" stopIfTrue="1" operator="equal">
      <formula>"Napkin Hs"</formula>
    </cfRule>
  </conditionalFormatting>
  <conditionalFormatting sqref="C71">
    <cfRule type="cellIs" dxfId="3283" priority="3833" stopIfTrue="1" operator="equal">
      <formula>"Towel"</formula>
    </cfRule>
    <cfRule type="cellIs" dxfId="3282" priority="3834" stopIfTrue="1" operator="equal">
      <formula>"Napkin Hs"</formula>
    </cfRule>
    <cfRule type="cellIs" dxfId="3281" priority="3837" stopIfTrue="1" operator="equal">
      <formula>"Towel"</formula>
    </cfRule>
    <cfRule type="cellIs" dxfId="3280" priority="3838" stopIfTrue="1" operator="equal">
      <formula>"Napkin Hs"</formula>
    </cfRule>
    <cfRule type="cellIs" dxfId="3279" priority="3849" stopIfTrue="1" operator="equal">
      <formula>"Towel"</formula>
    </cfRule>
    <cfRule type="cellIs" dxfId="3278" priority="3850" stopIfTrue="1" operator="equal">
      <formula>"Napkin Hs"</formula>
    </cfRule>
  </conditionalFormatting>
  <conditionalFormatting sqref="C71">
    <cfRule type="cellIs" dxfId="3277" priority="3829" stopIfTrue="1" operator="equal">
      <formula>"Towel"</formula>
    </cfRule>
    <cfRule type="cellIs" dxfId="3276" priority="3830" stopIfTrue="1" operator="equal">
      <formula>"Napkin Hs"</formula>
    </cfRule>
  </conditionalFormatting>
  <conditionalFormatting sqref="C71">
    <cfRule type="cellIs" dxfId="3275" priority="3825" stopIfTrue="1" operator="equal">
      <formula>"Towel"</formula>
    </cfRule>
    <cfRule type="cellIs" dxfId="3274" priority="3826" stopIfTrue="1" operator="equal">
      <formula>"Napkin Hs"</formula>
    </cfRule>
  </conditionalFormatting>
  <conditionalFormatting sqref="C71">
    <cfRule type="cellIs" dxfId="3273" priority="3827" stopIfTrue="1" operator="equal">
      <formula>"Towel"</formula>
    </cfRule>
    <cfRule type="cellIs" dxfId="3272" priority="3828" stopIfTrue="1" operator="equal">
      <formula>"Napkin Hs"</formula>
    </cfRule>
  </conditionalFormatting>
  <conditionalFormatting sqref="C71">
    <cfRule type="cellIs" dxfId="3271" priority="3823" stopIfTrue="1" operator="equal">
      <formula>"Towel"</formula>
    </cfRule>
    <cfRule type="cellIs" dxfId="3270" priority="3824" stopIfTrue="1" operator="equal">
      <formula>"Napkin Hs"</formula>
    </cfRule>
  </conditionalFormatting>
  <conditionalFormatting sqref="C71">
    <cfRule type="cellIs" dxfId="3269" priority="3819" stopIfTrue="1" operator="equal">
      <formula>"Towel"</formula>
    </cfRule>
    <cfRule type="cellIs" dxfId="3268" priority="3820" stopIfTrue="1" operator="equal">
      <formula>"Napkin Hs"</formula>
    </cfRule>
  </conditionalFormatting>
  <conditionalFormatting sqref="C71">
    <cfRule type="cellIs" dxfId="3267" priority="3821" stopIfTrue="1" operator="equal">
      <formula>"Towel"</formula>
    </cfRule>
    <cfRule type="cellIs" dxfId="3266" priority="3822" stopIfTrue="1" operator="equal">
      <formula>"Napkin Hs"</formula>
    </cfRule>
  </conditionalFormatting>
  <conditionalFormatting sqref="C71">
    <cfRule type="cellIs" dxfId="3265" priority="3817" stopIfTrue="1" operator="equal">
      <formula>"Towel"</formula>
    </cfRule>
    <cfRule type="cellIs" dxfId="3264" priority="3818" stopIfTrue="1" operator="equal">
      <formula>"Napkin Hs"</formula>
    </cfRule>
  </conditionalFormatting>
  <conditionalFormatting sqref="C71">
    <cfRule type="cellIs" dxfId="3263" priority="3813" stopIfTrue="1" operator="equal">
      <formula>"Towel"</formula>
    </cfRule>
    <cfRule type="cellIs" dxfId="3262" priority="3814" stopIfTrue="1" operator="equal">
      <formula>"Napkin Hs"</formula>
    </cfRule>
  </conditionalFormatting>
  <conditionalFormatting sqref="C71">
    <cfRule type="cellIs" dxfId="3261" priority="3815" stopIfTrue="1" operator="equal">
      <formula>"Towel"</formula>
    </cfRule>
    <cfRule type="cellIs" dxfId="3260" priority="3816" stopIfTrue="1" operator="equal">
      <formula>"Napkin Hs"</formula>
    </cfRule>
  </conditionalFormatting>
  <conditionalFormatting sqref="C71">
    <cfRule type="cellIs" dxfId="3259" priority="3811" stopIfTrue="1" operator="equal">
      <formula>"Towel"</formula>
    </cfRule>
    <cfRule type="cellIs" dxfId="3258" priority="3812" stopIfTrue="1" operator="equal">
      <formula>"Napkin Hs"</formula>
    </cfRule>
  </conditionalFormatting>
  <conditionalFormatting sqref="C71">
    <cfRule type="cellIs" dxfId="3257" priority="3809" stopIfTrue="1" operator="equal">
      <formula>"Towel"</formula>
    </cfRule>
    <cfRule type="cellIs" dxfId="3256" priority="3810" stopIfTrue="1" operator="equal">
      <formula>"Napkin Hs"</formula>
    </cfRule>
  </conditionalFormatting>
  <conditionalFormatting sqref="C71">
    <cfRule type="cellIs" dxfId="3255" priority="3807" stopIfTrue="1" operator="equal">
      <formula>"Towel"</formula>
    </cfRule>
    <cfRule type="cellIs" dxfId="3254" priority="3808" stopIfTrue="1" operator="equal">
      <formula>"Napkin Hs"</formula>
    </cfRule>
  </conditionalFormatting>
  <conditionalFormatting sqref="C71">
    <cfRule type="cellIs" dxfId="3253" priority="3805" stopIfTrue="1" operator="equal">
      <formula>"Towel"</formula>
    </cfRule>
    <cfRule type="cellIs" dxfId="3252" priority="3806" stopIfTrue="1" operator="equal">
      <formula>"Napkin Hs"</formula>
    </cfRule>
  </conditionalFormatting>
  <conditionalFormatting sqref="C71">
    <cfRule type="cellIs" dxfId="3251" priority="3804" stopIfTrue="1" operator="equal">
      <formula>"Napkin Hs"</formula>
    </cfRule>
  </conditionalFormatting>
  <conditionalFormatting sqref="C71">
    <cfRule type="cellIs" dxfId="3250" priority="3801" stopIfTrue="1" operator="equal">
      <formula>"Towel"</formula>
    </cfRule>
    <cfRule type="cellIs" dxfId="3249" priority="3802" stopIfTrue="1" operator="equal">
      <formula>"Napkin Hs"</formula>
    </cfRule>
  </conditionalFormatting>
  <conditionalFormatting sqref="C71">
    <cfRule type="cellIs" dxfId="3248" priority="3803" stopIfTrue="1" operator="equal">
      <formula>"Towel"</formula>
    </cfRule>
  </conditionalFormatting>
  <conditionalFormatting sqref="B71">
    <cfRule type="cellIs" dxfId="3247" priority="3799" stopIfTrue="1" operator="equal">
      <formula>"Towel"</formula>
    </cfRule>
    <cfRule type="cellIs" dxfId="3246" priority="3800" stopIfTrue="1" operator="equal">
      <formula>"Napkin Hs"</formula>
    </cfRule>
  </conditionalFormatting>
  <conditionalFormatting sqref="B71">
    <cfRule type="cellIs" dxfId="3245" priority="3797" stopIfTrue="1" operator="equal">
      <formula>"Towel"</formula>
    </cfRule>
    <cfRule type="cellIs" dxfId="3244" priority="3798" stopIfTrue="1" operator="equal">
      <formula>"Napkin Hs"</formula>
    </cfRule>
  </conditionalFormatting>
  <conditionalFormatting sqref="B71">
    <cfRule type="cellIs" dxfId="3243" priority="3795" stopIfTrue="1" operator="equal">
      <formula>"Towel"</formula>
    </cfRule>
    <cfRule type="cellIs" dxfId="3242" priority="3796" stopIfTrue="1" operator="equal">
      <formula>"Napkin Hs"</formula>
    </cfRule>
  </conditionalFormatting>
  <conditionalFormatting sqref="B71">
    <cfRule type="cellIs" dxfId="3241" priority="3793" stopIfTrue="1" operator="equal">
      <formula>"Towel"</formula>
    </cfRule>
    <cfRule type="cellIs" dxfId="3240" priority="3794" stopIfTrue="1" operator="equal">
      <formula>"Napkin Hs"</formula>
    </cfRule>
  </conditionalFormatting>
  <conditionalFormatting sqref="B71">
    <cfRule type="cellIs" dxfId="3239" priority="3791" stopIfTrue="1" operator="equal">
      <formula>"Towel"</formula>
    </cfRule>
    <cfRule type="cellIs" dxfId="3238" priority="3792" stopIfTrue="1" operator="equal">
      <formula>"Napkin Hs"</formula>
    </cfRule>
  </conditionalFormatting>
  <conditionalFormatting sqref="B71">
    <cfRule type="cellIs" dxfId="3237" priority="3789" stopIfTrue="1" operator="equal">
      <formula>"Towel"</formula>
    </cfRule>
    <cfRule type="cellIs" dxfId="3236" priority="3790" stopIfTrue="1" operator="equal">
      <formula>"Napkin Hs"</formula>
    </cfRule>
  </conditionalFormatting>
  <conditionalFormatting sqref="B71">
    <cfRule type="cellIs" dxfId="3235" priority="3785" stopIfTrue="1" operator="equal">
      <formula>"Towel"</formula>
    </cfRule>
    <cfRule type="cellIs" dxfId="3234" priority="3786" stopIfTrue="1" operator="equal">
      <formula>"Napkin Hs"</formula>
    </cfRule>
    <cfRule type="cellIs" dxfId="3233" priority="3787" stopIfTrue="1" operator="equal">
      <formula>"Towel"</formula>
    </cfRule>
    <cfRule type="cellIs" dxfId="3232" priority="3788" stopIfTrue="1" operator="equal">
      <formula>"Napkin Hs"</formula>
    </cfRule>
  </conditionalFormatting>
  <conditionalFormatting sqref="B71">
    <cfRule type="cellIs" dxfId="3231" priority="3783" stopIfTrue="1" operator="equal">
      <formula>"Towel"</formula>
    </cfRule>
    <cfRule type="cellIs" dxfId="3230" priority="3784" stopIfTrue="1" operator="equal">
      <formula>"Napkin Hs"</formula>
    </cfRule>
  </conditionalFormatting>
  <conditionalFormatting sqref="B71">
    <cfRule type="cellIs" dxfId="3229" priority="3781" stopIfTrue="1" operator="equal">
      <formula>"Towel"</formula>
    </cfRule>
    <cfRule type="cellIs" dxfId="3228" priority="3782" stopIfTrue="1" operator="equal">
      <formula>"Napkin Hs"</formula>
    </cfRule>
  </conditionalFormatting>
  <conditionalFormatting sqref="B71">
    <cfRule type="cellIs" dxfId="3227" priority="3779" stopIfTrue="1" operator="equal">
      <formula>"Towel"</formula>
    </cfRule>
    <cfRule type="cellIs" dxfId="3226" priority="3780" stopIfTrue="1" operator="equal">
      <formula>"Napkin Hs"</formula>
    </cfRule>
  </conditionalFormatting>
  <conditionalFormatting sqref="B71">
    <cfRule type="cellIs" dxfId="3225" priority="3777" stopIfTrue="1" operator="equal">
      <formula>"Towel"</formula>
    </cfRule>
    <cfRule type="cellIs" dxfId="3224" priority="3778" stopIfTrue="1" operator="equal">
      <formula>"Napkin Hs"</formula>
    </cfRule>
  </conditionalFormatting>
  <conditionalFormatting sqref="B71">
    <cfRule type="cellIs" dxfId="3223" priority="3775" stopIfTrue="1" operator="equal">
      <formula>"Towel"</formula>
    </cfRule>
    <cfRule type="cellIs" dxfId="3222" priority="3776" stopIfTrue="1" operator="equal">
      <formula>"Napkin Hs"</formula>
    </cfRule>
  </conditionalFormatting>
  <conditionalFormatting sqref="B71:C71">
    <cfRule type="cellIs" dxfId="3221" priority="3761" stopIfTrue="1" operator="equal">
      <formula>"Towel"</formula>
    </cfRule>
    <cfRule type="cellIs" dxfId="3220" priority="3762" stopIfTrue="1" operator="equal">
      <formula>"Napkin Hs"</formula>
    </cfRule>
    <cfRule type="cellIs" dxfId="3219" priority="3767" stopIfTrue="1" operator="equal">
      <formula>"Towel"</formula>
    </cfRule>
    <cfRule type="cellIs" dxfId="3218" priority="3768" stopIfTrue="1" operator="equal">
      <formula>"Napkin Hs"</formula>
    </cfRule>
    <cfRule type="cellIs" dxfId="3217" priority="3773" stopIfTrue="1" operator="equal">
      <formula>"Towel"</formula>
    </cfRule>
    <cfRule type="cellIs" dxfId="3216" priority="3774" stopIfTrue="1" operator="equal">
      <formula>"Napkin Hs"</formula>
    </cfRule>
  </conditionalFormatting>
  <conditionalFormatting sqref="C71">
    <cfRule type="cellIs" dxfId="3215" priority="3755" stopIfTrue="1" operator="equal">
      <formula>"Towel"</formula>
    </cfRule>
    <cfRule type="cellIs" dxfId="3214" priority="3756" stopIfTrue="1" operator="equal">
      <formula>"Napkin Hs"</formula>
    </cfRule>
    <cfRule type="cellIs" dxfId="3213" priority="3757" stopIfTrue="1" operator="equal">
      <formula>"Towel"</formula>
    </cfRule>
    <cfRule type="cellIs" dxfId="3212" priority="3758" stopIfTrue="1" operator="equal">
      <formula>"Napkin Hs"</formula>
    </cfRule>
    <cfRule type="cellIs" dxfId="3211" priority="3765" stopIfTrue="1" operator="equal">
      <formula>"Towel"</formula>
    </cfRule>
    <cfRule type="cellIs" dxfId="3210" priority="3766" stopIfTrue="1" operator="equal">
      <formula>"Napkin Hs"</formula>
    </cfRule>
    <cfRule type="cellIs" dxfId="3209" priority="3769" stopIfTrue="1" operator="equal">
      <formula>"Towel"</formula>
    </cfRule>
    <cfRule type="cellIs" dxfId="3208" priority="3770" stopIfTrue="1" operator="equal">
      <formula>"Napkin Hs"</formula>
    </cfRule>
  </conditionalFormatting>
  <conditionalFormatting sqref="C71">
    <cfRule type="cellIs" dxfId="3207" priority="3759" stopIfTrue="1" operator="equal">
      <formula>"Towel"</formula>
    </cfRule>
    <cfRule type="cellIs" dxfId="3206" priority="3760" stopIfTrue="1" operator="equal">
      <formula>"Napkin Hs"</formula>
    </cfRule>
    <cfRule type="cellIs" dxfId="3205" priority="3763" stopIfTrue="1" operator="equal">
      <formula>"Towel"</formula>
    </cfRule>
    <cfRule type="cellIs" dxfId="3204" priority="3764" stopIfTrue="1" operator="equal">
      <formula>"Napkin Hs"</formula>
    </cfRule>
    <cfRule type="cellIs" dxfId="3203" priority="3771" stopIfTrue="1" operator="equal">
      <formula>"Towel"</formula>
    </cfRule>
    <cfRule type="cellIs" dxfId="3202" priority="3772" stopIfTrue="1" operator="equal">
      <formula>"Napkin Hs"</formula>
    </cfRule>
  </conditionalFormatting>
  <conditionalFormatting sqref="B71:C71">
    <cfRule type="cellIs" dxfId="3201" priority="3753" stopIfTrue="1" operator="equal">
      <formula>"Towel"</formula>
    </cfRule>
    <cfRule type="cellIs" dxfId="3200" priority="3754" stopIfTrue="1" operator="equal">
      <formula>"Napkin Hs"</formula>
    </cfRule>
  </conditionalFormatting>
  <conditionalFormatting sqref="B71:C71">
    <cfRule type="cellIs" dxfId="3199" priority="3745" stopIfTrue="1" operator="equal">
      <formula>"Towel"</formula>
    </cfRule>
    <cfRule type="cellIs" dxfId="3198" priority="3746" stopIfTrue="1" operator="equal">
      <formula>"Napkin Hs"</formula>
    </cfRule>
    <cfRule type="cellIs" dxfId="3197" priority="3751" stopIfTrue="1" operator="equal">
      <formula>"Towel"</formula>
    </cfRule>
    <cfRule type="cellIs" dxfId="3196" priority="3752" stopIfTrue="1" operator="equal">
      <formula>"Napkin Hs"</formula>
    </cfRule>
  </conditionalFormatting>
  <conditionalFormatting sqref="C71">
    <cfRule type="cellIs" dxfId="3195" priority="3741" stopIfTrue="1" operator="equal">
      <formula>"Towel"</formula>
    </cfRule>
    <cfRule type="cellIs" dxfId="3194" priority="3742" stopIfTrue="1" operator="equal">
      <formula>"Napkin Hs"</formula>
    </cfRule>
  </conditionalFormatting>
  <conditionalFormatting sqref="C71">
    <cfRule type="cellIs" dxfId="3193" priority="3739" stopIfTrue="1" operator="equal">
      <formula>"Towel"</formula>
    </cfRule>
    <cfRule type="cellIs" dxfId="3192" priority="3740" stopIfTrue="1" operator="equal">
      <formula>"Napkin Hs"</formula>
    </cfRule>
    <cfRule type="cellIs" dxfId="3191" priority="3749" stopIfTrue="1" operator="equal">
      <formula>"Towel"</formula>
    </cfRule>
    <cfRule type="cellIs" dxfId="3190" priority="3750" stopIfTrue="1" operator="equal">
      <formula>"Napkin Hs"</formula>
    </cfRule>
  </conditionalFormatting>
  <conditionalFormatting sqref="C71">
    <cfRule type="cellIs" dxfId="3189" priority="3743" stopIfTrue="1" operator="equal">
      <formula>"Towel"</formula>
    </cfRule>
    <cfRule type="cellIs" dxfId="3188" priority="3744" stopIfTrue="1" operator="equal">
      <formula>"Napkin Hs"</formula>
    </cfRule>
    <cfRule type="cellIs" dxfId="3187" priority="3747" stopIfTrue="1" operator="equal">
      <formula>"Towel"</formula>
    </cfRule>
    <cfRule type="cellIs" dxfId="3186" priority="3748" stopIfTrue="1" operator="equal">
      <formula>"Napkin Hs"</formula>
    </cfRule>
  </conditionalFormatting>
  <conditionalFormatting sqref="C71">
    <cfRule type="cellIs" dxfId="3185" priority="3738" stopIfTrue="1" operator="equal">
      <formula>"Napkin Hs"</formula>
    </cfRule>
  </conditionalFormatting>
  <conditionalFormatting sqref="C71">
    <cfRule type="cellIs" dxfId="3184" priority="3737" stopIfTrue="1" operator="equal">
      <formula>"Towel"</formula>
    </cfRule>
  </conditionalFormatting>
  <conditionalFormatting sqref="C71">
    <cfRule type="cellIs" dxfId="3183" priority="3733" stopIfTrue="1" operator="equal">
      <formula>"Towel"</formula>
    </cfRule>
    <cfRule type="cellIs" dxfId="3182" priority="3734" stopIfTrue="1" operator="equal">
      <formula>"Napkin Hs"</formula>
    </cfRule>
    <cfRule type="cellIs" dxfId="3181" priority="3735" stopIfTrue="1" operator="equal">
      <formula>"Towel"</formula>
    </cfRule>
    <cfRule type="cellIs" dxfId="3180" priority="3736" stopIfTrue="1" operator="equal">
      <formula>"Napkin Hs"</formula>
    </cfRule>
  </conditionalFormatting>
  <conditionalFormatting sqref="B71:C71">
    <cfRule type="cellIs" dxfId="3179" priority="3731" stopIfTrue="1" operator="equal">
      <formula>"Towel"</formula>
    </cfRule>
    <cfRule type="cellIs" dxfId="3178" priority="3732" stopIfTrue="1" operator="equal">
      <formula>"Napkin Hs"</formula>
    </cfRule>
  </conditionalFormatting>
  <conditionalFormatting sqref="C71">
    <cfRule type="cellIs" dxfId="3177" priority="3727" stopIfTrue="1" operator="equal">
      <formula>"Towel"</formula>
    </cfRule>
    <cfRule type="cellIs" dxfId="3176" priority="3728" stopIfTrue="1" operator="equal">
      <formula>"Napkin Hs"</formula>
    </cfRule>
  </conditionalFormatting>
  <conditionalFormatting sqref="C71">
    <cfRule type="cellIs" dxfId="3175" priority="3729" stopIfTrue="1" operator="equal">
      <formula>"Towel"</formula>
    </cfRule>
    <cfRule type="cellIs" dxfId="3174" priority="3730" stopIfTrue="1" operator="equal">
      <formula>"Napkin Hs"</formula>
    </cfRule>
  </conditionalFormatting>
  <conditionalFormatting sqref="B71:C71">
    <cfRule type="cellIs" dxfId="3173" priority="3725" stopIfTrue="1" operator="equal">
      <formula>"Towel"</formula>
    </cfRule>
    <cfRule type="cellIs" dxfId="3172" priority="3726" stopIfTrue="1" operator="equal">
      <formula>"Napkin Hs"</formula>
    </cfRule>
  </conditionalFormatting>
  <conditionalFormatting sqref="C71">
    <cfRule type="cellIs" dxfId="3171" priority="3721" stopIfTrue="1" operator="equal">
      <formula>"Towel"</formula>
    </cfRule>
    <cfRule type="cellIs" dxfId="3170" priority="3722" stopIfTrue="1" operator="equal">
      <formula>"Napkin Hs"</formula>
    </cfRule>
  </conditionalFormatting>
  <conditionalFormatting sqref="C71">
    <cfRule type="cellIs" dxfId="3169" priority="3723" stopIfTrue="1" operator="equal">
      <formula>"Towel"</formula>
    </cfRule>
    <cfRule type="cellIs" dxfId="3168" priority="3724" stopIfTrue="1" operator="equal">
      <formula>"Napkin Hs"</formula>
    </cfRule>
  </conditionalFormatting>
  <conditionalFormatting sqref="B71:C71">
    <cfRule type="cellIs" dxfId="3167" priority="3719" stopIfTrue="1" operator="equal">
      <formula>"Towel"</formula>
    </cfRule>
    <cfRule type="cellIs" dxfId="3166" priority="3720" stopIfTrue="1" operator="equal">
      <formula>"Napkin Hs"</formula>
    </cfRule>
  </conditionalFormatting>
  <conditionalFormatting sqref="C71">
    <cfRule type="cellIs" dxfId="3165" priority="3715" stopIfTrue="1" operator="equal">
      <formula>"Towel"</formula>
    </cfRule>
    <cfRule type="cellIs" dxfId="3164" priority="3716" stopIfTrue="1" operator="equal">
      <formula>"Napkin Hs"</formula>
    </cfRule>
  </conditionalFormatting>
  <conditionalFormatting sqref="C71">
    <cfRule type="cellIs" dxfId="3163" priority="3717" stopIfTrue="1" operator="equal">
      <formula>"Towel"</formula>
    </cfRule>
    <cfRule type="cellIs" dxfId="3162" priority="3718" stopIfTrue="1" operator="equal">
      <formula>"Napkin Hs"</formula>
    </cfRule>
  </conditionalFormatting>
  <conditionalFormatting sqref="B71:C71">
    <cfRule type="cellIs" dxfId="3161" priority="3713" stopIfTrue="1" operator="equal">
      <formula>"Towel"</formula>
    </cfRule>
    <cfRule type="cellIs" dxfId="3160" priority="3714" stopIfTrue="1" operator="equal">
      <formula>"Napkin Hs"</formula>
    </cfRule>
  </conditionalFormatting>
  <conditionalFormatting sqref="C71">
    <cfRule type="cellIs" dxfId="3159" priority="3711" stopIfTrue="1" operator="equal">
      <formula>"Towel"</formula>
    </cfRule>
    <cfRule type="cellIs" dxfId="3158" priority="3712" stopIfTrue="1" operator="equal">
      <formula>"Napkin Hs"</formula>
    </cfRule>
  </conditionalFormatting>
  <conditionalFormatting sqref="C71">
    <cfRule type="cellIs" dxfId="3157" priority="3709" stopIfTrue="1" operator="equal">
      <formula>"Towel"</formula>
    </cfRule>
    <cfRule type="cellIs" dxfId="3156" priority="3710" stopIfTrue="1" operator="equal">
      <formula>"Napkin Hs"</formula>
    </cfRule>
  </conditionalFormatting>
  <conditionalFormatting sqref="B71:C71">
    <cfRule type="cellIs" dxfId="3155" priority="3707" stopIfTrue="1" operator="equal">
      <formula>"Towel"</formula>
    </cfRule>
    <cfRule type="cellIs" dxfId="3154" priority="3708" stopIfTrue="1" operator="equal">
      <formula>"Napkin Hs"</formula>
    </cfRule>
  </conditionalFormatting>
  <conditionalFormatting sqref="C71">
    <cfRule type="cellIs" dxfId="3153" priority="3706" stopIfTrue="1" operator="equal">
      <formula>"Napkin Hs"</formula>
    </cfRule>
  </conditionalFormatting>
  <conditionalFormatting sqref="C71">
    <cfRule type="cellIs" dxfId="3152" priority="3703" stopIfTrue="1" operator="equal">
      <formula>"Towel"</formula>
    </cfRule>
    <cfRule type="cellIs" dxfId="3151" priority="3704" stopIfTrue="1" operator="equal">
      <formula>"Napkin Hs"</formula>
    </cfRule>
  </conditionalFormatting>
  <conditionalFormatting sqref="C71">
    <cfRule type="cellIs" dxfId="3150" priority="3705" stopIfTrue="1" operator="equal">
      <formula>"Towel"</formula>
    </cfRule>
  </conditionalFormatting>
  <conditionalFormatting sqref="B78:C78">
    <cfRule type="cellIs" dxfId="3149" priority="3667" stopIfTrue="1" operator="equal">
      <formula>"Towel"</formula>
    </cfRule>
    <cfRule type="cellIs" dxfId="3148" priority="3668" stopIfTrue="1" operator="equal">
      <formula>"Napkin Hs"</formula>
    </cfRule>
    <cfRule type="cellIs" dxfId="3147" priority="3673" stopIfTrue="1" operator="equal">
      <formula>"Towel"</formula>
    </cfRule>
    <cfRule type="cellIs" dxfId="3146" priority="3674" stopIfTrue="1" operator="equal">
      <formula>"Napkin Hs"</formula>
    </cfRule>
    <cfRule type="cellIs" dxfId="3145" priority="3679" stopIfTrue="1" operator="equal">
      <formula>"Towel"</formula>
    </cfRule>
    <cfRule type="cellIs" dxfId="3144" priority="3680" stopIfTrue="1" operator="equal">
      <formula>"Napkin Hs"</formula>
    </cfRule>
    <cfRule type="cellIs" dxfId="3143" priority="3685" stopIfTrue="1" operator="equal">
      <formula>"Towel"</formula>
    </cfRule>
    <cfRule type="cellIs" dxfId="3142" priority="3686" stopIfTrue="1" operator="equal">
      <formula>"Napkin Hs"</formula>
    </cfRule>
    <cfRule type="cellIs" dxfId="3141" priority="3691" stopIfTrue="1" operator="equal">
      <formula>"Towel"</formula>
    </cfRule>
    <cfRule type="cellIs" dxfId="3140" priority="3692" stopIfTrue="1" operator="equal">
      <formula>"Napkin Hs"</formula>
    </cfRule>
    <cfRule type="cellIs" dxfId="3139" priority="3697" stopIfTrue="1" operator="equal">
      <formula>"Towel"</formula>
    </cfRule>
    <cfRule type="cellIs" dxfId="3138" priority="3698" stopIfTrue="1" operator="equal">
      <formula>"Napkin Hs"</formula>
    </cfRule>
  </conditionalFormatting>
  <conditionalFormatting sqref="B79:C79">
    <cfRule type="cellIs" dxfId="3137" priority="3701" stopIfTrue="1" operator="equal">
      <formula>"Towel"</formula>
    </cfRule>
    <cfRule type="cellIs" dxfId="3136" priority="3702" stopIfTrue="1" operator="equal">
      <formula>"Napkin Hs"</formula>
    </cfRule>
  </conditionalFormatting>
  <conditionalFormatting sqref="B80:C80">
    <cfRule type="cellIs" dxfId="3135" priority="3539" stopIfTrue="1" operator="equal">
      <formula>"Towel"</formula>
    </cfRule>
    <cfRule type="cellIs" dxfId="3134" priority="3540" stopIfTrue="1" operator="equal">
      <formula>"Napkin Hs"</formula>
    </cfRule>
    <cfRule type="cellIs" dxfId="3133" priority="3545" stopIfTrue="1" operator="equal">
      <formula>"Towel"</formula>
    </cfRule>
    <cfRule type="cellIs" dxfId="3132" priority="3546" stopIfTrue="1" operator="equal">
      <formula>"Napkin Hs"</formula>
    </cfRule>
    <cfRule type="cellIs" dxfId="3131" priority="3551" stopIfTrue="1" operator="equal">
      <formula>"Towel"</formula>
    </cfRule>
    <cfRule type="cellIs" dxfId="3130" priority="3552" stopIfTrue="1" operator="equal">
      <formula>"Napkin Hs"</formula>
    </cfRule>
    <cfRule type="cellIs" dxfId="3129" priority="3557" stopIfTrue="1" operator="equal">
      <formula>"Towel"</formula>
    </cfRule>
    <cfRule type="cellIs" dxfId="3128" priority="3558" stopIfTrue="1" operator="equal">
      <formula>"Napkin Hs"</formula>
    </cfRule>
    <cfRule type="cellIs" dxfId="3127" priority="3563" stopIfTrue="1" operator="equal">
      <formula>"Towel"</formula>
    </cfRule>
    <cfRule type="cellIs" dxfId="3126" priority="3564" stopIfTrue="1" operator="equal">
      <formula>"Napkin Hs"</formula>
    </cfRule>
    <cfRule type="cellIs" dxfId="3125" priority="3569" stopIfTrue="1" operator="equal">
      <formula>"Towel"</formula>
    </cfRule>
    <cfRule type="cellIs" dxfId="3124" priority="3570" stopIfTrue="1" operator="equal">
      <formula>"Napkin Hs"</formula>
    </cfRule>
    <cfRule type="cellIs" dxfId="3123" priority="3575" stopIfTrue="1" operator="equal">
      <formula>"Towel"</formula>
    </cfRule>
    <cfRule type="cellIs" dxfId="3122" priority="3576" stopIfTrue="1" operator="equal">
      <formula>"Napkin Hs"</formula>
    </cfRule>
    <cfRule type="cellIs" dxfId="3121" priority="3581" stopIfTrue="1" operator="equal">
      <formula>"Towel"</formula>
    </cfRule>
    <cfRule type="cellIs" dxfId="3120" priority="3582" stopIfTrue="1" operator="equal">
      <formula>"Napkin Hs"</formula>
    </cfRule>
  </conditionalFormatting>
  <conditionalFormatting sqref="B81:C81">
    <cfRule type="cellIs" dxfId="3119" priority="3585" stopIfTrue="1" operator="equal">
      <formula>"Towel"</formula>
    </cfRule>
    <cfRule type="cellIs" dxfId="3118" priority="3586" stopIfTrue="1" operator="equal">
      <formula>"Napkin Hs"</formula>
    </cfRule>
    <cfRule type="cellIs" dxfId="3117" priority="3591" stopIfTrue="1" operator="equal">
      <formula>"Towel"</formula>
    </cfRule>
    <cfRule type="cellIs" dxfId="3116" priority="3592" stopIfTrue="1" operator="equal">
      <formula>"Napkin Hs"</formula>
    </cfRule>
    <cfRule type="cellIs" dxfId="3115" priority="3597" stopIfTrue="1" operator="equal">
      <formula>"Towel"</formula>
    </cfRule>
    <cfRule type="cellIs" dxfId="3114" priority="3598" stopIfTrue="1" operator="equal">
      <formula>"Napkin Hs"</formula>
    </cfRule>
    <cfRule type="cellIs" dxfId="3113" priority="3603" stopIfTrue="1" operator="equal">
      <formula>"Towel"</formula>
    </cfRule>
    <cfRule type="cellIs" dxfId="3112" priority="3604" stopIfTrue="1" operator="equal">
      <formula>"Napkin Hs"</formula>
    </cfRule>
    <cfRule type="cellIs" dxfId="3111" priority="3609" stopIfTrue="1" operator="equal">
      <formula>"Towel"</formula>
    </cfRule>
    <cfRule type="cellIs" dxfId="3110" priority="3610" stopIfTrue="1" operator="equal">
      <formula>"Napkin Hs"</formula>
    </cfRule>
    <cfRule type="cellIs" dxfId="3109" priority="3615" stopIfTrue="1" operator="equal">
      <formula>"Towel"</formula>
    </cfRule>
    <cfRule type="cellIs" dxfId="3108" priority="3616" stopIfTrue="1" operator="equal">
      <formula>"Napkin Hs"</formula>
    </cfRule>
    <cfRule type="cellIs" dxfId="3107" priority="3621" stopIfTrue="1" operator="equal">
      <formula>"Towel"</formula>
    </cfRule>
    <cfRule type="cellIs" dxfId="3106" priority="3622" stopIfTrue="1" operator="equal">
      <formula>"Napkin Hs"</formula>
    </cfRule>
    <cfRule type="cellIs" dxfId="3105" priority="3627" stopIfTrue="1" operator="equal">
      <formula>"Towel"</formula>
    </cfRule>
    <cfRule type="cellIs" dxfId="3104" priority="3628" stopIfTrue="1" operator="equal">
      <formula>"Napkin Hs"</formula>
    </cfRule>
  </conditionalFormatting>
  <conditionalFormatting sqref="B82:C82">
    <cfRule type="cellIs" dxfId="3103" priority="3631" stopIfTrue="1" operator="equal">
      <formula>"Towel"</formula>
    </cfRule>
    <cfRule type="cellIs" dxfId="3102" priority="3632" stopIfTrue="1" operator="equal">
      <formula>"Napkin Hs"</formula>
    </cfRule>
    <cfRule type="cellIs" dxfId="3101" priority="3637" stopIfTrue="1" operator="equal">
      <formula>"Towel"</formula>
    </cfRule>
    <cfRule type="cellIs" dxfId="3100" priority="3638" stopIfTrue="1" operator="equal">
      <formula>"Napkin Hs"</formula>
    </cfRule>
    <cfRule type="cellIs" dxfId="3099" priority="3643" stopIfTrue="1" operator="equal">
      <formula>"Towel"</formula>
    </cfRule>
    <cfRule type="cellIs" dxfId="3098" priority="3644" stopIfTrue="1" operator="equal">
      <formula>"Napkin Hs"</formula>
    </cfRule>
    <cfRule type="cellIs" dxfId="3097" priority="3649" stopIfTrue="1" operator="equal">
      <formula>"Towel"</formula>
    </cfRule>
    <cfRule type="cellIs" dxfId="3096" priority="3650" stopIfTrue="1" operator="equal">
      <formula>"Napkin Hs"</formula>
    </cfRule>
    <cfRule type="cellIs" dxfId="3095" priority="3655" stopIfTrue="1" operator="equal">
      <formula>"Towel"</formula>
    </cfRule>
    <cfRule type="cellIs" dxfId="3094" priority="3656" stopIfTrue="1" operator="equal">
      <formula>"Napkin Hs"</formula>
    </cfRule>
    <cfRule type="cellIs" dxfId="3093" priority="3661" stopIfTrue="1" operator="equal">
      <formula>"Towel"</formula>
    </cfRule>
    <cfRule type="cellIs" dxfId="3092" priority="3662" stopIfTrue="1" operator="equal">
      <formula>"Napkin Hs"</formula>
    </cfRule>
  </conditionalFormatting>
  <conditionalFormatting sqref="C78">
    <cfRule type="cellIs" dxfId="3091" priority="3663" stopIfTrue="1" operator="equal">
      <formula>"Towel"</formula>
    </cfRule>
    <cfRule type="cellIs" dxfId="3090" priority="3664" stopIfTrue="1" operator="equal">
      <formula>"Napkin Hs"</formula>
    </cfRule>
  </conditionalFormatting>
  <conditionalFormatting sqref="C78">
    <cfRule type="cellIs" dxfId="3089" priority="3665" stopIfTrue="1" operator="equal">
      <formula>"Towel"</formula>
    </cfRule>
    <cfRule type="cellIs" dxfId="3088" priority="3666" stopIfTrue="1" operator="equal">
      <formula>"Napkin Hs"</formula>
    </cfRule>
    <cfRule type="cellIs" dxfId="3087" priority="3669" stopIfTrue="1" operator="equal">
      <formula>"Towel"</formula>
    </cfRule>
    <cfRule type="cellIs" dxfId="3086" priority="3670" stopIfTrue="1" operator="equal">
      <formula>"Napkin Hs"</formula>
    </cfRule>
    <cfRule type="cellIs" dxfId="3085" priority="3671" stopIfTrue="1" operator="equal">
      <formula>"Towel"</formula>
    </cfRule>
    <cfRule type="cellIs" dxfId="3084" priority="3672" stopIfTrue="1" operator="equal">
      <formula>"Napkin Hs"</formula>
    </cfRule>
    <cfRule type="cellIs" dxfId="3083" priority="3675" stopIfTrue="1" operator="equal">
      <formula>"Towel"</formula>
    </cfRule>
    <cfRule type="cellIs" dxfId="3082" priority="3676" stopIfTrue="1" operator="equal">
      <formula>"Napkin Hs"</formula>
    </cfRule>
    <cfRule type="cellIs" dxfId="3081" priority="3677" stopIfTrue="1" operator="equal">
      <formula>"Towel"</formula>
    </cfRule>
    <cfRule type="cellIs" dxfId="3080" priority="3678" stopIfTrue="1" operator="equal">
      <formula>"Napkin Hs"</formula>
    </cfRule>
    <cfRule type="cellIs" dxfId="3079" priority="3681" stopIfTrue="1" operator="equal">
      <formula>"Towel"</formula>
    </cfRule>
    <cfRule type="cellIs" dxfId="3078" priority="3682" stopIfTrue="1" operator="equal">
      <formula>"Napkin Hs"</formula>
    </cfRule>
    <cfRule type="cellIs" dxfId="3077" priority="3683" stopIfTrue="1" operator="equal">
      <formula>"Towel"</formula>
    </cfRule>
    <cfRule type="cellIs" dxfId="3076" priority="3684" stopIfTrue="1" operator="equal">
      <formula>"Napkin Hs"</formula>
    </cfRule>
    <cfRule type="cellIs" dxfId="3075" priority="3687" stopIfTrue="1" operator="equal">
      <formula>"Towel"</formula>
    </cfRule>
    <cfRule type="cellIs" dxfId="3074" priority="3688" stopIfTrue="1" operator="equal">
      <formula>"Napkin Hs"</formula>
    </cfRule>
    <cfRule type="cellIs" dxfId="3073" priority="3689" stopIfTrue="1" operator="equal">
      <formula>"Towel"</formula>
    </cfRule>
    <cfRule type="cellIs" dxfId="3072" priority="3690" stopIfTrue="1" operator="equal">
      <formula>"Napkin Hs"</formula>
    </cfRule>
    <cfRule type="cellIs" dxfId="3071" priority="3693" stopIfTrue="1" operator="equal">
      <formula>"Towel"</formula>
    </cfRule>
    <cfRule type="cellIs" dxfId="3070" priority="3694" stopIfTrue="1" operator="equal">
      <formula>"Napkin Hs"</formula>
    </cfRule>
  </conditionalFormatting>
  <conditionalFormatting sqref="C78:C79">
    <cfRule type="cellIs" dxfId="3069" priority="3695" stopIfTrue="1" operator="equal">
      <formula>"Towel"</formula>
    </cfRule>
    <cfRule type="cellIs" dxfId="3068" priority="3696" stopIfTrue="1" operator="equal">
      <formula>"Napkin Hs"</formula>
    </cfRule>
  </conditionalFormatting>
  <conditionalFormatting sqref="C79">
    <cfRule type="cellIs" dxfId="3067" priority="3699" stopIfTrue="1" operator="equal">
      <formula>"Towel"</formula>
    </cfRule>
    <cfRule type="cellIs" dxfId="3066" priority="3700" stopIfTrue="1" operator="equal">
      <formula>"Napkin Hs"</formula>
    </cfRule>
  </conditionalFormatting>
  <conditionalFormatting sqref="C80">
    <cfRule type="cellIs" dxfId="3065" priority="3535" stopIfTrue="1" operator="equal">
      <formula>"Towel"</formula>
    </cfRule>
    <cfRule type="cellIs" dxfId="3064" priority="3536" stopIfTrue="1" operator="equal">
      <formula>"Napkin Hs"</formula>
    </cfRule>
    <cfRule type="cellIs" dxfId="3063" priority="3537" stopIfTrue="1" operator="equal">
      <formula>"Towel"</formula>
    </cfRule>
    <cfRule type="cellIs" dxfId="3062" priority="3538" stopIfTrue="1" operator="equal">
      <formula>"Napkin Hs"</formula>
    </cfRule>
    <cfRule type="cellIs" dxfId="3061" priority="3541" stopIfTrue="1" operator="equal">
      <formula>"Towel"</formula>
    </cfRule>
    <cfRule type="cellIs" dxfId="3060" priority="3542" stopIfTrue="1" operator="equal">
      <formula>"Napkin Hs"</formula>
    </cfRule>
    <cfRule type="cellIs" dxfId="3059" priority="3543" stopIfTrue="1" operator="equal">
      <formula>"Towel"</formula>
    </cfRule>
    <cfRule type="cellIs" dxfId="3058" priority="3544" stopIfTrue="1" operator="equal">
      <formula>"Napkin Hs"</formula>
    </cfRule>
    <cfRule type="cellIs" dxfId="3057" priority="3547" stopIfTrue="1" operator="equal">
      <formula>"Towel"</formula>
    </cfRule>
    <cfRule type="cellIs" dxfId="3056" priority="3548" stopIfTrue="1" operator="equal">
      <formula>"Napkin Hs"</formula>
    </cfRule>
    <cfRule type="cellIs" dxfId="3055" priority="3549" stopIfTrue="1" operator="equal">
      <formula>"Towel"</formula>
    </cfRule>
    <cfRule type="cellIs" dxfId="3054" priority="3550" stopIfTrue="1" operator="equal">
      <formula>"Napkin Hs"</formula>
    </cfRule>
    <cfRule type="cellIs" dxfId="3053" priority="3553" stopIfTrue="1" operator="equal">
      <formula>"Towel"</formula>
    </cfRule>
    <cfRule type="cellIs" dxfId="3052" priority="3554" stopIfTrue="1" operator="equal">
      <formula>"Napkin Hs"</formula>
    </cfRule>
    <cfRule type="cellIs" dxfId="3051" priority="3555" stopIfTrue="1" operator="equal">
      <formula>"Towel"</formula>
    </cfRule>
    <cfRule type="cellIs" dxfId="3050" priority="3556" stopIfTrue="1" operator="equal">
      <formula>"Napkin Hs"</formula>
    </cfRule>
    <cfRule type="cellIs" dxfId="3049" priority="3559" stopIfTrue="1" operator="equal">
      <formula>"Towel"</formula>
    </cfRule>
    <cfRule type="cellIs" dxfId="3048" priority="3560" stopIfTrue="1" operator="equal">
      <formula>"Napkin Hs"</formula>
    </cfRule>
    <cfRule type="cellIs" dxfId="3047" priority="3561" stopIfTrue="1" operator="equal">
      <formula>"Towel"</formula>
    </cfRule>
    <cfRule type="cellIs" dxfId="3046" priority="3562" stopIfTrue="1" operator="equal">
      <formula>"Napkin Hs"</formula>
    </cfRule>
    <cfRule type="cellIs" dxfId="3045" priority="3565" stopIfTrue="1" operator="equal">
      <formula>"Towel"</formula>
    </cfRule>
    <cfRule type="cellIs" dxfId="3044" priority="3566" stopIfTrue="1" operator="equal">
      <formula>"Napkin Hs"</formula>
    </cfRule>
    <cfRule type="cellIs" dxfId="3043" priority="3567" stopIfTrue="1" operator="equal">
      <formula>"Towel"</formula>
    </cfRule>
    <cfRule type="cellIs" dxfId="3042" priority="3568" stopIfTrue="1" operator="equal">
      <formula>"Napkin Hs"</formula>
    </cfRule>
    <cfRule type="cellIs" dxfId="3041" priority="3571" stopIfTrue="1" operator="equal">
      <formula>"Towel"</formula>
    </cfRule>
    <cfRule type="cellIs" dxfId="3040" priority="3572" stopIfTrue="1" operator="equal">
      <formula>"Napkin Hs"</formula>
    </cfRule>
    <cfRule type="cellIs" dxfId="3039" priority="3573" stopIfTrue="1" operator="equal">
      <formula>"Towel"</formula>
    </cfRule>
    <cfRule type="cellIs" dxfId="3038" priority="3574" stopIfTrue="1" operator="equal">
      <formula>"Napkin Hs"</formula>
    </cfRule>
    <cfRule type="cellIs" dxfId="3037" priority="3577" stopIfTrue="1" operator="equal">
      <formula>"Towel"</formula>
    </cfRule>
    <cfRule type="cellIs" dxfId="3036" priority="3578" stopIfTrue="1" operator="equal">
      <formula>"Napkin Hs"</formula>
    </cfRule>
  </conditionalFormatting>
  <conditionalFormatting sqref="C80:C81">
    <cfRule type="cellIs" dxfId="3035" priority="3579" stopIfTrue="1" operator="equal">
      <formula>"Towel"</formula>
    </cfRule>
    <cfRule type="cellIs" dxfId="3034" priority="3580" stopIfTrue="1" operator="equal">
      <formula>"Napkin Hs"</formula>
    </cfRule>
  </conditionalFormatting>
  <conditionalFormatting sqref="C81">
    <cfRule type="cellIs" dxfId="3033" priority="3583" stopIfTrue="1" operator="equal">
      <formula>"Towel"</formula>
    </cfRule>
    <cfRule type="cellIs" dxfId="3032" priority="3584" stopIfTrue="1" operator="equal">
      <formula>"Napkin Hs"</formula>
    </cfRule>
    <cfRule type="cellIs" dxfId="3031" priority="3587" stopIfTrue="1" operator="equal">
      <formula>"Towel"</formula>
    </cfRule>
    <cfRule type="cellIs" dxfId="3030" priority="3588" stopIfTrue="1" operator="equal">
      <formula>"Napkin Hs"</formula>
    </cfRule>
    <cfRule type="cellIs" dxfId="3029" priority="3589" stopIfTrue="1" operator="equal">
      <formula>"Towel"</formula>
    </cfRule>
    <cfRule type="cellIs" dxfId="3028" priority="3590" stopIfTrue="1" operator="equal">
      <formula>"Napkin Hs"</formula>
    </cfRule>
    <cfRule type="cellIs" dxfId="3027" priority="3593" stopIfTrue="1" operator="equal">
      <formula>"Towel"</formula>
    </cfRule>
    <cfRule type="cellIs" dxfId="3026" priority="3594" stopIfTrue="1" operator="equal">
      <formula>"Napkin Hs"</formula>
    </cfRule>
    <cfRule type="cellIs" dxfId="3025" priority="3595" stopIfTrue="1" operator="equal">
      <formula>"Towel"</formula>
    </cfRule>
    <cfRule type="cellIs" dxfId="3024" priority="3596" stopIfTrue="1" operator="equal">
      <formula>"Napkin Hs"</formula>
    </cfRule>
    <cfRule type="cellIs" dxfId="3023" priority="3599" stopIfTrue="1" operator="equal">
      <formula>"Towel"</formula>
    </cfRule>
    <cfRule type="cellIs" dxfId="3022" priority="3600" stopIfTrue="1" operator="equal">
      <formula>"Napkin Hs"</formula>
    </cfRule>
    <cfRule type="cellIs" dxfId="3021" priority="3601" stopIfTrue="1" operator="equal">
      <formula>"Towel"</formula>
    </cfRule>
    <cfRule type="cellIs" dxfId="3020" priority="3602" stopIfTrue="1" operator="equal">
      <formula>"Napkin Hs"</formula>
    </cfRule>
    <cfRule type="cellIs" dxfId="3019" priority="3605" stopIfTrue="1" operator="equal">
      <formula>"Towel"</formula>
    </cfRule>
    <cfRule type="cellIs" dxfId="3018" priority="3606" stopIfTrue="1" operator="equal">
      <formula>"Napkin Hs"</formula>
    </cfRule>
    <cfRule type="cellIs" dxfId="3017" priority="3607" stopIfTrue="1" operator="equal">
      <formula>"Towel"</formula>
    </cfRule>
    <cfRule type="cellIs" dxfId="3016" priority="3608" stopIfTrue="1" operator="equal">
      <formula>"Napkin Hs"</formula>
    </cfRule>
    <cfRule type="cellIs" dxfId="3015" priority="3611" stopIfTrue="1" operator="equal">
      <formula>"Towel"</formula>
    </cfRule>
    <cfRule type="cellIs" dxfId="3014" priority="3612" stopIfTrue="1" operator="equal">
      <formula>"Napkin Hs"</formula>
    </cfRule>
    <cfRule type="cellIs" dxfId="3013" priority="3613" stopIfTrue="1" operator="equal">
      <formula>"Towel"</formula>
    </cfRule>
    <cfRule type="cellIs" dxfId="3012" priority="3614" stopIfTrue="1" operator="equal">
      <formula>"Napkin Hs"</formula>
    </cfRule>
    <cfRule type="cellIs" dxfId="3011" priority="3617" stopIfTrue="1" operator="equal">
      <formula>"Towel"</formula>
    </cfRule>
    <cfRule type="cellIs" dxfId="3010" priority="3618" stopIfTrue="1" operator="equal">
      <formula>"Napkin Hs"</formula>
    </cfRule>
    <cfRule type="cellIs" dxfId="3009" priority="3619" stopIfTrue="1" operator="equal">
      <formula>"Towel"</formula>
    </cfRule>
    <cfRule type="cellIs" dxfId="3008" priority="3620" stopIfTrue="1" operator="equal">
      <formula>"Napkin Hs"</formula>
    </cfRule>
    <cfRule type="cellIs" dxfId="3007" priority="3623" stopIfTrue="1" operator="equal">
      <formula>"Towel"</formula>
    </cfRule>
    <cfRule type="cellIs" dxfId="3006" priority="3624" stopIfTrue="1" operator="equal">
      <formula>"Napkin Hs"</formula>
    </cfRule>
  </conditionalFormatting>
  <conditionalFormatting sqref="C81:C82">
    <cfRule type="cellIs" dxfId="3005" priority="3625" stopIfTrue="1" operator="equal">
      <formula>"Towel"</formula>
    </cfRule>
    <cfRule type="cellIs" dxfId="3004" priority="3626" stopIfTrue="1" operator="equal">
      <formula>"Napkin Hs"</formula>
    </cfRule>
  </conditionalFormatting>
  <conditionalFormatting sqref="C82">
    <cfRule type="cellIs" dxfId="3003" priority="3629" stopIfTrue="1" operator="equal">
      <formula>"Towel"</formula>
    </cfRule>
    <cfRule type="cellIs" dxfId="3002" priority="3630" stopIfTrue="1" operator="equal">
      <formula>"Napkin Hs"</formula>
    </cfRule>
    <cfRule type="cellIs" dxfId="3001" priority="3633" stopIfTrue="1" operator="equal">
      <formula>"Towel"</formula>
    </cfRule>
    <cfRule type="cellIs" dxfId="3000" priority="3634" stopIfTrue="1" operator="equal">
      <formula>"Napkin Hs"</formula>
    </cfRule>
    <cfRule type="cellIs" dxfId="2999" priority="3635" stopIfTrue="1" operator="equal">
      <formula>"Towel"</formula>
    </cfRule>
    <cfRule type="cellIs" dxfId="2998" priority="3636" stopIfTrue="1" operator="equal">
      <formula>"Napkin Hs"</formula>
    </cfRule>
    <cfRule type="cellIs" dxfId="2997" priority="3639" stopIfTrue="1" operator="equal">
      <formula>"Towel"</formula>
    </cfRule>
    <cfRule type="cellIs" dxfId="2996" priority="3640" stopIfTrue="1" operator="equal">
      <formula>"Napkin Hs"</formula>
    </cfRule>
    <cfRule type="cellIs" dxfId="2995" priority="3641" stopIfTrue="1" operator="equal">
      <formula>"Towel"</formula>
    </cfRule>
    <cfRule type="cellIs" dxfId="2994" priority="3642" stopIfTrue="1" operator="equal">
      <formula>"Napkin Hs"</formula>
    </cfRule>
    <cfRule type="cellIs" dxfId="2993" priority="3645" stopIfTrue="1" operator="equal">
      <formula>"Towel"</formula>
    </cfRule>
    <cfRule type="cellIs" dxfId="2992" priority="3646" stopIfTrue="1" operator="equal">
      <formula>"Napkin Hs"</formula>
    </cfRule>
    <cfRule type="cellIs" dxfId="2991" priority="3647" stopIfTrue="1" operator="equal">
      <formula>"Towel"</formula>
    </cfRule>
    <cfRule type="cellIs" dxfId="2990" priority="3648" stopIfTrue="1" operator="equal">
      <formula>"Napkin Hs"</formula>
    </cfRule>
    <cfRule type="cellIs" dxfId="2989" priority="3651" stopIfTrue="1" operator="equal">
      <formula>"Towel"</formula>
    </cfRule>
    <cfRule type="cellIs" dxfId="2988" priority="3652" stopIfTrue="1" operator="equal">
      <formula>"Napkin Hs"</formula>
    </cfRule>
    <cfRule type="cellIs" dxfId="2987" priority="3653" stopIfTrue="1" operator="equal">
      <formula>"Towel"</formula>
    </cfRule>
    <cfRule type="cellIs" dxfId="2986" priority="3654" stopIfTrue="1" operator="equal">
      <formula>"Napkin Hs"</formula>
    </cfRule>
    <cfRule type="cellIs" dxfId="2985" priority="3657" stopIfTrue="1" operator="equal">
      <formula>"Towel"</formula>
    </cfRule>
    <cfRule type="cellIs" dxfId="2984" priority="3658" stopIfTrue="1" operator="equal">
      <formula>"Napkin Hs"</formula>
    </cfRule>
  </conditionalFormatting>
  <conditionalFormatting sqref="C82">
    <cfRule type="cellIs" dxfId="2983" priority="3659" stopIfTrue="1" operator="equal">
      <formula>"Towel"</formula>
    </cfRule>
    <cfRule type="cellIs" dxfId="2982" priority="3660" stopIfTrue="1" operator="equal">
      <formula>"Napkin Hs"</formula>
    </cfRule>
  </conditionalFormatting>
  <conditionalFormatting sqref="B75:C76">
    <cfRule type="cellIs" dxfId="2981" priority="3533" stopIfTrue="1" operator="equal">
      <formula>"Towel"</formula>
    </cfRule>
    <cfRule type="cellIs" dxfId="2980" priority="3534" stopIfTrue="1" operator="equal">
      <formula>"Napkin Hs"</formula>
    </cfRule>
  </conditionalFormatting>
  <conditionalFormatting sqref="B77:C77">
    <cfRule type="cellIs" dxfId="2979" priority="3485" stopIfTrue="1" operator="equal">
      <formula>"Towel"</formula>
    </cfRule>
    <cfRule type="cellIs" dxfId="2978" priority="3486" stopIfTrue="1" operator="equal">
      <formula>"Napkin Hs"</formula>
    </cfRule>
    <cfRule type="cellIs" dxfId="2977" priority="3491" stopIfTrue="1" operator="equal">
      <formula>"Towel"</formula>
    </cfRule>
    <cfRule type="cellIs" dxfId="2976" priority="3492" stopIfTrue="1" operator="equal">
      <formula>"Napkin Hs"</formula>
    </cfRule>
    <cfRule type="cellIs" dxfId="2975" priority="3497" stopIfTrue="1" operator="equal">
      <formula>"Towel"</formula>
    </cfRule>
    <cfRule type="cellIs" dxfId="2974" priority="3498" stopIfTrue="1" operator="equal">
      <formula>"Napkin Hs"</formula>
    </cfRule>
    <cfRule type="cellIs" dxfId="2973" priority="3503" stopIfTrue="1" operator="equal">
      <formula>"Towel"</formula>
    </cfRule>
    <cfRule type="cellIs" dxfId="2972" priority="3504" stopIfTrue="1" operator="equal">
      <formula>"Napkin Hs"</formula>
    </cfRule>
    <cfRule type="cellIs" dxfId="2971" priority="3509" stopIfTrue="1" operator="equal">
      <formula>"Towel"</formula>
    </cfRule>
    <cfRule type="cellIs" dxfId="2970" priority="3510" stopIfTrue="1" operator="equal">
      <formula>"Napkin Hs"</formula>
    </cfRule>
    <cfRule type="cellIs" dxfId="2969" priority="3515" stopIfTrue="1" operator="equal">
      <formula>"Towel"</formula>
    </cfRule>
    <cfRule type="cellIs" dxfId="2968" priority="3516" stopIfTrue="1" operator="equal">
      <formula>"Napkin Hs"</formula>
    </cfRule>
    <cfRule type="cellIs" dxfId="2967" priority="3521" stopIfTrue="1" operator="equal">
      <formula>"Towel"</formula>
    </cfRule>
    <cfRule type="cellIs" dxfId="2966" priority="3522" stopIfTrue="1" operator="equal">
      <formula>"Napkin Hs"</formula>
    </cfRule>
    <cfRule type="cellIs" dxfId="2965" priority="3527" stopIfTrue="1" operator="equal">
      <formula>"Towel"</formula>
    </cfRule>
    <cfRule type="cellIs" dxfId="2964" priority="3528" stopIfTrue="1" operator="equal">
      <formula>"Napkin Hs"</formula>
    </cfRule>
  </conditionalFormatting>
  <conditionalFormatting sqref="C75:C76">
    <cfRule type="cellIs" dxfId="2963" priority="3529" stopIfTrue="1" operator="equal">
      <formula>"Towel"</formula>
    </cfRule>
    <cfRule type="cellIs" dxfId="2962" priority="3530" stopIfTrue="1" operator="equal">
      <formula>"Napkin Hs"</formula>
    </cfRule>
  </conditionalFormatting>
  <conditionalFormatting sqref="C75:C76">
    <cfRule type="cellIs" dxfId="2961" priority="3531" stopIfTrue="1" operator="equal">
      <formula>"Towel"</formula>
    </cfRule>
    <cfRule type="cellIs" dxfId="2960" priority="3532" stopIfTrue="1" operator="equal">
      <formula>"Napkin Hs"</formula>
    </cfRule>
  </conditionalFormatting>
  <conditionalFormatting sqref="C77">
    <cfRule type="cellIs" dxfId="2959" priority="3481" stopIfTrue="1" operator="equal">
      <formula>"Towel"</formula>
    </cfRule>
    <cfRule type="cellIs" dxfId="2958" priority="3482" stopIfTrue="1" operator="equal">
      <formula>"Napkin Hs"</formula>
    </cfRule>
  </conditionalFormatting>
  <conditionalFormatting sqref="C77">
    <cfRule type="cellIs" dxfId="2957" priority="3483" stopIfTrue="1" operator="equal">
      <formula>"Towel"</formula>
    </cfRule>
    <cfRule type="cellIs" dxfId="2956" priority="3484" stopIfTrue="1" operator="equal">
      <formula>"Napkin Hs"</formula>
    </cfRule>
    <cfRule type="cellIs" dxfId="2955" priority="3487" stopIfTrue="1" operator="equal">
      <formula>"Towel"</formula>
    </cfRule>
    <cfRule type="cellIs" dxfId="2954" priority="3488" stopIfTrue="1" operator="equal">
      <formula>"Napkin Hs"</formula>
    </cfRule>
    <cfRule type="cellIs" dxfId="2953" priority="3489" stopIfTrue="1" operator="equal">
      <formula>"Towel"</formula>
    </cfRule>
    <cfRule type="cellIs" dxfId="2952" priority="3490" stopIfTrue="1" operator="equal">
      <formula>"Napkin Hs"</formula>
    </cfRule>
    <cfRule type="cellIs" dxfId="2951" priority="3493" stopIfTrue="1" operator="equal">
      <formula>"Towel"</formula>
    </cfRule>
    <cfRule type="cellIs" dxfId="2950" priority="3494" stopIfTrue="1" operator="equal">
      <formula>"Napkin Hs"</formula>
    </cfRule>
    <cfRule type="cellIs" dxfId="2949" priority="3495" stopIfTrue="1" operator="equal">
      <formula>"Towel"</formula>
    </cfRule>
    <cfRule type="cellIs" dxfId="2948" priority="3496" stopIfTrue="1" operator="equal">
      <formula>"Napkin Hs"</formula>
    </cfRule>
    <cfRule type="cellIs" dxfId="2947" priority="3499" stopIfTrue="1" operator="equal">
      <formula>"Towel"</formula>
    </cfRule>
    <cfRule type="cellIs" dxfId="2946" priority="3500" stopIfTrue="1" operator="equal">
      <formula>"Napkin Hs"</formula>
    </cfRule>
    <cfRule type="cellIs" dxfId="2945" priority="3501" stopIfTrue="1" operator="equal">
      <formula>"Towel"</formula>
    </cfRule>
    <cfRule type="cellIs" dxfId="2944" priority="3502" stopIfTrue="1" operator="equal">
      <formula>"Napkin Hs"</formula>
    </cfRule>
    <cfRule type="cellIs" dxfId="2943" priority="3505" stopIfTrue="1" operator="equal">
      <formula>"Towel"</formula>
    </cfRule>
    <cfRule type="cellIs" dxfId="2942" priority="3506" stopIfTrue="1" operator="equal">
      <formula>"Napkin Hs"</formula>
    </cfRule>
    <cfRule type="cellIs" dxfId="2941" priority="3507" stopIfTrue="1" operator="equal">
      <formula>"Towel"</formula>
    </cfRule>
    <cfRule type="cellIs" dxfId="2940" priority="3508" stopIfTrue="1" operator="equal">
      <formula>"Napkin Hs"</formula>
    </cfRule>
    <cfRule type="cellIs" dxfId="2939" priority="3511" stopIfTrue="1" operator="equal">
      <formula>"Towel"</formula>
    </cfRule>
    <cfRule type="cellIs" dxfId="2938" priority="3512" stopIfTrue="1" operator="equal">
      <formula>"Napkin Hs"</formula>
    </cfRule>
    <cfRule type="cellIs" dxfId="2937" priority="3513" stopIfTrue="1" operator="equal">
      <formula>"Towel"</formula>
    </cfRule>
    <cfRule type="cellIs" dxfId="2936" priority="3514" stopIfTrue="1" operator="equal">
      <formula>"Napkin Hs"</formula>
    </cfRule>
    <cfRule type="cellIs" dxfId="2935" priority="3517" stopIfTrue="1" operator="equal">
      <formula>"Towel"</formula>
    </cfRule>
    <cfRule type="cellIs" dxfId="2934" priority="3518" stopIfTrue="1" operator="equal">
      <formula>"Napkin Hs"</formula>
    </cfRule>
  </conditionalFormatting>
  <conditionalFormatting sqref="C77">
    <cfRule type="cellIs" dxfId="2933" priority="3519" stopIfTrue="1" operator="equal">
      <formula>"Towel"</formula>
    </cfRule>
    <cfRule type="cellIs" dxfId="2932" priority="3520" stopIfTrue="1" operator="equal">
      <formula>"Napkin Hs"</formula>
    </cfRule>
    <cfRule type="cellIs" dxfId="2931" priority="3523" stopIfTrue="1" operator="equal">
      <formula>"Towel"</formula>
    </cfRule>
    <cfRule type="cellIs" dxfId="2930" priority="3524" stopIfTrue="1" operator="equal">
      <formula>"Napkin Hs"</formula>
    </cfRule>
    <cfRule type="cellIs" dxfId="2929" priority="3525" stopIfTrue="1" operator="equal">
      <formula>"Towel"</formula>
    </cfRule>
    <cfRule type="cellIs" dxfId="2928" priority="3526" stopIfTrue="1" operator="equal">
      <formula>"Napkin Hs"</formula>
    </cfRule>
  </conditionalFormatting>
  <conditionalFormatting sqref="B75:C76">
    <cfRule type="cellIs" dxfId="2927" priority="3437" stopIfTrue="1" operator="equal">
      <formula>"Towel"</formula>
    </cfRule>
    <cfRule type="cellIs" dxfId="2926" priority="3438" stopIfTrue="1" operator="equal">
      <formula>"Napkin Hs"</formula>
    </cfRule>
    <cfRule type="cellIs" dxfId="2925" priority="3443" stopIfTrue="1" operator="equal">
      <formula>"Towel"</formula>
    </cfRule>
    <cfRule type="cellIs" dxfId="2924" priority="3444" stopIfTrue="1" operator="equal">
      <formula>"Napkin Hs"</formula>
    </cfRule>
    <cfRule type="cellIs" dxfId="2923" priority="3449" stopIfTrue="1" operator="equal">
      <formula>"Towel"</formula>
    </cfRule>
    <cfRule type="cellIs" dxfId="2922" priority="3450" stopIfTrue="1" operator="equal">
      <formula>"Napkin Hs"</formula>
    </cfRule>
    <cfRule type="cellIs" dxfId="2921" priority="3455" stopIfTrue="1" operator="equal">
      <formula>"Towel"</formula>
    </cfRule>
    <cfRule type="cellIs" dxfId="2920" priority="3456" stopIfTrue="1" operator="equal">
      <formula>"Napkin Hs"</formula>
    </cfRule>
    <cfRule type="cellIs" dxfId="2919" priority="3461" stopIfTrue="1" operator="equal">
      <formula>"Towel"</formula>
    </cfRule>
    <cfRule type="cellIs" dxfId="2918" priority="3462" stopIfTrue="1" operator="equal">
      <formula>"Napkin Hs"</formula>
    </cfRule>
    <cfRule type="cellIs" dxfId="2917" priority="3467" stopIfTrue="1" operator="equal">
      <formula>"Towel"</formula>
    </cfRule>
    <cfRule type="cellIs" dxfId="2916" priority="3468" stopIfTrue="1" operator="equal">
      <formula>"Napkin Hs"</formula>
    </cfRule>
    <cfRule type="cellIs" dxfId="2915" priority="3473" stopIfTrue="1" operator="equal">
      <formula>"Towel"</formula>
    </cfRule>
    <cfRule type="cellIs" dxfId="2914" priority="3474" stopIfTrue="1" operator="equal">
      <formula>"Napkin Hs"</formula>
    </cfRule>
    <cfRule type="cellIs" dxfId="2913" priority="3479" stopIfTrue="1" operator="equal">
      <formula>"Towel"</formula>
    </cfRule>
    <cfRule type="cellIs" dxfId="2912" priority="3480" stopIfTrue="1" operator="equal">
      <formula>"Napkin Hs"</formula>
    </cfRule>
  </conditionalFormatting>
  <conditionalFormatting sqref="C75:C76">
    <cfRule type="cellIs" dxfId="2911" priority="3433" stopIfTrue="1" operator="equal">
      <formula>"Towel"</formula>
    </cfRule>
    <cfRule type="cellIs" dxfId="2910" priority="3434" stopIfTrue="1" operator="equal">
      <formula>"Napkin Hs"</formula>
    </cfRule>
    <cfRule type="cellIs" dxfId="2909" priority="3435" stopIfTrue="1" operator="equal">
      <formula>"Towel"</formula>
    </cfRule>
    <cfRule type="cellIs" dxfId="2908" priority="3436" stopIfTrue="1" operator="equal">
      <formula>"Napkin Hs"</formula>
    </cfRule>
    <cfRule type="cellIs" dxfId="2907" priority="3439" stopIfTrue="1" operator="equal">
      <formula>"Towel"</formula>
    </cfRule>
    <cfRule type="cellIs" dxfId="2906" priority="3440" stopIfTrue="1" operator="equal">
      <formula>"Napkin Hs"</formula>
    </cfRule>
    <cfRule type="cellIs" dxfId="2905" priority="3441" stopIfTrue="1" operator="equal">
      <formula>"Towel"</formula>
    </cfRule>
    <cfRule type="cellIs" dxfId="2904" priority="3442" stopIfTrue="1" operator="equal">
      <formula>"Napkin Hs"</formula>
    </cfRule>
    <cfRule type="cellIs" dxfId="2903" priority="3445" stopIfTrue="1" operator="equal">
      <formula>"Towel"</formula>
    </cfRule>
    <cfRule type="cellIs" dxfId="2902" priority="3446" stopIfTrue="1" operator="equal">
      <formula>"Napkin Hs"</formula>
    </cfRule>
    <cfRule type="cellIs" dxfId="2901" priority="3447" stopIfTrue="1" operator="equal">
      <formula>"Towel"</formula>
    </cfRule>
    <cfRule type="cellIs" dxfId="2900" priority="3448" stopIfTrue="1" operator="equal">
      <formula>"Napkin Hs"</formula>
    </cfRule>
    <cfRule type="cellIs" dxfId="2899" priority="3451" stopIfTrue="1" operator="equal">
      <formula>"Towel"</formula>
    </cfRule>
    <cfRule type="cellIs" dxfId="2898" priority="3452" stopIfTrue="1" operator="equal">
      <formula>"Napkin Hs"</formula>
    </cfRule>
    <cfRule type="cellIs" dxfId="2897" priority="3453" stopIfTrue="1" operator="equal">
      <formula>"Towel"</formula>
    </cfRule>
    <cfRule type="cellIs" dxfId="2896" priority="3454" stopIfTrue="1" operator="equal">
      <formula>"Napkin Hs"</formula>
    </cfRule>
    <cfRule type="cellIs" dxfId="2895" priority="3457" stopIfTrue="1" operator="equal">
      <formula>"Towel"</formula>
    </cfRule>
    <cfRule type="cellIs" dxfId="2894" priority="3458" stopIfTrue="1" operator="equal">
      <formula>"Napkin Hs"</formula>
    </cfRule>
    <cfRule type="cellIs" dxfId="2893" priority="3459" stopIfTrue="1" operator="equal">
      <formula>"Towel"</formula>
    </cfRule>
    <cfRule type="cellIs" dxfId="2892" priority="3460" stopIfTrue="1" operator="equal">
      <formula>"Napkin Hs"</formula>
    </cfRule>
    <cfRule type="cellIs" dxfId="2891" priority="3463" stopIfTrue="1" operator="equal">
      <formula>"Towel"</formula>
    </cfRule>
    <cfRule type="cellIs" dxfId="2890" priority="3464" stopIfTrue="1" operator="equal">
      <formula>"Napkin Hs"</formula>
    </cfRule>
    <cfRule type="cellIs" dxfId="2889" priority="3465" stopIfTrue="1" operator="equal">
      <formula>"Towel"</formula>
    </cfRule>
    <cfRule type="cellIs" dxfId="2888" priority="3466" stopIfTrue="1" operator="equal">
      <formula>"Napkin Hs"</formula>
    </cfRule>
    <cfRule type="cellIs" dxfId="2887" priority="3469" stopIfTrue="1" operator="equal">
      <formula>"Towel"</formula>
    </cfRule>
    <cfRule type="cellIs" dxfId="2886" priority="3470" stopIfTrue="1" operator="equal">
      <formula>"Napkin Hs"</formula>
    </cfRule>
    <cfRule type="cellIs" dxfId="2885" priority="3471" stopIfTrue="1" operator="equal">
      <formula>"Towel"</formula>
    </cfRule>
    <cfRule type="cellIs" dxfId="2884" priority="3472" stopIfTrue="1" operator="equal">
      <formula>"Napkin Hs"</formula>
    </cfRule>
    <cfRule type="cellIs" dxfId="2883" priority="3475" stopIfTrue="1" operator="equal">
      <formula>"Towel"</formula>
    </cfRule>
    <cfRule type="cellIs" dxfId="2882" priority="3476" stopIfTrue="1" operator="equal">
      <formula>"Napkin Hs"</formula>
    </cfRule>
  </conditionalFormatting>
  <conditionalFormatting sqref="C75:C76">
    <cfRule type="cellIs" dxfId="2881" priority="3477" stopIfTrue="1" operator="equal">
      <formula>"Towel"</formula>
    </cfRule>
    <cfRule type="cellIs" dxfId="2880" priority="3478" stopIfTrue="1" operator="equal">
      <formula>"Napkin Hs"</formula>
    </cfRule>
  </conditionalFormatting>
  <conditionalFormatting sqref="B75:C76">
    <cfRule type="cellIs" dxfId="2879" priority="3353" stopIfTrue="1" operator="equal">
      <formula>"Towel"</formula>
    </cfRule>
    <cfRule type="cellIs" dxfId="2878" priority="3354" stopIfTrue="1" operator="equal">
      <formula>"Napkin Hs"</formula>
    </cfRule>
    <cfRule type="cellIs" dxfId="2877" priority="3359" stopIfTrue="1" operator="equal">
      <formula>"Towel"</formula>
    </cfRule>
    <cfRule type="cellIs" dxfId="2876" priority="3360" stopIfTrue="1" operator="equal">
      <formula>"Napkin Hs"</formula>
    </cfRule>
    <cfRule type="cellIs" dxfId="2875" priority="3365" stopIfTrue="1" operator="equal">
      <formula>"Towel"</formula>
    </cfRule>
    <cfRule type="cellIs" dxfId="2874" priority="3366" stopIfTrue="1" operator="equal">
      <formula>"Napkin Hs"</formula>
    </cfRule>
    <cfRule type="cellIs" dxfId="2873" priority="3371" stopIfTrue="1" operator="equal">
      <formula>"Towel"</formula>
    </cfRule>
    <cfRule type="cellIs" dxfId="2872" priority="3372" stopIfTrue="1" operator="equal">
      <formula>"Napkin Hs"</formula>
    </cfRule>
    <cfRule type="cellIs" dxfId="2871" priority="3377" stopIfTrue="1" operator="equal">
      <formula>"Towel"</formula>
    </cfRule>
    <cfRule type="cellIs" dxfId="2870" priority="3378" stopIfTrue="1" operator="equal">
      <formula>"Napkin Hs"</formula>
    </cfRule>
    <cfRule type="cellIs" dxfId="2869" priority="3383" stopIfTrue="1" operator="equal">
      <formula>"Towel"</formula>
    </cfRule>
    <cfRule type="cellIs" dxfId="2868" priority="3384" stopIfTrue="1" operator="equal">
      <formula>"Napkin Hs"</formula>
    </cfRule>
    <cfRule type="cellIs" dxfId="2867" priority="3389" stopIfTrue="1" operator="equal">
      <formula>"Towel"</formula>
    </cfRule>
    <cfRule type="cellIs" dxfId="2866" priority="3390" stopIfTrue="1" operator="equal">
      <formula>"Napkin Hs"</formula>
    </cfRule>
    <cfRule type="cellIs" dxfId="2865" priority="3395" stopIfTrue="1" operator="equal">
      <formula>"Towel"</formula>
    </cfRule>
    <cfRule type="cellIs" dxfId="2864" priority="3396" stopIfTrue="1" operator="equal">
      <formula>"Napkin Hs"</formula>
    </cfRule>
  </conditionalFormatting>
  <conditionalFormatting sqref="B77:C77">
    <cfRule type="cellIs" dxfId="2863" priority="3401" stopIfTrue="1" operator="equal">
      <formula>"Towel"</formula>
    </cfRule>
    <cfRule type="cellIs" dxfId="2862" priority="3402" stopIfTrue="1" operator="equal">
      <formula>"Napkin Hs"</formula>
    </cfRule>
    <cfRule type="cellIs" dxfId="2861" priority="3407" stopIfTrue="1" operator="equal">
      <formula>"Towel"</formula>
    </cfRule>
    <cfRule type="cellIs" dxfId="2860" priority="3408" stopIfTrue="1" operator="equal">
      <formula>"Napkin Hs"</formula>
    </cfRule>
    <cfRule type="cellIs" dxfId="2859" priority="3413" stopIfTrue="1" operator="equal">
      <formula>"Towel"</formula>
    </cfRule>
    <cfRule type="cellIs" dxfId="2858" priority="3414" stopIfTrue="1" operator="equal">
      <formula>"Napkin Hs"</formula>
    </cfRule>
    <cfRule type="cellIs" dxfId="2857" priority="3419" stopIfTrue="1" operator="equal">
      <formula>"Towel"</formula>
    </cfRule>
    <cfRule type="cellIs" dxfId="2856" priority="3420" stopIfTrue="1" operator="equal">
      <formula>"Napkin Hs"</formula>
    </cfRule>
    <cfRule type="cellIs" dxfId="2855" priority="3425" stopIfTrue="1" operator="equal">
      <formula>"Towel"</formula>
    </cfRule>
    <cfRule type="cellIs" dxfId="2854" priority="3426" stopIfTrue="1" operator="equal">
      <formula>"Napkin Hs"</formula>
    </cfRule>
    <cfRule type="cellIs" dxfId="2853" priority="3431" stopIfTrue="1" operator="equal">
      <formula>"Towel"</formula>
    </cfRule>
    <cfRule type="cellIs" dxfId="2852" priority="3432" stopIfTrue="1" operator="equal">
      <formula>"Napkin Hs"</formula>
    </cfRule>
  </conditionalFormatting>
  <conditionalFormatting sqref="C75:C76">
    <cfRule type="cellIs" dxfId="2851" priority="3349" stopIfTrue="1" operator="equal">
      <formula>"Towel"</formula>
    </cfRule>
    <cfRule type="cellIs" dxfId="2850" priority="3350" stopIfTrue="1" operator="equal">
      <formula>"Napkin Hs"</formula>
    </cfRule>
    <cfRule type="cellIs" dxfId="2849" priority="3351" stopIfTrue="1" operator="equal">
      <formula>"Towel"</formula>
    </cfRule>
    <cfRule type="cellIs" dxfId="2848" priority="3352" stopIfTrue="1" operator="equal">
      <formula>"Napkin Hs"</formula>
    </cfRule>
    <cfRule type="cellIs" dxfId="2847" priority="3355" stopIfTrue="1" operator="equal">
      <formula>"Towel"</formula>
    </cfRule>
    <cfRule type="cellIs" dxfId="2846" priority="3356" stopIfTrue="1" operator="equal">
      <formula>"Napkin Hs"</formula>
    </cfRule>
    <cfRule type="cellIs" dxfId="2845" priority="3357" stopIfTrue="1" operator="equal">
      <formula>"Towel"</formula>
    </cfRule>
    <cfRule type="cellIs" dxfId="2844" priority="3358" stopIfTrue="1" operator="equal">
      <formula>"Napkin Hs"</formula>
    </cfRule>
    <cfRule type="cellIs" dxfId="2843" priority="3361" stopIfTrue="1" operator="equal">
      <formula>"Towel"</formula>
    </cfRule>
    <cfRule type="cellIs" dxfId="2842" priority="3362" stopIfTrue="1" operator="equal">
      <formula>"Napkin Hs"</formula>
    </cfRule>
    <cfRule type="cellIs" dxfId="2841" priority="3363" stopIfTrue="1" operator="equal">
      <formula>"Towel"</formula>
    </cfRule>
    <cfRule type="cellIs" dxfId="2840" priority="3364" stopIfTrue="1" operator="equal">
      <formula>"Napkin Hs"</formula>
    </cfRule>
    <cfRule type="cellIs" dxfId="2839" priority="3367" stopIfTrue="1" operator="equal">
      <formula>"Towel"</formula>
    </cfRule>
    <cfRule type="cellIs" dxfId="2838" priority="3368" stopIfTrue="1" operator="equal">
      <formula>"Napkin Hs"</formula>
    </cfRule>
    <cfRule type="cellIs" dxfId="2837" priority="3369" stopIfTrue="1" operator="equal">
      <formula>"Towel"</formula>
    </cfRule>
    <cfRule type="cellIs" dxfId="2836" priority="3370" stopIfTrue="1" operator="equal">
      <formula>"Napkin Hs"</formula>
    </cfRule>
    <cfRule type="cellIs" dxfId="2835" priority="3373" stopIfTrue="1" operator="equal">
      <formula>"Towel"</formula>
    </cfRule>
    <cfRule type="cellIs" dxfId="2834" priority="3374" stopIfTrue="1" operator="equal">
      <formula>"Napkin Hs"</formula>
    </cfRule>
    <cfRule type="cellIs" dxfId="2833" priority="3375" stopIfTrue="1" operator="equal">
      <formula>"Towel"</formula>
    </cfRule>
    <cfRule type="cellIs" dxfId="2832" priority="3376" stopIfTrue="1" operator="equal">
      <formula>"Napkin Hs"</formula>
    </cfRule>
    <cfRule type="cellIs" dxfId="2831" priority="3379" stopIfTrue="1" operator="equal">
      <formula>"Towel"</formula>
    </cfRule>
    <cfRule type="cellIs" dxfId="2830" priority="3380" stopIfTrue="1" operator="equal">
      <formula>"Napkin Hs"</formula>
    </cfRule>
    <cfRule type="cellIs" dxfId="2829" priority="3381" stopIfTrue="1" operator="equal">
      <formula>"Towel"</formula>
    </cfRule>
    <cfRule type="cellIs" dxfId="2828" priority="3382" stopIfTrue="1" operator="equal">
      <formula>"Napkin Hs"</formula>
    </cfRule>
    <cfRule type="cellIs" dxfId="2827" priority="3385" stopIfTrue="1" operator="equal">
      <formula>"Towel"</formula>
    </cfRule>
    <cfRule type="cellIs" dxfId="2826" priority="3386" stopIfTrue="1" operator="equal">
      <formula>"Napkin Hs"</formula>
    </cfRule>
    <cfRule type="cellIs" dxfId="2825" priority="3387" stopIfTrue="1" operator="equal">
      <formula>"Towel"</formula>
    </cfRule>
    <cfRule type="cellIs" dxfId="2824" priority="3388" stopIfTrue="1" operator="equal">
      <formula>"Napkin Hs"</formula>
    </cfRule>
    <cfRule type="cellIs" dxfId="2823" priority="3391" stopIfTrue="1" operator="equal">
      <formula>"Towel"</formula>
    </cfRule>
    <cfRule type="cellIs" dxfId="2822" priority="3392" stopIfTrue="1" operator="equal">
      <formula>"Napkin Hs"</formula>
    </cfRule>
  </conditionalFormatting>
  <conditionalFormatting sqref="C75:C76">
    <cfRule type="cellIs" dxfId="2821" priority="3393" stopIfTrue="1" operator="equal">
      <formula>"Towel"</formula>
    </cfRule>
    <cfRule type="cellIs" dxfId="2820" priority="3394" stopIfTrue="1" operator="equal">
      <formula>"Napkin Hs"</formula>
    </cfRule>
  </conditionalFormatting>
  <conditionalFormatting sqref="C77">
    <cfRule type="cellIs" dxfId="2819" priority="3397" stopIfTrue="1" operator="equal">
      <formula>"Towel"</formula>
    </cfRule>
    <cfRule type="cellIs" dxfId="2818" priority="3398" stopIfTrue="1" operator="equal">
      <formula>"Napkin Hs"</formula>
    </cfRule>
    <cfRule type="cellIs" dxfId="2817" priority="3423" stopIfTrue="1" operator="equal">
      <formula>"Towel"</formula>
    </cfRule>
    <cfRule type="cellIs" dxfId="2816" priority="3424" stopIfTrue="1" operator="equal">
      <formula>"Napkin Hs"</formula>
    </cfRule>
    <cfRule type="cellIs" dxfId="2815" priority="3427" stopIfTrue="1" operator="equal">
      <formula>"Towel"</formula>
    </cfRule>
    <cfRule type="cellIs" dxfId="2814" priority="3428" stopIfTrue="1" operator="equal">
      <formula>"Napkin Hs"</formula>
    </cfRule>
  </conditionalFormatting>
  <conditionalFormatting sqref="C77">
    <cfRule type="cellIs" dxfId="2813" priority="3399" stopIfTrue="1" operator="equal">
      <formula>"Towel"</formula>
    </cfRule>
    <cfRule type="cellIs" dxfId="2812" priority="3400" stopIfTrue="1" operator="equal">
      <formula>"Napkin Hs"</formula>
    </cfRule>
    <cfRule type="cellIs" dxfId="2811" priority="3403" stopIfTrue="1" operator="equal">
      <formula>"Towel"</formula>
    </cfRule>
    <cfRule type="cellIs" dxfId="2810" priority="3404" stopIfTrue="1" operator="equal">
      <formula>"Napkin Hs"</formula>
    </cfRule>
    <cfRule type="cellIs" dxfId="2809" priority="3405" stopIfTrue="1" operator="equal">
      <formula>"Towel"</formula>
    </cfRule>
    <cfRule type="cellIs" dxfId="2808" priority="3406" stopIfTrue="1" operator="equal">
      <formula>"Napkin Hs"</formula>
    </cfRule>
    <cfRule type="cellIs" dxfId="2807" priority="3409" stopIfTrue="1" operator="equal">
      <formula>"Towel"</formula>
    </cfRule>
    <cfRule type="cellIs" dxfId="2806" priority="3410" stopIfTrue="1" operator="equal">
      <formula>"Napkin Hs"</formula>
    </cfRule>
    <cfRule type="cellIs" dxfId="2805" priority="3411" stopIfTrue="1" operator="equal">
      <formula>"Towel"</formula>
    </cfRule>
    <cfRule type="cellIs" dxfId="2804" priority="3412" stopIfTrue="1" operator="equal">
      <formula>"Napkin Hs"</formula>
    </cfRule>
    <cfRule type="cellIs" dxfId="2803" priority="3415" stopIfTrue="1" operator="equal">
      <formula>"Towel"</formula>
    </cfRule>
    <cfRule type="cellIs" dxfId="2802" priority="3416" stopIfTrue="1" operator="equal">
      <formula>"Napkin Hs"</formula>
    </cfRule>
    <cfRule type="cellIs" dxfId="2801" priority="3417" stopIfTrue="1" operator="equal">
      <formula>"Towel"</formula>
    </cfRule>
    <cfRule type="cellIs" dxfId="2800" priority="3418" stopIfTrue="1" operator="equal">
      <formula>"Napkin Hs"</formula>
    </cfRule>
    <cfRule type="cellIs" dxfId="2799" priority="3421" stopIfTrue="1" operator="equal">
      <formula>"Towel"</formula>
    </cfRule>
    <cfRule type="cellIs" dxfId="2798" priority="3422" stopIfTrue="1" operator="equal">
      <formula>"Napkin Hs"</formula>
    </cfRule>
  </conditionalFormatting>
  <conditionalFormatting sqref="C77">
    <cfRule type="cellIs" dxfId="2797" priority="3429" stopIfTrue="1" operator="equal">
      <formula>"Towel"</formula>
    </cfRule>
    <cfRule type="cellIs" dxfId="2796" priority="3430" stopIfTrue="1" operator="equal">
      <formula>"Napkin Hs"</formula>
    </cfRule>
  </conditionalFormatting>
  <conditionalFormatting sqref="B77:C77">
    <cfRule type="cellIs" dxfId="2795" priority="3347" stopIfTrue="1" operator="equal">
      <formula>"Towel"</formula>
    </cfRule>
    <cfRule type="cellIs" dxfId="2794" priority="3348" stopIfTrue="1" operator="equal">
      <formula>"Napkin Hs"</formula>
    </cfRule>
  </conditionalFormatting>
  <conditionalFormatting sqref="C77">
    <cfRule type="cellIs" dxfId="2793" priority="3343" stopIfTrue="1" operator="equal">
      <formula>"Towel"</formula>
    </cfRule>
    <cfRule type="cellIs" dxfId="2792" priority="3344" stopIfTrue="1" operator="equal">
      <formula>"Napkin Hs"</formula>
    </cfRule>
  </conditionalFormatting>
  <conditionalFormatting sqref="C77">
    <cfRule type="cellIs" dxfId="2791" priority="3345" stopIfTrue="1" operator="equal">
      <formula>"Towel"</formula>
    </cfRule>
    <cfRule type="cellIs" dxfId="2790" priority="3346" stopIfTrue="1" operator="equal">
      <formula>"Napkin Hs"</formula>
    </cfRule>
  </conditionalFormatting>
  <conditionalFormatting sqref="B77:C77">
    <cfRule type="cellIs" dxfId="2789" priority="3299" stopIfTrue="1" operator="equal">
      <formula>"Towel"</formula>
    </cfRule>
    <cfRule type="cellIs" dxfId="2788" priority="3300" stopIfTrue="1" operator="equal">
      <formula>"Napkin Hs"</formula>
    </cfRule>
    <cfRule type="cellIs" dxfId="2787" priority="3305" stopIfTrue="1" operator="equal">
      <formula>"Towel"</formula>
    </cfRule>
    <cfRule type="cellIs" dxfId="2786" priority="3306" stopIfTrue="1" operator="equal">
      <formula>"Napkin Hs"</formula>
    </cfRule>
    <cfRule type="cellIs" dxfId="2785" priority="3311" stopIfTrue="1" operator="equal">
      <formula>"Towel"</formula>
    </cfRule>
    <cfRule type="cellIs" dxfId="2784" priority="3312" stopIfTrue="1" operator="equal">
      <formula>"Napkin Hs"</formula>
    </cfRule>
    <cfRule type="cellIs" dxfId="2783" priority="3317" stopIfTrue="1" operator="equal">
      <formula>"Towel"</formula>
    </cfRule>
    <cfRule type="cellIs" dxfId="2782" priority="3318" stopIfTrue="1" operator="equal">
      <formula>"Napkin Hs"</formula>
    </cfRule>
    <cfRule type="cellIs" dxfId="2781" priority="3323" stopIfTrue="1" operator="equal">
      <formula>"Towel"</formula>
    </cfRule>
    <cfRule type="cellIs" dxfId="2780" priority="3324" stopIfTrue="1" operator="equal">
      <formula>"Napkin Hs"</formula>
    </cfRule>
    <cfRule type="cellIs" dxfId="2779" priority="3329" stopIfTrue="1" operator="equal">
      <formula>"Towel"</formula>
    </cfRule>
    <cfRule type="cellIs" dxfId="2778" priority="3330" stopIfTrue="1" operator="equal">
      <formula>"Napkin Hs"</formula>
    </cfRule>
    <cfRule type="cellIs" dxfId="2777" priority="3335" stopIfTrue="1" operator="equal">
      <formula>"Towel"</formula>
    </cfRule>
    <cfRule type="cellIs" dxfId="2776" priority="3336" stopIfTrue="1" operator="equal">
      <formula>"Napkin Hs"</formula>
    </cfRule>
    <cfRule type="cellIs" dxfId="2775" priority="3341" stopIfTrue="1" operator="equal">
      <formula>"Towel"</formula>
    </cfRule>
    <cfRule type="cellIs" dxfId="2774" priority="3342" stopIfTrue="1" operator="equal">
      <formula>"Napkin Hs"</formula>
    </cfRule>
  </conditionalFormatting>
  <conditionalFormatting sqref="C77">
    <cfRule type="cellIs" dxfId="2773" priority="3295" stopIfTrue="1" operator="equal">
      <formula>"Towel"</formula>
    </cfRule>
    <cfRule type="cellIs" dxfId="2772" priority="3296" stopIfTrue="1" operator="equal">
      <formula>"Napkin Hs"</formula>
    </cfRule>
    <cfRule type="cellIs" dxfId="2771" priority="3297" stopIfTrue="1" operator="equal">
      <formula>"Towel"</formula>
    </cfRule>
    <cfRule type="cellIs" dxfId="2770" priority="3298" stopIfTrue="1" operator="equal">
      <formula>"Napkin Hs"</formula>
    </cfRule>
    <cfRule type="cellIs" dxfId="2769" priority="3301" stopIfTrue="1" operator="equal">
      <formula>"Towel"</formula>
    </cfRule>
    <cfRule type="cellIs" dxfId="2768" priority="3302" stopIfTrue="1" operator="equal">
      <formula>"Napkin Hs"</formula>
    </cfRule>
    <cfRule type="cellIs" dxfId="2767" priority="3303" stopIfTrue="1" operator="equal">
      <formula>"Towel"</formula>
    </cfRule>
    <cfRule type="cellIs" dxfId="2766" priority="3304" stopIfTrue="1" operator="equal">
      <formula>"Napkin Hs"</formula>
    </cfRule>
    <cfRule type="cellIs" dxfId="2765" priority="3307" stopIfTrue="1" operator="equal">
      <formula>"Towel"</formula>
    </cfRule>
    <cfRule type="cellIs" dxfId="2764" priority="3308" stopIfTrue="1" operator="equal">
      <formula>"Napkin Hs"</formula>
    </cfRule>
    <cfRule type="cellIs" dxfId="2763" priority="3309" stopIfTrue="1" operator="equal">
      <formula>"Towel"</formula>
    </cfRule>
    <cfRule type="cellIs" dxfId="2762" priority="3310" stopIfTrue="1" operator="equal">
      <formula>"Napkin Hs"</formula>
    </cfRule>
    <cfRule type="cellIs" dxfId="2761" priority="3313" stopIfTrue="1" operator="equal">
      <formula>"Towel"</formula>
    </cfRule>
    <cfRule type="cellIs" dxfId="2760" priority="3314" stopIfTrue="1" operator="equal">
      <formula>"Napkin Hs"</formula>
    </cfRule>
    <cfRule type="cellIs" dxfId="2759" priority="3315" stopIfTrue="1" operator="equal">
      <formula>"Towel"</formula>
    </cfRule>
    <cfRule type="cellIs" dxfId="2758" priority="3316" stopIfTrue="1" operator="equal">
      <formula>"Napkin Hs"</formula>
    </cfRule>
    <cfRule type="cellIs" dxfId="2757" priority="3319" stopIfTrue="1" operator="equal">
      <formula>"Towel"</formula>
    </cfRule>
    <cfRule type="cellIs" dxfId="2756" priority="3320" stopIfTrue="1" operator="equal">
      <formula>"Napkin Hs"</formula>
    </cfRule>
    <cfRule type="cellIs" dxfId="2755" priority="3321" stopIfTrue="1" operator="equal">
      <formula>"Towel"</formula>
    </cfRule>
    <cfRule type="cellIs" dxfId="2754" priority="3322" stopIfTrue="1" operator="equal">
      <formula>"Napkin Hs"</formula>
    </cfRule>
    <cfRule type="cellIs" dxfId="2753" priority="3325" stopIfTrue="1" operator="equal">
      <formula>"Towel"</formula>
    </cfRule>
    <cfRule type="cellIs" dxfId="2752" priority="3326" stopIfTrue="1" operator="equal">
      <formula>"Napkin Hs"</formula>
    </cfRule>
    <cfRule type="cellIs" dxfId="2751" priority="3327" stopIfTrue="1" operator="equal">
      <formula>"Towel"</formula>
    </cfRule>
    <cfRule type="cellIs" dxfId="2750" priority="3328" stopIfTrue="1" operator="equal">
      <formula>"Napkin Hs"</formula>
    </cfRule>
    <cfRule type="cellIs" dxfId="2749" priority="3331" stopIfTrue="1" operator="equal">
      <formula>"Towel"</formula>
    </cfRule>
    <cfRule type="cellIs" dxfId="2748" priority="3332" stopIfTrue="1" operator="equal">
      <formula>"Napkin Hs"</formula>
    </cfRule>
    <cfRule type="cellIs" dxfId="2747" priority="3333" stopIfTrue="1" operator="equal">
      <formula>"Towel"</formula>
    </cfRule>
    <cfRule type="cellIs" dxfId="2746" priority="3334" stopIfTrue="1" operator="equal">
      <formula>"Napkin Hs"</formula>
    </cfRule>
    <cfRule type="cellIs" dxfId="2745" priority="3337" stopIfTrue="1" operator="equal">
      <formula>"Towel"</formula>
    </cfRule>
    <cfRule type="cellIs" dxfId="2744" priority="3338" stopIfTrue="1" operator="equal">
      <formula>"Napkin Hs"</formula>
    </cfRule>
  </conditionalFormatting>
  <conditionalFormatting sqref="C77">
    <cfRule type="cellIs" dxfId="2743" priority="3339" stopIfTrue="1" operator="equal">
      <formula>"Towel"</formula>
    </cfRule>
    <cfRule type="cellIs" dxfId="2742" priority="3340" stopIfTrue="1" operator="equal">
      <formula>"Napkin Hs"</formula>
    </cfRule>
  </conditionalFormatting>
  <conditionalFormatting sqref="B77">
    <cfRule type="cellIs" dxfId="2741" priority="3289" stopIfTrue="1" operator="equal">
      <formula>"Towel"</formula>
    </cfRule>
    <cfRule type="cellIs" dxfId="2740" priority="3290" stopIfTrue="1" operator="equal">
      <formula>"Napkin Hs"</formula>
    </cfRule>
    <cfRule type="cellIs" dxfId="2739" priority="3291" stopIfTrue="1" operator="equal">
      <formula>"Towel"</formula>
    </cfRule>
    <cfRule type="cellIs" dxfId="2738" priority="3292" stopIfTrue="1" operator="equal">
      <formula>"Napkin Hs"</formula>
    </cfRule>
    <cfRule type="cellIs" dxfId="2737" priority="3293" stopIfTrue="1" operator="equal">
      <formula>"Towel"</formula>
    </cfRule>
    <cfRule type="cellIs" dxfId="2736" priority="3294" stopIfTrue="1" operator="equal">
      <formula>"Napkin Hs"</formula>
    </cfRule>
  </conditionalFormatting>
  <conditionalFormatting sqref="B77:C77">
    <cfRule type="cellIs" dxfId="2735" priority="3251" stopIfTrue="1" operator="equal">
      <formula>"Towel"</formula>
    </cfRule>
    <cfRule type="cellIs" dxfId="2734" priority="3252" stopIfTrue="1" operator="equal">
      <formula>"Napkin Hs"</formula>
    </cfRule>
    <cfRule type="cellIs" dxfId="2733" priority="3257" stopIfTrue="1" operator="equal">
      <formula>"Towel"</formula>
    </cfRule>
    <cfRule type="cellIs" dxfId="2732" priority="3258" stopIfTrue="1" operator="equal">
      <formula>"Napkin Hs"</formula>
    </cfRule>
    <cfRule type="cellIs" dxfId="2731" priority="3263" stopIfTrue="1" operator="equal">
      <formula>"Towel"</formula>
    </cfRule>
    <cfRule type="cellIs" dxfId="2730" priority="3264" stopIfTrue="1" operator="equal">
      <formula>"Napkin Hs"</formula>
    </cfRule>
    <cfRule type="cellIs" dxfId="2729" priority="3269" stopIfTrue="1" operator="equal">
      <formula>"Towel"</formula>
    </cfRule>
    <cfRule type="cellIs" dxfId="2728" priority="3270" stopIfTrue="1" operator="equal">
      <formula>"Napkin Hs"</formula>
    </cfRule>
    <cfRule type="cellIs" dxfId="2727" priority="3275" stopIfTrue="1" operator="equal">
      <formula>"Towel"</formula>
    </cfRule>
    <cfRule type="cellIs" dxfId="2726" priority="3276" stopIfTrue="1" operator="equal">
      <formula>"Napkin Hs"</formula>
    </cfRule>
    <cfRule type="cellIs" dxfId="2725" priority="3281" stopIfTrue="1" operator="equal">
      <formula>"Towel"</formula>
    </cfRule>
    <cfRule type="cellIs" dxfId="2724" priority="3282" stopIfTrue="1" operator="equal">
      <formula>"Napkin Hs"</formula>
    </cfRule>
    <cfRule type="cellIs" dxfId="2723" priority="3287" stopIfTrue="1" operator="equal">
      <formula>"Towel"</formula>
    </cfRule>
    <cfRule type="cellIs" dxfId="2722" priority="3288" stopIfTrue="1" operator="equal">
      <formula>"Napkin Hs"</formula>
    </cfRule>
  </conditionalFormatting>
  <conditionalFormatting sqref="C77">
    <cfRule type="cellIs" dxfId="2721" priority="3247" stopIfTrue="1" operator="equal">
      <formula>"Towel"</formula>
    </cfRule>
    <cfRule type="cellIs" dxfId="2720" priority="3248" stopIfTrue="1" operator="equal">
      <formula>"Napkin Hs"</formula>
    </cfRule>
    <cfRule type="cellIs" dxfId="2719" priority="3249" stopIfTrue="1" operator="equal">
      <formula>"Towel"</formula>
    </cfRule>
    <cfRule type="cellIs" dxfId="2718" priority="3250" stopIfTrue="1" operator="equal">
      <formula>"Napkin Hs"</formula>
    </cfRule>
    <cfRule type="cellIs" dxfId="2717" priority="3253" stopIfTrue="1" operator="equal">
      <formula>"Towel"</formula>
    </cfRule>
    <cfRule type="cellIs" dxfId="2716" priority="3254" stopIfTrue="1" operator="equal">
      <formula>"Napkin Hs"</formula>
    </cfRule>
    <cfRule type="cellIs" dxfId="2715" priority="3255" stopIfTrue="1" operator="equal">
      <formula>"Towel"</formula>
    </cfRule>
    <cfRule type="cellIs" dxfId="2714" priority="3256" stopIfTrue="1" operator="equal">
      <formula>"Napkin Hs"</formula>
    </cfRule>
    <cfRule type="cellIs" dxfId="2713" priority="3259" stopIfTrue="1" operator="equal">
      <formula>"Towel"</formula>
    </cfRule>
    <cfRule type="cellIs" dxfId="2712" priority="3260" stopIfTrue="1" operator="equal">
      <formula>"Napkin Hs"</formula>
    </cfRule>
    <cfRule type="cellIs" dxfId="2711" priority="3261" stopIfTrue="1" operator="equal">
      <formula>"Towel"</formula>
    </cfRule>
    <cfRule type="cellIs" dxfId="2710" priority="3262" stopIfTrue="1" operator="equal">
      <formula>"Napkin Hs"</formula>
    </cfRule>
    <cfRule type="cellIs" dxfId="2709" priority="3265" stopIfTrue="1" operator="equal">
      <formula>"Towel"</formula>
    </cfRule>
    <cfRule type="cellIs" dxfId="2708" priority="3266" stopIfTrue="1" operator="equal">
      <formula>"Napkin Hs"</formula>
    </cfRule>
    <cfRule type="cellIs" dxfId="2707" priority="3267" stopIfTrue="1" operator="equal">
      <formula>"Towel"</formula>
    </cfRule>
    <cfRule type="cellIs" dxfId="2706" priority="3268" stopIfTrue="1" operator="equal">
      <formula>"Napkin Hs"</formula>
    </cfRule>
    <cfRule type="cellIs" dxfId="2705" priority="3271" stopIfTrue="1" operator="equal">
      <formula>"Towel"</formula>
    </cfRule>
    <cfRule type="cellIs" dxfId="2704" priority="3272" stopIfTrue="1" operator="equal">
      <formula>"Napkin Hs"</formula>
    </cfRule>
    <cfRule type="cellIs" dxfId="2703" priority="3273" stopIfTrue="1" operator="equal">
      <formula>"Towel"</formula>
    </cfRule>
    <cfRule type="cellIs" dxfId="2702" priority="3274" stopIfTrue="1" operator="equal">
      <formula>"Napkin Hs"</formula>
    </cfRule>
    <cfRule type="cellIs" dxfId="2701" priority="3277" stopIfTrue="1" operator="equal">
      <formula>"Towel"</formula>
    </cfRule>
    <cfRule type="cellIs" dxfId="2700" priority="3278" stopIfTrue="1" operator="equal">
      <formula>"Napkin Hs"</formula>
    </cfRule>
    <cfRule type="cellIs" dxfId="2699" priority="3279" stopIfTrue="1" operator="equal">
      <formula>"Towel"</formula>
    </cfRule>
    <cfRule type="cellIs" dxfId="2698" priority="3280" stopIfTrue="1" operator="equal">
      <formula>"Napkin Hs"</formula>
    </cfRule>
    <cfRule type="cellIs" dxfId="2697" priority="3283" stopIfTrue="1" operator="equal">
      <formula>"Towel"</formula>
    </cfRule>
    <cfRule type="cellIs" dxfId="2696" priority="3284" stopIfTrue="1" operator="equal">
      <formula>"Napkin Hs"</formula>
    </cfRule>
  </conditionalFormatting>
  <conditionalFormatting sqref="C77">
    <cfRule type="cellIs" dxfId="2695" priority="3285" stopIfTrue="1" operator="equal">
      <formula>"Towel"</formula>
    </cfRule>
    <cfRule type="cellIs" dxfId="2694" priority="3286" stopIfTrue="1" operator="equal">
      <formula>"Napkin Hs"</formula>
    </cfRule>
  </conditionalFormatting>
  <conditionalFormatting sqref="B77:C77">
    <cfRule type="cellIs" dxfId="2693" priority="3245" stopIfTrue="1" operator="equal">
      <formula>"Towel"</formula>
    </cfRule>
    <cfRule type="cellIs" dxfId="2692" priority="3246" stopIfTrue="1" operator="equal">
      <formula>"Napkin Hs"</formula>
    </cfRule>
  </conditionalFormatting>
  <conditionalFormatting sqref="B77:C77">
    <cfRule type="cellIs" dxfId="2691" priority="3209" stopIfTrue="1" operator="equal">
      <formula>"Towel"</formula>
    </cfRule>
    <cfRule type="cellIs" dxfId="2690" priority="3210" stopIfTrue="1" operator="equal">
      <formula>"Napkin Hs"</formula>
    </cfRule>
    <cfRule type="cellIs" dxfId="2689" priority="3215" stopIfTrue="1" operator="equal">
      <formula>"Towel"</formula>
    </cfRule>
    <cfRule type="cellIs" dxfId="2688" priority="3216" stopIfTrue="1" operator="equal">
      <formula>"Napkin Hs"</formula>
    </cfRule>
    <cfRule type="cellIs" dxfId="2687" priority="3221" stopIfTrue="1" operator="equal">
      <formula>"Towel"</formula>
    </cfRule>
    <cfRule type="cellIs" dxfId="2686" priority="3222" stopIfTrue="1" operator="equal">
      <formula>"Napkin Hs"</formula>
    </cfRule>
    <cfRule type="cellIs" dxfId="2685" priority="3227" stopIfTrue="1" operator="equal">
      <formula>"Towel"</formula>
    </cfRule>
    <cfRule type="cellIs" dxfId="2684" priority="3228" stopIfTrue="1" operator="equal">
      <formula>"Napkin Hs"</formula>
    </cfRule>
    <cfRule type="cellIs" dxfId="2683" priority="3233" stopIfTrue="1" operator="equal">
      <formula>"Towel"</formula>
    </cfRule>
    <cfRule type="cellIs" dxfId="2682" priority="3234" stopIfTrue="1" operator="equal">
      <formula>"Napkin Hs"</formula>
    </cfRule>
    <cfRule type="cellIs" dxfId="2681" priority="3239" stopIfTrue="1" operator="equal">
      <formula>"Towel"</formula>
    </cfRule>
    <cfRule type="cellIs" dxfId="2680" priority="3240" stopIfTrue="1" operator="equal">
      <formula>"Napkin Hs"</formula>
    </cfRule>
  </conditionalFormatting>
  <conditionalFormatting sqref="C77">
    <cfRule type="cellIs" dxfId="2679" priority="3244" stopIfTrue="1" operator="equal">
      <formula>"Napkin Hs"</formula>
    </cfRule>
  </conditionalFormatting>
  <conditionalFormatting sqref="C77">
    <cfRule type="cellIs" dxfId="2678" priority="3243" stopIfTrue="1" operator="equal">
      <formula>"Towel"</formula>
    </cfRule>
  </conditionalFormatting>
  <conditionalFormatting sqref="C77">
    <cfRule type="cellIs" dxfId="2677" priority="3237" stopIfTrue="1" operator="equal">
      <formula>"Towel"</formula>
    </cfRule>
    <cfRule type="cellIs" dxfId="2676" priority="3238" stopIfTrue="1" operator="equal">
      <formula>"Napkin Hs"</formula>
    </cfRule>
  </conditionalFormatting>
  <conditionalFormatting sqref="C77">
    <cfRule type="cellIs" dxfId="2675" priority="3235" stopIfTrue="1" operator="equal">
      <formula>"Towel"</formula>
    </cfRule>
    <cfRule type="cellIs" dxfId="2674" priority="3236" stopIfTrue="1" operator="equal">
      <formula>"Napkin Hs"</formula>
    </cfRule>
    <cfRule type="cellIs" dxfId="2673" priority="3241" stopIfTrue="1" operator="equal">
      <formula>"Towel"</formula>
    </cfRule>
    <cfRule type="cellIs" dxfId="2672" priority="3242" stopIfTrue="1" operator="equal">
      <formula>"Napkin Hs"</formula>
    </cfRule>
  </conditionalFormatting>
  <conditionalFormatting sqref="C77">
    <cfRule type="cellIs" dxfId="2671" priority="3207" stopIfTrue="1" operator="equal">
      <formula>"Towel"</formula>
    </cfRule>
    <cfRule type="cellIs" dxfId="2670" priority="3208" stopIfTrue="1" operator="equal">
      <formula>"Napkin Hs"</formula>
    </cfRule>
    <cfRule type="cellIs" dxfId="2669" priority="3211" stopIfTrue="1" operator="equal">
      <formula>"Towel"</formula>
    </cfRule>
    <cfRule type="cellIs" dxfId="2668" priority="3212" stopIfTrue="1" operator="equal">
      <formula>"Napkin Hs"</formula>
    </cfRule>
    <cfRule type="cellIs" dxfId="2667" priority="3213" stopIfTrue="1" operator="equal">
      <formula>"Towel"</formula>
    </cfRule>
    <cfRule type="cellIs" dxfId="2666" priority="3214" stopIfTrue="1" operator="equal">
      <formula>"Napkin Hs"</formula>
    </cfRule>
    <cfRule type="cellIs" dxfId="2665" priority="3217" stopIfTrue="1" operator="equal">
      <formula>"Towel"</formula>
    </cfRule>
    <cfRule type="cellIs" dxfId="2664" priority="3218" stopIfTrue="1" operator="equal">
      <formula>"Napkin Hs"</formula>
    </cfRule>
    <cfRule type="cellIs" dxfId="2663" priority="3219" stopIfTrue="1" operator="equal">
      <formula>"Towel"</formula>
    </cfRule>
    <cfRule type="cellIs" dxfId="2662" priority="3220" stopIfTrue="1" operator="equal">
      <formula>"Napkin Hs"</formula>
    </cfRule>
    <cfRule type="cellIs" dxfId="2661" priority="3223" stopIfTrue="1" operator="equal">
      <formula>"Towel"</formula>
    </cfRule>
    <cfRule type="cellIs" dxfId="2660" priority="3224" stopIfTrue="1" operator="equal">
      <formula>"Napkin Hs"</formula>
    </cfRule>
    <cfRule type="cellIs" dxfId="2659" priority="3225" stopIfTrue="1" operator="equal">
      <formula>"Towel"</formula>
    </cfRule>
    <cfRule type="cellIs" dxfId="2658" priority="3226" stopIfTrue="1" operator="equal">
      <formula>"Napkin Hs"</formula>
    </cfRule>
    <cfRule type="cellIs" dxfId="2657" priority="3229" stopIfTrue="1" operator="equal">
      <formula>"Towel"</formula>
    </cfRule>
    <cfRule type="cellIs" dxfId="2656" priority="3230" stopIfTrue="1" operator="equal">
      <formula>"Napkin Hs"</formula>
    </cfRule>
    <cfRule type="cellIs" dxfId="2655" priority="3231" stopIfTrue="1" operator="equal">
      <formula>"Towel"</formula>
    </cfRule>
    <cfRule type="cellIs" dxfId="2654" priority="3232" stopIfTrue="1" operator="equal">
      <formula>"Napkin Hs"</formula>
    </cfRule>
  </conditionalFormatting>
  <conditionalFormatting sqref="C77">
    <cfRule type="cellIs" dxfId="2653" priority="3205" stopIfTrue="1" operator="equal">
      <formula>"Towel"</formula>
    </cfRule>
    <cfRule type="cellIs" dxfId="2652" priority="3206" stopIfTrue="1" operator="equal">
      <formula>"Napkin Hs"</formula>
    </cfRule>
  </conditionalFormatting>
  <conditionalFormatting sqref="C77">
    <cfRule type="cellIs" dxfId="2651" priority="3185" stopIfTrue="1" operator="equal">
      <formula>"Towel"</formula>
    </cfRule>
    <cfRule type="cellIs" dxfId="2650" priority="3186" stopIfTrue="1" operator="equal">
      <formula>"Napkin Hs"</formula>
    </cfRule>
    <cfRule type="cellIs" dxfId="2649" priority="3191" stopIfTrue="1" operator="equal">
      <formula>"Towel"</formula>
    </cfRule>
    <cfRule type="cellIs" dxfId="2648" priority="3192" stopIfTrue="1" operator="equal">
      <formula>"Napkin Hs"</formula>
    </cfRule>
    <cfRule type="cellIs" dxfId="2647" priority="3197" stopIfTrue="1" operator="equal">
      <formula>"Towel"</formula>
    </cfRule>
    <cfRule type="cellIs" dxfId="2646" priority="3198" stopIfTrue="1" operator="equal">
      <formula>"Napkin Hs"</formula>
    </cfRule>
    <cfRule type="cellIs" dxfId="2645" priority="3203" stopIfTrue="1" operator="equal">
      <formula>"Towel"</formula>
    </cfRule>
    <cfRule type="cellIs" dxfId="2644" priority="3204" stopIfTrue="1" operator="equal">
      <formula>"Napkin Hs"</formula>
    </cfRule>
  </conditionalFormatting>
  <conditionalFormatting sqref="C77">
    <cfRule type="cellIs" dxfId="2643" priority="3195" stopIfTrue="1" operator="equal">
      <formula>"Towel"</formula>
    </cfRule>
    <cfRule type="cellIs" dxfId="2642" priority="3196" stopIfTrue="1" operator="equal">
      <formula>"Napkin Hs"</formula>
    </cfRule>
    <cfRule type="cellIs" dxfId="2641" priority="3201" stopIfTrue="1" operator="equal">
      <formula>"Towel"</formula>
    </cfRule>
    <cfRule type="cellIs" dxfId="2640" priority="3202" stopIfTrue="1" operator="equal">
      <formula>"Napkin Hs"</formula>
    </cfRule>
  </conditionalFormatting>
  <conditionalFormatting sqref="C77">
    <cfRule type="cellIs" dxfId="2639" priority="3181" stopIfTrue="1" operator="equal">
      <formula>"Towel"</formula>
    </cfRule>
    <cfRule type="cellIs" dxfId="2638" priority="3182" stopIfTrue="1" operator="equal">
      <formula>"Napkin Hs"</formula>
    </cfRule>
    <cfRule type="cellIs" dxfId="2637" priority="3189" stopIfTrue="1" operator="equal">
      <formula>"Towel"</formula>
    </cfRule>
    <cfRule type="cellIs" dxfId="2636" priority="3190" stopIfTrue="1" operator="equal">
      <formula>"Napkin Hs"</formula>
    </cfRule>
    <cfRule type="cellIs" dxfId="2635" priority="3193" stopIfTrue="1" operator="equal">
      <formula>"Towel"</formula>
    </cfRule>
    <cfRule type="cellIs" dxfId="2634" priority="3194" stopIfTrue="1" operator="equal">
      <formula>"Napkin Hs"</formula>
    </cfRule>
  </conditionalFormatting>
  <conditionalFormatting sqref="C77">
    <cfRule type="cellIs" dxfId="2633" priority="3183" stopIfTrue="1" operator="equal">
      <formula>"Towel"</formula>
    </cfRule>
    <cfRule type="cellIs" dxfId="2632" priority="3184" stopIfTrue="1" operator="equal">
      <formula>"Napkin Hs"</formula>
    </cfRule>
    <cfRule type="cellIs" dxfId="2631" priority="3187" stopIfTrue="1" operator="equal">
      <formula>"Towel"</formula>
    </cfRule>
    <cfRule type="cellIs" dxfId="2630" priority="3188" stopIfTrue="1" operator="equal">
      <formula>"Napkin Hs"</formula>
    </cfRule>
    <cfRule type="cellIs" dxfId="2629" priority="3199" stopIfTrue="1" operator="equal">
      <formula>"Towel"</formula>
    </cfRule>
    <cfRule type="cellIs" dxfId="2628" priority="3200" stopIfTrue="1" operator="equal">
      <formula>"Napkin Hs"</formula>
    </cfRule>
  </conditionalFormatting>
  <conditionalFormatting sqref="C77">
    <cfRule type="cellIs" dxfId="2627" priority="3179" stopIfTrue="1" operator="equal">
      <formula>"Towel"</formula>
    </cfRule>
    <cfRule type="cellIs" dxfId="2626" priority="3180" stopIfTrue="1" operator="equal">
      <formula>"Napkin Hs"</formula>
    </cfRule>
  </conditionalFormatting>
  <conditionalFormatting sqref="C77">
    <cfRule type="cellIs" dxfId="2625" priority="3175" stopIfTrue="1" operator="equal">
      <formula>"Towel"</formula>
    </cfRule>
    <cfRule type="cellIs" dxfId="2624" priority="3176" stopIfTrue="1" operator="equal">
      <formula>"Napkin Hs"</formula>
    </cfRule>
  </conditionalFormatting>
  <conditionalFormatting sqref="C77">
    <cfRule type="cellIs" dxfId="2623" priority="3177" stopIfTrue="1" operator="equal">
      <formula>"Towel"</formula>
    </cfRule>
    <cfRule type="cellIs" dxfId="2622" priority="3178" stopIfTrue="1" operator="equal">
      <formula>"Napkin Hs"</formula>
    </cfRule>
  </conditionalFormatting>
  <conditionalFormatting sqref="C77">
    <cfRule type="cellIs" dxfId="2621" priority="3173" stopIfTrue="1" operator="equal">
      <formula>"Towel"</formula>
    </cfRule>
    <cfRule type="cellIs" dxfId="2620" priority="3174" stopIfTrue="1" operator="equal">
      <formula>"Napkin Hs"</formula>
    </cfRule>
  </conditionalFormatting>
  <conditionalFormatting sqref="C77">
    <cfRule type="cellIs" dxfId="2619" priority="3169" stopIfTrue="1" operator="equal">
      <formula>"Towel"</formula>
    </cfRule>
    <cfRule type="cellIs" dxfId="2618" priority="3170" stopIfTrue="1" operator="equal">
      <formula>"Napkin Hs"</formula>
    </cfRule>
  </conditionalFormatting>
  <conditionalFormatting sqref="C77">
    <cfRule type="cellIs" dxfId="2617" priority="3171" stopIfTrue="1" operator="equal">
      <formula>"Towel"</formula>
    </cfRule>
    <cfRule type="cellIs" dxfId="2616" priority="3172" stopIfTrue="1" operator="equal">
      <formula>"Napkin Hs"</formula>
    </cfRule>
  </conditionalFormatting>
  <conditionalFormatting sqref="C77">
    <cfRule type="cellIs" dxfId="2615" priority="3167" stopIfTrue="1" operator="equal">
      <formula>"Towel"</formula>
    </cfRule>
    <cfRule type="cellIs" dxfId="2614" priority="3168" stopIfTrue="1" operator="equal">
      <formula>"Napkin Hs"</formula>
    </cfRule>
  </conditionalFormatting>
  <conditionalFormatting sqref="C77">
    <cfRule type="cellIs" dxfId="2613" priority="3163" stopIfTrue="1" operator="equal">
      <formula>"Towel"</formula>
    </cfRule>
    <cfRule type="cellIs" dxfId="2612" priority="3164" stopIfTrue="1" operator="equal">
      <formula>"Napkin Hs"</formula>
    </cfRule>
  </conditionalFormatting>
  <conditionalFormatting sqref="C77">
    <cfRule type="cellIs" dxfId="2611" priority="3165" stopIfTrue="1" operator="equal">
      <formula>"Towel"</formula>
    </cfRule>
    <cfRule type="cellIs" dxfId="2610" priority="3166" stopIfTrue="1" operator="equal">
      <formula>"Napkin Hs"</formula>
    </cfRule>
  </conditionalFormatting>
  <conditionalFormatting sqref="C77">
    <cfRule type="cellIs" dxfId="2609" priority="3161" stopIfTrue="1" operator="equal">
      <formula>"Towel"</formula>
    </cfRule>
    <cfRule type="cellIs" dxfId="2608" priority="3162" stopIfTrue="1" operator="equal">
      <formula>"Napkin Hs"</formula>
    </cfRule>
  </conditionalFormatting>
  <conditionalFormatting sqref="C77">
    <cfRule type="cellIs" dxfId="2607" priority="3159" stopIfTrue="1" operator="equal">
      <formula>"Towel"</formula>
    </cfRule>
    <cfRule type="cellIs" dxfId="2606" priority="3160" stopIfTrue="1" operator="equal">
      <formula>"Napkin Hs"</formula>
    </cfRule>
  </conditionalFormatting>
  <conditionalFormatting sqref="C77">
    <cfRule type="cellIs" dxfId="2605" priority="3157" stopIfTrue="1" operator="equal">
      <formula>"Towel"</formula>
    </cfRule>
    <cfRule type="cellIs" dxfId="2604" priority="3158" stopIfTrue="1" operator="equal">
      <formula>"Napkin Hs"</formula>
    </cfRule>
  </conditionalFormatting>
  <conditionalFormatting sqref="C77">
    <cfRule type="cellIs" dxfId="2603" priority="3155" stopIfTrue="1" operator="equal">
      <formula>"Towel"</formula>
    </cfRule>
    <cfRule type="cellIs" dxfId="2602" priority="3156" stopIfTrue="1" operator="equal">
      <formula>"Napkin Hs"</formula>
    </cfRule>
  </conditionalFormatting>
  <conditionalFormatting sqref="C77">
    <cfRule type="cellIs" dxfId="2601" priority="3154" stopIfTrue="1" operator="equal">
      <formula>"Napkin Hs"</formula>
    </cfRule>
  </conditionalFormatting>
  <conditionalFormatting sqref="C77">
    <cfRule type="cellIs" dxfId="2600" priority="3151" stopIfTrue="1" operator="equal">
      <formula>"Towel"</formula>
    </cfRule>
    <cfRule type="cellIs" dxfId="2599" priority="3152" stopIfTrue="1" operator="equal">
      <formula>"Napkin Hs"</formula>
    </cfRule>
  </conditionalFormatting>
  <conditionalFormatting sqref="C77">
    <cfRule type="cellIs" dxfId="2598" priority="3153" stopIfTrue="1" operator="equal">
      <formula>"Towel"</formula>
    </cfRule>
  </conditionalFormatting>
  <conditionalFormatting sqref="B77">
    <cfRule type="cellIs" dxfId="2597" priority="3149" stopIfTrue="1" operator="equal">
      <formula>"Towel"</formula>
    </cfRule>
    <cfRule type="cellIs" dxfId="2596" priority="3150" stopIfTrue="1" operator="equal">
      <formula>"Napkin Hs"</formula>
    </cfRule>
  </conditionalFormatting>
  <conditionalFormatting sqref="B77">
    <cfRule type="cellIs" dxfId="2595" priority="3147" stopIfTrue="1" operator="equal">
      <formula>"Towel"</formula>
    </cfRule>
    <cfRule type="cellIs" dxfId="2594" priority="3148" stopIfTrue="1" operator="equal">
      <formula>"Napkin Hs"</formula>
    </cfRule>
  </conditionalFormatting>
  <conditionalFormatting sqref="B77">
    <cfRule type="cellIs" dxfId="2593" priority="3145" stopIfTrue="1" operator="equal">
      <formula>"Towel"</formula>
    </cfRule>
    <cfRule type="cellIs" dxfId="2592" priority="3146" stopIfTrue="1" operator="equal">
      <formula>"Napkin Hs"</formula>
    </cfRule>
  </conditionalFormatting>
  <conditionalFormatting sqref="B77">
    <cfRule type="cellIs" dxfId="2591" priority="3143" stopIfTrue="1" operator="equal">
      <formula>"Towel"</formula>
    </cfRule>
    <cfRule type="cellIs" dxfId="2590" priority="3144" stopIfTrue="1" operator="equal">
      <formula>"Napkin Hs"</formula>
    </cfRule>
  </conditionalFormatting>
  <conditionalFormatting sqref="B77">
    <cfRule type="cellIs" dxfId="2589" priority="3141" stopIfTrue="1" operator="equal">
      <formula>"Towel"</formula>
    </cfRule>
    <cfRule type="cellIs" dxfId="2588" priority="3142" stopIfTrue="1" operator="equal">
      <formula>"Napkin Hs"</formula>
    </cfRule>
  </conditionalFormatting>
  <conditionalFormatting sqref="B77">
    <cfRule type="cellIs" dxfId="2587" priority="3139" stopIfTrue="1" operator="equal">
      <formula>"Towel"</formula>
    </cfRule>
    <cfRule type="cellIs" dxfId="2586" priority="3140" stopIfTrue="1" operator="equal">
      <formula>"Napkin Hs"</formula>
    </cfRule>
  </conditionalFormatting>
  <conditionalFormatting sqref="B77">
    <cfRule type="cellIs" dxfId="2585" priority="3135" stopIfTrue="1" operator="equal">
      <formula>"Towel"</formula>
    </cfRule>
    <cfRule type="cellIs" dxfId="2584" priority="3136" stopIfTrue="1" operator="equal">
      <formula>"Napkin Hs"</formula>
    </cfRule>
    <cfRule type="cellIs" dxfId="2583" priority="3137" stopIfTrue="1" operator="equal">
      <formula>"Towel"</formula>
    </cfRule>
    <cfRule type="cellIs" dxfId="2582" priority="3138" stopIfTrue="1" operator="equal">
      <formula>"Napkin Hs"</formula>
    </cfRule>
  </conditionalFormatting>
  <conditionalFormatting sqref="B77">
    <cfRule type="cellIs" dxfId="2581" priority="3133" stopIfTrue="1" operator="equal">
      <formula>"Towel"</formula>
    </cfRule>
    <cfRule type="cellIs" dxfId="2580" priority="3134" stopIfTrue="1" operator="equal">
      <formula>"Napkin Hs"</formula>
    </cfRule>
  </conditionalFormatting>
  <conditionalFormatting sqref="B77">
    <cfRule type="cellIs" dxfId="2579" priority="3131" stopIfTrue="1" operator="equal">
      <formula>"Towel"</formula>
    </cfRule>
    <cfRule type="cellIs" dxfId="2578" priority="3132" stopIfTrue="1" operator="equal">
      <formula>"Napkin Hs"</formula>
    </cfRule>
  </conditionalFormatting>
  <conditionalFormatting sqref="B77">
    <cfRule type="cellIs" dxfId="2577" priority="3129" stopIfTrue="1" operator="equal">
      <formula>"Towel"</formula>
    </cfRule>
    <cfRule type="cellIs" dxfId="2576" priority="3130" stopIfTrue="1" operator="equal">
      <formula>"Napkin Hs"</formula>
    </cfRule>
  </conditionalFormatting>
  <conditionalFormatting sqref="B77">
    <cfRule type="cellIs" dxfId="2575" priority="3127" stopIfTrue="1" operator="equal">
      <formula>"Towel"</formula>
    </cfRule>
    <cfRule type="cellIs" dxfId="2574" priority="3128" stopIfTrue="1" operator="equal">
      <formula>"Napkin Hs"</formula>
    </cfRule>
  </conditionalFormatting>
  <conditionalFormatting sqref="B77">
    <cfRule type="cellIs" dxfId="2573" priority="3125" stopIfTrue="1" operator="equal">
      <formula>"Towel"</formula>
    </cfRule>
    <cfRule type="cellIs" dxfId="2572" priority="3126" stopIfTrue="1" operator="equal">
      <formula>"Napkin Hs"</formula>
    </cfRule>
  </conditionalFormatting>
  <conditionalFormatting sqref="B77:C77">
    <cfRule type="cellIs" dxfId="2571" priority="3111" stopIfTrue="1" operator="equal">
      <formula>"Towel"</formula>
    </cfRule>
    <cfRule type="cellIs" dxfId="2570" priority="3112" stopIfTrue="1" operator="equal">
      <formula>"Napkin Hs"</formula>
    </cfRule>
    <cfRule type="cellIs" dxfId="2569" priority="3117" stopIfTrue="1" operator="equal">
      <formula>"Towel"</formula>
    </cfRule>
    <cfRule type="cellIs" dxfId="2568" priority="3118" stopIfTrue="1" operator="equal">
      <formula>"Napkin Hs"</formula>
    </cfRule>
    <cfRule type="cellIs" dxfId="2567" priority="3123" stopIfTrue="1" operator="equal">
      <formula>"Towel"</formula>
    </cfRule>
    <cfRule type="cellIs" dxfId="2566" priority="3124" stopIfTrue="1" operator="equal">
      <formula>"Napkin Hs"</formula>
    </cfRule>
  </conditionalFormatting>
  <conditionalFormatting sqref="C77">
    <cfRule type="cellIs" dxfId="2565" priority="3105" stopIfTrue="1" operator="equal">
      <formula>"Towel"</formula>
    </cfRule>
    <cfRule type="cellIs" dxfId="2564" priority="3106" stopIfTrue="1" operator="equal">
      <formula>"Napkin Hs"</formula>
    </cfRule>
    <cfRule type="cellIs" dxfId="2563" priority="3107" stopIfTrue="1" operator="equal">
      <formula>"Towel"</formula>
    </cfRule>
    <cfRule type="cellIs" dxfId="2562" priority="3108" stopIfTrue="1" operator="equal">
      <formula>"Napkin Hs"</formula>
    </cfRule>
    <cfRule type="cellIs" dxfId="2561" priority="3115" stopIfTrue="1" operator="equal">
      <formula>"Towel"</formula>
    </cfRule>
    <cfRule type="cellIs" dxfId="2560" priority="3116" stopIfTrue="1" operator="equal">
      <formula>"Napkin Hs"</formula>
    </cfRule>
    <cfRule type="cellIs" dxfId="2559" priority="3119" stopIfTrue="1" operator="equal">
      <formula>"Towel"</formula>
    </cfRule>
    <cfRule type="cellIs" dxfId="2558" priority="3120" stopIfTrue="1" operator="equal">
      <formula>"Napkin Hs"</formula>
    </cfRule>
  </conditionalFormatting>
  <conditionalFormatting sqref="C77">
    <cfRule type="cellIs" dxfId="2557" priority="3109" stopIfTrue="1" operator="equal">
      <formula>"Towel"</formula>
    </cfRule>
    <cfRule type="cellIs" dxfId="2556" priority="3110" stopIfTrue="1" operator="equal">
      <formula>"Napkin Hs"</formula>
    </cfRule>
    <cfRule type="cellIs" dxfId="2555" priority="3113" stopIfTrue="1" operator="equal">
      <formula>"Towel"</formula>
    </cfRule>
    <cfRule type="cellIs" dxfId="2554" priority="3114" stopIfTrue="1" operator="equal">
      <formula>"Napkin Hs"</formula>
    </cfRule>
    <cfRule type="cellIs" dxfId="2553" priority="3121" stopIfTrue="1" operator="equal">
      <formula>"Towel"</formula>
    </cfRule>
    <cfRule type="cellIs" dxfId="2552" priority="3122" stopIfTrue="1" operator="equal">
      <formula>"Napkin Hs"</formula>
    </cfRule>
  </conditionalFormatting>
  <conditionalFormatting sqref="B77:C77">
    <cfRule type="cellIs" dxfId="2551" priority="3103" stopIfTrue="1" operator="equal">
      <formula>"Towel"</formula>
    </cfRule>
    <cfRule type="cellIs" dxfId="2550" priority="3104" stopIfTrue="1" operator="equal">
      <formula>"Napkin Hs"</formula>
    </cfRule>
  </conditionalFormatting>
  <conditionalFormatting sqref="B77:C77">
    <cfRule type="cellIs" dxfId="2549" priority="3095" stopIfTrue="1" operator="equal">
      <formula>"Towel"</formula>
    </cfRule>
    <cfRule type="cellIs" dxfId="2548" priority="3096" stopIfTrue="1" operator="equal">
      <formula>"Napkin Hs"</formula>
    </cfRule>
    <cfRule type="cellIs" dxfId="2547" priority="3101" stopIfTrue="1" operator="equal">
      <formula>"Towel"</formula>
    </cfRule>
    <cfRule type="cellIs" dxfId="2546" priority="3102" stopIfTrue="1" operator="equal">
      <formula>"Napkin Hs"</formula>
    </cfRule>
  </conditionalFormatting>
  <conditionalFormatting sqref="C77">
    <cfRule type="cellIs" dxfId="2545" priority="3091" stopIfTrue="1" operator="equal">
      <formula>"Towel"</formula>
    </cfRule>
    <cfRule type="cellIs" dxfId="2544" priority="3092" stopIfTrue="1" operator="equal">
      <formula>"Napkin Hs"</formula>
    </cfRule>
  </conditionalFormatting>
  <conditionalFormatting sqref="C77">
    <cfRule type="cellIs" dxfId="2543" priority="3089" stopIfTrue="1" operator="equal">
      <formula>"Towel"</formula>
    </cfRule>
    <cfRule type="cellIs" dxfId="2542" priority="3090" stopIfTrue="1" operator="equal">
      <formula>"Napkin Hs"</formula>
    </cfRule>
    <cfRule type="cellIs" dxfId="2541" priority="3099" stopIfTrue="1" operator="equal">
      <formula>"Towel"</formula>
    </cfRule>
    <cfRule type="cellIs" dxfId="2540" priority="3100" stopIfTrue="1" operator="equal">
      <formula>"Napkin Hs"</formula>
    </cfRule>
  </conditionalFormatting>
  <conditionalFormatting sqref="C77">
    <cfRule type="cellIs" dxfId="2539" priority="3093" stopIfTrue="1" operator="equal">
      <formula>"Towel"</formula>
    </cfRule>
    <cfRule type="cellIs" dxfId="2538" priority="3094" stopIfTrue="1" operator="equal">
      <formula>"Napkin Hs"</formula>
    </cfRule>
    <cfRule type="cellIs" dxfId="2537" priority="3097" stopIfTrue="1" operator="equal">
      <formula>"Towel"</formula>
    </cfRule>
    <cfRule type="cellIs" dxfId="2536" priority="3098" stopIfTrue="1" operator="equal">
      <formula>"Napkin Hs"</formula>
    </cfRule>
  </conditionalFormatting>
  <conditionalFormatting sqref="C77">
    <cfRule type="cellIs" dxfId="2535" priority="3088" stopIfTrue="1" operator="equal">
      <formula>"Napkin Hs"</formula>
    </cfRule>
  </conditionalFormatting>
  <conditionalFormatting sqref="C77">
    <cfRule type="cellIs" dxfId="2534" priority="3087" stopIfTrue="1" operator="equal">
      <formula>"Towel"</formula>
    </cfRule>
  </conditionalFormatting>
  <conditionalFormatting sqref="C77">
    <cfRule type="cellIs" dxfId="2533" priority="3083" stopIfTrue="1" operator="equal">
      <formula>"Towel"</formula>
    </cfRule>
    <cfRule type="cellIs" dxfId="2532" priority="3084" stopIfTrue="1" operator="equal">
      <formula>"Napkin Hs"</formula>
    </cfRule>
    <cfRule type="cellIs" dxfId="2531" priority="3085" stopIfTrue="1" operator="equal">
      <formula>"Towel"</formula>
    </cfRule>
    <cfRule type="cellIs" dxfId="2530" priority="3086" stopIfTrue="1" operator="equal">
      <formula>"Napkin Hs"</formula>
    </cfRule>
  </conditionalFormatting>
  <conditionalFormatting sqref="B77:C77">
    <cfRule type="cellIs" dxfId="2529" priority="3081" stopIfTrue="1" operator="equal">
      <formula>"Towel"</formula>
    </cfRule>
    <cfRule type="cellIs" dxfId="2528" priority="3082" stopIfTrue="1" operator="equal">
      <formula>"Napkin Hs"</formula>
    </cfRule>
  </conditionalFormatting>
  <conditionalFormatting sqref="C77">
    <cfRule type="cellIs" dxfId="2527" priority="3077" stopIfTrue="1" operator="equal">
      <formula>"Towel"</formula>
    </cfRule>
    <cfRule type="cellIs" dxfId="2526" priority="3078" stopIfTrue="1" operator="equal">
      <formula>"Napkin Hs"</formula>
    </cfRule>
  </conditionalFormatting>
  <conditionalFormatting sqref="C77">
    <cfRule type="cellIs" dxfId="2525" priority="3079" stopIfTrue="1" operator="equal">
      <formula>"Towel"</formula>
    </cfRule>
    <cfRule type="cellIs" dxfId="2524" priority="3080" stopIfTrue="1" operator="equal">
      <formula>"Napkin Hs"</formula>
    </cfRule>
  </conditionalFormatting>
  <conditionalFormatting sqref="B77:C77">
    <cfRule type="cellIs" dxfId="2523" priority="3075" stopIfTrue="1" operator="equal">
      <formula>"Towel"</formula>
    </cfRule>
    <cfRule type="cellIs" dxfId="2522" priority="3076" stopIfTrue="1" operator="equal">
      <formula>"Napkin Hs"</formula>
    </cfRule>
  </conditionalFormatting>
  <conditionalFormatting sqref="C77">
    <cfRule type="cellIs" dxfId="2521" priority="3071" stopIfTrue="1" operator="equal">
      <formula>"Towel"</formula>
    </cfRule>
    <cfRule type="cellIs" dxfId="2520" priority="3072" stopIfTrue="1" operator="equal">
      <formula>"Napkin Hs"</formula>
    </cfRule>
  </conditionalFormatting>
  <conditionalFormatting sqref="C77">
    <cfRule type="cellIs" dxfId="2519" priority="3073" stopIfTrue="1" operator="equal">
      <formula>"Towel"</formula>
    </cfRule>
    <cfRule type="cellIs" dxfId="2518" priority="3074" stopIfTrue="1" operator="equal">
      <formula>"Napkin Hs"</formula>
    </cfRule>
  </conditionalFormatting>
  <conditionalFormatting sqref="B77:C77">
    <cfRule type="cellIs" dxfId="2517" priority="3069" stopIfTrue="1" operator="equal">
      <formula>"Towel"</formula>
    </cfRule>
    <cfRule type="cellIs" dxfId="2516" priority="3070" stopIfTrue="1" operator="equal">
      <formula>"Napkin Hs"</formula>
    </cfRule>
  </conditionalFormatting>
  <conditionalFormatting sqref="C77">
    <cfRule type="cellIs" dxfId="2515" priority="3065" stopIfTrue="1" operator="equal">
      <formula>"Towel"</formula>
    </cfRule>
    <cfRule type="cellIs" dxfId="2514" priority="3066" stopIfTrue="1" operator="equal">
      <formula>"Napkin Hs"</formula>
    </cfRule>
  </conditionalFormatting>
  <conditionalFormatting sqref="C77">
    <cfRule type="cellIs" dxfId="2513" priority="3067" stopIfTrue="1" operator="equal">
      <formula>"Towel"</formula>
    </cfRule>
    <cfRule type="cellIs" dxfId="2512" priority="3068" stopIfTrue="1" operator="equal">
      <formula>"Napkin Hs"</formula>
    </cfRule>
  </conditionalFormatting>
  <conditionalFormatting sqref="B77:C77">
    <cfRule type="cellIs" dxfId="2511" priority="3063" stopIfTrue="1" operator="equal">
      <formula>"Towel"</formula>
    </cfRule>
    <cfRule type="cellIs" dxfId="2510" priority="3064" stopIfTrue="1" operator="equal">
      <formula>"Napkin Hs"</formula>
    </cfRule>
  </conditionalFormatting>
  <conditionalFormatting sqref="C77">
    <cfRule type="cellIs" dxfId="2509" priority="3061" stopIfTrue="1" operator="equal">
      <formula>"Towel"</formula>
    </cfRule>
    <cfRule type="cellIs" dxfId="2508" priority="3062" stopIfTrue="1" operator="equal">
      <formula>"Napkin Hs"</formula>
    </cfRule>
  </conditionalFormatting>
  <conditionalFormatting sqref="C77">
    <cfRule type="cellIs" dxfId="2507" priority="3059" stopIfTrue="1" operator="equal">
      <formula>"Towel"</formula>
    </cfRule>
    <cfRule type="cellIs" dxfId="2506" priority="3060" stopIfTrue="1" operator="equal">
      <formula>"Napkin Hs"</formula>
    </cfRule>
  </conditionalFormatting>
  <conditionalFormatting sqref="B77:C77">
    <cfRule type="cellIs" dxfId="2505" priority="3057" stopIfTrue="1" operator="equal">
      <formula>"Towel"</formula>
    </cfRule>
    <cfRule type="cellIs" dxfId="2504" priority="3058" stopIfTrue="1" operator="equal">
      <formula>"Napkin Hs"</formula>
    </cfRule>
  </conditionalFormatting>
  <conditionalFormatting sqref="C77">
    <cfRule type="cellIs" dxfId="2503" priority="3056" stopIfTrue="1" operator="equal">
      <formula>"Napkin Hs"</formula>
    </cfRule>
  </conditionalFormatting>
  <conditionalFormatting sqref="C77">
    <cfRule type="cellIs" dxfId="2502" priority="3053" stopIfTrue="1" operator="equal">
      <formula>"Towel"</formula>
    </cfRule>
    <cfRule type="cellIs" dxfId="2501" priority="3054" stopIfTrue="1" operator="equal">
      <formula>"Napkin Hs"</formula>
    </cfRule>
  </conditionalFormatting>
  <conditionalFormatting sqref="C77">
    <cfRule type="cellIs" dxfId="2500" priority="3055" stopIfTrue="1" operator="equal">
      <formula>"Towel"</formula>
    </cfRule>
  </conditionalFormatting>
  <conditionalFormatting sqref="B75:C76">
    <cfRule type="cellIs" dxfId="2499" priority="3051" stopIfTrue="1" operator="equal">
      <formula>"Towel"</formula>
    </cfRule>
    <cfRule type="cellIs" dxfId="2498" priority="3052" stopIfTrue="1" operator="equal">
      <formula>"Napkin Hs"</formula>
    </cfRule>
  </conditionalFormatting>
  <conditionalFormatting sqref="B75:C76">
    <cfRule type="cellIs" dxfId="2497" priority="3027" stopIfTrue="1" operator="equal">
      <formula>"Towel"</formula>
    </cfRule>
    <cfRule type="cellIs" dxfId="2496" priority="3028" stopIfTrue="1" operator="equal">
      <formula>"Napkin Hs"</formula>
    </cfRule>
    <cfRule type="cellIs" dxfId="2495" priority="3033" stopIfTrue="1" operator="equal">
      <formula>"Towel"</formula>
    </cfRule>
    <cfRule type="cellIs" dxfId="2494" priority="3034" stopIfTrue="1" operator="equal">
      <formula>"Napkin Hs"</formula>
    </cfRule>
    <cfRule type="cellIs" dxfId="2493" priority="3039" stopIfTrue="1" operator="equal">
      <formula>"Towel"</formula>
    </cfRule>
    <cfRule type="cellIs" dxfId="2492" priority="3040" stopIfTrue="1" operator="equal">
      <formula>"Napkin Hs"</formula>
    </cfRule>
    <cfRule type="cellIs" dxfId="2491" priority="3045" stopIfTrue="1" operator="equal">
      <formula>"Towel"</formula>
    </cfRule>
    <cfRule type="cellIs" dxfId="2490" priority="3046" stopIfTrue="1" operator="equal">
      <formula>"Napkin Hs"</formula>
    </cfRule>
  </conditionalFormatting>
  <conditionalFormatting sqref="C75:C76">
    <cfRule type="cellIs" dxfId="2489" priority="3041" stopIfTrue="1" operator="equal">
      <formula>"Towel"</formula>
    </cfRule>
    <cfRule type="cellIs" dxfId="2488" priority="3042" stopIfTrue="1" operator="equal">
      <formula>"Napkin Hs"</formula>
    </cfRule>
    <cfRule type="cellIs" dxfId="2487" priority="3047" stopIfTrue="1" operator="equal">
      <formula>"Towel"</formula>
    </cfRule>
    <cfRule type="cellIs" dxfId="2486" priority="3048" stopIfTrue="1" operator="equal">
      <formula>"Napkin Hs"</formula>
    </cfRule>
  </conditionalFormatting>
  <conditionalFormatting sqref="C75:C76">
    <cfRule type="cellIs" dxfId="2485" priority="3021" stopIfTrue="1" operator="equal">
      <formula>"Towel"</formula>
    </cfRule>
    <cfRule type="cellIs" dxfId="2484" priority="3022" stopIfTrue="1" operator="equal">
      <formula>"Napkin Hs"</formula>
    </cfRule>
    <cfRule type="cellIs" dxfId="2483" priority="3023" stopIfTrue="1" operator="equal">
      <formula>"Towel"</formula>
    </cfRule>
    <cfRule type="cellIs" dxfId="2482" priority="3024" stopIfTrue="1" operator="equal">
      <formula>"Napkin Hs"</formula>
    </cfRule>
    <cfRule type="cellIs" dxfId="2481" priority="3031" stopIfTrue="1" operator="equal">
      <formula>"Towel"</formula>
    </cfRule>
    <cfRule type="cellIs" dxfId="2480" priority="3032" stopIfTrue="1" operator="equal">
      <formula>"Napkin Hs"</formula>
    </cfRule>
    <cfRule type="cellIs" dxfId="2479" priority="3035" stopIfTrue="1" operator="equal">
      <formula>"Towel"</formula>
    </cfRule>
    <cfRule type="cellIs" dxfId="2478" priority="3036" stopIfTrue="1" operator="equal">
      <formula>"Napkin Hs"</formula>
    </cfRule>
    <cfRule type="cellIs" dxfId="2477" priority="3037" stopIfTrue="1" operator="equal">
      <formula>"Towel"</formula>
    </cfRule>
    <cfRule type="cellIs" dxfId="2476" priority="3038" stopIfTrue="1" operator="equal">
      <formula>"Napkin Hs"</formula>
    </cfRule>
  </conditionalFormatting>
  <conditionalFormatting sqref="C75:C76">
    <cfRule type="cellIs" dxfId="2475" priority="3049" stopIfTrue="1" operator="equal">
      <formula>"Towel"</formula>
    </cfRule>
    <cfRule type="cellIs" dxfId="2474" priority="3050" stopIfTrue="1" operator="equal">
      <formula>"Napkin Hs"</formula>
    </cfRule>
  </conditionalFormatting>
  <conditionalFormatting sqref="C75:C76">
    <cfRule type="cellIs" dxfId="2473" priority="3025" stopIfTrue="1" operator="equal">
      <formula>"Towel"</formula>
    </cfRule>
    <cfRule type="cellIs" dxfId="2472" priority="3026" stopIfTrue="1" operator="equal">
      <formula>"Napkin Hs"</formula>
    </cfRule>
    <cfRule type="cellIs" dxfId="2471" priority="3029" stopIfTrue="1" operator="equal">
      <formula>"Towel"</formula>
    </cfRule>
    <cfRule type="cellIs" dxfId="2470" priority="3030" stopIfTrue="1" operator="equal">
      <formula>"Napkin Hs"</formula>
    </cfRule>
    <cfRule type="cellIs" dxfId="2469" priority="3043" stopIfTrue="1" operator="equal">
      <formula>"Towel"</formula>
    </cfRule>
    <cfRule type="cellIs" dxfId="2468" priority="3044" stopIfTrue="1" operator="equal">
      <formula>"Napkin Hs"</formula>
    </cfRule>
  </conditionalFormatting>
  <conditionalFormatting sqref="B75:C76">
    <cfRule type="cellIs" dxfId="2467" priority="2977" stopIfTrue="1" operator="equal">
      <formula>"Towel"</formula>
    </cfRule>
    <cfRule type="cellIs" dxfId="2466" priority="2978" stopIfTrue="1" operator="equal">
      <formula>"Napkin Hs"</formula>
    </cfRule>
    <cfRule type="cellIs" dxfId="2465" priority="2983" stopIfTrue="1" operator="equal">
      <formula>"Towel"</formula>
    </cfRule>
    <cfRule type="cellIs" dxfId="2464" priority="2984" stopIfTrue="1" operator="equal">
      <formula>"Napkin Hs"</formula>
    </cfRule>
    <cfRule type="cellIs" dxfId="2463" priority="2989" stopIfTrue="1" operator="equal">
      <formula>"Towel"</formula>
    </cfRule>
    <cfRule type="cellIs" dxfId="2462" priority="2990" stopIfTrue="1" operator="equal">
      <formula>"Napkin Hs"</formula>
    </cfRule>
    <cfRule type="cellIs" dxfId="2461" priority="2995" stopIfTrue="1" operator="equal">
      <formula>"Towel"</formula>
    </cfRule>
    <cfRule type="cellIs" dxfId="2460" priority="2996" stopIfTrue="1" operator="equal">
      <formula>"Napkin Hs"</formula>
    </cfRule>
    <cfRule type="cellIs" dxfId="2459" priority="3001" stopIfTrue="1" operator="equal">
      <formula>"Towel"</formula>
    </cfRule>
    <cfRule type="cellIs" dxfId="2458" priority="3002" stopIfTrue="1" operator="equal">
      <formula>"Napkin Hs"</formula>
    </cfRule>
    <cfRule type="cellIs" dxfId="2457" priority="3007" stopIfTrue="1" operator="equal">
      <formula>"Towel"</formula>
    </cfRule>
    <cfRule type="cellIs" dxfId="2456" priority="3008" stopIfTrue="1" operator="equal">
      <formula>"Napkin Hs"</formula>
    </cfRule>
    <cfRule type="cellIs" dxfId="2455" priority="3013" stopIfTrue="1" operator="equal">
      <formula>"Towel"</formula>
    </cfRule>
    <cfRule type="cellIs" dxfId="2454" priority="3014" stopIfTrue="1" operator="equal">
      <formula>"Napkin Hs"</formula>
    </cfRule>
    <cfRule type="cellIs" dxfId="2453" priority="3019" stopIfTrue="1" operator="equal">
      <formula>"Towel"</formula>
    </cfRule>
    <cfRule type="cellIs" dxfId="2452" priority="3020" stopIfTrue="1" operator="equal">
      <formula>"Napkin Hs"</formula>
    </cfRule>
  </conditionalFormatting>
  <conditionalFormatting sqref="C75:C76">
    <cfRule type="cellIs" dxfId="2451" priority="2973" stopIfTrue="1" operator="equal">
      <formula>"Towel"</formula>
    </cfRule>
    <cfRule type="cellIs" dxfId="2450" priority="2974" stopIfTrue="1" operator="equal">
      <formula>"Napkin Hs"</formula>
    </cfRule>
    <cfRule type="cellIs" dxfId="2449" priority="2975" stopIfTrue="1" operator="equal">
      <formula>"Towel"</formula>
    </cfRule>
    <cfRule type="cellIs" dxfId="2448" priority="2976" stopIfTrue="1" operator="equal">
      <formula>"Napkin Hs"</formula>
    </cfRule>
    <cfRule type="cellIs" dxfId="2447" priority="2979" stopIfTrue="1" operator="equal">
      <formula>"Towel"</formula>
    </cfRule>
    <cfRule type="cellIs" dxfId="2446" priority="2980" stopIfTrue="1" operator="equal">
      <formula>"Napkin Hs"</formula>
    </cfRule>
    <cfRule type="cellIs" dxfId="2445" priority="2981" stopIfTrue="1" operator="equal">
      <formula>"Towel"</formula>
    </cfRule>
    <cfRule type="cellIs" dxfId="2444" priority="2982" stopIfTrue="1" operator="equal">
      <formula>"Napkin Hs"</formula>
    </cfRule>
    <cfRule type="cellIs" dxfId="2443" priority="2985" stopIfTrue="1" operator="equal">
      <formula>"Towel"</formula>
    </cfRule>
    <cfRule type="cellIs" dxfId="2442" priority="2986" stopIfTrue="1" operator="equal">
      <formula>"Napkin Hs"</formula>
    </cfRule>
    <cfRule type="cellIs" dxfId="2441" priority="2987" stopIfTrue="1" operator="equal">
      <formula>"Towel"</formula>
    </cfRule>
    <cfRule type="cellIs" dxfId="2440" priority="2988" stopIfTrue="1" operator="equal">
      <formula>"Napkin Hs"</formula>
    </cfRule>
    <cfRule type="cellIs" dxfId="2439" priority="2991" stopIfTrue="1" operator="equal">
      <formula>"Towel"</formula>
    </cfRule>
    <cfRule type="cellIs" dxfId="2438" priority="2992" stopIfTrue="1" operator="equal">
      <formula>"Napkin Hs"</formula>
    </cfRule>
    <cfRule type="cellIs" dxfId="2437" priority="2993" stopIfTrue="1" operator="equal">
      <formula>"Towel"</formula>
    </cfRule>
    <cfRule type="cellIs" dxfId="2436" priority="2994" stopIfTrue="1" operator="equal">
      <formula>"Napkin Hs"</formula>
    </cfRule>
    <cfRule type="cellIs" dxfId="2435" priority="2997" stopIfTrue="1" operator="equal">
      <formula>"Towel"</formula>
    </cfRule>
    <cfRule type="cellIs" dxfId="2434" priority="2998" stopIfTrue="1" operator="equal">
      <formula>"Napkin Hs"</formula>
    </cfRule>
    <cfRule type="cellIs" dxfId="2433" priority="2999" stopIfTrue="1" operator="equal">
      <formula>"Towel"</formula>
    </cfRule>
    <cfRule type="cellIs" dxfId="2432" priority="3000" stopIfTrue="1" operator="equal">
      <formula>"Napkin Hs"</formula>
    </cfRule>
    <cfRule type="cellIs" dxfId="2431" priority="3003" stopIfTrue="1" operator="equal">
      <formula>"Towel"</formula>
    </cfRule>
    <cfRule type="cellIs" dxfId="2430" priority="3004" stopIfTrue="1" operator="equal">
      <formula>"Napkin Hs"</formula>
    </cfRule>
    <cfRule type="cellIs" dxfId="2429" priority="3005" stopIfTrue="1" operator="equal">
      <formula>"Towel"</formula>
    </cfRule>
    <cfRule type="cellIs" dxfId="2428" priority="3006" stopIfTrue="1" operator="equal">
      <formula>"Napkin Hs"</formula>
    </cfRule>
    <cfRule type="cellIs" dxfId="2427" priority="3009" stopIfTrue="1" operator="equal">
      <formula>"Towel"</formula>
    </cfRule>
    <cfRule type="cellIs" dxfId="2426" priority="3010" stopIfTrue="1" operator="equal">
      <formula>"Napkin Hs"</formula>
    </cfRule>
    <cfRule type="cellIs" dxfId="2425" priority="3011" stopIfTrue="1" operator="equal">
      <formula>"Towel"</formula>
    </cfRule>
    <cfRule type="cellIs" dxfId="2424" priority="3012" stopIfTrue="1" operator="equal">
      <formula>"Napkin Hs"</formula>
    </cfRule>
    <cfRule type="cellIs" dxfId="2423" priority="3015" stopIfTrue="1" operator="equal">
      <formula>"Towel"</formula>
    </cfRule>
    <cfRule type="cellIs" dxfId="2422" priority="3016" stopIfTrue="1" operator="equal">
      <formula>"Napkin Hs"</formula>
    </cfRule>
  </conditionalFormatting>
  <conditionalFormatting sqref="C75:C76">
    <cfRule type="cellIs" dxfId="2421" priority="3017" stopIfTrue="1" operator="equal">
      <formula>"Towel"</formula>
    </cfRule>
    <cfRule type="cellIs" dxfId="2420" priority="3018" stopIfTrue="1" operator="equal">
      <formula>"Napkin Hs"</formula>
    </cfRule>
  </conditionalFormatting>
  <conditionalFormatting sqref="B75:B76">
    <cfRule type="cellIs" dxfId="2419" priority="2967" stopIfTrue="1" operator="equal">
      <formula>"Towel"</formula>
    </cfRule>
    <cfRule type="cellIs" dxfId="2418" priority="2968" stopIfTrue="1" operator="equal">
      <formula>"Napkin Hs"</formula>
    </cfRule>
    <cfRule type="cellIs" dxfId="2417" priority="2969" stopIfTrue="1" operator="equal">
      <formula>"Towel"</formula>
    </cfRule>
    <cfRule type="cellIs" dxfId="2416" priority="2970" stopIfTrue="1" operator="equal">
      <formula>"Napkin Hs"</formula>
    </cfRule>
    <cfRule type="cellIs" dxfId="2415" priority="2971" stopIfTrue="1" operator="equal">
      <formula>"Towel"</formula>
    </cfRule>
    <cfRule type="cellIs" dxfId="2414" priority="2972" stopIfTrue="1" operator="equal">
      <formula>"Napkin Hs"</formula>
    </cfRule>
  </conditionalFormatting>
  <conditionalFormatting sqref="B75:C76">
    <cfRule type="cellIs" dxfId="2413" priority="2929" stopIfTrue="1" operator="equal">
      <formula>"Towel"</formula>
    </cfRule>
    <cfRule type="cellIs" dxfId="2412" priority="2930" stopIfTrue="1" operator="equal">
      <formula>"Napkin Hs"</formula>
    </cfRule>
    <cfRule type="cellIs" dxfId="2411" priority="2935" stopIfTrue="1" operator="equal">
      <formula>"Towel"</formula>
    </cfRule>
    <cfRule type="cellIs" dxfId="2410" priority="2936" stopIfTrue="1" operator="equal">
      <formula>"Napkin Hs"</formula>
    </cfRule>
    <cfRule type="cellIs" dxfId="2409" priority="2941" stopIfTrue="1" operator="equal">
      <formula>"Towel"</formula>
    </cfRule>
    <cfRule type="cellIs" dxfId="2408" priority="2942" stopIfTrue="1" operator="equal">
      <formula>"Napkin Hs"</formula>
    </cfRule>
    <cfRule type="cellIs" dxfId="2407" priority="2947" stopIfTrue="1" operator="equal">
      <formula>"Towel"</formula>
    </cfRule>
    <cfRule type="cellIs" dxfId="2406" priority="2948" stopIfTrue="1" operator="equal">
      <formula>"Napkin Hs"</formula>
    </cfRule>
    <cfRule type="cellIs" dxfId="2405" priority="2953" stopIfTrue="1" operator="equal">
      <formula>"Towel"</formula>
    </cfRule>
    <cfRule type="cellIs" dxfId="2404" priority="2954" stopIfTrue="1" operator="equal">
      <formula>"Napkin Hs"</formula>
    </cfRule>
    <cfRule type="cellIs" dxfId="2403" priority="2959" stopIfTrue="1" operator="equal">
      <formula>"Towel"</formula>
    </cfRule>
    <cfRule type="cellIs" dxfId="2402" priority="2960" stopIfTrue="1" operator="equal">
      <formula>"Napkin Hs"</formula>
    </cfRule>
    <cfRule type="cellIs" dxfId="2401" priority="2965" stopIfTrue="1" operator="equal">
      <formula>"Towel"</formula>
    </cfRule>
    <cfRule type="cellIs" dxfId="2400" priority="2966" stopIfTrue="1" operator="equal">
      <formula>"Napkin Hs"</formula>
    </cfRule>
  </conditionalFormatting>
  <conditionalFormatting sqref="C75:C76">
    <cfRule type="cellIs" dxfId="2399" priority="2925" stopIfTrue="1" operator="equal">
      <formula>"Towel"</formula>
    </cfRule>
    <cfRule type="cellIs" dxfId="2398" priority="2926" stopIfTrue="1" operator="equal">
      <formula>"Napkin Hs"</formula>
    </cfRule>
    <cfRule type="cellIs" dxfId="2397" priority="2927" stopIfTrue="1" operator="equal">
      <formula>"Towel"</formula>
    </cfRule>
    <cfRule type="cellIs" dxfId="2396" priority="2928" stopIfTrue="1" operator="equal">
      <formula>"Napkin Hs"</formula>
    </cfRule>
    <cfRule type="cellIs" dxfId="2395" priority="2931" stopIfTrue="1" operator="equal">
      <formula>"Towel"</formula>
    </cfRule>
    <cfRule type="cellIs" dxfId="2394" priority="2932" stopIfTrue="1" operator="equal">
      <formula>"Napkin Hs"</formula>
    </cfRule>
    <cfRule type="cellIs" dxfId="2393" priority="2933" stopIfTrue="1" operator="equal">
      <formula>"Towel"</formula>
    </cfRule>
    <cfRule type="cellIs" dxfId="2392" priority="2934" stopIfTrue="1" operator="equal">
      <formula>"Napkin Hs"</formula>
    </cfRule>
    <cfRule type="cellIs" dxfId="2391" priority="2937" stopIfTrue="1" operator="equal">
      <formula>"Towel"</formula>
    </cfRule>
    <cfRule type="cellIs" dxfId="2390" priority="2938" stopIfTrue="1" operator="equal">
      <formula>"Napkin Hs"</formula>
    </cfRule>
    <cfRule type="cellIs" dxfId="2389" priority="2939" stopIfTrue="1" operator="equal">
      <formula>"Towel"</formula>
    </cfRule>
    <cfRule type="cellIs" dxfId="2388" priority="2940" stopIfTrue="1" operator="equal">
      <formula>"Napkin Hs"</formula>
    </cfRule>
    <cfRule type="cellIs" dxfId="2387" priority="2943" stopIfTrue="1" operator="equal">
      <formula>"Towel"</formula>
    </cfRule>
    <cfRule type="cellIs" dxfId="2386" priority="2944" stopIfTrue="1" operator="equal">
      <formula>"Napkin Hs"</formula>
    </cfRule>
    <cfRule type="cellIs" dxfId="2385" priority="2945" stopIfTrue="1" operator="equal">
      <formula>"Towel"</formula>
    </cfRule>
    <cfRule type="cellIs" dxfId="2384" priority="2946" stopIfTrue="1" operator="equal">
      <formula>"Napkin Hs"</formula>
    </cfRule>
    <cfRule type="cellIs" dxfId="2383" priority="2949" stopIfTrue="1" operator="equal">
      <formula>"Towel"</formula>
    </cfRule>
    <cfRule type="cellIs" dxfId="2382" priority="2950" stopIfTrue="1" operator="equal">
      <formula>"Napkin Hs"</formula>
    </cfRule>
    <cfRule type="cellIs" dxfId="2381" priority="2951" stopIfTrue="1" operator="equal">
      <formula>"Towel"</formula>
    </cfRule>
    <cfRule type="cellIs" dxfId="2380" priority="2952" stopIfTrue="1" operator="equal">
      <formula>"Napkin Hs"</formula>
    </cfRule>
    <cfRule type="cellIs" dxfId="2379" priority="2955" stopIfTrue="1" operator="equal">
      <formula>"Towel"</formula>
    </cfRule>
    <cfRule type="cellIs" dxfId="2378" priority="2956" stopIfTrue="1" operator="equal">
      <formula>"Napkin Hs"</formula>
    </cfRule>
    <cfRule type="cellIs" dxfId="2377" priority="2957" stopIfTrue="1" operator="equal">
      <formula>"Towel"</formula>
    </cfRule>
    <cfRule type="cellIs" dxfId="2376" priority="2958" stopIfTrue="1" operator="equal">
      <formula>"Napkin Hs"</formula>
    </cfRule>
    <cfRule type="cellIs" dxfId="2375" priority="2961" stopIfTrue="1" operator="equal">
      <formula>"Towel"</formula>
    </cfRule>
    <cfRule type="cellIs" dxfId="2374" priority="2962" stopIfTrue="1" operator="equal">
      <formula>"Napkin Hs"</formula>
    </cfRule>
  </conditionalFormatting>
  <conditionalFormatting sqref="C75:C76">
    <cfRule type="cellIs" dxfId="2373" priority="2963" stopIfTrue="1" operator="equal">
      <formula>"Towel"</formula>
    </cfRule>
    <cfRule type="cellIs" dxfId="2372" priority="2964" stopIfTrue="1" operator="equal">
      <formula>"Napkin Hs"</formula>
    </cfRule>
  </conditionalFormatting>
  <conditionalFormatting sqref="B75:C76">
    <cfRule type="cellIs" dxfId="2371" priority="2923" stopIfTrue="1" operator="equal">
      <formula>"Towel"</formula>
    </cfRule>
    <cfRule type="cellIs" dxfId="2370" priority="2924" stopIfTrue="1" operator="equal">
      <formula>"Napkin Hs"</formula>
    </cfRule>
  </conditionalFormatting>
  <conditionalFormatting sqref="B75:C76">
    <cfRule type="cellIs" dxfId="2369" priority="2887" stopIfTrue="1" operator="equal">
      <formula>"Towel"</formula>
    </cfRule>
    <cfRule type="cellIs" dxfId="2368" priority="2888" stopIfTrue="1" operator="equal">
      <formula>"Napkin Hs"</formula>
    </cfRule>
    <cfRule type="cellIs" dxfId="2367" priority="2893" stopIfTrue="1" operator="equal">
      <formula>"Towel"</formula>
    </cfRule>
    <cfRule type="cellIs" dxfId="2366" priority="2894" stopIfTrue="1" operator="equal">
      <formula>"Napkin Hs"</formula>
    </cfRule>
    <cfRule type="cellIs" dxfId="2365" priority="2899" stopIfTrue="1" operator="equal">
      <formula>"Towel"</formula>
    </cfRule>
    <cfRule type="cellIs" dxfId="2364" priority="2900" stopIfTrue="1" operator="equal">
      <formula>"Napkin Hs"</formula>
    </cfRule>
    <cfRule type="cellIs" dxfId="2363" priority="2905" stopIfTrue="1" operator="equal">
      <formula>"Towel"</formula>
    </cfRule>
    <cfRule type="cellIs" dxfId="2362" priority="2906" stopIfTrue="1" operator="equal">
      <formula>"Napkin Hs"</formula>
    </cfRule>
    <cfRule type="cellIs" dxfId="2361" priority="2911" stopIfTrue="1" operator="equal">
      <formula>"Towel"</formula>
    </cfRule>
    <cfRule type="cellIs" dxfId="2360" priority="2912" stopIfTrue="1" operator="equal">
      <formula>"Napkin Hs"</formula>
    </cfRule>
    <cfRule type="cellIs" dxfId="2359" priority="2917" stopIfTrue="1" operator="equal">
      <formula>"Towel"</formula>
    </cfRule>
    <cfRule type="cellIs" dxfId="2358" priority="2918" stopIfTrue="1" operator="equal">
      <formula>"Napkin Hs"</formula>
    </cfRule>
  </conditionalFormatting>
  <conditionalFormatting sqref="C75:C76">
    <cfRule type="cellIs" dxfId="2357" priority="2922" stopIfTrue="1" operator="equal">
      <formula>"Napkin Hs"</formula>
    </cfRule>
  </conditionalFormatting>
  <conditionalFormatting sqref="C75:C76">
    <cfRule type="cellIs" dxfId="2356" priority="2921" stopIfTrue="1" operator="equal">
      <formula>"Towel"</formula>
    </cfRule>
  </conditionalFormatting>
  <conditionalFormatting sqref="C75:C76">
    <cfRule type="cellIs" dxfId="2355" priority="2915" stopIfTrue="1" operator="equal">
      <formula>"Towel"</formula>
    </cfRule>
    <cfRule type="cellIs" dxfId="2354" priority="2916" stopIfTrue="1" operator="equal">
      <formula>"Napkin Hs"</formula>
    </cfRule>
  </conditionalFormatting>
  <conditionalFormatting sqref="C75:C76">
    <cfRule type="cellIs" dxfId="2353" priority="2913" stopIfTrue="1" operator="equal">
      <formula>"Towel"</formula>
    </cfRule>
    <cfRule type="cellIs" dxfId="2352" priority="2914" stopIfTrue="1" operator="equal">
      <formula>"Napkin Hs"</formula>
    </cfRule>
    <cfRule type="cellIs" dxfId="2351" priority="2919" stopIfTrue="1" operator="equal">
      <formula>"Towel"</formula>
    </cfRule>
    <cfRule type="cellIs" dxfId="2350" priority="2920" stopIfTrue="1" operator="equal">
      <formula>"Napkin Hs"</formula>
    </cfRule>
  </conditionalFormatting>
  <conditionalFormatting sqref="C75:C76">
    <cfRule type="cellIs" dxfId="2349" priority="2885" stopIfTrue="1" operator="equal">
      <formula>"Towel"</formula>
    </cfRule>
    <cfRule type="cellIs" dxfId="2348" priority="2886" stopIfTrue="1" operator="equal">
      <formula>"Napkin Hs"</formula>
    </cfRule>
    <cfRule type="cellIs" dxfId="2347" priority="2889" stopIfTrue="1" operator="equal">
      <formula>"Towel"</formula>
    </cfRule>
    <cfRule type="cellIs" dxfId="2346" priority="2890" stopIfTrue="1" operator="equal">
      <formula>"Napkin Hs"</formula>
    </cfRule>
    <cfRule type="cellIs" dxfId="2345" priority="2891" stopIfTrue="1" operator="equal">
      <formula>"Towel"</formula>
    </cfRule>
    <cfRule type="cellIs" dxfId="2344" priority="2892" stopIfTrue="1" operator="equal">
      <formula>"Napkin Hs"</formula>
    </cfRule>
    <cfRule type="cellIs" dxfId="2343" priority="2895" stopIfTrue="1" operator="equal">
      <formula>"Towel"</formula>
    </cfRule>
    <cfRule type="cellIs" dxfId="2342" priority="2896" stopIfTrue="1" operator="equal">
      <formula>"Napkin Hs"</formula>
    </cfRule>
    <cfRule type="cellIs" dxfId="2341" priority="2897" stopIfTrue="1" operator="equal">
      <formula>"Towel"</formula>
    </cfRule>
    <cfRule type="cellIs" dxfId="2340" priority="2898" stopIfTrue="1" operator="equal">
      <formula>"Napkin Hs"</formula>
    </cfRule>
    <cfRule type="cellIs" dxfId="2339" priority="2901" stopIfTrue="1" operator="equal">
      <formula>"Towel"</formula>
    </cfRule>
    <cfRule type="cellIs" dxfId="2338" priority="2902" stopIfTrue="1" operator="equal">
      <formula>"Napkin Hs"</formula>
    </cfRule>
    <cfRule type="cellIs" dxfId="2337" priority="2903" stopIfTrue="1" operator="equal">
      <formula>"Towel"</formula>
    </cfRule>
    <cfRule type="cellIs" dxfId="2336" priority="2904" stopIfTrue="1" operator="equal">
      <formula>"Napkin Hs"</formula>
    </cfRule>
    <cfRule type="cellIs" dxfId="2335" priority="2907" stopIfTrue="1" operator="equal">
      <formula>"Towel"</formula>
    </cfRule>
    <cfRule type="cellIs" dxfId="2334" priority="2908" stopIfTrue="1" operator="equal">
      <formula>"Napkin Hs"</formula>
    </cfRule>
    <cfRule type="cellIs" dxfId="2333" priority="2909" stopIfTrue="1" operator="equal">
      <formula>"Towel"</formula>
    </cfRule>
    <cfRule type="cellIs" dxfId="2332" priority="2910" stopIfTrue="1" operator="equal">
      <formula>"Napkin Hs"</formula>
    </cfRule>
  </conditionalFormatting>
  <conditionalFormatting sqref="C75:C76">
    <cfRule type="cellIs" dxfId="2331" priority="2883" stopIfTrue="1" operator="equal">
      <formula>"Towel"</formula>
    </cfRule>
    <cfRule type="cellIs" dxfId="2330" priority="2884" stopIfTrue="1" operator="equal">
      <formula>"Napkin Hs"</formula>
    </cfRule>
  </conditionalFormatting>
  <conditionalFormatting sqref="C75:C76">
    <cfRule type="cellIs" dxfId="2329" priority="2863" stopIfTrue="1" operator="equal">
      <formula>"Towel"</formula>
    </cfRule>
    <cfRule type="cellIs" dxfId="2328" priority="2864" stopIfTrue="1" operator="equal">
      <formula>"Napkin Hs"</formula>
    </cfRule>
    <cfRule type="cellIs" dxfId="2327" priority="2869" stopIfTrue="1" operator="equal">
      <formula>"Towel"</formula>
    </cfRule>
    <cfRule type="cellIs" dxfId="2326" priority="2870" stopIfTrue="1" operator="equal">
      <formula>"Napkin Hs"</formula>
    </cfRule>
    <cfRule type="cellIs" dxfId="2325" priority="2875" stopIfTrue="1" operator="equal">
      <formula>"Towel"</formula>
    </cfRule>
    <cfRule type="cellIs" dxfId="2324" priority="2876" stopIfTrue="1" operator="equal">
      <formula>"Napkin Hs"</formula>
    </cfRule>
    <cfRule type="cellIs" dxfId="2323" priority="2881" stopIfTrue="1" operator="equal">
      <formula>"Towel"</formula>
    </cfRule>
    <cfRule type="cellIs" dxfId="2322" priority="2882" stopIfTrue="1" operator="equal">
      <formula>"Napkin Hs"</formula>
    </cfRule>
  </conditionalFormatting>
  <conditionalFormatting sqref="C75:C76">
    <cfRule type="cellIs" dxfId="2321" priority="2873" stopIfTrue="1" operator="equal">
      <formula>"Towel"</formula>
    </cfRule>
    <cfRule type="cellIs" dxfId="2320" priority="2874" stopIfTrue="1" operator="equal">
      <formula>"Napkin Hs"</formula>
    </cfRule>
    <cfRule type="cellIs" dxfId="2319" priority="2879" stopIfTrue="1" operator="equal">
      <formula>"Towel"</formula>
    </cfRule>
    <cfRule type="cellIs" dxfId="2318" priority="2880" stopIfTrue="1" operator="equal">
      <formula>"Napkin Hs"</formula>
    </cfRule>
  </conditionalFormatting>
  <conditionalFormatting sqref="C75:C76">
    <cfRule type="cellIs" dxfId="2317" priority="2859" stopIfTrue="1" operator="equal">
      <formula>"Towel"</formula>
    </cfRule>
    <cfRule type="cellIs" dxfId="2316" priority="2860" stopIfTrue="1" operator="equal">
      <formula>"Napkin Hs"</formula>
    </cfRule>
    <cfRule type="cellIs" dxfId="2315" priority="2867" stopIfTrue="1" operator="equal">
      <formula>"Towel"</formula>
    </cfRule>
    <cfRule type="cellIs" dxfId="2314" priority="2868" stopIfTrue="1" operator="equal">
      <formula>"Napkin Hs"</formula>
    </cfRule>
    <cfRule type="cellIs" dxfId="2313" priority="2871" stopIfTrue="1" operator="equal">
      <formula>"Towel"</formula>
    </cfRule>
    <cfRule type="cellIs" dxfId="2312" priority="2872" stopIfTrue="1" operator="equal">
      <formula>"Napkin Hs"</formula>
    </cfRule>
  </conditionalFormatting>
  <conditionalFormatting sqref="C75:C76">
    <cfRule type="cellIs" dxfId="2311" priority="2861" stopIfTrue="1" operator="equal">
      <formula>"Towel"</formula>
    </cfRule>
    <cfRule type="cellIs" dxfId="2310" priority="2862" stopIfTrue="1" operator="equal">
      <formula>"Napkin Hs"</formula>
    </cfRule>
    <cfRule type="cellIs" dxfId="2309" priority="2865" stopIfTrue="1" operator="equal">
      <formula>"Towel"</formula>
    </cfRule>
    <cfRule type="cellIs" dxfId="2308" priority="2866" stopIfTrue="1" operator="equal">
      <formula>"Napkin Hs"</formula>
    </cfRule>
    <cfRule type="cellIs" dxfId="2307" priority="2877" stopIfTrue="1" operator="equal">
      <formula>"Towel"</formula>
    </cfRule>
    <cfRule type="cellIs" dxfId="2306" priority="2878" stopIfTrue="1" operator="equal">
      <formula>"Napkin Hs"</formula>
    </cfRule>
  </conditionalFormatting>
  <conditionalFormatting sqref="C75:C76">
    <cfRule type="cellIs" dxfId="2305" priority="2857" stopIfTrue="1" operator="equal">
      <formula>"Towel"</formula>
    </cfRule>
    <cfRule type="cellIs" dxfId="2304" priority="2858" stopIfTrue="1" operator="equal">
      <formula>"Napkin Hs"</formula>
    </cfRule>
  </conditionalFormatting>
  <conditionalFormatting sqref="C75:C76">
    <cfRule type="cellIs" dxfId="2303" priority="2853" stopIfTrue="1" operator="equal">
      <formula>"Towel"</formula>
    </cfRule>
    <cfRule type="cellIs" dxfId="2302" priority="2854" stopIfTrue="1" operator="equal">
      <formula>"Napkin Hs"</formula>
    </cfRule>
  </conditionalFormatting>
  <conditionalFormatting sqref="C75:C76">
    <cfRule type="cellIs" dxfId="2301" priority="2855" stopIfTrue="1" operator="equal">
      <formula>"Towel"</formula>
    </cfRule>
    <cfRule type="cellIs" dxfId="2300" priority="2856" stopIfTrue="1" operator="equal">
      <formula>"Napkin Hs"</formula>
    </cfRule>
  </conditionalFormatting>
  <conditionalFormatting sqref="C75:C76">
    <cfRule type="cellIs" dxfId="2299" priority="2851" stopIfTrue="1" operator="equal">
      <formula>"Towel"</formula>
    </cfRule>
    <cfRule type="cellIs" dxfId="2298" priority="2852" stopIfTrue="1" operator="equal">
      <formula>"Napkin Hs"</formula>
    </cfRule>
  </conditionalFormatting>
  <conditionalFormatting sqref="C75:C76">
    <cfRule type="cellIs" dxfId="2297" priority="2847" stopIfTrue="1" operator="equal">
      <formula>"Towel"</formula>
    </cfRule>
    <cfRule type="cellIs" dxfId="2296" priority="2848" stopIfTrue="1" operator="equal">
      <formula>"Napkin Hs"</formula>
    </cfRule>
  </conditionalFormatting>
  <conditionalFormatting sqref="C75:C76">
    <cfRule type="cellIs" dxfId="2295" priority="2849" stopIfTrue="1" operator="equal">
      <formula>"Towel"</formula>
    </cfRule>
    <cfRule type="cellIs" dxfId="2294" priority="2850" stopIfTrue="1" operator="equal">
      <formula>"Napkin Hs"</formula>
    </cfRule>
  </conditionalFormatting>
  <conditionalFormatting sqref="C75:C76">
    <cfRule type="cellIs" dxfId="2293" priority="2845" stopIfTrue="1" operator="equal">
      <formula>"Towel"</formula>
    </cfRule>
    <cfRule type="cellIs" dxfId="2292" priority="2846" stopIfTrue="1" operator="equal">
      <formula>"Napkin Hs"</formula>
    </cfRule>
  </conditionalFormatting>
  <conditionalFormatting sqref="C75:C76">
    <cfRule type="cellIs" dxfId="2291" priority="2841" stopIfTrue="1" operator="equal">
      <formula>"Towel"</formula>
    </cfRule>
    <cfRule type="cellIs" dxfId="2290" priority="2842" stopIfTrue="1" operator="equal">
      <formula>"Napkin Hs"</formula>
    </cfRule>
  </conditionalFormatting>
  <conditionalFormatting sqref="C75:C76">
    <cfRule type="cellIs" dxfId="2289" priority="2843" stopIfTrue="1" operator="equal">
      <formula>"Towel"</formula>
    </cfRule>
    <cfRule type="cellIs" dxfId="2288" priority="2844" stopIfTrue="1" operator="equal">
      <formula>"Napkin Hs"</formula>
    </cfRule>
  </conditionalFormatting>
  <conditionalFormatting sqref="C75:C76">
    <cfRule type="cellIs" dxfId="2287" priority="2839" stopIfTrue="1" operator="equal">
      <formula>"Towel"</formula>
    </cfRule>
    <cfRule type="cellIs" dxfId="2286" priority="2840" stopIfTrue="1" operator="equal">
      <formula>"Napkin Hs"</formula>
    </cfRule>
  </conditionalFormatting>
  <conditionalFormatting sqref="C75:C76">
    <cfRule type="cellIs" dxfId="2285" priority="2837" stopIfTrue="1" operator="equal">
      <formula>"Towel"</formula>
    </cfRule>
    <cfRule type="cellIs" dxfId="2284" priority="2838" stopIfTrue="1" operator="equal">
      <formula>"Napkin Hs"</formula>
    </cfRule>
  </conditionalFormatting>
  <conditionalFormatting sqref="C75:C76">
    <cfRule type="cellIs" dxfId="2283" priority="2835" stopIfTrue="1" operator="equal">
      <formula>"Towel"</formula>
    </cfRule>
    <cfRule type="cellIs" dxfId="2282" priority="2836" stopIfTrue="1" operator="equal">
      <formula>"Napkin Hs"</formula>
    </cfRule>
  </conditionalFormatting>
  <conditionalFormatting sqref="C75:C76">
    <cfRule type="cellIs" dxfId="2281" priority="2833" stopIfTrue="1" operator="equal">
      <formula>"Towel"</formula>
    </cfRule>
    <cfRule type="cellIs" dxfId="2280" priority="2834" stopIfTrue="1" operator="equal">
      <formula>"Napkin Hs"</formula>
    </cfRule>
  </conditionalFormatting>
  <conditionalFormatting sqref="C75:C76">
    <cfRule type="cellIs" dxfId="2279" priority="2832" stopIfTrue="1" operator="equal">
      <formula>"Napkin Hs"</formula>
    </cfRule>
  </conditionalFormatting>
  <conditionalFormatting sqref="C75:C76">
    <cfRule type="cellIs" dxfId="2278" priority="2829" stopIfTrue="1" operator="equal">
      <formula>"Towel"</formula>
    </cfRule>
    <cfRule type="cellIs" dxfId="2277" priority="2830" stopIfTrue="1" operator="equal">
      <formula>"Napkin Hs"</formula>
    </cfRule>
  </conditionalFormatting>
  <conditionalFormatting sqref="C75:C76">
    <cfRule type="cellIs" dxfId="2276" priority="2831" stopIfTrue="1" operator="equal">
      <formula>"Towel"</formula>
    </cfRule>
  </conditionalFormatting>
  <conditionalFormatting sqref="B75:B76">
    <cfRule type="cellIs" dxfId="2275" priority="2827" stopIfTrue="1" operator="equal">
      <formula>"Towel"</formula>
    </cfRule>
    <cfRule type="cellIs" dxfId="2274" priority="2828" stopIfTrue="1" operator="equal">
      <formula>"Napkin Hs"</formula>
    </cfRule>
  </conditionalFormatting>
  <conditionalFormatting sqref="B75:B76">
    <cfRule type="cellIs" dxfId="2273" priority="2825" stopIfTrue="1" operator="equal">
      <formula>"Towel"</formula>
    </cfRule>
    <cfRule type="cellIs" dxfId="2272" priority="2826" stopIfTrue="1" operator="equal">
      <formula>"Napkin Hs"</formula>
    </cfRule>
  </conditionalFormatting>
  <conditionalFormatting sqref="B75:B76">
    <cfRule type="cellIs" dxfId="2271" priority="2823" stopIfTrue="1" operator="equal">
      <formula>"Towel"</formula>
    </cfRule>
    <cfRule type="cellIs" dxfId="2270" priority="2824" stopIfTrue="1" operator="equal">
      <formula>"Napkin Hs"</formula>
    </cfRule>
  </conditionalFormatting>
  <conditionalFormatting sqref="B75:B76">
    <cfRule type="cellIs" dxfId="2269" priority="2821" stopIfTrue="1" operator="equal">
      <formula>"Towel"</formula>
    </cfRule>
    <cfRule type="cellIs" dxfId="2268" priority="2822" stopIfTrue="1" operator="equal">
      <formula>"Napkin Hs"</formula>
    </cfRule>
  </conditionalFormatting>
  <conditionalFormatting sqref="B75:B76">
    <cfRule type="cellIs" dxfId="2267" priority="2819" stopIfTrue="1" operator="equal">
      <formula>"Towel"</formula>
    </cfRule>
    <cfRule type="cellIs" dxfId="2266" priority="2820" stopIfTrue="1" operator="equal">
      <formula>"Napkin Hs"</formula>
    </cfRule>
  </conditionalFormatting>
  <conditionalFormatting sqref="B75:B76">
    <cfRule type="cellIs" dxfId="2265" priority="2817" stopIfTrue="1" operator="equal">
      <formula>"Towel"</formula>
    </cfRule>
    <cfRule type="cellIs" dxfId="2264" priority="2818" stopIfTrue="1" operator="equal">
      <formula>"Napkin Hs"</formula>
    </cfRule>
  </conditionalFormatting>
  <conditionalFormatting sqref="B75:B76">
    <cfRule type="cellIs" dxfId="2263" priority="2813" stopIfTrue="1" operator="equal">
      <formula>"Towel"</formula>
    </cfRule>
    <cfRule type="cellIs" dxfId="2262" priority="2814" stopIfTrue="1" operator="equal">
      <formula>"Napkin Hs"</formula>
    </cfRule>
    <cfRule type="cellIs" dxfId="2261" priority="2815" stopIfTrue="1" operator="equal">
      <formula>"Towel"</formula>
    </cfRule>
    <cfRule type="cellIs" dxfId="2260" priority="2816" stopIfTrue="1" operator="equal">
      <formula>"Napkin Hs"</formula>
    </cfRule>
  </conditionalFormatting>
  <conditionalFormatting sqref="B75:B76">
    <cfRule type="cellIs" dxfId="2259" priority="2811" stopIfTrue="1" operator="equal">
      <formula>"Towel"</formula>
    </cfRule>
    <cfRule type="cellIs" dxfId="2258" priority="2812" stopIfTrue="1" operator="equal">
      <formula>"Napkin Hs"</formula>
    </cfRule>
  </conditionalFormatting>
  <conditionalFormatting sqref="B75:B76">
    <cfRule type="cellIs" dxfId="2257" priority="2809" stopIfTrue="1" operator="equal">
      <formula>"Towel"</formula>
    </cfRule>
    <cfRule type="cellIs" dxfId="2256" priority="2810" stopIfTrue="1" operator="equal">
      <formula>"Napkin Hs"</formula>
    </cfRule>
  </conditionalFormatting>
  <conditionalFormatting sqref="B75:B76">
    <cfRule type="cellIs" dxfId="2255" priority="2807" stopIfTrue="1" operator="equal">
      <formula>"Towel"</formula>
    </cfRule>
    <cfRule type="cellIs" dxfId="2254" priority="2808" stopIfTrue="1" operator="equal">
      <formula>"Napkin Hs"</formula>
    </cfRule>
  </conditionalFormatting>
  <conditionalFormatting sqref="B75:B76">
    <cfRule type="cellIs" dxfId="2253" priority="2805" stopIfTrue="1" operator="equal">
      <formula>"Towel"</formula>
    </cfRule>
    <cfRule type="cellIs" dxfId="2252" priority="2806" stopIfTrue="1" operator="equal">
      <formula>"Napkin Hs"</formula>
    </cfRule>
  </conditionalFormatting>
  <conditionalFormatting sqref="B75:B76">
    <cfRule type="cellIs" dxfId="2251" priority="2803" stopIfTrue="1" operator="equal">
      <formula>"Towel"</formula>
    </cfRule>
    <cfRule type="cellIs" dxfId="2250" priority="2804" stopIfTrue="1" operator="equal">
      <formula>"Napkin Hs"</formula>
    </cfRule>
  </conditionalFormatting>
  <conditionalFormatting sqref="B75:C76">
    <cfRule type="cellIs" dxfId="2249" priority="2789" stopIfTrue="1" operator="equal">
      <formula>"Towel"</formula>
    </cfRule>
    <cfRule type="cellIs" dxfId="2248" priority="2790" stopIfTrue="1" operator="equal">
      <formula>"Napkin Hs"</formula>
    </cfRule>
    <cfRule type="cellIs" dxfId="2247" priority="2795" stopIfTrue="1" operator="equal">
      <formula>"Towel"</formula>
    </cfRule>
    <cfRule type="cellIs" dxfId="2246" priority="2796" stopIfTrue="1" operator="equal">
      <formula>"Napkin Hs"</formula>
    </cfRule>
    <cfRule type="cellIs" dxfId="2245" priority="2801" stopIfTrue="1" operator="equal">
      <formula>"Towel"</formula>
    </cfRule>
    <cfRule type="cellIs" dxfId="2244" priority="2802" stopIfTrue="1" operator="equal">
      <formula>"Napkin Hs"</formula>
    </cfRule>
  </conditionalFormatting>
  <conditionalFormatting sqref="C75:C76">
    <cfRule type="cellIs" dxfId="2243" priority="2783" stopIfTrue="1" operator="equal">
      <formula>"Towel"</formula>
    </cfRule>
    <cfRule type="cellIs" dxfId="2242" priority="2784" stopIfTrue="1" operator="equal">
      <formula>"Napkin Hs"</formula>
    </cfRule>
    <cfRule type="cellIs" dxfId="2241" priority="2785" stopIfTrue="1" operator="equal">
      <formula>"Towel"</formula>
    </cfRule>
    <cfRule type="cellIs" dxfId="2240" priority="2786" stopIfTrue="1" operator="equal">
      <formula>"Napkin Hs"</formula>
    </cfRule>
    <cfRule type="cellIs" dxfId="2239" priority="2793" stopIfTrue="1" operator="equal">
      <formula>"Towel"</formula>
    </cfRule>
    <cfRule type="cellIs" dxfId="2238" priority="2794" stopIfTrue="1" operator="equal">
      <formula>"Napkin Hs"</formula>
    </cfRule>
    <cfRule type="cellIs" dxfId="2237" priority="2797" stopIfTrue="1" operator="equal">
      <formula>"Towel"</formula>
    </cfRule>
    <cfRule type="cellIs" dxfId="2236" priority="2798" stopIfTrue="1" operator="equal">
      <formula>"Napkin Hs"</formula>
    </cfRule>
  </conditionalFormatting>
  <conditionalFormatting sqref="C75:C76">
    <cfRule type="cellIs" dxfId="2235" priority="2787" stopIfTrue="1" operator="equal">
      <formula>"Towel"</formula>
    </cfRule>
    <cfRule type="cellIs" dxfId="2234" priority="2788" stopIfTrue="1" operator="equal">
      <formula>"Napkin Hs"</formula>
    </cfRule>
    <cfRule type="cellIs" dxfId="2233" priority="2791" stopIfTrue="1" operator="equal">
      <formula>"Towel"</formula>
    </cfRule>
    <cfRule type="cellIs" dxfId="2232" priority="2792" stopIfTrue="1" operator="equal">
      <formula>"Napkin Hs"</formula>
    </cfRule>
    <cfRule type="cellIs" dxfId="2231" priority="2799" stopIfTrue="1" operator="equal">
      <formula>"Towel"</formula>
    </cfRule>
    <cfRule type="cellIs" dxfId="2230" priority="2800" stopIfTrue="1" operator="equal">
      <formula>"Napkin Hs"</formula>
    </cfRule>
  </conditionalFormatting>
  <conditionalFormatting sqref="B75:C76">
    <cfRule type="cellIs" dxfId="2229" priority="2781" stopIfTrue="1" operator="equal">
      <formula>"Towel"</formula>
    </cfRule>
    <cfRule type="cellIs" dxfId="2228" priority="2782" stopIfTrue="1" operator="equal">
      <formula>"Napkin Hs"</formula>
    </cfRule>
  </conditionalFormatting>
  <conditionalFormatting sqref="B75:C76">
    <cfRule type="cellIs" dxfId="2227" priority="2773" stopIfTrue="1" operator="equal">
      <formula>"Towel"</formula>
    </cfRule>
    <cfRule type="cellIs" dxfId="2226" priority="2774" stopIfTrue="1" operator="equal">
      <formula>"Napkin Hs"</formula>
    </cfRule>
    <cfRule type="cellIs" dxfId="2225" priority="2779" stopIfTrue="1" operator="equal">
      <formula>"Towel"</formula>
    </cfRule>
    <cfRule type="cellIs" dxfId="2224" priority="2780" stopIfTrue="1" operator="equal">
      <formula>"Napkin Hs"</formula>
    </cfRule>
  </conditionalFormatting>
  <conditionalFormatting sqref="C75:C76">
    <cfRule type="cellIs" dxfId="2223" priority="2769" stopIfTrue="1" operator="equal">
      <formula>"Towel"</formula>
    </cfRule>
    <cfRule type="cellIs" dxfId="2222" priority="2770" stopIfTrue="1" operator="equal">
      <formula>"Napkin Hs"</formula>
    </cfRule>
  </conditionalFormatting>
  <conditionalFormatting sqref="C75:C76">
    <cfRule type="cellIs" dxfId="2221" priority="2767" stopIfTrue="1" operator="equal">
      <formula>"Towel"</formula>
    </cfRule>
    <cfRule type="cellIs" dxfId="2220" priority="2768" stopIfTrue="1" operator="equal">
      <formula>"Napkin Hs"</formula>
    </cfRule>
    <cfRule type="cellIs" dxfId="2219" priority="2777" stopIfTrue="1" operator="equal">
      <formula>"Towel"</formula>
    </cfRule>
    <cfRule type="cellIs" dxfId="2218" priority="2778" stopIfTrue="1" operator="equal">
      <formula>"Napkin Hs"</formula>
    </cfRule>
  </conditionalFormatting>
  <conditionalFormatting sqref="C75:C76">
    <cfRule type="cellIs" dxfId="2217" priority="2771" stopIfTrue="1" operator="equal">
      <formula>"Towel"</formula>
    </cfRule>
    <cfRule type="cellIs" dxfId="2216" priority="2772" stopIfTrue="1" operator="equal">
      <formula>"Napkin Hs"</formula>
    </cfRule>
    <cfRule type="cellIs" dxfId="2215" priority="2775" stopIfTrue="1" operator="equal">
      <formula>"Towel"</formula>
    </cfRule>
    <cfRule type="cellIs" dxfId="2214" priority="2776" stopIfTrue="1" operator="equal">
      <formula>"Napkin Hs"</formula>
    </cfRule>
  </conditionalFormatting>
  <conditionalFormatting sqref="C75:C76">
    <cfRule type="cellIs" dxfId="2213" priority="2766" stopIfTrue="1" operator="equal">
      <formula>"Napkin Hs"</formula>
    </cfRule>
  </conditionalFormatting>
  <conditionalFormatting sqref="C75:C76">
    <cfRule type="cellIs" dxfId="2212" priority="2765" stopIfTrue="1" operator="equal">
      <formula>"Towel"</formula>
    </cfRule>
  </conditionalFormatting>
  <conditionalFormatting sqref="C75:C76">
    <cfRule type="cellIs" dxfId="2211" priority="2761" stopIfTrue="1" operator="equal">
      <formula>"Towel"</formula>
    </cfRule>
    <cfRule type="cellIs" dxfId="2210" priority="2762" stopIfTrue="1" operator="equal">
      <formula>"Napkin Hs"</formula>
    </cfRule>
    <cfRule type="cellIs" dxfId="2209" priority="2763" stopIfTrue="1" operator="equal">
      <formula>"Towel"</formula>
    </cfRule>
    <cfRule type="cellIs" dxfId="2208" priority="2764" stopIfTrue="1" operator="equal">
      <formula>"Napkin Hs"</formula>
    </cfRule>
  </conditionalFormatting>
  <conditionalFormatting sqref="B75:C76">
    <cfRule type="cellIs" dxfId="2207" priority="2759" stopIfTrue="1" operator="equal">
      <formula>"Towel"</formula>
    </cfRule>
    <cfRule type="cellIs" dxfId="2206" priority="2760" stopIfTrue="1" operator="equal">
      <formula>"Napkin Hs"</formula>
    </cfRule>
  </conditionalFormatting>
  <conditionalFormatting sqref="C75:C76">
    <cfRule type="cellIs" dxfId="2205" priority="2755" stopIfTrue="1" operator="equal">
      <formula>"Towel"</formula>
    </cfRule>
    <cfRule type="cellIs" dxfId="2204" priority="2756" stopIfTrue="1" operator="equal">
      <formula>"Napkin Hs"</formula>
    </cfRule>
  </conditionalFormatting>
  <conditionalFormatting sqref="C75:C76">
    <cfRule type="cellIs" dxfId="2203" priority="2757" stopIfTrue="1" operator="equal">
      <formula>"Towel"</formula>
    </cfRule>
    <cfRule type="cellIs" dxfId="2202" priority="2758" stopIfTrue="1" operator="equal">
      <formula>"Napkin Hs"</formula>
    </cfRule>
  </conditionalFormatting>
  <conditionalFormatting sqref="B75:C76">
    <cfRule type="cellIs" dxfId="2201" priority="2753" stopIfTrue="1" operator="equal">
      <formula>"Towel"</formula>
    </cfRule>
    <cfRule type="cellIs" dxfId="2200" priority="2754" stopIfTrue="1" operator="equal">
      <formula>"Napkin Hs"</formula>
    </cfRule>
  </conditionalFormatting>
  <conditionalFormatting sqref="C75:C76">
    <cfRule type="cellIs" dxfId="2199" priority="2749" stopIfTrue="1" operator="equal">
      <formula>"Towel"</formula>
    </cfRule>
    <cfRule type="cellIs" dxfId="2198" priority="2750" stopIfTrue="1" operator="equal">
      <formula>"Napkin Hs"</formula>
    </cfRule>
  </conditionalFormatting>
  <conditionalFormatting sqref="C75:C76">
    <cfRule type="cellIs" dxfId="2197" priority="2751" stopIfTrue="1" operator="equal">
      <formula>"Towel"</formula>
    </cfRule>
    <cfRule type="cellIs" dxfId="2196" priority="2752" stopIfTrue="1" operator="equal">
      <formula>"Napkin Hs"</formula>
    </cfRule>
  </conditionalFormatting>
  <conditionalFormatting sqref="B75:C76">
    <cfRule type="cellIs" dxfId="2195" priority="2747" stopIfTrue="1" operator="equal">
      <formula>"Towel"</formula>
    </cfRule>
    <cfRule type="cellIs" dxfId="2194" priority="2748" stopIfTrue="1" operator="equal">
      <formula>"Napkin Hs"</formula>
    </cfRule>
  </conditionalFormatting>
  <conditionalFormatting sqref="C75:C76">
    <cfRule type="cellIs" dxfId="2193" priority="2743" stopIfTrue="1" operator="equal">
      <formula>"Towel"</formula>
    </cfRule>
    <cfRule type="cellIs" dxfId="2192" priority="2744" stopIfTrue="1" operator="equal">
      <formula>"Napkin Hs"</formula>
    </cfRule>
  </conditionalFormatting>
  <conditionalFormatting sqref="C75:C76">
    <cfRule type="cellIs" dxfId="2191" priority="2745" stopIfTrue="1" operator="equal">
      <formula>"Towel"</formula>
    </cfRule>
    <cfRule type="cellIs" dxfId="2190" priority="2746" stopIfTrue="1" operator="equal">
      <formula>"Napkin Hs"</formula>
    </cfRule>
  </conditionalFormatting>
  <conditionalFormatting sqref="B75:C76">
    <cfRule type="cellIs" dxfId="2189" priority="2741" stopIfTrue="1" operator="equal">
      <formula>"Towel"</formula>
    </cfRule>
    <cfRule type="cellIs" dxfId="2188" priority="2742" stopIfTrue="1" operator="equal">
      <formula>"Napkin Hs"</formula>
    </cfRule>
  </conditionalFormatting>
  <conditionalFormatting sqref="C75:C76">
    <cfRule type="cellIs" dxfId="2187" priority="2739" stopIfTrue="1" operator="equal">
      <formula>"Towel"</formula>
    </cfRule>
    <cfRule type="cellIs" dxfId="2186" priority="2740" stopIfTrue="1" operator="equal">
      <formula>"Napkin Hs"</formula>
    </cfRule>
  </conditionalFormatting>
  <conditionalFormatting sqref="C75:C76">
    <cfRule type="cellIs" dxfId="2185" priority="2737" stopIfTrue="1" operator="equal">
      <formula>"Towel"</formula>
    </cfRule>
    <cfRule type="cellIs" dxfId="2184" priority="2738" stopIfTrue="1" operator="equal">
      <formula>"Napkin Hs"</formula>
    </cfRule>
  </conditionalFormatting>
  <conditionalFormatting sqref="B75:C76">
    <cfRule type="cellIs" dxfId="2183" priority="2735" stopIfTrue="1" operator="equal">
      <formula>"Towel"</formula>
    </cfRule>
    <cfRule type="cellIs" dxfId="2182" priority="2736" stopIfTrue="1" operator="equal">
      <formula>"Napkin Hs"</formula>
    </cfRule>
  </conditionalFormatting>
  <conditionalFormatting sqref="C75:C76">
    <cfRule type="cellIs" dxfId="2181" priority="2734" stopIfTrue="1" operator="equal">
      <formula>"Napkin Hs"</formula>
    </cfRule>
  </conditionalFormatting>
  <conditionalFormatting sqref="C75:C76">
    <cfRule type="cellIs" dxfId="2180" priority="2731" stopIfTrue="1" operator="equal">
      <formula>"Towel"</formula>
    </cfRule>
    <cfRule type="cellIs" dxfId="2179" priority="2732" stopIfTrue="1" operator="equal">
      <formula>"Napkin Hs"</formula>
    </cfRule>
  </conditionalFormatting>
  <conditionalFormatting sqref="C75:C76">
    <cfRule type="cellIs" dxfId="2178" priority="2733" stopIfTrue="1" operator="equal">
      <formula>"Towel"</formula>
    </cfRule>
  </conditionalFormatting>
  <conditionalFormatting sqref="B95:C95">
    <cfRule type="cellIs" dxfId="2177" priority="2693" stopIfTrue="1" operator="equal">
      <formula>"Towel"</formula>
    </cfRule>
    <cfRule type="cellIs" dxfId="2176" priority="2694" stopIfTrue="1" operator="equal">
      <formula>"Napkin Hs"</formula>
    </cfRule>
    <cfRule type="cellIs" dxfId="2175" priority="2699" stopIfTrue="1" operator="equal">
      <formula>"Towel"</formula>
    </cfRule>
    <cfRule type="cellIs" dxfId="2174" priority="2700" stopIfTrue="1" operator="equal">
      <formula>"Napkin Hs"</formula>
    </cfRule>
    <cfRule type="cellIs" dxfId="2173" priority="2705" stopIfTrue="1" operator="equal">
      <formula>"Towel"</formula>
    </cfRule>
    <cfRule type="cellIs" dxfId="2172" priority="2706" stopIfTrue="1" operator="equal">
      <formula>"Napkin Hs"</formula>
    </cfRule>
    <cfRule type="cellIs" dxfId="2171" priority="2711" stopIfTrue="1" operator="equal">
      <formula>"Towel"</formula>
    </cfRule>
    <cfRule type="cellIs" dxfId="2170" priority="2712" stopIfTrue="1" operator="equal">
      <formula>"Napkin Hs"</formula>
    </cfRule>
    <cfRule type="cellIs" dxfId="2169" priority="2717" stopIfTrue="1" operator="equal">
      <formula>"Towel"</formula>
    </cfRule>
    <cfRule type="cellIs" dxfId="2168" priority="2718" stopIfTrue="1" operator="equal">
      <formula>"Napkin Hs"</formula>
    </cfRule>
  </conditionalFormatting>
  <conditionalFormatting sqref="B95:C96">
    <cfRule type="cellIs" dxfId="2167" priority="2723" stopIfTrue="1" operator="equal">
      <formula>"Towel"</formula>
    </cfRule>
    <cfRule type="cellIs" dxfId="2166" priority="2724" stopIfTrue="1" operator="equal">
      <formula>"Napkin Hs"</formula>
    </cfRule>
  </conditionalFormatting>
  <conditionalFormatting sqref="C95">
    <cfRule type="cellIs" dxfId="2165" priority="2689" stopIfTrue="1" operator="equal">
      <formula>"Towel"</formula>
    </cfRule>
    <cfRule type="cellIs" dxfId="2164" priority="2690" stopIfTrue="1" operator="equal">
      <formula>"Napkin Hs"</formula>
    </cfRule>
  </conditionalFormatting>
  <conditionalFormatting sqref="C95">
    <cfRule type="cellIs" dxfId="2163" priority="2691" stopIfTrue="1" operator="equal">
      <formula>"Towel"</formula>
    </cfRule>
    <cfRule type="cellIs" dxfId="2162" priority="2692" stopIfTrue="1" operator="equal">
      <formula>"Napkin Hs"</formula>
    </cfRule>
    <cfRule type="cellIs" dxfId="2161" priority="2695" stopIfTrue="1" operator="equal">
      <formula>"Towel"</formula>
    </cfRule>
    <cfRule type="cellIs" dxfId="2160" priority="2696" stopIfTrue="1" operator="equal">
      <formula>"Napkin Hs"</formula>
    </cfRule>
    <cfRule type="cellIs" dxfId="2159" priority="2697" stopIfTrue="1" operator="equal">
      <formula>"Towel"</formula>
    </cfRule>
    <cfRule type="cellIs" dxfId="2158" priority="2698" stopIfTrue="1" operator="equal">
      <formula>"Napkin Hs"</formula>
    </cfRule>
    <cfRule type="cellIs" dxfId="2157" priority="2701" stopIfTrue="1" operator="equal">
      <formula>"Towel"</formula>
    </cfRule>
    <cfRule type="cellIs" dxfId="2156" priority="2702" stopIfTrue="1" operator="equal">
      <formula>"Napkin Hs"</formula>
    </cfRule>
    <cfRule type="cellIs" dxfId="2155" priority="2703" stopIfTrue="1" operator="equal">
      <formula>"Towel"</formula>
    </cfRule>
    <cfRule type="cellIs" dxfId="2154" priority="2704" stopIfTrue="1" operator="equal">
      <formula>"Napkin Hs"</formula>
    </cfRule>
    <cfRule type="cellIs" dxfId="2153" priority="2707" stopIfTrue="1" operator="equal">
      <formula>"Towel"</formula>
    </cfRule>
    <cfRule type="cellIs" dxfId="2152" priority="2708" stopIfTrue="1" operator="equal">
      <formula>"Napkin Hs"</formula>
    </cfRule>
    <cfRule type="cellIs" dxfId="2151" priority="2709" stopIfTrue="1" operator="equal">
      <formula>"Towel"</formula>
    </cfRule>
    <cfRule type="cellIs" dxfId="2150" priority="2710" stopIfTrue="1" operator="equal">
      <formula>"Napkin Hs"</formula>
    </cfRule>
    <cfRule type="cellIs" dxfId="2149" priority="2713" stopIfTrue="1" operator="equal">
      <formula>"Towel"</formula>
    </cfRule>
    <cfRule type="cellIs" dxfId="2148" priority="2714" stopIfTrue="1" operator="equal">
      <formula>"Napkin Hs"</formula>
    </cfRule>
    <cfRule type="cellIs" dxfId="2147" priority="2715" stopIfTrue="1" operator="equal">
      <formula>"Towel"</formula>
    </cfRule>
    <cfRule type="cellIs" dxfId="2146" priority="2716" stopIfTrue="1" operator="equal">
      <formula>"Napkin Hs"</formula>
    </cfRule>
    <cfRule type="cellIs" dxfId="2145" priority="2719" stopIfTrue="1" operator="equal">
      <formula>"Towel"</formula>
    </cfRule>
    <cfRule type="cellIs" dxfId="2144" priority="2720" stopIfTrue="1" operator="equal">
      <formula>"Napkin Hs"</formula>
    </cfRule>
  </conditionalFormatting>
  <conditionalFormatting sqref="C95:C96">
    <cfRule type="cellIs" dxfId="2143" priority="2721" stopIfTrue="1" operator="equal">
      <formula>"Towel"</formula>
    </cfRule>
    <cfRule type="cellIs" dxfId="2142" priority="2722" stopIfTrue="1" operator="equal">
      <formula>"Napkin Hs"</formula>
    </cfRule>
  </conditionalFormatting>
  <conditionalFormatting sqref="C96">
    <cfRule type="cellIs" dxfId="2141" priority="2725" stopIfTrue="1" operator="equal">
      <formula>"Towel"</formula>
    </cfRule>
    <cfRule type="cellIs" dxfId="2140" priority="2726" stopIfTrue="1" operator="equal">
      <formula>"Napkin Hs"</formula>
    </cfRule>
  </conditionalFormatting>
  <conditionalFormatting sqref="B92:C92">
    <cfRule type="cellIs" dxfId="2139" priority="2553" stopIfTrue="1" operator="equal">
      <formula>"Towel"</formula>
    </cfRule>
    <cfRule type="cellIs" dxfId="2138" priority="2554" stopIfTrue="1" operator="equal">
      <formula>"Napkin Hs"</formula>
    </cfRule>
    <cfRule type="cellIs" dxfId="2137" priority="2559" stopIfTrue="1" operator="equal">
      <formula>"Towel"</formula>
    </cfRule>
    <cfRule type="cellIs" dxfId="2136" priority="2560" stopIfTrue="1" operator="equal">
      <formula>"Napkin Hs"</formula>
    </cfRule>
    <cfRule type="cellIs" dxfId="2135" priority="2565" stopIfTrue="1" operator="equal">
      <formula>"Towel"</formula>
    </cfRule>
    <cfRule type="cellIs" dxfId="2134" priority="2566" stopIfTrue="1" operator="equal">
      <formula>"Napkin Hs"</formula>
    </cfRule>
    <cfRule type="cellIs" dxfId="2133" priority="2571" stopIfTrue="1" operator="equal">
      <formula>"Towel"</formula>
    </cfRule>
    <cfRule type="cellIs" dxfId="2132" priority="2572" stopIfTrue="1" operator="equal">
      <formula>"Napkin Hs"</formula>
    </cfRule>
    <cfRule type="cellIs" dxfId="2131" priority="2577" stopIfTrue="1" operator="equal">
      <formula>"Towel"</formula>
    </cfRule>
    <cfRule type="cellIs" dxfId="2130" priority="2578" stopIfTrue="1" operator="equal">
      <formula>"Napkin Hs"</formula>
    </cfRule>
    <cfRule type="cellIs" dxfId="2129" priority="2583" stopIfTrue="1" operator="equal">
      <formula>"Towel"</formula>
    </cfRule>
    <cfRule type="cellIs" dxfId="2128" priority="2584" stopIfTrue="1" operator="equal">
      <formula>"Napkin Hs"</formula>
    </cfRule>
  </conditionalFormatting>
  <conditionalFormatting sqref="B93:C93">
    <cfRule type="cellIs" dxfId="2127" priority="2587" stopIfTrue="1" operator="equal">
      <formula>"Towel"</formula>
    </cfRule>
    <cfRule type="cellIs" dxfId="2126" priority="2588" stopIfTrue="1" operator="equal">
      <formula>"Napkin Hs"</formula>
    </cfRule>
  </conditionalFormatting>
  <conditionalFormatting sqref="C92">
    <cfRule type="cellIs" dxfId="2125" priority="2549" stopIfTrue="1" operator="equal">
      <formula>"Towel"</formula>
    </cfRule>
    <cfRule type="cellIs" dxfId="2124" priority="2550" stopIfTrue="1" operator="equal">
      <formula>"Napkin Hs"</formula>
    </cfRule>
  </conditionalFormatting>
  <conditionalFormatting sqref="C92">
    <cfRule type="cellIs" dxfId="2123" priority="2551" stopIfTrue="1" operator="equal">
      <formula>"Towel"</formula>
    </cfRule>
    <cfRule type="cellIs" dxfId="2122" priority="2552" stopIfTrue="1" operator="equal">
      <formula>"Napkin Hs"</formula>
    </cfRule>
    <cfRule type="cellIs" dxfId="2121" priority="2555" stopIfTrue="1" operator="equal">
      <formula>"Towel"</formula>
    </cfRule>
    <cfRule type="cellIs" dxfId="2120" priority="2556" stopIfTrue="1" operator="equal">
      <formula>"Napkin Hs"</formula>
    </cfRule>
    <cfRule type="cellIs" dxfId="2119" priority="2557" stopIfTrue="1" operator="equal">
      <formula>"Towel"</formula>
    </cfRule>
    <cfRule type="cellIs" dxfId="2118" priority="2558" stopIfTrue="1" operator="equal">
      <formula>"Napkin Hs"</formula>
    </cfRule>
    <cfRule type="cellIs" dxfId="2117" priority="2561" stopIfTrue="1" operator="equal">
      <formula>"Towel"</formula>
    </cfRule>
    <cfRule type="cellIs" dxfId="2116" priority="2562" stopIfTrue="1" operator="equal">
      <formula>"Napkin Hs"</formula>
    </cfRule>
    <cfRule type="cellIs" dxfId="2115" priority="2563" stopIfTrue="1" operator="equal">
      <formula>"Towel"</formula>
    </cfRule>
    <cfRule type="cellIs" dxfId="2114" priority="2564" stopIfTrue="1" operator="equal">
      <formula>"Napkin Hs"</formula>
    </cfRule>
    <cfRule type="cellIs" dxfId="2113" priority="2567" stopIfTrue="1" operator="equal">
      <formula>"Towel"</formula>
    </cfRule>
    <cfRule type="cellIs" dxfId="2112" priority="2568" stopIfTrue="1" operator="equal">
      <formula>"Napkin Hs"</formula>
    </cfRule>
    <cfRule type="cellIs" dxfId="2111" priority="2569" stopIfTrue="1" operator="equal">
      <formula>"Towel"</formula>
    </cfRule>
    <cfRule type="cellIs" dxfId="2110" priority="2570" stopIfTrue="1" operator="equal">
      <formula>"Napkin Hs"</formula>
    </cfRule>
    <cfRule type="cellIs" dxfId="2109" priority="2573" stopIfTrue="1" operator="equal">
      <formula>"Towel"</formula>
    </cfRule>
    <cfRule type="cellIs" dxfId="2108" priority="2574" stopIfTrue="1" operator="equal">
      <formula>"Napkin Hs"</formula>
    </cfRule>
    <cfRule type="cellIs" dxfId="2107" priority="2575" stopIfTrue="1" operator="equal">
      <formula>"Towel"</formula>
    </cfRule>
    <cfRule type="cellIs" dxfId="2106" priority="2576" stopIfTrue="1" operator="equal">
      <formula>"Napkin Hs"</formula>
    </cfRule>
    <cfRule type="cellIs" dxfId="2105" priority="2579" stopIfTrue="1" operator="equal">
      <formula>"Towel"</formula>
    </cfRule>
    <cfRule type="cellIs" dxfId="2104" priority="2580" stopIfTrue="1" operator="equal">
      <formula>"Napkin Hs"</formula>
    </cfRule>
  </conditionalFormatting>
  <conditionalFormatting sqref="C92:C93">
    <cfRule type="cellIs" dxfId="2103" priority="2581" stopIfTrue="1" operator="equal">
      <formula>"Towel"</formula>
    </cfRule>
    <cfRule type="cellIs" dxfId="2102" priority="2582" stopIfTrue="1" operator="equal">
      <formula>"Napkin Hs"</formula>
    </cfRule>
  </conditionalFormatting>
  <conditionalFormatting sqref="C93">
    <cfRule type="cellIs" dxfId="2101" priority="2585" stopIfTrue="1" operator="equal">
      <formula>"Towel"</formula>
    </cfRule>
    <cfRule type="cellIs" dxfId="2100" priority="2586" stopIfTrue="1" operator="equal">
      <formula>"Napkin Hs"</formula>
    </cfRule>
  </conditionalFormatting>
  <conditionalFormatting sqref="B92:C93">
    <cfRule type="cellIs" dxfId="2099" priority="2547" stopIfTrue="1" operator="equal">
      <formula>"Towel"</formula>
    </cfRule>
    <cfRule type="cellIs" dxfId="2098" priority="2548" stopIfTrue="1" operator="equal">
      <formula>"Napkin Hs"</formula>
    </cfRule>
  </conditionalFormatting>
  <conditionalFormatting sqref="C92:C93">
    <cfRule type="cellIs" dxfId="2097" priority="2543" stopIfTrue="1" operator="equal">
      <formula>"Towel"</formula>
    </cfRule>
    <cfRule type="cellIs" dxfId="2096" priority="2544" stopIfTrue="1" operator="equal">
      <formula>"Napkin Hs"</formula>
    </cfRule>
  </conditionalFormatting>
  <conditionalFormatting sqref="C92:C93">
    <cfRule type="cellIs" dxfId="2095" priority="2545" stopIfTrue="1" operator="equal">
      <formula>"Towel"</formula>
    </cfRule>
    <cfRule type="cellIs" dxfId="2094" priority="2546" stopIfTrue="1" operator="equal">
      <formula>"Napkin Hs"</formula>
    </cfRule>
  </conditionalFormatting>
  <conditionalFormatting sqref="B92:C93">
    <cfRule type="cellIs" dxfId="2093" priority="2499" stopIfTrue="1" operator="equal">
      <formula>"Towel"</formula>
    </cfRule>
    <cfRule type="cellIs" dxfId="2092" priority="2500" stopIfTrue="1" operator="equal">
      <formula>"Napkin Hs"</formula>
    </cfRule>
    <cfRule type="cellIs" dxfId="2091" priority="2505" stopIfTrue="1" operator="equal">
      <formula>"Towel"</formula>
    </cfRule>
    <cfRule type="cellIs" dxfId="2090" priority="2506" stopIfTrue="1" operator="equal">
      <formula>"Napkin Hs"</formula>
    </cfRule>
    <cfRule type="cellIs" dxfId="2089" priority="2511" stopIfTrue="1" operator="equal">
      <formula>"Towel"</formula>
    </cfRule>
    <cfRule type="cellIs" dxfId="2088" priority="2512" stopIfTrue="1" operator="equal">
      <formula>"Napkin Hs"</formula>
    </cfRule>
    <cfRule type="cellIs" dxfId="2087" priority="2517" stopIfTrue="1" operator="equal">
      <formula>"Towel"</formula>
    </cfRule>
    <cfRule type="cellIs" dxfId="2086" priority="2518" stopIfTrue="1" operator="equal">
      <formula>"Napkin Hs"</formula>
    </cfRule>
    <cfRule type="cellIs" dxfId="2085" priority="2523" stopIfTrue="1" operator="equal">
      <formula>"Towel"</formula>
    </cfRule>
    <cfRule type="cellIs" dxfId="2084" priority="2524" stopIfTrue="1" operator="equal">
      <formula>"Napkin Hs"</formula>
    </cfRule>
    <cfRule type="cellIs" dxfId="2083" priority="2529" stopIfTrue="1" operator="equal">
      <formula>"Towel"</formula>
    </cfRule>
    <cfRule type="cellIs" dxfId="2082" priority="2530" stopIfTrue="1" operator="equal">
      <formula>"Napkin Hs"</formula>
    </cfRule>
    <cfRule type="cellIs" dxfId="2081" priority="2535" stopIfTrue="1" operator="equal">
      <formula>"Towel"</formula>
    </cfRule>
    <cfRule type="cellIs" dxfId="2080" priority="2536" stopIfTrue="1" operator="equal">
      <formula>"Napkin Hs"</formula>
    </cfRule>
    <cfRule type="cellIs" dxfId="2079" priority="2541" stopIfTrue="1" operator="equal">
      <formula>"Towel"</formula>
    </cfRule>
    <cfRule type="cellIs" dxfId="2078" priority="2542" stopIfTrue="1" operator="equal">
      <formula>"Napkin Hs"</formula>
    </cfRule>
  </conditionalFormatting>
  <conditionalFormatting sqref="C92:C93">
    <cfRule type="cellIs" dxfId="2077" priority="2495" stopIfTrue="1" operator="equal">
      <formula>"Towel"</formula>
    </cfRule>
    <cfRule type="cellIs" dxfId="2076" priority="2496" stopIfTrue="1" operator="equal">
      <formula>"Napkin Hs"</formula>
    </cfRule>
    <cfRule type="cellIs" dxfId="2075" priority="2497" stopIfTrue="1" operator="equal">
      <formula>"Towel"</formula>
    </cfRule>
    <cfRule type="cellIs" dxfId="2074" priority="2498" stopIfTrue="1" operator="equal">
      <formula>"Napkin Hs"</formula>
    </cfRule>
    <cfRule type="cellIs" dxfId="2073" priority="2501" stopIfTrue="1" operator="equal">
      <formula>"Towel"</formula>
    </cfRule>
    <cfRule type="cellIs" dxfId="2072" priority="2502" stopIfTrue="1" operator="equal">
      <formula>"Napkin Hs"</formula>
    </cfRule>
    <cfRule type="cellIs" dxfId="2071" priority="2503" stopIfTrue="1" operator="equal">
      <formula>"Towel"</formula>
    </cfRule>
    <cfRule type="cellIs" dxfId="2070" priority="2504" stopIfTrue="1" operator="equal">
      <formula>"Napkin Hs"</formula>
    </cfRule>
    <cfRule type="cellIs" dxfId="2069" priority="2507" stopIfTrue="1" operator="equal">
      <formula>"Towel"</formula>
    </cfRule>
    <cfRule type="cellIs" dxfId="2068" priority="2508" stopIfTrue="1" operator="equal">
      <formula>"Napkin Hs"</formula>
    </cfRule>
    <cfRule type="cellIs" dxfId="2067" priority="2509" stopIfTrue="1" operator="equal">
      <formula>"Towel"</formula>
    </cfRule>
    <cfRule type="cellIs" dxfId="2066" priority="2510" stopIfTrue="1" operator="equal">
      <formula>"Napkin Hs"</formula>
    </cfRule>
    <cfRule type="cellIs" dxfId="2065" priority="2513" stopIfTrue="1" operator="equal">
      <formula>"Towel"</formula>
    </cfRule>
    <cfRule type="cellIs" dxfId="2064" priority="2514" stopIfTrue="1" operator="equal">
      <formula>"Napkin Hs"</formula>
    </cfRule>
    <cfRule type="cellIs" dxfId="2063" priority="2515" stopIfTrue="1" operator="equal">
      <formula>"Towel"</formula>
    </cfRule>
    <cfRule type="cellIs" dxfId="2062" priority="2516" stopIfTrue="1" operator="equal">
      <formula>"Napkin Hs"</formula>
    </cfRule>
    <cfRule type="cellIs" dxfId="2061" priority="2519" stopIfTrue="1" operator="equal">
      <formula>"Towel"</formula>
    </cfRule>
    <cfRule type="cellIs" dxfId="2060" priority="2520" stopIfTrue="1" operator="equal">
      <formula>"Napkin Hs"</formula>
    </cfRule>
    <cfRule type="cellIs" dxfId="2059" priority="2521" stopIfTrue="1" operator="equal">
      <formula>"Towel"</formula>
    </cfRule>
    <cfRule type="cellIs" dxfId="2058" priority="2522" stopIfTrue="1" operator="equal">
      <formula>"Napkin Hs"</formula>
    </cfRule>
    <cfRule type="cellIs" dxfId="2057" priority="2525" stopIfTrue="1" operator="equal">
      <formula>"Towel"</formula>
    </cfRule>
    <cfRule type="cellIs" dxfId="2056" priority="2526" stopIfTrue="1" operator="equal">
      <formula>"Napkin Hs"</formula>
    </cfRule>
    <cfRule type="cellIs" dxfId="2055" priority="2527" stopIfTrue="1" operator="equal">
      <formula>"Towel"</formula>
    </cfRule>
    <cfRule type="cellIs" dxfId="2054" priority="2528" stopIfTrue="1" operator="equal">
      <formula>"Napkin Hs"</formula>
    </cfRule>
    <cfRule type="cellIs" dxfId="2053" priority="2531" stopIfTrue="1" operator="equal">
      <formula>"Towel"</formula>
    </cfRule>
    <cfRule type="cellIs" dxfId="2052" priority="2532" stopIfTrue="1" operator="equal">
      <formula>"Napkin Hs"</formula>
    </cfRule>
    <cfRule type="cellIs" dxfId="2051" priority="2533" stopIfTrue="1" operator="equal">
      <formula>"Towel"</formula>
    </cfRule>
    <cfRule type="cellIs" dxfId="2050" priority="2534" stopIfTrue="1" operator="equal">
      <formula>"Napkin Hs"</formula>
    </cfRule>
    <cfRule type="cellIs" dxfId="2049" priority="2537" stopIfTrue="1" operator="equal">
      <formula>"Towel"</formula>
    </cfRule>
    <cfRule type="cellIs" dxfId="2048" priority="2538" stopIfTrue="1" operator="equal">
      <formula>"Napkin Hs"</formula>
    </cfRule>
  </conditionalFormatting>
  <conditionalFormatting sqref="C92:C93">
    <cfRule type="cellIs" dxfId="2047" priority="2539" stopIfTrue="1" operator="equal">
      <formula>"Towel"</formula>
    </cfRule>
    <cfRule type="cellIs" dxfId="2046" priority="2540" stopIfTrue="1" operator="equal">
      <formula>"Napkin Hs"</formula>
    </cfRule>
  </conditionalFormatting>
  <conditionalFormatting sqref="B92:C93">
    <cfRule type="cellIs" dxfId="2045" priority="2451" stopIfTrue="1" operator="equal">
      <formula>"Towel"</formula>
    </cfRule>
    <cfRule type="cellIs" dxfId="2044" priority="2452" stopIfTrue="1" operator="equal">
      <formula>"Napkin Hs"</formula>
    </cfRule>
    <cfRule type="cellIs" dxfId="2043" priority="2457" stopIfTrue="1" operator="equal">
      <formula>"Towel"</formula>
    </cfRule>
    <cfRule type="cellIs" dxfId="2042" priority="2458" stopIfTrue="1" operator="equal">
      <formula>"Napkin Hs"</formula>
    </cfRule>
    <cfRule type="cellIs" dxfId="2041" priority="2463" stopIfTrue="1" operator="equal">
      <formula>"Towel"</formula>
    </cfRule>
    <cfRule type="cellIs" dxfId="2040" priority="2464" stopIfTrue="1" operator="equal">
      <formula>"Napkin Hs"</formula>
    </cfRule>
    <cfRule type="cellIs" dxfId="2039" priority="2469" stopIfTrue="1" operator="equal">
      <formula>"Towel"</formula>
    </cfRule>
    <cfRule type="cellIs" dxfId="2038" priority="2470" stopIfTrue="1" operator="equal">
      <formula>"Napkin Hs"</formula>
    </cfRule>
    <cfRule type="cellIs" dxfId="2037" priority="2475" stopIfTrue="1" operator="equal">
      <formula>"Towel"</formula>
    </cfRule>
    <cfRule type="cellIs" dxfId="2036" priority="2476" stopIfTrue="1" operator="equal">
      <formula>"Napkin Hs"</formula>
    </cfRule>
    <cfRule type="cellIs" dxfId="2035" priority="2481" stopIfTrue="1" operator="equal">
      <formula>"Towel"</formula>
    </cfRule>
    <cfRule type="cellIs" dxfId="2034" priority="2482" stopIfTrue="1" operator="equal">
      <formula>"Napkin Hs"</formula>
    </cfRule>
    <cfRule type="cellIs" dxfId="2033" priority="2487" stopIfTrue="1" operator="equal">
      <formula>"Towel"</formula>
    </cfRule>
    <cfRule type="cellIs" dxfId="2032" priority="2488" stopIfTrue="1" operator="equal">
      <formula>"Napkin Hs"</formula>
    </cfRule>
    <cfRule type="cellIs" dxfId="2031" priority="2493" stopIfTrue="1" operator="equal">
      <formula>"Towel"</formula>
    </cfRule>
    <cfRule type="cellIs" dxfId="2030" priority="2494" stopIfTrue="1" operator="equal">
      <formula>"Napkin Hs"</formula>
    </cfRule>
  </conditionalFormatting>
  <conditionalFormatting sqref="C92:C93">
    <cfRule type="cellIs" dxfId="2029" priority="2447" stopIfTrue="1" operator="equal">
      <formula>"Towel"</formula>
    </cfRule>
    <cfRule type="cellIs" dxfId="2028" priority="2448" stopIfTrue="1" operator="equal">
      <formula>"Napkin Hs"</formula>
    </cfRule>
    <cfRule type="cellIs" dxfId="2027" priority="2449" stopIfTrue="1" operator="equal">
      <formula>"Towel"</formula>
    </cfRule>
    <cfRule type="cellIs" dxfId="2026" priority="2450" stopIfTrue="1" operator="equal">
      <formula>"Napkin Hs"</formula>
    </cfRule>
    <cfRule type="cellIs" dxfId="2025" priority="2453" stopIfTrue="1" operator="equal">
      <formula>"Towel"</formula>
    </cfRule>
    <cfRule type="cellIs" dxfId="2024" priority="2454" stopIfTrue="1" operator="equal">
      <formula>"Napkin Hs"</formula>
    </cfRule>
    <cfRule type="cellIs" dxfId="2023" priority="2455" stopIfTrue="1" operator="equal">
      <formula>"Towel"</formula>
    </cfRule>
    <cfRule type="cellIs" dxfId="2022" priority="2456" stopIfTrue="1" operator="equal">
      <formula>"Napkin Hs"</formula>
    </cfRule>
    <cfRule type="cellIs" dxfId="2021" priority="2459" stopIfTrue="1" operator="equal">
      <formula>"Towel"</formula>
    </cfRule>
    <cfRule type="cellIs" dxfId="2020" priority="2460" stopIfTrue="1" operator="equal">
      <formula>"Napkin Hs"</formula>
    </cfRule>
    <cfRule type="cellIs" dxfId="2019" priority="2461" stopIfTrue="1" operator="equal">
      <formula>"Towel"</formula>
    </cfRule>
    <cfRule type="cellIs" dxfId="2018" priority="2462" stopIfTrue="1" operator="equal">
      <formula>"Napkin Hs"</formula>
    </cfRule>
    <cfRule type="cellIs" dxfId="2017" priority="2465" stopIfTrue="1" operator="equal">
      <formula>"Towel"</formula>
    </cfRule>
    <cfRule type="cellIs" dxfId="2016" priority="2466" stopIfTrue="1" operator="equal">
      <formula>"Napkin Hs"</formula>
    </cfRule>
    <cfRule type="cellIs" dxfId="2015" priority="2467" stopIfTrue="1" operator="equal">
      <formula>"Towel"</formula>
    </cfRule>
    <cfRule type="cellIs" dxfId="2014" priority="2468" stopIfTrue="1" operator="equal">
      <formula>"Napkin Hs"</formula>
    </cfRule>
    <cfRule type="cellIs" dxfId="2013" priority="2471" stopIfTrue="1" operator="equal">
      <formula>"Towel"</formula>
    </cfRule>
    <cfRule type="cellIs" dxfId="2012" priority="2472" stopIfTrue="1" operator="equal">
      <formula>"Napkin Hs"</formula>
    </cfRule>
    <cfRule type="cellIs" dxfId="2011" priority="2473" stopIfTrue="1" operator="equal">
      <formula>"Towel"</formula>
    </cfRule>
    <cfRule type="cellIs" dxfId="2010" priority="2474" stopIfTrue="1" operator="equal">
      <formula>"Napkin Hs"</formula>
    </cfRule>
    <cfRule type="cellIs" dxfId="2009" priority="2477" stopIfTrue="1" operator="equal">
      <formula>"Towel"</formula>
    </cfRule>
    <cfRule type="cellIs" dxfId="2008" priority="2478" stopIfTrue="1" operator="equal">
      <formula>"Napkin Hs"</formula>
    </cfRule>
    <cfRule type="cellIs" dxfId="2007" priority="2479" stopIfTrue="1" operator="equal">
      <formula>"Towel"</formula>
    </cfRule>
    <cfRule type="cellIs" dxfId="2006" priority="2480" stopIfTrue="1" operator="equal">
      <formula>"Napkin Hs"</formula>
    </cfRule>
    <cfRule type="cellIs" dxfId="2005" priority="2483" stopIfTrue="1" operator="equal">
      <formula>"Towel"</formula>
    </cfRule>
    <cfRule type="cellIs" dxfId="2004" priority="2484" stopIfTrue="1" operator="equal">
      <formula>"Napkin Hs"</formula>
    </cfRule>
    <cfRule type="cellIs" dxfId="2003" priority="2485" stopIfTrue="1" operator="equal">
      <formula>"Towel"</formula>
    </cfRule>
    <cfRule type="cellIs" dxfId="2002" priority="2486" stopIfTrue="1" operator="equal">
      <formula>"Napkin Hs"</formula>
    </cfRule>
    <cfRule type="cellIs" dxfId="2001" priority="2489" stopIfTrue="1" operator="equal">
      <formula>"Towel"</formula>
    </cfRule>
    <cfRule type="cellIs" dxfId="2000" priority="2490" stopIfTrue="1" operator="equal">
      <formula>"Napkin Hs"</formula>
    </cfRule>
  </conditionalFormatting>
  <conditionalFormatting sqref="C92:C93">
    <cfRule type="cellIs" dxfId="1999" priority="2491" stopIfTrue="1" operator="equal">
      <formula>"Towel"</formula>
    </cfRule>
    <cfRule type="cellIs" dxfId="1998" priority="2492" stopIfTrue="1" operator="equal">
      <formula>"Napkin Hs"</formula>
    </cfRule>
  </conditionalFormatting>
  <conditionalFormatting sqref="B92:C93">
    <cfRule type="cellIs" dxfId="1997" priority="2445" stopIfTrue="1" operator="equal">
      <formula>"Towel"</formula>
    </cfRule>
    <cfRule type="cellIs" dxfId="1996" priority="2446" stopIfTrue="1" operator="equal">
      <formula>"Napkin Hs"</formula>
    </cfRule>
  </conditionalFormatting>
  <conditionalFormatting sqref="B92:C93">
    <cfRule type="cellIs" dxfId="1995" priority="2421" stopIfTrue="1" operator="equal">
      <formula>"Towel"</formula>
    </cfRule>
    <cfRule type="cellIs" dxfId="1994" priority="2422" stopIfTrue="1" operator="equal">
      <formula>"Napkin Hs"</formula>
    </cfRule>
    <cfRule type="cellIs" dxfId="1993" priority="2427" stopIfTrue="1" operator="equal">
      <formula>"Towel"</formula>
    </cfRule>
    <cfRule type="cellIs" dxfId="1992" priority="2428" stopIfTrue="1" operator="equal">
      <formula>"Napkin Hs"</formula>
    </cfRule>
    <cfRule type="cellIs" dxfId="1991" priority="2433" stopIfTrue="1" operator="equal">
      <formula>"Towel"</formula>
    </cfRule>
    <cfRule type="cellIs" dxfId="1990" priority="2434" stopIfTrue="1" operator="equal">
      <formula>"Napkin Hs"</formula>
    </cfRule>
    <cfRule type="cellIs" dxfId="1989" priority="2439" stopIfTrue="1" operator="equal">
      <formula>"Towel"</formula>
    </cfRule>
    <cfRule type="cellIs" dxfId="1988" priority="2440" stopIfTrue="1" operator="equal">
      <formula>"Napkin Hs"</formula>
    </cfRule>
  </conditionalFormatting>
  <conditionalFormatting sqref="C92:C93">
    <cfRule type="cellIs" dxfId="1987" priority="2435" stopIfTrue="1" operator="equal">
      <formula>"Towel"</formula>
    </cfRule>
    <cfRule type="cellIs" dxfId="1986" priority="2436" stopIfTrue="1" operator="equal">
      <formula>"Napkin Hs"</formula>
    </cfRule>
    <cfRule type="cellIs" dxfId="1985" priority="2441" stopIfTrue="1" operator="equal">
      <formula>"Towel"</formula>
    </cfRule>
    <cfRule type="cellIs" dxfId="1984" priority="2442" stopIfTrue="1" operator="equal">
      <formula>"Napkin Hs"</formula>
    </cfRule>
  </conditionalFormatting>
  <conditionalFormatting sqref="C92:C93">
    <cfRule type="cellIs" dxfId="1983" priority="2415" stopIfTrue="1" operator="equal">
      <formula>"Towel"</formula>
    </cfRule>
    <cfRule type="cellIs" dxfId="1982" priority="2416" stopIfTrue="1" operator="equal">
      <formula>"Napkin Hs"</formula>
    </cfRule>
    <cfRule type="cellIs" dxfId="1981" priority="2417" stopIfTrue="1" operator="equal">
      <formula>"Towel"</formula>
    </cfRule>
    <cfRule type="cellIs" dxfId="1980" priority="2418" stopIfTrue="1" operator="equal">
      <formula>"Napkin Hs"</formula>
    </cfRule>
    <cfRule type="cellIs" dxfId="1979" priority="2425" stopIfTrue="1" operator="equal">
      <formula>"Towel"</formula>
    </cfRule>
    <cfRule type="cellIs" dxfId="1978" priority="2426" stopIfTrue="1" operator="equal">
      <formula>"Napkin Hs"</formula>
    </cfRule>
    <cfRule type="cellIs" dxfId="1977" priority="2429" stopIfTrue="1" operator="equal">
      <formula>"Towel"</formula>
    </cfRule>
    <cfRule type="cellIs" dxfId="1976" priority="2430" stopIfTrue="1" operator="equal">
      <formula>"Napkin Hs"</formula>
    </cfRule>
    <cfRule type="cellIs" dxfId="1975" priority="2431" stopIfTrue="1" operator="equal">
      <formula>"Towel"</formula>
    </cfRule>
    <cfRule type="cellIs" dxfId="1974" priority="2432" stopIfTrue="1" operator="equal">
      <formula>"Napkin Hs"</formula>
    </cfRule>
  </conditionalFormatting>
  <conditionalFormatting sqref="C92:C93">
    <cfRule type="cellIs" dxfId="1973" priority="2443" stopIfTrue="1" operator="equal">
      <formula>"Towel"</formula>
    </cfRule>
    <cfRule type="cellIs" dxfId="1972" priority="2444" stopIfTrue="1" operator="equal">
      <formula>"Napkin Hs"</formula>
    </cfRule>
  </conditionalFormatting>
  <conditionalFormatting sqref="C92:C93">
    <cfRule type="cellIs" dxfId="1971" priority="2419" stopIfTrue="1" operator="equal">
      <formula>"Towel"</formula>
    </cfRule>
    <cfRule type="cellIs" dxfId="1970" priority="2420" stopIfTrue="1" operator="equal">
      <formula>"Napkin Hs"</formula>
    </cfRule>
    <cfRule type="cellIs" dxfId="1969" priority="2423" stopIfTrue="1" operator="equal">
      <formula>"Towel"</formula>
    </cfRule>
    <cfRule type="cellIs" dxfId="1968" priority="2424" stopIfTrue="1" operator="equal">
      <formula>"Napkin Hs"</formula>
    </cfRule>
    <cfRule type="cellIs" dxfId="1967" priority="2437" stopIfTrue="1" operator="equal">
      <formula>"Towel"</formula>
    </cfRule>
    <cfRule type="cellIs" dxfId="1966" priority="2438" stopIfTrue="1" operator="equal">
      <formula>"Napkin Hs"</formula>
    </cfRule>
  </conditionalFormatting>
  <conditionalFormatting sqref="B92:C93">
    <cfRule type="cellIs" dxfId="1965" priority="2371" stopIfTrue="1" operator="equal">
      <formula>"Towel"</formula>
    </cfRule>
    <cfRule type="cellIs" dxfId="1964" priority="2372" stopIfTrue="1" operator="equal">
      <formula>"Napkin Hs"</formula>
    </cfRule>
    <cfRule type="cellIs" dxfId="1963" priority="2377" stopIfTrue="1" operator="equal">
      <formula>"Towel"</formula>
    </cfRule>
    <cfRule type="cellIs" dxfId="1962" priority="2378" stopIfTrue="1" operator="equal">
      <formula>"Napkin Hs"</formula>
    </cfRule>
    <cfRule type="cellIs" dxfId="1961" priority="2383" stopIfTrue="1" operator="equal">
      <formula>"Towel"</formula>
    </cfRule>
    <cfRule type="cellIs" dxfId="1960" priority="2384" stopIfTrue="1" operator="equal">
      <formula>"Napkin Hs"</formula>
    </cfRule>
    <cfRule type="cellIs" dxfId="1959" priority="2389" stopIfTrue="1" operator="equal">
      <formula>"Towel"</formula>
    </cfRule>
    <cfRule type="cellIs" dxfId="1958" priority="2390" stopIfTrue="1" operator="equal">
      <formula>"Napkin Hs"</formula>
    </cfRule>
    <cfRule type="cellIs" dxfId="1957" priority="2395" stopIfTrue="1" operator="equal">
      <formula>"Towel"</formula>
    </cfRule>
    <cfRule type="cellIs" dxfId="1956" priority="2396" stopIfTrue="1" operator="equal">
      <formula>"Napkin Hs"</formula>
    </cfRule>
    <cfRule type="cellIs" dxfId="1955" priority="2401" stopIfTrue="1" operator="equal">
      <formula>"Towel"</formula>
    </cfRule>
    <cfRule type="cellIs" dxfId="1954" priority="2402" stopIfTrue="1" operator="equal">
      <formula>"Napkin Hs"</formula>
    </cfRule>
    <cfRule type="cellIs" dxfId="1953" priority="2407" stopIfTrue="1" operator="equal">
      <formula>"Towel"</formula>
    </cfRule>
    <cfRule type="cellIs" dxfId="1952" priority="2408" stopIfTrue="1" operator="equal">
      <formula>"Napkin Hs"</formula>
    </cfRule>
    <cfRule type="cellIs" dxfId="1951" priority="2413" stopIfTrue="1" operator="equal">
      <formula>"Towel"</formula>
    </cfRule>
    <cfRule type="cellIs" dxfId="1950" priority="2414" stopIfTrue="1" operator="equal">
      <formula>"Napkin Hs"</formula>
    </cfRule>
  </conditionalFormatting>
  <conditionalFormatting sqref="C92:C93">
    <cfRule type="cellIs" dxfId="1949" priority="2367" stopIfTrue="1" operator="equal">
      <formula>"Towel"</formula>
    </cfRule>
    <cfRule type="cellIs" dxfId="1948" priority="2368" stopIfTrue="1" operator="equal">
      <formula>"Napkin Hs"</formula>
    </cfRule>
    <cfRule type="cellIs" dxfId="1947" priority="2369" stopIfTrue="1" operator="equal">
      <formula>"Towel"</formula>
    </cfRule>
    <cfRule type="cellIs" dxfId="1946" priority="2370" stopIfTrue="1" operator="equal">
      <formula>"Napkin Hs"</formula>
    </cfRule>
    <cfRule type="cellIs" dxfId="1945" priority="2373" stopIfTrue="1" operator="equal">
      <formula>"Towel"</formula>
    </cfRule>
    <cfRule type="cellIs" dxfId="1944" priority="2374" stopIfTrue="1" operator="equal">
      <formula>"Napkin Hs"</formula>
    </cfRule>
    <cfRule type="cellIs" dxfId="1943" priority="2375" stopIfTrue="1" operator="equal">
      <formula>"Towel"</formula>
    </cfRule>
    <cfRule type="cellIs" dxfId="1942" priority="2376" stopIfTrue="1" operator="equal">
      <formula>"Napkin Hs"</formula>
    </cfRule>
    <cfRule type="cellIs" dxfId="1941" priority="2379" stopIfTrue="1" operator="equal">
      <formula>"Towel"</formula>
    </cfRule>
    <cfRule type="cellIs" dxfId="1940" priority="2380" stopIfTrue="1" operator="equal">
      <formula>"Napkin Hs"</formula>
    </cfRule>
    <cfRule type="cellIs" dxfId="1939" priority="2381" stopIfTrue="1" operator="equal">
      <formula>"Towel"</formula>
    </cfRule>
    <cfRule type="cellIs" dxfId="1938" priority="2382" stopIfTrue="1" operator="equal">
      <formula>"Napkin Hs"</formula>
    </cfRule>
    <cfRule type="cellIs" dxfId="1937" priority="2385" stopIfTrue="1" operator="equal">
      <formula>"Towel"</formula>
    </cfRule>
    <cfRule type="cellIs" dxfId="1936" priority="2386" stopIfTrue="1" operator="equal">
      <formula>"Napkin Hs"</formula>
    </cfRule>
    <cfRule type="cellIs" dxfId="1935" priority="2387" stopIfTrue="1" operator="equal">
      <formula>"Towel"</formula>
    </cfRule>
    <cfRule type="cellIs" dxfId="1934" priority="2388" stopIfTrue="1" operator="equal">
      <formula>"Napkin Hs"</formula>
    </cfRule>
    <cfRule type="cellIs" dxfId="1933" priority="2391" stopIfTrue="1" operator="equal">
      <formula>"Towel"</formula>
    </cfRule>
    <cfRule type="cellIs" dxfId="1932" priority="2392" stopIfTrue="1" operator="equal">
      <formula>"Napkin Hs"</formula>
    </cfRule>
    <cfRule type="cellIs" dxfId="1931" priority="2393" stopIfTrue="1" operator="equal">
      <formula>"Towel"</formula>
    </cfRule>
    <cfRule type="cellIs" dxfId="1930" priority="2394" stopIfTrue="1" operator="equal">
      <formula>"Napkin Hs"</formula>
    </cfRule>
    <cfRule type="cellIs" dxfId="1929" priority="2397" stopIfTrue="1" operator="equal">
      <formula>"Towel"</formula>
    </cfRule>
    <cfRule type="cellIs" dxfId="1928" priority="2398" stopIfTrue="1" operator="equal">
      <formula>"Napkin Hs"</formula>
    </cfRule>
    <cfRule type="cellIs" dxfId="1927" priority="2399" stopIfTrue="1" operator="equal">
      <formula>"Towel"</formula>
    </cfRule>
    <cfRule type="cellIs" dxfId="1926" priority="2400" stopIfTrue="1" operator="equal">
      <formula>"Napkin Hs"</formula>
    </cfRule>
    <cfRule type="cellIs" dxfId="1925" priority="2403" stopIfTrue="1" operator="equal">
      <formula>"Towel"</formula>
    </cfRule>
    <cfRule type="cellIs" dxfId="1924" priority="2404" stopIfTrue="1" operator="equal">
      <formula>"Napkin Hs"</formula>
    </cfRule>
    <cfRule type="cellIs" dxfId="1923" priority="2405" stopIfTrue="1" operator="equal">
      <formula>"Towel"</formula>
    </cfRule>
    <cfRule type="cellIs" dxfId="1922" priority="2406" stopIfTrue="1" operator="equal">
      <formula>"Napkin Hs"</formula>
    </cfRule>
    <cfRule type="cellIs" dxfId="1921" priority="2409" stopIfTrue="1" operator="equal">
      <formula>"Towel"</formula>
    </cfRule>
    <cfRule type="cellIs" dxfId="1920" priority="2410" stopIfTrue="1" operator="equal">
      <formula>"Napkin Hs"</formula>
    </cfRule>
  </conditionalFormatting>
  <conditionalFormatting sqref="C92:C93">
    <cfRule type="cellIs" dxfId="1919" priority="2411" stopIfTrue="1" operator="equal">
      <formula>"Towel"</formula>
    </cfRule>
    <cfRule type="cellIs" dxfId="1918" priority="2412" stopIfTrue="1" operator="equal">
      <formula>"Napkin Hs"</formula>
    </cfRule>
  </conditionalFormatting>
  <conditionalFormatting sqref="B92:B93">
    <cfRule type="cellIs" dxfId="1917" priority="2361" stopIfTrue="1" operator="equal">
      <formula>"Towel"</formula>
    </cfRule>
    <cfRule type="cellIs" dxfId="1916" priority="2362" stopIfTrue="1" operator="equal">
      <formula>"Napkin Hs"</formula>
    </cfRule>
    <cfRule type="cellIs" dxfId="1915" priority="2363" stopIfTrue="1" operator="equal">
      <formula>"Towel"</formula>
    </cfRule>
    <cfRule type="cellIs" dxfId="1914" priority="2364" stopIfTrue="1" operator="equal">
      <formula>"Napkin Hs"</formula>
    </cfRule>
    <cfRule type="cellIs" dxfId="1913" priority="2365" stopIfTrue="1" operator="equal">
      <formula>"Towel"</formula>
    </cfRule>
    <cfRule type="cellIs" dxfId="1912" priority="2366" stopIfTrue="1" operator="equal">
      <formula>"Napkin Hs"</formula>
    </cfRule>
  </conditionalFormatting>
  <conditionalFormatting sqref="B92:C93">
    <cfRule type="cellIs" dxfId="1911" priority="2323" stopIfTrue="1" operator="equal">
      <formula>"Towel"</formula>
    </cfRule>
    <cfRule type="cellIs" dxfId="1910" priority="2324" stopIfTrue="1" operator="equal">
      <formula>"Napkin Hs"</formula>
    </cfRule>
    <cfRule type="cellIs" dxfId="1909" priority="2329" stopIfTrue="1" operator="equal">
      <formula>"Towel"</formula>
    </cfRule>
    <cfRule type="cellIs" dxfId="1908" priority="2330" stopIfTrue="1" operator="equal">
      <formula>"Napkin Hs"</formula>
    </cfRule>
    <cfRule type="cellIs" dxfId="1907" priority="2335" stopIfTrue="1" operator="equal">
      <formula>"Towel"</formula>
    </cfRule>
    <cfRule type="cellIs" dxfId="1906" priority="2336" stopIfTrue="1" operator="equal">
      <formula>"Napkin Hs"</formula>
    </cfRule>
    <cfRule type="cellIs" dxfId="1905" priority="2341" stopIfTrue="1" operator="equal">
      <formula>"Towel"</formula>
    </cfRule>
    <cfRule type="cellIs" dxfId="1904" priority="2342" stopIfTrue="1" operator="equal">
      <formula>"Napkin Hs"</formula>
    </cfRule>
    <cfRule type="cellIs" dxfId="1903" priority="2347" stopIfTrue="1" operator="equal">
      <formula>"Towel"</formula>
    </cfRule>
    <cfRule type="cellIs" dxfId="1902" priority="2348" stopIfTrue="1" operator="equal">
      <formula>"Napkin Hs"</formula>
    </cfRule>
    <cfRule type="cellIs" dxfId="1901" priority="2353" stopIfTrue="1" operator="equal">
      <formula>"Towel"</formula>
    </cfRule>
    <cfRule type="cellIs" dxfId="1900" priority="2354" stopIfTrue="1" operator="equal">
      <formula>"Napkin Hs"</formula>
    </cfRule>
    <cfRule type="cellIs" dxfId="1899" priority="2359" stopIfTrue="1" operator="equal">
      <formula>"Towel"</formula>
    </cfRule>
    <cfRule type="cellIs" dxfId="1898" priority="2360" stopIfTrue="1" operator="equal">
      <formula>"Napkin Hs"</formula>
    </cfRule>
  </conditionalFormatting>
  <conditionalFormatting sqref="C92:C93">
    <cfRule type="cellIs" dxfId="1897" priority="2319" stopIfTrue="1" operator="equal">
      <formula>"Towel"</formula>
    </cfRule>
    <cfRule type="cellIs" dxfId="1896" priority="2320" stopIfTrue="1" operator="equal">
      <formula>"Napkin Hs"</formula>
    </cfRule>
    <cfRule type="cellIs" dxfId="1895" priority="2321" stopIfTrue="1" operator="equal">
      <formula>"Towel"</formula>
    </cfRule>
    <cfRule type="cellIs" dxfId="1894" priority="2322" stopIfTrue="1" operator="equal">
      <formula>"Napkin Hs"</formula>
    </cfRule>
    <cfRule type="cellIs" dxfId="1893" priority="2325" stopIfTrue="1" operator="equal">
      <formula>"Towel"</formula>
    </cfRule>
    <cfRule type="cellIs" dxfId="1892" priority="2326" stopIfTrue="1" operator="equal">
      <formula>"Napkin Hs"</formula>
    </cfRule>
    <cfRule type="cellIs" dxfId="1891" priority="2327" stopIfTrue="1" operator="equal">
      <formula>"Towel"</formula>
    </cfRule>
    <cfRule type="cellIs" dxfId="1890" priority="2328" stopIfTrue="1" operator="equal">
      <formula>"Napkin Hs"</formula>
    </cfRule>
    <cfRule type="cellIs" dxfId="1889" priority="2331" stopIfTrue="1" operator="equal">
      <formula>"Towel"</formula>
    </cfRule>
    <cfRule type="cellIs" dxfId="1888" priority="2332" stopIfTrue="1" operator="equal">
      <formula>"Napkin Hs"</formula>
    </cfRule>
    <cfRule type="cellIs" dxfId="1887" priority="2333" stopIfTrue="1" operator="equal">
      <formula>"Towel"</formula>
    </cfRule>
    <cfRule type="cellIs" dxfId="1886" priority="2334" stopIfTrue="1" operator="equal">
      <formula>"Napkin Hs"</formula>
    </cfRule>
    <cfRule type="cellIs" dxfId="1885" priority="2337" stopIfTrue="1" operator="equal">
      <formula>"Towel"</formula>
    </cfRule>
    <cfRule type="cellIs" dxfId="1884" priority="2338" stopIfTrue="1" operator="equal">
      <formula>"Napkin Hs"</formula>
    </cfRule>
    <cfRule type="cellIs" dxfId="1883" priority="2339" stopIfTrue="1" operator="equal">
      <formula>"Towel"</formula>
    </cfRule>
    <cfRule type="cellIs" dxfId="1882" priority="2340" stopIfTrue="1" operator="equal">
      <formula>"Napkin Hs"</formula>
    </cfRule>
    <cfRule type="cellIs" dxfId="1881" priority="2343" stopIfTrue="1" operator="equal">
      <formula>"Towel"</formula>
    </cfRule>
    <cfRule type="cellIs" dxfId="1880" priority="2344" stopIfTrue="1" operator="equal">
      <formula>"Napkin Hs"</formula>
    </cfRule>
    <cfRule type="cellIs" dxfId="1879" priority="2345" stopIfTrue="1" operator="equal">
      <formula>"Towel"</formula>
    </cfRule>
    <cfRule type="cellIs" dxfId="1878" priority="2346" stopIfTrue="1" operator="equal">
      <formula>"Napkin Hs"</formula>
    </cfRule>
    <cfRule type="cellIs" dxfId="1877" priority="2349" stopIfTrue="1" operator="equal">
      <formula>"Towel"</formula>
    </cfRule>
    <cfRule type="cellIs" dxfId="1876" priority="2350" stopIfTrue="1" operator="equal">
      <formula>"Napkin Hs"</formula>
    </cfRule>
    <cfRule type="cellIs" dxfId="1875" priority="2351" stopIfTrue="1" operator="equal">
      <formula>"Towel"</formula>
    </cfRule>
    <cfRule type="cellIs" dxfId="1874" priority="2352" stopIfTrue="1" operator="equal">
      <formula>"Napkin Hs"</formula>
    </cfRule>
    <cfRule type="cellIs" dxfId="1873" priority="2355" stopIfTrue="1" operator="equal">
      <formula>"Towel"</formula>
    </cfRule>
    <cfRule type="cellIs" dxfId="1872" priority="2356" stopIfTrue="1" operator="equal">
      <formula>"Napkin Hs"</formula>
    </cfRule>
  </conditionalFormatting>
  <conditionalFormatting sqref="C92:C93">
    <cfRule type="cellIs" dxfId="1871" priority="2357" stopIfTrue="1" operator="equal">
      <formula>"Towel"</formula>
    </cfRule>
    <cfRule type="cellIs" dxfId="1870" priority="2358" stopIfTrue="1" operator="equal">
      <formula>"Napkin Hs"</formula>
    </cfRule>
  </conditionalFormatting>
  <conditionalFormatting sqref="B92:C93">
    <cfRule type="cellIs" dxfId="1869" priority="2317" stopIfTrue="1" operator="equal">
      <formula>"Towel"</formula>
    </cfRule>
    <cfRule type="cellIs" dxfId="1868" priority="2318" stopIfTrue="1" operator="equal">
      <formula>"Napkin Hs"</formula>
    </cfRule>
  </conditionalFormatting>
  <conditionalFormatting sqref="B92:C93">
    <cfRule type="cellIs" dxfId="1867" priority="2281" stopIfTrue="1" operator="equal">
      <formula>"Towel"</formula>
    </cfRule>
    <cfRule type="cellIs" dxfId="1866" priority="2282" stopIfTrue="1" operator="equal">
      <formula>"Napkin Hs"</formula>
    </cfRule>
    <cfRule type="cellIs" dxfId="1865" priority="2287" stopIfTrue="1" operator="equal">
      <formula>"Towel"</formula>
    </cfRule>
    <cfRule type="cellIs" dxfId="1864" priority="2288" stopIfTrue="1" operator="equal">
      <formula>"Napkin Hs"</formula>
    </cfRule>
    <cfRule type="cellIs" dxfId="1863" priority="2293" stopIfTrue="1" operator="equal">
      <formula>"Towel"</formula>
    </cfRule>
    <cfRule type="cellIs" dxfId="1862" priority="2294" stopIfTrue="1" operator="equal">
      <formula>"Napkin Hs"</formula>
    </cfRule>
    <cfRule type="cellIs" dxfId="1861" priority="2299" stopIfTrue="1" operator="equal">
      <formula>"Towel"</formula>
    </cfRule>
    <cfRule type="cellIs" dxfId="1860" priority="2300" stopIfTrue="1" operator="equal">
      <formula>"Napkin Hs"</formula>
    </cfRule>
    <cfRule type="cellIs" dxfId="1859" priority="2305" stopIfTrue="1" operator="equal">
      <formula>"Towel"</formula>
    </cfRule>
    <cfRule type="cellIs" dxfId="1858" priority="2306" stopIfTrue="1" operator="equal">
      <formula>"Napkin Hs"</formula>
    </cfRule>
    <cfRule type="cellIs" dxfId="1857" priority="2311" stopIfTrue="1" operator="equal">
      <formula>"Towel"</formula>
    </cfRule>
    <cfRule type="cellIs" dxfId="1856" priority="2312" stopIfTrue="1" operator="equal">
      <formula>"Napkin Hs"</formula>
    </cfRule>
  </conditionalFormatting>
  <conditionalFormatting sqref="C92:C93">
    <cfRule type="cellIs" dxfId="1855" priority="2316" stopIfTrue="1" operator="equal">
      <formula>"Napkin Hs"</formula>
    </cfRule>
  </conditionalFormatting>
  <conditionalFormatting sqref="C92:C93">
    <cfRule type="cellIs" dxfId="1854" priority="2315" stopIfTrue="1" operator="equal">
      <formula>"Towel"</formula>
    </cfRule>
  </conditionalFormatting>
  <conditionalFormatting sqref="C92:C93">
    <cfRule type="cellIs" dxfId="1853" priority="2309" stopIfTrue="1" operator="equal">
      <formula>"Towel"</formula>
    </cfRule>
    <cfRule type="cellIs" dxfId="1852" priority="2310" stopIfTrue="1" operator="equal">
      <formula>"Napkin Hs"</formula>
    </cfRule>
  </conditionalFormatting>
  <conditionalFormatting sqref="C92:C93">
    <cfRule type="cellIs" dxfId="1851" priority="2307" stopIfTrue="1" operator="equal">
      <formula>"Towel"</formula>
    </cfRule>
    <cfRule type="cellIs" dxfId="1850" priority="2308" stopIfTrue="1" operator="equal">
      <formula>"Napkin Hs"</formula>
    </cfRule>
    <cfRule type="cellIs" dxfId="1849" priority="2313" stopIfTrue="1" operator="equal">
      <formula>"Towel"</formula>
    </cfRule>
    <cfRule type="cellIs" dxfId="1848" priority="2314" stopIfTrue="1" operator="equal">
      <formula>"Napkin Hs"</formula>
    </cfRule>
  </conditionalFormatting>
  <conditionalFormatting sqref="C92:C93">
    <cfRule type="cellIs" dxfId="1847" priority="2279" stopIfTrue="1" operator="equal">
      <formula>"Towel"</formula>
    </cfRule>
    <cfRule type="cellIs" dxfId="1846" priority="2280" stopIfTrue="1" operator="equal">
      <formula>"Napkin Hs"</formula>
    </cfRule>
    <cfRule type="cellIs" dxfId="1845" priority="2283" stopIfTrue="1" operator="equal">
      <formula>"Towel"</formula>
    </cfRule>
    <cfRule type="cellIs" dxfId="1844" priority="2284" stopIfTrue="1" operator="equal">
      <formula>"Napkin Hs"</formula>
    </cfRule>
    <cfRule type="cellIs" dxfId="1843" priority="2285" stopIfTrue="1" operator="equal">
      <formula>"Towel"</formula>
    </cfRule>
    <cfRule type="cellIs" dxfId="1842" priority="2286" stopIfTrue="1" operator="equal">
      <formula>"Napkin Hs"</formula>
    </cfRule>
    <cfRule type="cellIs" dxfId="1841" priority="2289" stopIfTrue="1" operator="equal">
      <formula>"Towel"</formula>
    </cfRule>
    <cfRule type="cellIs" dxfId="1840" priority="2290" stopIfTrue="1" operator="equal">
      <formula>"Napkin Hs"</formula>
    </cfRule>
    <cfRule type="cellIs" dxfId="1839" priority="2291" stopIfTrue="1" operator="equal">
      <formula>"Towel"</formula>
    </cfRule>
    <cfRule type="cellIs" dxfId="1838" priority="2292" stopIfTrue="1" operator="equal">
      <formula>"Napkin Hs"</formula>
    </cfRule>
    <cfRule type="cellIs" dxfId="1837" priority="2295" stopIfTrue="1" operator="equal">
      <formula>"Towel"</formula>
    </cfRule>
    <cfRule type="cellIs" dxfId="1836" priority="2296" stopIfTrue="1" operator="equal">
      <formula>"Napkin Hs"</formula>
    </cfRule>
    <cfRule type="cellIs" dxfId="1835" priority="2297" stopIfTrue="1" operator="equal">
      <formula>"Towel"</formula>
    </cfRule>
    <cfRule type="cellIs" dxfId="1834" priority="2298" stopIfTrue="1" operator="equal">
      <formula>"Napkin Hs"</formula>
    </cfRule>
    <cfRule type="cellIs" dxfId="1833" priority="2301" stopIfTrue="1" operator="equal">
      <formula>"Towel"</formula>
    </cfRule>
    <cfRule type="cellIs" dxfId="1832" priority="2302" stopIfTrue="1" operator="equal">
      <formula>"Napkin Hs"</formula>
    </cfRule>
    <cfRule type="cellIs" dxfId="1831" priority="2303" stopIfTrue="1" operator="equal">
      <formula>"Towel"</formula>
    </cfRule>
    <cfRule type="cellIs" dxfId="1830" priority="2304" stopIfTrue="1" operator="equal">
      <formula>"Napkin Hs"</formula>
    </cfRule>
  </conditionalFormatting>
  <conditionalFormatting sqref="C92:C93">
    <cfRule type="cellIs" dxfId="1829" priority="2277" stopIfTrue="1" operator="equal">
      <formula>"Towel"</formula>
    </cfRule>
    <cfRule type="cellIs" dxfId="1828" priority="2278" stopIfTrue="1" operator="equal">
      <formula>"Napkin Hs"</formula>
    </cfRule>
  </conditionalFormatting>
  <conditionalFormatting sqref="C92:C93">
    <cfRule type="cellIs" dxfId="1827" priority="2257" stopIfTrue="1" operator="equal">
      <formula>"Towel"</formula>
    </cfRule>
    <cfRule type="cellIs" dxfId="1826" priority="2258" stopIfTrue="1" operator="equal">
      <formula>"Napkin Hs"</formula>
    </cfRule>
    <cfRule type="cellIs" dxfId="1825" priority="2263" stopIfTrue="1" operator="equal">
      <formula>"Towel"</formula>
    </cfRule>
    <cfRule type="cellIs" dxfId="1824" priority="2264" stopIfTrue="1" operator="equal">
      <formula>"Napkin Hs"</formula>
    </cfRule>
    <cfRule type="cellIs" dxfId="1823" priority="2269" stopIfTrue="1" operator="equal">
      <formula>"Towel"</formula>
    </cfRule>
    <cfRule type="cellIs" dxfId="1822" priority="2270" stopIfTrue="1" operator="equal">
      <formula>"Napkin Hs"</formula>
    </cfRule>
    <cfRule type="cellIs" dxfId="1821" priority="2275" stopIfTrue="1" operator="equal">
      <formula>"Towel"</formula>
    </cfRule>
    <cfRule type="cellIs" dxfId="1820" priority="2276" stopIfTrue="1" operator="equal">
      <formula>"Napkin Hs"</formula>
    </cfRule>
  </conditionalFormatting>
  <conditionalFormatting sqref="C92:C93">
    <cfRule type="cellIs" dxfId="1819" priority="2267" stopIfTrue="1" operator="equal">
      <formula>"Towel"</formula>
    </cfRule>
    <cfRule type="cellIs" dxfId="1818" priority="2268" stopIfTrue="1" operator="equal">
      <formula>"Napkin Hs"</formula>
    </cfRule>
    <cfRule type="cellIs" dxfId="1817" priority="2273" stopIfTrue="1" operator="equal">
      <formula>"Towel"</formula>
    </cfRule>
    <cfRule type="cellIs" dxfId="1816" priority="2274" stopIfTrue="1" operator="equal">
      <formula>"Napkin Hs"</formula>
    </cfRule>
  </conditionalFormatting>
  <conditionalFormatting sqref="C92:C93">
    <cfRule type="cellIs" dxfId="1815" priority="2253" stopIfTrue="1" operator="equal">
      <formula>"Towel"</formula>
    </cfRule>
    <cfRule type="cellIs" dxfId="1814" priority="2254" stopIfTrue="1" operator="equal">
      <formula>"Napkin Hs"</formula>
    </cfRule>
    <cfRule type="cellIs" dxfId="1813" priority="2261" stopIfTrue="1" operator="equal">
      <formula>"Towel"</formula>
    </cfRule>
    <cfRule type="cellIs" dxfId="1812" priority="2262" stopIfTrue="1" operator="equal">
      <formula>"Napkin Hs"</formula>
    </cfRule>
    <cfRule type="cellIs" dxfId="1811" priority="2265" stopIfTrue="1" operator="equal">
      <formula>"Towel"</formula>
    </cfRule>
    <cfRule type="cellIs" dxfId="1810" priority="2266" stopIfTrue="1" operator="equal">
      <formula>"Napkin Hs"</formula>
    </cfRule>
  </conditionalFormatting>
  <conditionalFormatting sqref="C92:C93">
    <cfRule type="cellIs" dxfId="1809" priority="2255" stopIfTrue="1" operator="equal">
      <formula>"Towel"</formula>
    </cfRule>
    <cfRule type="cellIs" dxfId="1808" priority="2256" stopIfTrue="1" operator="equal">
      <formula>"Napkin Hs"</formula>
    </cfRule>
    <cfRule type="cellIs" dxfId="1807" priority="2259" stopIfTrue="1" operator="equal">
      <formula>"Towel"</formula>
    </cfRule>
    <cfRule type="cellIs" dxfId="1806" priority="2260" stopIfTrue="1" operator="equal">
      <formula>"Napkin Hs"</formula>
    </cfRule>
    <cfRule type="cellIs" dxfId="1805" priority="2271" stopIfTrue="1" operator="equal">
      <formula>"Towel"</formula>
    </cfRule>
    <cfRule type="cellIs" dxfId="1804" priority="2272" stopIfTrue="1" operator="equal">
      <formula>"Napkin Hs"</formula>
    </cfRule>
  </conditionalFormatting>
  <conditionalFormatting sqref="C92:C93">
    <cfRule type="cellIs" dxfId="1803" priority="2251" stopIfTrue="1" operator="equal">
      <formula>"Towel"</formula>
    </cfRule>
    <cfRule type="cellIs" dxfId="1802" priority="2252" stopIfTrue="1" operator="equal">
      <formula>"Napkin Hs"</formula>
    </cfRule>
  </conditionalFormatting>
  <conditionalFormatting sqref="C92:C93">
    <cfRule type="cellIs" dxfId="1801" priority="2247" stopIfTrue="1" operator="equal">
      <formula>"Towel"</formula>
    </cfRule>
    <cfRule type="cellIs" dxfId="1800" priority="2248" stopIfTrue="1" operator="equal">
      <formula>"Napkin Hs"</formula>
    </cfRule>
  </conditionalFormatting>
  <conditionalFormatting sqref="C92:C93">
    <cfRule type="cellIs" dxfId="1799" priority="2249" stopIfTrue="1" operator="equal">
      <formula>"Towel"</formula>
    </cfRule>
    <cfRule type="cellIs" dxfId="1798" priority="2250" stopIfTrue="1" operator="equal">
      <formula>"Napkin Hs"</formula>
    </cfRule>
  </conditionalFormatting>
  <conditionalFormatting sqref="C92:C93">
    <cfRule type="cellIs" dxfId="1797" priority="2245" stopIfTrue="1" operator="equal">
      <formula>"Towel"</formula>
    </cfRule>
    <cfRule type="cellIs" dxfId="1796" priority="2246" stopIfTrue="1" operator="equal">
      <formula>"Napkin Hs"</formula>
    </cfRule>
  </conditionalFormatting>
  <conditionalFormatting sqref="C92:C93">
    <cfRule type="cellIs" dxfId="1795" priority="2241" stopIfTrue="1" operator="equal">
      <formula>"Towel"</formula>
    </cfRule>
    <cfRule type="cellIs" dxfId="1794" priority="2242" stopIfTrue="1" operator="equal">
      <formula>"Napkin Hs"</formula>
    </cfRule>
  </conditionalFormatting>
  <conditionalFormatting sqref="C92:C93">
    <cfRule type="cellIs" dxfId="1793" priority="2243" stopIfTrue="1" operator="equal">
      <formula>"Towel"</formula>
    </cfRule>
    <cfRule type="cellIs" dxfId="1792" priority="2244" stopIfTrue="1" operator="equal">
      <formula>"Napkin Hs"</formula>
    </cfRule>
  </conditionalFormatting>
  <conditionalFormatting sqref="C92:C93">
    <cfRule type="cellIs" dxfId="1791" priority="2239" stopIfTrue="1" operator="equal">
      <formula>"Towel"</formula>
    </cfRule>
    <cfRule type="cellIs" dxfId="1790" priority="2240" stopIfTrue="1" operator="equal">
      <formula>"Napkin Hs"</formula>
    </cfRule>
  </conditionalFormatting>
  <conditionalFormatting sqref="C92:C93">
    <cfRule type="cellIs" dxfId="1789" priority="2235" stopIfTrue="1" operator="equal">
      <formula>"Towel"</formula>
    </cfRule>
    <cfRule type="cellIs" dxfId="1788" priority="2236" stopIfTrue="1" operator="equal">
      <formula>"Napkin Hs"</formula>
    </cfRule>
  </conditionalFormatting>
  <conditionalFormatting sqref="C92:C93">
    <cfRule type="cellIs" dxfId="1787" priority="2237" stopIfTrue="1" operator="equal">
      <formula>"Towel"</formula>
    </cfRule>
    <cfRule type="cellIs" dxfId="1786" priority="2238" stopIfTrue="1" operator="equal">
      <formula>"Napkin Hs"</formula>
    </cfRule>
  </conditionalFormatting>
  <conditionalFormatting sqref="C92:C93">
    <cfRule type="cellIs" dxfId="1785" priority="2233" stopIfTrue="1" operator="equal">
      <formula>"Towel"</formula>
    </cfRule>
    <cfRule type="cellIs" dxfId="1784" priority="2234" stopIfTrue="1" operator="equal">
      <formula>"Napkin Hs"</formula>
    </cfRule>
  </conditionalFormatting>
  <conditionalFormatting sqref="C92:C93">
    <cfRule type="cellIs" dxfId="1783" priority="2231" stopIfTrue="1" operator="equal">
      <formula>"Towel"</formula>
    </cfRule>
    <cfRule type="cellIs" dxfId="1782" priority="2232" stopIfTrue="1" operator="equal">
      <formula>"Napkin Hs"</formula>
    </cfRule>
  </conditionalFormatting>
  <conditionalFormatting sqref="C92:C93">
    <cfRule type="cellIs" dxfId="1781" priority="2229" stopIfTrue="1" operator="equal">
      <formula>"Towel"</formula>
    </cfRule>
    <cfRule type="cellIs" dxfId="1780" priority="2230" stopIfTrue="1" operator="equal">
      <formula>"Napkin Hs"</formula>
    </cfRule>
  </conditionalFormatting>
  <conditionalFormatting sqref="C92:C93">
    <cfRule type="cellIs" dxfId="1779" priority="2227" stopIfTrue="1" operator="equal">
      <formula>"Towel"</formula>
    </cfRule>
    <cfRule type="cellIs" dxfId="1778" priority="2228" stopIfTrue="1" operator="equal">
      <formula>"Napkin Hs"</formula>
    </cfRule>
  </conditionalFormatting>
  <conditionalFormatting sqref="C92:C93">
    <cfRule type="cellIs" dxfId="1777" priority="2226" stopIfTrue="1" operator="equal">
      <formula>"Napkin Hs"</formula>
    </cfRule>
  </conditionalFormatting>
  <conditionalFormatting sqref="C92:C93">
    <cfRule type="cellIs" dxfId="1776" priority="2223" stopIfTrue="1" operator="equal">
      <formula>"Towel"</formula>
    </cfRule>
    <cfRule type="cellIs" dxfId="1775" priority="2224" stopIfTrue="1" operator="equal">
      <formula>"Napkin Hs"</formula>
    </cfRule>
  </conditionalFormatting>
  <conditionalFormatting sqref="C92:C93">
    <cfRule type="cellIs" dxfId="1774" priority="2225" stopIfTrue="1" operator="equal">
      <formula>"Towel"</formula>
    </cfRule>
  </conditionalFormatting>
  <conditionalFormatting sqref="B92:B93">
    <cfRule type="cellIs" dxfId="1773" priority="2221" stopIfTrue="1" operator="equal">
      <formula>"Towel"</formula>
    </cfRule>
    <cfRule type="cellIs" dxfId="1772" priority="2222" stopIfTrue="1" operator="equal">
      <formula>"Napkin Hs"</formula>
    </cfRule>
  </conditionalFormatting>
  <conditionalFormatting sqref="B92:B93">
    <cfRule type="cellIs" dxfId="1771" priority="2219" stopIfTrue="1" operator="equal">
      <formula>"Towel"</formula>
    </cfRule>
    <cfRule type="cellIs" dxfId="1770" priority="2220" stopIfTrue="1" operator="equal">
      <formula>"Napkin Hs"</formula>
    </cfRule>
  </conditionalFormatting>
  <conditionalFormatting sqref="B92:B93">
    <cfRule type="cellIs" dxfId="1769" priority="2217" stopIfTrue="1" operator="equal">
      <formula>"Towel"</formula>
    </cfRule>
    <cfRule type="cellIs" dxfId="1768" priority="2218" stopIfTrue="1" operator="equal">
      <formula>"Napkin Hs"</formula>
    </cfRule>
  </conditionalFormatting>
  <conditionalFormatting sqref="B92:B93">
    <cfRule type="cellIs" dxfId="1767" priority="2215" stopIfTrue="1" operator="equal">
      <formula>"Towel"</formula>
    </cfRule>
    <cfRule type="cellIs" dxfId="1766" priority="2216" stopIfTrue="1" operator="equal">
      <formula>"Napkin Hs"</formula>
    </cfRule>
  </conditionalFormatting>
  <conditionalFormatting sqref="B92:B93">
    <cfRule type="cellIs" dxfId="1765" priority="2213" stopIfTrue="1" operator="equal">
      <formula>"Towel"</formula>
    </cfRule>
    <cfRule type="cellIs" dxfId="1764" priority="2214" stopIfTrue="1" operator="equal">
      <formula>"Napkin Hs"</formula>
    </cfRule>
  </conditionalFormatting>
  <conditionalFormatting sqref="B92:B93">
    <cfRule type="cellIs" dxfId="1763" priority="2211" stopIfTrue="1" operator="equal">
      <formula>"Towel"</formula>
    </cfRule>
    <cfRule type="cellIs" dxfId="1762" priority="2212" stopIfTrue="1" operator="equal">
      <formula>"Napkin Hs"</formula>
    </cfRule>
  </conditionalFormatting>
  <conditionalFormatting sqref="B92:B93">
    <cfRule type="cellIs" dxfId="1761" priority="2207" stopIfTrue="1" operator="equal">
      <formula>"Towel"</formula>
    </cfRule>
    <cfRule type="cellIs" dxfId="1760" priority="2208" stopIfTrue="1" operator="equal">
      <formula>"Napkin Hs"</formula>
    </cfRule>
    <cfRule type="cellIs" dxfId="1759" priority="2209" stopIfTrue="1" operator="equal">
      <formula>"Towel"</formula>
    </cfRule>
    <cfRule type="cellIs" dxfId="1758" priority="2210" stopIfTrue="1" operator="equal">
      <formula>"Napkin Hs"</formula>
    </cfRule>
  </conditionalFormatting>
  <conditionalFormatting sqref="B92:B93">
    <cfRule type="cellIs" dxfId="1757" priority="2205" stopIfTrue="1" operator="equal">
      <formula>"Towel"</formula>
    </cfRule>
    <cfRule type="cellIs" dxfId="1756" priority="2206" stopIfTrue="1" operator="equal">
      <formula>"Napkin Hs"</formula>
    </cfRule>
  </conditionalFormatting>
  <conditionalFormatting sqref="B92:B93">
    <cfRule type="cellIs" dxfId="1755" priority="2203" stopIfTrue="1" operator="equal">
      <formula>"Towel"</formula>
    </cfRule>
    <cfRule type="cellIs" dxfId="1754" priority="2204" stopIfTrue="1" operator="equal">
      <formula>"Napkin Hs"</formula>
    </cfRule>
  </conditionalFormatting>
  <conditionalFormatting sqref="B92:B93">
    <cfRule type="cellIs" dxfId="1753" priority="2201" stopIfTrue="1" operator="equal">
      <formula>"Towel"</formula>
    </cfRule>
    <cfRule type="cellIs" dxfId="1752" priority="2202" stopIfTrue="1" operator="equal">
      <formula>"Napkin Hs"</formula>
    </cfRule>
  </conditionalFormatting>
  <conditionalFormatting sqref="B92:B93">
    <cfRule type="cellIs" dxfId="1751" priority="2199" stopIfTrue="1" operator="equal">
      <formula>"Towel"</formula>
    </cfRule>
    <cfRule type="cellIs" dxfId="1750" priority="2200" stopIfTrue="1" operator="equal">
      <formula>"Napkin Hs"</formula>
    </cfRule>
  </conditionalFormatting>
  <conditionalFormatting sqref="B92:B93">
    <cfRule type="cellIs" dxfId="1749" priority="2197" stopIfTrue="1" operator="equal">
      <formula>"Towel"</formula>
    </cfRule>
    <cfRule type="cellIs" dxfId="1748" priority="2198" stopIfTrue="1" operator="equal">
      <formula>"Napkin Hs"</formula>
    </cfRule>
  </conditionalFormatting>
  <conditionalFormatting sqref="B92:C93">
    <cfRule type="cellIs" dxfId="1747" priority="2183" stopIfTrue="1" operator="equal">
      <formula>"Towel"</formula>
    </cfRule>
    <cfRule type="cellIs" dxfId="1746" priority="2184" stopIfTrue="1" operator="equal">
      <formula>"Napkin Hs"</formula>
    </cfRule>
    <cfRule type="cellIs" dxfId="1745" priority="2189" stopIfTrue="1" operator="equal">
      <formula>"Towel"</formula>
    </cfRule>
    <cfRule type="cellIs" dxfId="1744" priority="2190" stopIfTrue="1" operator="equal">
      <formula>"Napkin Hs"</formula>
    </cfRule>
    <cfRule type="cellIs" dxfId="1743" priority="2195" stopIfTrue="1" operator="equal">
      <formula>"Towel"</formula>
    </cfRule>
    <cfRule type="cellIs" dxfId="1742" priority="2196" stopIfTrue="1" operator="equal">
      <formula>"Napkin Hs"</formula>
    </cfRule>
  </conditionalFormatting>
  <conditionalFormatting sqref="C92:C93">
    <cfRule type="cellIs" dxfId="1741" priority="2177" stopIfTrue="1" operator="equal">
      <formula>"Towel"</formula>
    </cfRule>
    <cfRule type="cellIs" dxfId="1740" priority="2178" stopIfTrue="1" operator="equal">
      <formula>"Napkin Hs"</formula>
    </cfRule>
    <cfRule type="cellIs" dxfId="1739" priority="2179" stopIfTrue="1" operator="equal">
      <formula>"Towel"</formula>
    </cfRule>
    <cfRule type="cellIs" dxfId="1738" priority="2180" stopIfTrue="1" operator="equal">
      <formula>"Napkin Hs"</formula>
    </cfRule>
    <cfRule type="cellIs" dxfId="1737" priority="2187" stopIfTrue="1" operator="equal">
      <formula>"Towel"</formula>
    </cfRule>
    <cfRule type="cellIs" dxfId="1736" priority="2188" stopIfTrue="1" operator="equal">
      <formula>"Napkin Hs"</formula>
    </cfRule>
    <cfRule type="cellIs" dxfId="1735" priority="2191" stopIfTrue="1" operator="equal">
      <formula>"Towel"</formula>
    </cfRule>
    <cfRule type="cellIs" dxfId="1734" priority="2192" stopIfTrue="1" operator="equal">
      <formula>"Napkin Hs"</formula>
    </cfRule>
  </conditionalFormatting>
  <conditionalFormatting sqref="C92:C93">
    <cfRule type="cellIs" dxfId="1733" priority="2181" stopIfTrue="1" operator="equal">
      <formula>"Towel"</formula>
    </cfRule>
    <cfRule type="cellIs" dxfId="1732" priority="2182" stopIfTrue="1" operator="equal">
      <formula>"Napkin Hs"</formula>
    </cfRule>
    <cfRule type="cellIs" dxfId="1731" priority="2185" stopIfTrue="1" operator="equal">
      <formula>"Towel"</formula>
    </cfRule>
    <cfRule type="cellIs" dxfId="1730" priority="2186" stopIfTrue="1" operator="equal">
      <formula>"Napkin Hs"</formula>
    </cfRule>
    <cfRule type="cellIs" dxfId="1729" priority="2193" stopIfTrue="1" operator="equal">
      <formula>"Towel"</formula>
    </cfRule>
    <cfRule type="cellIs" dxfId="1728" priority="2194" stopIfTrue="1" operator="equal">
      <formula>"Napkin Hs"</formula>
    </cfRule>
  </conditionalFormatting>
  <conditionalFormatting sqref="B92:C93">
    <cfRule type="cellIs" dxfId="1727" priority="2175" stopIfTrue="1" operator="equal">
      <formula>"Towel"</formula>
    </cfRule>
    <cfRule type="cellIs" dxfId="1726" priority="2176" stopIfTrue="1" operator="equal">
      <formula>"Napkin Hs"</formula>
    </cfRule>
  </conditionalFormatting>
  <conditionalFormatting sqref="B92:C93">
    <cfRule type="cellIs" dxfId="1725" priority="2167" stopIfTrue="1" operator="equal">
      <formula>"Towel"</formula>
    </cfRule>
    <cfRule type="cellIs" dxfId="1724" priority="2168" stopIfTrue="1" operator="equal">
      <formula>"Napkin Hs"</formula>
    </cfRule>
    <cfRule type="cellIs" dxfId="1723" priority="2173" stopIfTrue="1" operator="equal">
      <formula>"Towel"</formula>
    </cfRule>
    <cfRule type="cellIs" dxfId="1722" priority="2174" stopIfTrue="1" operator="equal">
      <formula>"Napkin Hs"</formula>
    </cfRule>
  </conditionalFormatting>
  <conditionalFormatting sqref="C92:C93">
    <cfRule type="cellIs" dxfId="1721" priority="2163" stopIfTrue="1" operator="equal">
      <formula>"Towel"</formula>
    </cfRule>
    <cfRule type="cellIs" dxfId="1720" priority="2164" stopIfTrue="1" operator="equal">
      <formula>"Napkin Hs"</formula>
    </cfRule>
  </conditionalFormatting>
  <conditionalFormatting sqref="C92:C93">
    <cfRule type="cellIs" dxfId="1719" priority="2161" stopIfTrue="1" operator="equal">
      <formula>"Towel"</formula>
    </cfRule>
    <cfRule type="cellIs" dxfId="1718" priority="2162" stopIfTrue="1" operator="equal">
      <formula>"Napkin Hs"</formula>
    </cfRule>
    <cfRule type="cellIs" dxfId="1717" priority="2171" stopIfTrue="1" operator="equal">
      <formula>"Towel"</formula>
    </cfRule>
    <cfRule type="cellIs" dxfId="1716" priority="2172" stopIfTrue="1" operator="equal">
      <formula>"Napkin Hs"</formula>
    </cfRule>
  </conditionalFormatting>
  <conditionalFormatting sqref="C92:C93">
    <cfRule type="cellIs" dxfId="1715" priority="2165" stopIfTrue="1" operator="equal">
      <formula>"Towel"</formula>
    </cfRule>
    <cfRule type="cellIs" dxfId="1714" priority="2166" stopIfTrue="1" operator="equal">
      <formula>"Napkin Hs"</formula>
    </cfRule>
    <cfRule type="cellIs" dxfId="1713" priority="2169" stopIfTrue="1" operator="equal">
      <formula>"Towel"</formula>
    </cfRule>
    <cfRule type="cellIs" dxfId="1712" priority="2170" stopIfTrue="1" operator="equal">
      <formula>"Napkin Hs"</formula>
    </cfRule>
  </conditionalFormatting>
  <conditionalFormatting sqref="C92:C93">
    <cfRule type="cellIs" dxfId="1711" priority="2160" stopIfTrue="1" operator="equal">
      <formula>"Napkin Hs"</formula>
    </cfRule>
  </conditionalFormatting>
  <conditionalFormatting sqref="C92:C93">
    <cfRule type="cellIs" dxfId="1710" priority="2159" stopIfTrue="1" operator="equal">
      <formula>"Towel"</formula>
    </cfRule>
  </conditionalFormatting>
  <conditionalFormatting sqref="C92:C93">
    <cfRule type="cellIs" dxfId="1709" priority="2155" stopIfTrue="1" operator="equal">
      <formula>"Towel"</formula>
    </cfRule>
    <cfRule type="cellIs" dxfId="1708" priority="2156" stopIfTrue="1" operator="equal">
      <formula>"Napkin Hs"</formula>
    </cfRule>
    <cfRule type="cellIs" dxfId="1707" priority="2157" stopIfTrue="1" operator="equal">
      <formula>"Towel"</formula>
    </cfRule>
    <cfRule type="cellIs" dxfId="1706" priority="2158" stopIfTrue="1" operator="equal">
      <formula>"Napkin Hs"</formula>
    </cfRule>
  </conditionalFormatting>
  <conditionalFormatting sqref="B92:C93">
    <cfRule type="cellIs" dxfId="1705" priority="2153" stopIfTrue="1" operator="equal">
      <formula>"Towel"</formula>
    </cfRule>
    <cfRule type="cellIs" dxfId="1704" priority="2154" stopIfTrue="1" operator="equal">
      <formula>"Napkin Hs"</formula>
    </cfRule>
  </conditionalFormatting>
  <conditionalFormatting sqref="C92:C93">
    <cfRule type="cellIs" dxfId="1703" priority="2149" stopIfTrue="1" operator="equal">
      <formula>"Towel"</formula>
    </cfRule>
    <cfRule type="cellIs" dxfId="1702" priority="2150" stopIfTrue="1" operator="equal">
      <formula>"Napkin Hs"</formula>
    </cfRule>
  </conditionalFormatting>
  <conditionalFormatting sqref="C92:C93">
    <cfRule type="cellIs" dxfId="1701" priority="2151" stopIfTrue="1" operator="equal">
      <formula>"Towel"</formula>
    </cfRule>
    <cfRule type="cellIs" dxfId="1700" priority="2152" stopIfTrue="1" operator="equal">
      <formula>"Napkin Hs"</formula>
    </cfRule>
  </conditionalFormatting>
  <conditionalFormatting sqref="B92:C93">
    <cfRule type="cellIs" dxfId="1699" priority="2147" stopIfTrue="1" operator="equal">
      <formula>"Towel"</formula>
    </cfRule>
    <cfRule type="cellIs" dxfId="1698" priority="2148" stopIfTrue="1" operator="equal">
      <formula>"Napkin Hs"</formula>
    </cfRule>
  </conditionalFormatting>
  <conditionalFormatting sqref="C92:C93">
    <cfRule type="cellIs" dxfId="1697" priority="2143" stopIfTrue="1" operator="equal">
      <formula>"Towel"</formula>
    </cfRule>
    <cfRule type="cellIs" dxfId="1696" priority="2144" stopIfTrue="1" operator="equal">
      <formula>"Napkin Hs"</formula>
    </cfRule>
  </conditionalFormatting>
  <conditionalFormatting sqref="C92:C93">
    <cfRule type="cellIs" dxfId="1695" priority="2145" stopIfTrue="1" operator="equal">
      <formula>"Towel"</formula>
    </cfRule>
    <cfRule type="cellIs" dxfId="1694" priority="2146" stopIfTrue="1" operator="equal">
      <formula>"Napkin Hs"</formula>
    </cfRule>
  </conditionalFormatting>
  <conditionalFormatting sqref="B92:C93">
    <cfRule type="cellIs" dxfId="1693" priority="2141" stopIfTrue="1" operator="equal">
      <formula>"Towel"</formula>
    </cfRule>
    <cfRule type="cellIs" dxfId="1692" priority="2142" stopIfTrue="1" operator="equal">
      <formula>"Napkin Hs"</formula>
    </cfRule>
  </conditionalFormatting>
  <conditionalFormatting sqref="C92:C93">
    <cfRule type="cellIs" dxfId="1691" priority="2137" stopIfTrue="1" operator="equal">
      <formula>"Towel"</formula>
    </cfRule>
    <cfRule type="cellIs" dxfId="1690" priority="2138" stopIfTrue="1" operator="equal">
      <formula>"Napkin Hs"</formula>
    </cfRule>
  </conditionalFormatting>
  <conditionalFormatting sqref="C92:C93">
    <cfRule type="cellIs" dxfId="1689" priority="2139" stopIfTrue="1" operator="equal">
      <formula>"Towel"</formula>
    </cfRule>
    <cfRule type="cellIs" dxfId="1688" priority="2140" stopIfTrue="1" operator="equal">
      <formula>"Napkin Hs"</formula>
    </cfRule>
  </conditionalFormatting>
  <conditionalFormatting sqref="B92:C93">
    <cfRule type="cellIs" dxfId="1687" priority="2135" stopIfTrue="1" operator="equal">
      <formula>"Towel"</formula>
    </cfRule>
    <cfRule type="cellIs" dxfId="1686" priority="2136" stopIfTrue="1" operator="equal">
      <formula>"Napkin Hs"</formula>
    </cfRule>
  </conditionalFormatting>
  <conditionalFormatting sqref="C92:C93">
    <cfRule type="cellIs" dxfId="1685" priority="2133" stopIfTrue="1" operator="equal">
      <formula>"Towel"</formula>
    </cfRule>
    <cfRule type="cellIs" dxfId="1684" priority="2134" stopIfTrue="1" operator="equal">
      <formula>"Napkin Hs"</formula>
    </cfRule>
  </conditionalFormatting>
  <conditionalFormatting sqref="C92:C93">
    <cfRule type="cellIs" dxfId="1683" priority="2131" stopIfTrue="1" operator="equal">
      <formula>"Towel"</formula>
    </cfRule>
    <cfRule type="cellIs" dxfId="1682" priority="2132" stopIfTrue="1" operator="equal">
      <formula>"Napkin Hs"</formula>
    </cfRule>
  </conditionalFormatting>
  <conditionalFormatting sqref="B92:C93">
    <cfRule type="cellIs" dxfId="1681" priority="2129" stopIfTrue="1" operator="equal">
      <formula>"Towel"</formula>
    </cfRule>
    <cfRule type="cellIs" dxfId="1680" priority="2130" stopIfTrue="1" operator="equal">
      <formula>"Napkin Hs"</formula>
    </cfRule>
  </conditionalFormatting>
  <conditionalFormatting sqref="C92:C93">
    <cfRule type="cellIs" dxfId="1679" priority="2128" stopIfTrue="1" operator="equal">
      <formula>"Napkin Hs"</formula>
    </cfRule>
  </conditionalFormatting>
  <conditionalFormatting sqref="C92:C93">
    <cfRule type="cellIs" dxfId="1678" priority="2125" stopIfTrue="1" operator="equal">
      <formula>"Towel"</formula>
    </cfRule>
    <cfRule type="cellIs" dxfId="1677" priority="2126" stopIfTrue="1" operator="equal">
      <formula>"Napkin Hs"</formula>
    </cfRule>
  </conditionalFormatting>
  <conditionalFormatting sqref="C92:C93">
    <cfRule type="cellIs" dxfId="1676" priority="2127" stopIfTrue="1" operator="equal">
      <formula>"Towel"</formula>
    </cfRule>
  </conditionalFormatting>
  <conditionalFormatting sqref="B94:C94">
    <cfRule type="cellIs" dxfId="1675" priority="2123" stopIfTrue="1" operator="equal">
      <formula>"Towel"</formula>
    </cfRule>
    <cfRule type="cellIs" dxfId="1674" priority="2124" stopIfTrue="1" operator="equal">
      <formula>"Napkin Hs"</formula>
    </cfRule>
  </conditionalFormatting>
  <conditionalFormatting sqref="C94">
    <cfRule type="cellIs" dxfId="1673" priority="2119" stopIfTrue="1" operator="equal">
      <formula>"Towel"</formula>
    </cfRule>
    <cfRule type="cellIs" dxfId="1672" priority="2120" stopIfTrue="1" operator="equal">
      <formula>"Napkin Hs"</formula>
    </cfRule>
  </conditionalFormatting>
  <conditionalFormatting sqref="C94">
    <cfRule type="cellIs" dxfId="1671" priority="2121" stopIfTrue="1" operator="equal">
      <formula>"Towel"</formula>
    </cfRule>
    <cfRule type="cellIs" dxfId="1670" priority="2122" stopIfTrue="1" operator="equal">
      <formula>"Napkin Hs"</formula>
    </cfRule>
  </conditionalFormatting>
  <conditionalFormatting sqref="B94:C94">
    <cfRule type="cellIs" dxfId="1669" priority="2117" stopIfTrue="1" operator="equal">
      <formula>"Towel"</formula>
    </cfRule>
    <cfRule type="cellIs" dxfId="1668" priority="2118" stopIfTrue="1" operator="equal">
      <formula>"Napkin Hs"</formula>
    </cfRule>
  </conditionalFormatting>
  <conditionalFormatting sqref="C94">
    <cfRule type="cellIs" dxfId="1667" priority="2113" stopIfTrue="1" operator="equal">
      <formula>"Towel"</formula>
    </cfRule>
    <cfRule type="cellIs" dxfId="1666" priority="2114" stopIfTrue="1" operator="equal">
      <formula>"Napkin Hs"</formula>
    </cfRule>
  </conditionalFormatting>
  <conditionalFormatting sqref="C94">
    <cfRule type="cellIs" dxfId="1665" priority="2115" stopIfTrue="1" operator="equal">
      <formula>"Towel"</formula>
    </cfRule>
    <cfRule type="cellIs" dxfId="1664" priority="2116" stopIfTrue="1" operator="equal">
      <formula>"Napkin Hs"</formula>
    </cfRule>
  </conditionalFormatting>
  <conditionalFormatting sqref="B94:C94">
    <cfRule type="cellIs" dxfId="1663" priority="2069" stopIfTrue="1" operator="equal">
      <formula>"Towel"</formula>
    </cfRule>
    <cfRule type="cellIs" dxfId="1662" priority="2070" stopIfTrue="1" operator="equal">
      <formula>"Napkin Hs"</formula>
    </cfRule>
    <cfRule type="cellIs" dxfId="1661" priority="2075" stopIfTrue="1" operator="equal">
      <formula>"Towel"</formula>
    </cfRule>
    <cfRule type="cellIs" dxfId="1660" priority="2076" stopIfTrue="1" operator="equal">
      <formula>"Napkin Hs"</formula>
    </cfRule>
    <cfRule type="cellIs" dxfId="1659" priority="2081" stopIfTrue="1" operator="equal">
      <formula>"Towel"</formula>
    </cfRule>
    <cfRule type="cellIs" dxfId="1658" priority="2082" stopIfTrue="1" operator="equal">
      <formula>"Napkin Hs"</formula>
    </cfRule>
    <cfRule type="cellIs" dxfId="1657" priority="2087" stopIfTrue="1" operator="equal">
      <formula>"Towel"</formula>
    </cfRule>
    <cfRule type="cellIs" dxfId="1656" priority="2088" stopIfTrue="1" operator="equal">
      <formula>"Napkin Hs"</formula>
    </cfRule>
    <cfRule type="cellIs" dxfId="1655" priority="2093" stopIfTrue="1" operator="equal">
      <formula>"Towel"</formula>
    </cfRule>
    <cfRule type="cellIs" dxfId="1654" priority="2094" stopIfTrue="1" operator="equal">
      <formula>"Napkin Hs"</formula>
    </cfRule>
    <cfRule type="cellIs" dxfId="1653" priority="2099" stopIfTrue="1" operator="equal">
      <formula>"Towel"</formula>
    </cfRule>
    <cfRule type="cellIs" dxfId="1652" priority="2100" stopIfTrue="1" operator="equal">
      <formula>"Napkin Hs"</formula>
    </cfRule>
    <cfRule type="cellIs" dxfId="1651" priority="2105" stopIfTrue="1" operator="equal">
      <formula>"Towel"</formula>
    </cfRule>
    <cfRule type="cellIs" dxfId="1650" priority="2106" stopIfTrue="1" operator="equal">
      <formula>"Napkin Hs"</formula>
    </cfRule>
    <cfRule type="cellIs" dxfId="1649" priority="2111" stopIfTrue="1" operator="equal">
      <formula>"Towel"</formula>
    </cfRule>
    <cfRule type="cellIs" dxfId="1648" priority="2112" stopIfTrue="1" operator="equal">
      <formula>"Napkin Hs"</formula>
    </cfRule>
  </conditionalFormatting>
  <conditionalFormatting sqref="C94">
    <cfRule type="cellIs" dxfId="1647" priority="2065" stopIfTrue="1" operator="equal">
      <formula>"Towel"</formula>
    </cfRule>
    <cfRule type="cellIs" dxfId="1646" priority="2066" stopIfTrue="1" operator="equal">
      <formula>"Napkin Hs"</formula>
    </cfRule>
    <cfRule type="cellIs" dxfId="1645" priority="2067" stopIfTrue="1" operator="equal">
      <formula>"Towel"</formula>
    </cfRule>
    <cfRule type="cellIs" dxfId="1644" priority="2068" stopIfTrue="1" operator="equal">
      <formula>"Napkin Hs"</formula>
    </cfRule>
    <cfRule type="cellIs" dxfId="1643" priority="2071" stopIfTrue="1" operator="equal">
      <formula>"Towel"</formula>
    </cfRule>
    <cfRule type="cellIs" dxfId="1642" priority="2072" stopIfTrue="1" operator="equal">
      <formula>"Napkin Hs"</formula>
    </cfRule>
    <cfRule type="cellIs" dxfId="1641" priority="2073" stopIfTrue="1" operator="equal">
      <formula>"Towel"</formula>
    </cfRule>
    <cfRule type="cellIs" dxfId="1640" priority="2074" stopIfTrue="1" operator="equal">
      <formula>"Napkin Hs"</formula>
    </cfRule>
    <cfRule type="cellIs" dxfId="1639" priority="2077" stopIfTrue="1" operator="equal">
      <formula>"Towel"</formula>
    </cfRule>
    <cfRule type="cellIs" dxfId="1638" priority="2078" stopIfTrue="1" operator="equal">
      <formula>"Napkin Hs"</formula>
    </cfRule>
    <cfRule type="cellIs" dxfId="1637" priority="2079" stopIfTrue="1" operator="equal">
      <formula>"Towel"</formula>
    </cfRule>
    <cfRule type="cellIs" dxfId="1636" priority="2080" stopIfTrue="1" operator="equal">
      <formula>"Napkin Hs"</formula>
    </cfRule>
    <cfRule type="cellIs" dxfId="1635" priority="2083" stopIfTrue="1" operator="equal">
      <formula>"Towel"</formula>
    </cfRule>
    <cfRule type="cellIs" dxfId="1634" priority="2084" stopIfTrue="1" operator="equal">
      <formula>"Napkin Hs"</formula>
    </cfRule>
    <cfRule type="cellIs" dxfId="1633" priority="2085" stopIfTrue="1" operator="equal">
      <formula>"Towel"</formula>
    </cfRule>
    <cfRule type="cellIs" dxfId="1632" priority="2086" stopIfTrue="1" operator="equal">
      <formula>"Napkin Hs"</formula>
    </cfRule>
    <cfRule type="cellIs" dxfId="1631" priority="2089" stopIfTrue="1" operator="equal">
      <formula>"Towel"</formula>
    </cfRule>
    <cfRule type="cellIs" dxfId="1630" priority="2090" stopIfTrue="1" operator="equal">
      <formula>"Napkin Hs"</formula>
    </cfRule>
    <cfRule type="cellIs" dxfId="1629" priority="2091" stopIfTrue="1" operator="equal">
      <formula>"Towel"</formula>
    </cfRule>
    <cfRule type="cellIs" dxfId="1628" priority="2092" stopIfTrue="1" operator="equal">
      <formula>"Napkin Hs"</formula>
    </cfRule>
    <cfRule type="cellIs" dxfId="1627" priority="2095" stopIfTrue="1" operator="equal">
      <formula>"Towel"</formula>
    </cfRule>
    <cfRule type="cellIs" dxfId="1626" priority="2096" stopIfTrue="1" operator="equal">
      <formula>"Napkin Hs"</formula>
    </cfRule>
    <cfRule type="cellIs" dxfId="1625" priority="2097" stopIfTrue="1" operator="equal">
      <formula>"Towel"</formula>
    </cfRule>
    <cfRule type="cellIs" dxfId="1624" priority="2098" stopIfTrue="1" operator="equal">
      <formula>"Napkin Hs"</formula>
    </cfRule>
    <cfRule type="cellIs" dxfId="1623" priority="2101" stopIfTrue="1" operator="equal">
      <formula>"Towel"</formula>
    </cfRule>
    <cfRule type="cellIs" dxfId="1622" priority="2102" stopIfTrue="1" operator="equal">
      <formula>"Napkin Hs"</formula>
    </cfRule>
    <cfRule type="cellIs" dxfId="1621" priority="2103" stopIfTrue="1" operator="equal">
      <formula>"Towel"</formula>
    </cfRule>
    <cfRule type="cellIs" dxfId="1620" priority="2104" stopIfTrue="1" operator="equal">
      <formula>"Napkin Hs"</formula>
    </cfRule>
    <cfRule type="cellIs" dxfId="1619" priority="2107" stopIfTrue="1" operator="equal">
      <formula>"Towel"</formula>
    </cfRule>
    <cfRule type="cellIs" dxfId="1618" priority="2108" stopIfTrue="1" operator="equal">
      <formula>"Napkin Hs"</formula>
    </cfRule>
  </conditionalFormatting>
  <conditionalFormatting sqref="C94">
    <cfRule type="cellIs" dxfId="1617" priority="2109" stopIfTrue="1" operator="equal">
      <formula>"Towel"</formula>
    </cfRule>
    <cfRule type="cellIs" dxfId="1616" priority="2110" stopIfTrue="1" operator="equal">
      <formula>"Napkin Hs"</formula>
    </cfRule>
  </conditionalFormatting>
  <conditionalFormatting sqref="B94:C94">
    <cfRule type="cellIs" dxfId="1615" priority="2021" stopIfTrue="1" operator="equal">
      <formula>"Towel"</formula>
    </cfRule>
    <cfRule type="cellIs" dxfId="1614" priority="2022" stopIfTrue="1" operator="equal">
      <formula>"Napkin Hs"</formula>
    </cfRule>
    <cfRule type="cellIs" dxfId="1613" priority="2027" stopIfTrue="1" operator="equal">
      <formula>"Towel"</formula>
    </cfRule>
    <cfRule type="cellIs" dxfId="1612" priority="2028" stopIfTrue="1" operator="equal">
      <formula>"Napkin Hs"</formula>
    </cfRule>
    <cfRule type="cellIs" dxfId="1611" priority="2033" stopIfTrue="1" operator="equal">
      <formula>"Towel"</formula>
    </cfRule>
    <cfRule type="cellIs" dxfId="1610" priority="2034" stopIfTrue="1" operator="equal">
      <formula>"Napkin Hs"</formula>
    </cfRule>
    <cfRule type="cellIs" dxfId="1609" priority="2039" stopIfTrue="1" operator="equal">
      <formula>"Towel"</formula>
    </cfRule>
    <cfRule type="cellIs" dxfId="1608" priority="2040" stopIfTrue="1" operator="equal">
      <formula>"Napkin Hs"</formula>
    </cfRule>
    <cfRule type="cellIs" dxfId="1607" priority="2045" stopIfTrue="1" operator="equal">
      <formula>"Towel"</formula>
    </cfRule>
    <cfRule type="cellIs" dxfId="1606" priority="2046" stopIfTrue="1" operator="equal">
      <formula>"Napkin Hs"</formula>
    </cfRule>
    <cfRule type="cellIs" dxfId="1605" priority="2051" stopIfTrue="1" operator="equal">
      <formula>"Towel"</formula>
    </cfRule>
    <cfRule type="cellIs" dxfId="1604" priority="2052" stopIfTrue="1" operator="equal">
      <formula>"Napkin Hs"</formula>
    </cfRule>
    <cfRule type="cellIs" dxfId="1603" priority="2057" stopIfTrue="1" operator="equal">
      <formula>"Towel"</formula>
    </cfRule>
    <cfRule type="cellIs" dxfId="1602" priority="2058" stopIfTrue="1" operator="equal">
      <formula>"Napkin Hs"</formula>
    </cfRule>
    <cfRule type="cellIs" dxfId="1601" priority="2063" stopIfTrue="1" operator="equal">
      <formula>"Towel"</formula>
    </cfRule>
    <cfRule type="cellIs" dxfId="1600" priority="2064" stopIfTrue="1" operator="equal">
      <formula>"Napkin Hs"</formula>
    </cfRule>
  </conditionalFormatting>
  <conditionalFormatting sqref="C94">
    <cfRule type="cellIs" dxfId="1599" priority="2017" stopIfTrue="1" operator="equal">
      <formula>"Towel"</formula>
    </cfRule>
    <cfRule type="cellIs" dxfId="1598" priority="2018" stopIfTrue="1" operator="equal">
      <formula>"Napkin Hs"</formula>
    </cfRule>
    <cfRule type="cellIs" dxfId="1597" priority="2019" stopIfTrue="1" operator="equal">
      <formula>"Towel"</formula>
    </cfRule>
    <cfRule type="cellIs" dxfId="1596" priority="2020" stopIfTrue="1" operator="equal">
      <formula>"Napkin Hs"</formula>
    </cfRule>
    <cfRule type="cellIs" dxfId="1595" priority="2023" stopIfTrue="1" operator="equal">
      <formula>"Towel"</formula>
    </cfRule>
    <cfRule type="cellIs" dxfId="1594" priority="2024" stopIfTrue="1" operator="equal">
      <formula>"Napkin Hs"</formula>
    </cfRule>
    <cfRule type="cellIs" dxfId="1593" priority="2025" stopIfTrue="1" operator="equal">
      <formula>"Towel"</formula>
    </cfRule>
    <cfRule type="cellIs" dxfId="1592" priority="2026" stopIfTrue="1" operator="equal">
      <formula>"Napkin Hs"</formula>
    </cfRule>
    <cfRule type="cellIs" dxfId="1591" priority="2029" stopIfTrue="1" operator="equal">
      <formula>"Towel"</formula>
    </cfRule>
    <cfRule type="cellIs" dxfId="1590" priority="2030" stopIfTrue="1" operator="equal">
      <formula>"Napkin Hs"</formula>
    </cfRule>
    <cfRule type="cellIs" dxfId="1589" priority="2031" stopIfTrue="1" operator="equal">
      <formula>"Towel"</formula>
    </cfRule>
    <cfRule type="cellIs" dxfId="1588" priority="2032" stopIfTrue="1" operator="equal">
      <formula>"Napkin Hs"</formula>
    </cfRule>
    <cfRule type="cellIs" dxfId="1587" priority="2035" stopIfTrue="1" operator="equal">
      <formula>"Towel"</formula>
    </cfRule>
    <cfRule type="cellIs" dxfId="1586" priority="2036" stopIfTrue="1" operator="equal">
      <formula>"Napkin Hs"</formula>
    </cfRule>
    <cfRule type="cellIs" dxfId="1585" priority="2037" stopIfTrue="1" operator="equal">
      <formula>"Towel"</formula>
    </cfRule>
    <cfRule type="cellIs" dxfId="1584" priority="2038" stopIfTrue="1" operator="equal">
      <formula>"Napkin Hs"</formula>
    </cfRule>
    <cfRule type="cellIs" dxfId="1583" priority="2041" stopIfTrue="1" operator="equal">
      <formula>"Towel"</formula>
    </cfRule>
    <cfRule type="cellIs" dxfId="1582" priority="2042" stopIfTrue="1" operator="equal">
      <formula>"Napkin Hs"</formula>
    </cfRule>
    <cfRule type="cellIs" dxfId="1581" priority="2043" stopIfTrue="1" operator="equal">
      <formula>"Towel"</formula>
    </cfRule>
    <cfRule type="cellIs" dxfId="1580" priority="2044" stopIfTrue="1" operator="equal">
      <formula>"Napkin Hs"</formula>
    </cfRule>
    <cfRule type="cellIs" dxfId="1579" priority="2047" stopIfTrue="1" operator="equal">
      <formula>"Towel"</formula>
    </cfRule>
    <cfRule type="cellIs" dxfId="1578" priority="2048" stopIfTrue="1" operator="equal">
      <formula>"Napkin Hs"</formula>
    </cfRule>
    <cfRule type="cellIs" dxfId="1577" priority="2049" stopIfTrue="1" operator="equal">
      <formula>"Towel"</formula>
    </cfRule>
    <cfRule type="cellIs" dxfId="1576" priority="2050" stopIfTrue="1" operator="equal">
      <formula>"Napkin Hs"</formula>
    </cfRule>
    <cfRule type="cellIs" dxfId="1575" priority="2053" stopIfTrue="1" operator="equal">
      <formula>"Towel"</formula>
    </cfRule>
    <cfRule type="cellIs" dxfId="1574" priority="2054" stopIfTrue="1" operator="equal">
      <formula>"Napkin Hs"</formula>
    </cfRule>
    <cfRule type="cellIs" dxfId="1573" priority="2055" stopIfTrue="1" operator="equal">
      <formula>"Towel"</formula>
    </cfRule>
    <cfRule type="cellIs" dxfId="1572" priority="2056" stopIfTrue="1" operator="equal">
      <formula>"Napkin Hs"</formula>
    </cfRule>
    <cfRule type="cellIs" dxfId="1571" priority="2059" stopIfTrue="1" operator="equal">
      <formula>"Towel"</formula>
    </cfRule>
    <cfRule type="cellIs" dxfId="1570" priority="2060" stopIfTrue="1" operator="equal">
      <formula>"Napkin Hs"</formula>
    </cfRule>
  </conditionalFormatting>
  <conditionalFormatting sqref="C94">
    <cfRule type="cellIs" dxfId="1569" priority="2061" stopIfTrue="1" operator="equal">
      <formula>"Towel"</formula>
    </cfRule>
    <cfRule type="cellIs" dxfId="1568" priority="2062" stopIfTrue="1" operator="equal">
      <formula>"Napkin Hs"</formula>
    </cfRule>
  </conditionalFormatting>
  <conditionalFormatting sqref="B94:C94">
    <cfRule type="cellIs" dxfId="1567" priority="2015" stopIfTrue="1" operator="equal">
      <formula>"Towel"</formula>
    </cfRule>
    <cfRule type="cellIs" dxfId="1566" priority="2016" stopIfTrue="1" operator="equal">
      <formula>"Napkin Hs"</formula>
    </cfRule>
  </conditionalFormatting>
  <conditionalFormatting sqref="B94:C94">
    <cfRule type="cellIs" dxfId="1565" priority="1991" stopIfTrue="1" operator="equal">
      <formula>"Towel"</formula>
    </cfRule>
    <cfRule type="cellIs" dxfId="1564" priority="1992" stopIfTrue="1" operator="equal">
      <formula>"Napkin Hs"</formula>
    </cfRule>
    <cfRule type="cellIs" dxfId="1563" priority="1997" stopIfTrue="1" operator="equal">
      <formula>"Towel"</formula>
    </cfRule>
    <cfRule type="cellIs" dxfId="1562" priority="1998" stopIfTrue="1" operator="equal">
      <formula>"Napkin Hs"</formula>
    </cfRule>
    <cfRule type="cellIs" dxfId="1561" priority="2003" stopIfTrue="1" operator="equal">
      <formula>"Towel"</formula>
    </cfRule>
    <cfRule type="cellIs" dxfId="1560" priority="2004" stopIfTrue="1" operator="equal">
      <formula>"Napkin Hs"</formula>
    </cfRule>
    <cfRule type="cellIs" dxfId="1559" priority="2009" stopIfTrue="1" operator="equal">
      <formula>"Towel"</formula>
    </cfRule>
    <cfRule type="cellIs" dxfId="1558" priority="2010" stopIfTrue="1" operator="equal">
      <formula>"Napkin Hs"</formula>
    </cfRule>
  </conditionalFormatting>
  <conditionalFormatting sqref="C94">
    <cfRule type="cellIs" dxfId="1557" priority="2005" stopIfTrue="1" operator="equal">
      <formula>"Towel"</formula>
    </cfRule>
    <cfRule type="cellIs" dxfId="1556" priority="2006" stopIfTrue="1" operator="equal">
      <formula>"Napkin Hs"</formula>
    </cfRule>
    <cfRule type="cellIs" dxfId="1555" priority="2011" stopIfTrue="1" operator="equal">
      <formula>"Towel"</formula>
    </cfRule>
    <cfRule type="cellIs" dxfId="1554" priority="2012" stopIfTrue="1" operator="equal">
      <formula>"Napkin Hs"</formula>
    </cfRule>
  </conditionalFormatting>
  <conditionalFormatting sqref="C94">
    <cfRule type="cellIs" dxfId="1553" priority="1985" stopIfTrue="1" operator="equal">
      <formula>"Towel"</formula>
    </cfRule>
    <cfRule type="cellIs" dxfId="1552" priority="1986" stopIfTrue="1" operator="equal">
      <formula>"Napkin Hs"</formula>
    </cfRule>
    <cfRule type="cellIs" dxfId="1551" priority="1987" stopIfTrue="1" operator="equal">
      <formula>"Towel"</formula>
    </cfRule>
    <cfRule type="cellIs" dxfId="1550" priority="1988" stopIfTrue="1" operator="equal">
      <formula>"Napkin Hs"</formula>
    </cfRule>
    <cfRule type="cellIs" dxfId="1549" priority="1995" stopIfTrue="1" operator="equal">
      <formula>"Towel"</formula>
    </cfRule>
    <cfRule type="cellIs" dxfId="1548" priority="1996" stopIfTrue="1" operator="equal">
      <formula>"Napkin Hs"</formula>
    </cfRule>
    <cfRule type="cellIs" dxfId="1547" priority="1999" stopIfTrue="1" operator="equal">
      <formula>"Towel"</formula>
    </cfRule>
    <cfRule type="cellIs" dxfId="1546" priority="2000" stopIfTrue="1" operator="equal">
      <formula>"Napkin Hs"</formula>
    </cfRule>
    <cfRule type="cellIs" dxfId="1545" priority="2001" stopIfTrue="1" operator="equal">
      <formula>"Towel"</formula>
    </cfRule>
    <cfRule type="cellIs" dxfId="1544" priority="2002" stopIfTrue="1" operator="equal">
      <formula>"Napkin Hs"</formula>
    </cfRule>
  </conditionalFormatting>
  <conditionalFormatting sqref="C94">
    <cfRule type="cellIs" dxfId="1543" priority="2013" stopIfTrue="1" operator="equal">
      <formula>"Towel"</formula>
    </cfRule>
    <cfRule type="cellIs" dxfId="1542" priority="2014" stopIfTrue="1" operator="equal">
      <formula>"Napkin Hs"</formula>
    </cfRule>
  </conditionalFormatting>
  <conditionalFormatting sqref="C94">
    <cfRule type="cellIs" dxfId="1541" priority="1989" stopIfTrue="1" operator="equal">
      <formula>"Towel"</formula>
    </cfRule>
    <cfRule type="cellIs" dxfId="1540" priority="1990" stopIfTrue="1" operator="equal">
      <formula>"Napkin Hs"</formula>
    </cfRule>
    <cfRule type="cellIs" dxfId="1539" priority="1993" stopIfTrue="1" operator="equal">
      <formula>"Towel"</formula>
    </cfRule>
    <cfRule type="cellIs" dxfId="1538" priority="1994" stopIfTrue="1" operator="equal">
      <formula>"Napkin Hs"</formula>
    </cfRule>
    <cfRule type="cellIs" dxfId="1537" priority="2007" stopIfTrue="1" operator="equal">
      <formula>"Towel"</formula>
    </cfRule>
    <cfRule type="cellIs" dxfId="1536" priority="2008" stopIfTrue="1" operator="equal">
      <formula>"Napkin Hs"</formula>
    </cfRule>
  </conditionalFormatting>
  <conditionalFormatting sqref="B94:C94">
    <cfRule type="cellIs" dxfId="1535" priority="1941" stopIfTrue="1" operator="equal">
      <formula>"Towel"</formula>
    </cfRule>
    <cfRule type="cellIs" dxfId="1534" priority="1942" stopIfTrue="1" operator="equal">
      <formula>"Napkin Hs"</formula>
    </cfRule>
    <cfRule type="cellIs" dxfId="1533" priority="1947" stopIfTrue="1" operator="equal">
      <formula>"Towel"</formula>
    </cfRule>
    <cfRule type="cellIs" dxfId="1532" priority="1948" stopIfTrue="1" operator="equal">
      <formula>"Napkin Hs"</formula>
    </cfRule>
    <cfRule type="cellIs" dxfId="1531" priority="1953" stopIfTrue="1" operator="equal">
      <formula>"Towel"</formula>
    </cfRule>
    <cfRule type="cellIs" dxfId="1530" priority="1954" stopIfTrue="1" operator="equal">
      <formula>"Napkin Hs"</formula>
    </cfRule>
    <cfRule type="cellIs" dxfId="1529" priority="1959" stopIfTrue="1" operator="equal">
      <formula>"Towel"</formula>
    </cfRule>
    <cfRule type="cellIs" dxfId="1528" priority="1960" stopIfTrue="1" operator="equal">
      <formula>"Napkin Hs"</formula>
    </cfRule>
    <cfRule type="cellIs" dxfId="1527" priority="1965" stopIfTrue="1" operator="equal">
      <formula>"Towel"</formula>
    </cfRule>
    <cfRule type="cellIs" dxfId="1526" priority="1966" stopIfTrue="1" operator="equal">
      <formula>"Napkin Hs"</formula>
    </cfRule>
    <cfRule type="cellIs" dxfId="1525" priority="1971" stopIfTrue="1" operator="equal">
      <formula>"Towel"</formula>
    </cfRule>
    <cfRule type="cellIs" dxfId="1524" priority="1972" stopIfTrue="1" operator="equal">
      <formula>"Napkin Hs"</formula>
    </cfRule>
    <cfRule type="cellIs" dxfId="1523" priority="1977" stopIfTrue="1" operator="equal">
      <formula>"Towel"</formula>
    </cfRule>
    <cfRule type="cellIs" dxfId="1522" priority="1978" stopIfTrue="1" operator="equal">
      <formula>"Napkin Hs"</formula>
    </cfRule>
    <cfRule type="cellIs" dxfId="1521" priority="1983" stopIfTrue="1" operator="equal">
      <formula>"Towel"</formula>
    </cfRule>
    <cfRule type="cellIs" dxfId="1520" priority="1984" stopIfTrue="1" operator="equal">
      <formula>"Napkin Hs"</formula>
    </cfRule>
  </conditionalFormatting>
  <conditionalFormatting sqref="C94">
    <cfRule type="cellIs" dxfId="1519" priority="1937" stopIfTrue="1" operator="equal">
      <formula>"Towel"</formula>
    </cfRule>
    <cfRule type="cellIs" dxfId="1518" priority="1938" stopIfTrue="1" operator="equal">
      <formula>"Napkin Hs"</formula>
    </cfRule>
    <cfRule type="cellIs" dxfId="1517" priority="1939" stopIfTrue="1" operator="equal">
      <formula>"Towel"</formula>
    </cfRule>
    <cfRule type="cellIs" dxfId="1516" priority="1940" stopIfTrue="1" operator="equal">
      <formula>"Napkin Hs"</formula>
    </cfRule>
    <cfRule type="cellIs" dxfId="1515" priority="1943" stopIfTrue="1" operator="equal">
      <formula>"Towel"</formula>
    </cfRule>
    <cfRule type="cellIs" dxfId="1514" priority="1944" stopIfTrue="1" operator="equal">
      <formula>"Napkin Hs"</formula>
    </cfRule>
    <cfRule type="cellIs" dxfId="1513" priority="1945" stopIfTrue="1" operator="equal">
      <formula>"Towel"</formula>
    </cfRule>
    <cfRule type="cellIs" dxfId="1512" priority="1946" stopIfTrue="1" operator="equal">
      <formula>"Napkin Hs"</formula>
    </cfRule>
    <cfRule type="cellIs" dxfId="1511" priority="1949" stopIfTrue="1" operator="equal">
      <formula>"Towel"</formula>
    </cfRule>
    <cfRule type="cellIs" dxfId="1510" priority="1950" stopIfTrue="1" operator="equal">
      <formula>"Napkin Hs"</formula>
    </cfRule>
    <cfRule type="cellIs" dxfId="1509" priority="1951" stopIfTrue="1" operator="equal">
      <formula>"Towel"</formula>
    </cfRule>
    <cfRule type="cellIs" dxfId="1508" priority="1952" stopIfTrue="1" operator="equal">
      <formula>"Napkin Hs"</formula>
    </cfRule>
    <cfRule type="cellIs" dxfId="1507" priority="1955" stopIfTrue="1" operator="equal">
      <formula>"Towel"</formula>
    </cfRule>
    <cfRule type="cellIs" dxfId="1506" priority="1956" stopIfTrue="1" operator="equal">
      <formula>"Napkin Hs"</formula>
    </cfRule>
    <cfRule type="cellIs" dxfId="1505" priority="1957" stopIfTrue="1" operator="equal">
      <formula>"Towel"</formula>
    </cfRule>
    <cfRule type="cellIs" dxfId="1504" priority="1958" stopIfTrue="1" operator="equal">
      <formula>"Napkin Hs"</formula>
    </cfRule>
    <cfRule type="cellIs" dxfId="1503" priority="1961" stopIfTrue="1" operator="equal">
      <formula>"Towel"</formula>
    </cfRule>
    <cfRule type="cellIs" dxfId="1502" priority="1962" stopIfTrue="1" operator="equal">
      <formula>"Napkin Hs"</formula>
    </cfRule>
    <cfRule type="cellIs" dxfId="1501" priority="1963" stopIfTrue="1" operator="equal">
      <formula>"Towel"</formula>
    </cfRule>
    <cfRule type="cellIs" dxfId="1500" priority="1964" stopIfTrue="1" operator="equal">
      <formula>"Napkin Hs"</formula>
    </cfRule>
    <cfRule type="cellIs" dxfId="1499" priority="1967" stopIfTrue="1" operator="equal">
      <formula>"Towel"</formula>
    </cfRule>
    <cfRule type="cellIs" dxfId="1498" priority="1968" stopIfTrue="1" operator="equal">
      <formula>"Napkin Hs"</formula>
    </cfRule>
    <cfRule type="cellIs" dxfId="1497" priority="1969" stopIfTrue="1" operator="equal">
      <formula>"Towel"</formula>
    </cfRule>
    <cfRule type="cellIs" dxfId="1496" priority="1970" stopIfTrue="1" operator="equal">
      <formula>"Napkin Hs"</formula>
    </cfRule>
    <cfRule type="cellIs" dxfId="1495" priority="1973" stopIfTrue="1" operator="equal">
      <formula>"Towel"</formula>
    </cfRule>
    <cfRule type="cellIs" dxfId="1494" priority="1974" stopIfTrue="1" operator="equal">
      <formula>"Napkin Hs"</formula>
    </cfRule>
    <cfRule type="cellIs" dxfId="1493" priority="1975" stopIfTrue="1" operator="equal">
      <formula>"Towel"</formula>
    </cfRule>
    <cfRule type="cellIs" dxfId="1492" priority="1976" stopIfTrue="1" operator="equal">
      <formula>"Napkin Hs"</formula>
    </cfRule>
    <cfRule type="cellIs" dxfId="1491" priority="1979" stopIfTrue="1" operator="equal">
      <formula>"Towel"</formula>
    </cfRule>
    <cfRule type="cellIs" dxfId="1490" priority="1980" stopIfTrue="1" operator="equal">
      <formula>"Napkin Hs"</formula>
    </cfRule>
  </conditionalFormatting>
  <conditionalFormatting sqref="C94">
    <cfRule type="cellIs" dxfId="1489" priority="1981" stopIfTrue="1" operator="equal">
      <formula>"Towel"</formula>
    </cfRule>
    <cfRule type="cellIs" dxfId="1488" priority="1982" stopIfTrue="1" operator="equal">
      <formula>"Napkin Hs"</formula>
    </cfRule>
  </conditionalFormatting>
  <conditionalFormatting sqref="B94">
    <cfRule type="cellIs" dxfId="1487" priority="1931" stopIfTrue="1" operator="equal">
      <formula>"Towel"</formula>
    </cfRule>
    <cfRule type="cellIs" dxfId="1486" priority="1932" stopIfTrue="1" operator="equal">
      <formula>"Napkin Hs"</formula>
    </cfRule>
    <cfRule type="cellIs" dxfId="1485" priority="1933" stopIfTrue="1" operator="equal">
      <formula>"Towel"</formula>
    </cfRule>
    <cfRule type="cellIs" dxfId="1484" priority="1934" stopIfTrue="1" operator="equal">
      <formula>"Napkin Hs"</formula>
    </cfRule>
    <cfRule type="cellIs" dxfId="1483" priority="1935" stopIfTrue="1" operator="equal">
      <formula>"Towel"</formula>
    </cfRule>
    <cfRule type="cellIs" dxfId="1482" priority="1936" stopIfTrue="1" operator="equal">
      <formula>"Napkin Hs"</formula>
    </cfRule>
  </conditionalFormatting>
  <conditionalFormatting sqref="B94:C94">
    <cfRule type="cellIs" dxfId="1481" priority="1893" stopIfTrue="1" operator="equal">
      <formula>"Towel"</formula>
    </cfRule>
    <cfRule type="cellIs" dxfId="1480" priority="1894" stopIfTrue="1" operator="equal">
      <formula>"Napkin Hs"</formula>
    </cfRule>
    <cfRule type="cellIs" dxfId="1479" priority="1899" stopIfTrue="1" operator="equal">
      <formula>"Towel"</formula>
    </cfRule>
    <cfRule type="cellIs" dxfId="1478" priority="1900" stopIfTrue="1" operator="equal">
      <formula>"Napkin Hs"</formula>
    </cfRule>
    <cfRule type="cellIs" dxfId="1477" priority="1905" stopIfTrue="1" operator="equal">
      <formula>"Towel"</formula>
    </cfRule>
    <cfRule type="cellIs" dxfId="1476" priority="1906" stopIfTrue="1" operator="equal">
      <formula>"Napkin Hs"</formula>
    </cfRule>
    <cfRule type="cellIs" dxfId="1475" priority="1911" stopIfTrue="1" operator="equal">
      <formula>"Towel"</formula>
    </cfRule>
    <cfRule type="cellIs" dxfId="1474" priority="1912" stopIfTrue="1" operator="equal">
      <formula>"Napkin Hs"</formula>
    </cfRule>
    <cfRule type="cellIs" dxfId="1473" priority="1917" stopIfTrue="1" operator="equal">
      <formula>"Towel"</formula>
    </cfRule>
    <cfRule type="cellIs" dxfId="1472" priority="1918" stopIfTrue="1" operator="equal">
      <formula>"Napkin Hs"</formula>
    </cfRule>
    <cfRule type="cellIs" dxfId="1471" priority="1923" stopIfTrue="1" operator="equal">
      <formula>"Towel"</formula>
    </cfRule>
    <cfRule type="cellIs" dxfId="1470" priority="1924" stopIfTrue="1" operator="equal">
      <formula>"Napkin Hs"</formula>
    </cfRule>
    <cfRule type="cellIs" dxfId="1469" priority="1929" stopIfTrue="1" operator="equal">
      <formula>"Towel"</formula>
    </cfRule>
    <cfRule type="cellIs" dxfId="1468" priority="1930" stopIfTrue="1" operator="equal">
      <formula>"Napkin Hs"</formula>
    </cfRule>
  </conditionalFormatting>
  <conditionalFormatting sqref="C94">
    <cfRule type="cellIs" dxfId="1467" priority="1889" stopIfTrue="1" operator="equal">
      <formula>"Towel"</formula>
    </cfRule>
    <cfRule type="cellIs" dxfId="1466" priority="1890" stopIfTrue="1" operator="equal">
      <formula>"Napkin Hs"</formula>
    </cfRule>
    <cfRule type="cellIs" dxfId="1465" priority="1891" stopIfTrue="1" operator="equal">
      <formula>"Towel"</formula>
    </cfRule>
    <cfRule type="cellIs" dxfId="1464" priority="1892" stopIfTrue="1" operator="equal">
      <formula>"Napkin Hs"</formula>
    </cfRule>
    <cfRule type="cellIs" dxfId="1463" priority="1895" stopIfTrue="1" operator="equal">
      <formula>"Towel"</formula>
    </cfRule>
    <cfRule type="cellIs" dxfId="1462" priority="1896" stopIfTrue="1" operator="equal">
      <formula>"Napkin Hs"</formula>
    </cfRule>
    <cfRule type="cellIs" dxfId="1461" priority="1897" stopIfTrue="1" operator="equal">
      <formula>"Towel"</formula>
    </cfRule>
    <cfRule type="cellIs" dxfId="1460" priority="1898" stopIfTrue="1" operator="equal">
      <formula>"Napkin Hs"</formula>
    </cfRule>
    <cfRule type="cellIs" dxfId="1459" priority="1901" stopIfTrue="1" operator="equal">
      <formula>"Towel"</formula>
    </cfRule>
    <cfRule type="cellIs" dxfId="1458" priority="1902" stopIfTrue="1" operator="equal">
      <formula>"Napkin Hs"</formula>
    </cfRule>
    <cfRule type="cellIs" dxfId="1457" priority="1903" stopIfTrue="1" operator="equal">
      <formula>"Towel"</formula>
    </cfRule>
    <cfRule type="cellIs" dxfId="1456" priority="1904" stopIfTrue="1" operator="equal">
      <formula>"Napkin Hs"</formula>
    </cfRule>
    <cfRule type="cellIs" dxfId="1455" priority="1907" stopIfTrue="1" operator="equal">
      <formula>"Towel"</formula>
    </cfRule>
    <cfRule type="cellIs" dxfId="1454" priority="1908" stopIfTrue="1" operator="equal">
      <formula>"Napkin Hs"</formula>
    </cfRule>
    <cfRule type="cellIs" dxfId="1453" priority="1909" stopIfTrue="1" operator="equal">
      <formula>"Towel"</formula>
    </cfRule>
    <cfRule type="cellIs" dxfId="1452" priority="1910" stopIfTrue="1" operator="equal">
      <formula>"Napkin Hs"</formula>
    </cfRule>
    <cfRule type="cellIs" dxfId="1451" priority="1913" stopIfTrue="1" operator="equal">
      <formula>"Towel"</formula>
    </cfRule>
    <cfRule type="cellIs" dxfId="1450" priority="1914" stopIfTrue="1" operator="equal">
      <formula>"Napkin Hs"</formula>
    </cfRule>
    <cfRule type="cellIs" dxfId="1449" priority="1915" stopIfTrue="1" operator="equal">
      <formula>"Towel"</formula>
    </cfRule>
    <cfRule type="cellIs" dxfId="1448" priority="1916" stopIfTrue="1" operator="equal">
      <formula>"Napkin Hs"</formula>
    </cfRule>
    <cfRule type="cellIs" dxfId="1447" priority="1919" stopIfTrue="1" operator="equal">
      <formula>"Towel"</formula>
    </cfRule>
    <cfRule type="cellIs" dxfId="1446" priority="1920" stopIfTrue="1" operator="equal">
      <formula>"Napkin Hs"</formula>
    </cfRule>
    <cfRule type="cellIs" dxfId="1445" priority="1921" stopIfTrue="1" operator="equal">
      <formula>"Towel"</formula>
    </cfRule>
    <cfRule type="cellIs" dxfId="1444" priority="1922" stopIfTrue="1" operator="equal">
      <formula>"Napkin Hs"</formula>
    </cfRule>
    <cfRule type="cellIs" dxfId="1443" priority="1925" stopIfTrue="1" operator="equal">
      <formula>"Towel"</formula>
    </cfRule>
    <cfRule type="cellIs" dxfId="1442" priority="1926" stopIfTrue="1" operator="equal">
      <formula>"Napkin Hs"</formula>
    </cfRule>
  </conditionalFormatting>
  <conditionalFormatting sqref="C94">
    <cfRule type="cellIs" dxfId="1441" priority="1927" stopIfTrue="1" operator="equal">
      <formula>"Towel"</formula>
    </cfRule>
    <cfRule type="cellIs" dxfId="1440" priority="1928" stopIfTrue="1" operator="equal">
      <formula>"Napkin Hs"</formula>
    </cfRule>
  </conditionalFormatting>
  <conditionalFormatting sqref="B94:C94">
    <cfRule type="cellIs" dxfId="1439" priority="1887" stopIfTrue="1" operator="equal">
      <formula>"Towel"</formula>
    </cfRule>
    <cfRule type="cellIs" dxfId="1438" priority="1888" stopIfTrue="1" operator="equal">
      <formula>"Napkin Hs"</formula>
    </cfRule>
  </conditionalFormatting>
  <conditionalFormatting sqref="B94:C94">
    <cfRule type="cellIs" dxfId="1437" priority="1851" stopIfTrue="1" operator="equal">
      <formula>"Towel"</formula>
    </cfRule>
    <cfRule type="cellIs" dxfId="1436" priority="1852" stopIfTrue="1" operator="equal">
      <formula>"Napkin Hs"</formula>
    </cfRule>
    <cfRule type="cellIs" dxfId="1435" priority="1857" stopIfTrue="1" operator="equal">
      <formula>"Towel"</formula>
    </cfRule>
    <cfRule type="cellIs" dxfId="1434" priority="1858" stopIfTrue="1" operator="equal">
      <formula>"Napkin Hs"</formula>
    </cfRule>
    <cfRule type="cellIs" dxfId="1433" priority="1863" stopIfTrue="1" operator="equal">
      <formula>"Towel"</formula>
    </cfRule>
    <cfRule type="cellIs" dxfId="1432" priority="1864" stopIfTrue="1" operator="equal">
      <formula>"Napkin Hs"</formula>
    </cfRule>
    <cfRule type="cellIs" dxfId="1431" priority="1869" stopIfTrue="1" operator="equal">
      <formula>"Towel"</formula>
    </cfRule>
    <cfRule type="cellIs" dxfId="1430" priority="1870" stopIfTrue="1" operator="equal">
      <formula>"Napkin Hs"</formula>
    </cfRule>
    <cfRule type="cellIs" dxfId="1429" priority="1875" stopIfTrue="1" operator="equal">
      <formula>"Towel"</formula>
    </cfRule>
    <cfRule type="cellIs" dxfId="1428" priority="1876" stopIfTrue="1" operator="equal">
      <formula>"Napkin Hs"</formula>
    </cfRule>
    <cfRule type="cellIs" dxfId="1427" priority="1881" stopIfTrue="1" operator="equal">
      <formula>"Towel"</formula>
    </cfRule>
    <cfRule type="cellIs" dxfId="1426" priority="1882" stopIfTrue="1" operator="equal">
      <formula>"Napkin Hs"</formula>
    </cfRule>
  </conditionalFormatting>
  <conditionalFormatting sqref="C94">
    <cfRule type="cellIs" dxfId="1425" priority="1886" stopIfTrue="1" operator="equal">
      <formula>"Napkin Hs"</formula>
    </cfRule>
  </conditionalFormatting>
  <conditionalFormatting sqref="C94">
    <cfRule type="cellIs" dxfId="1424" priority="1885" stopIfTrue="1" operator="equal">
      <formula>"Towel"</formula>
    </cfRule>
  </conditionalFormatting>
  <conditionalFormatting sqref="C94">
    <cfRule type="cellIs" dxfId="1423" priority="1879" stopIfTrue="1" operator="equal">
      <formula>"Towel"</formula>
    </cfRule>
    <cfRule type="cellIs" dxfId="1422" priority="1880" stopIfTrue="1" operator="equal">
      <formula>"Napkin Hs"</formula>
    </cfRule>
  </conditionalFormatting>
  <conditionalFormatting sqref="C94">
    <cfRule type="cellIs" dxfId="1421" priority="1877" stopIfTrue="1" operator="equal">
      <formula>"Towel"</formula>
    </cfRule>
    <cfRule type="cellIs" dxfId="1420" priority="1878" stopIfTrue="1" operator="equal">
      <formula>"Napkin Hs"</formula>
    </cfRule>
    <cfRule type="cellIs" dxfId="1419" priority="1883" stopIfTrue="1" operator="equal">
      <formula>"Towel"</formula>
    </cfRule>
    <cfRule type="cellIs" dxfId="1418" priority="1884" stopIfTrue="1" operator="equal">
      <formula>"Napkin Hs"</formula>
    </cfRule>
  </conditionalFormatting>
  <conditionalFormatting sqref="C94">
    <cfRule type="cellIs" dxfId="1417" priority="1849" stopIfTrue="1" operator="equal">
      <formula>"Towel"</formula>
    </cfRule>
    <cfRule type="cellIs" dxfId="1416" priority="1850" stopIfTrue="1" operator="equal">
      <formula>"Napkin Hs"</formula>
    </cfRule>
    <cfRule type="cellIs" dxfId="1415" priority="1853" stopIfTrue="1" operator="equal">
      <formula>"Towel"</formula>
    </cfRule>
    <cfRule type="cellIs" dxfId="1414" priority="1854" stopIfTrue="1" operator="equal">
      <formula>"Napkin Hs"</formula>
    </cfRule>
    <cfRule type="cellIs" dxfId="1413" priority="1855" stopIfTrue="1" operator="equal">
      <formula>"Towel"</formula>
    </cfRule>
    <cfRule type="cellIs" dxfId="1412" priority="1856" stopIfTrue="1" operator="equal">
      <formula>"Napkin Hs"</formula>
    </cfRule>
    <cfRule type="cellIs" dxfId="1411" priority="1859" stopIfTrue="1" operator="equal">
      <formula>"Towel"</formula>
    </cfRule>
    <cfRule type="cellIs" dxfId="1410" priority="1860" stopIfTrue="1" operator="equal">
      <formula>"Napkin Hs"</formula>
    </cfRule>
    <cfRule type="cellIs" dxfId="1409" priority="1861" stopIfTrue="1" operator="equal">
      <formula>"Towel"</formula>
    </cfRule>
    <cfRule type="cellIs" dxfId="1408" priority="1862" stopIfTrue="1" operator="equal">
      <formula>"Napkin Hs"</formula>
    </cfRule>
    <cfRule type="cellIs" dxfId="1407" priority="1865" stopIfTrue="1" operator="equal">
      <formula>"Towel"</formula>
    </cfRule>
    <cfRule type="cellIs" dxfId="1406" priority="1866" stopIfTrue="1" operator="equal">
      <formula>"Napkin Hs"</formula>
    </cfRule>
    <cfRule type="cellIs" dxfId="1405" priority="1867" stopIfTrue="1" operator="equal">
      <formula>"Towel"</formula>
    </cfRule>
    <cfRule type="cellIs" dxfId="1404" priority="1868" stopIfTrue="1" operator="equal">
      <formula>"Napkin Hs"</formula>
    </cfRule>
    <cfRule type="cellIs" dxfId="1403" priority="1871" stopIfTrue="1" operator="equal">
      <formula>"Towel"</formula>
    </cfRule>
    <cfRule type="cellIs" dxfId="1402" priority="1872" stopIfTrue="1" operator="equal">
      <formula>"Napkin Hs"</formula>
    </cfRule>
    <cfRule type="cellIs" dxfId="1401" priority="1873" stopIfTrue="1" operator="equal">
      <formula>"Towel"</formula>
    </cfRule>
    <cfRule type="cellIs" dxfId="1400" priority="1874" stopIfTrue="1" operator="equal">
      <formula>"Napkin Hs"</formula>
    </cfRule>
  </conditionalFormatting>
  <conditionalFormatting sqref="C94">
    <cfRule type="cellIs" dxfId="1399" priority="1847" stopIfTrue="1" operator="equal">
      <formula>"Towel"</formula>
    </cfRule>
    <cfRule type="cellIs" dxfId="1398" priority="1848" stopIfTrue="1" operator="equal">
      <formula>"Napkin Hs"</formula>
    </cfRule>
  </conditionalFormatting>
  <conditionalFormatting sqref="C94">
    <cfRule type="cellIs" dxfId="1397" priority="1827" stopIfTrue="1" operator="equal">
      <formula>"Towel"</formula>
    </cfRule>
    <cfRule type="cellIs" dxfId="1396" priority="1828" stopIfTrue="1" operator="equal">
      <formula>"Napkin Hs"</formula>
    </cfRule>
    <cfRule type="cellIs" dxfId="1395" priority="1833" stopIfTrue="1" operator="equal">
      <formula>"Towel"</formula>
    </cfRule>
    <cfRule type="cellIs" dxfId="1394" priority="1834" stopIfTrue="1" operator="equal">
      <formula>"Napkin Hs"</formula>
    </cfRule>
    <cfRule type="cellIs" dxfId="1393" priority="1839" stopIfTrue="1" operator="equal">
      <formula>"Towel"</formula>
    </cfRule>
    <cfRule type="cellIs" dxfId="1392" priority="1840" stopIfTrue="1" operator="equal">
      <formula>"Napkin Hs"</formula>
    </cfRule>
    <cfRule type="cellIs" dxfId="1391" priority="1845" stopIfTrue="1" operator="equal">
      <formula>"Towel"</formula>
    </cfRule>
    <cfRule type="cellIs" dxfId="1390" priority="1846" stopIfTrue="1" operator="equal">
      <formula>"Napkin Hs"</formula>
    </cfRule>
  </conditionalFormatting>
  <conditionalFormatting sqref="C94">
    <cfRule type="cellIs" dxfId="1389" priority="1837" stopIfTrue="1" operator="equal">
      <formula>"Towel"</formula>
    </cfRule>
    <cfRule type="cellIs" dxfId="1388" priority="1838" stopIfTrue="1" operator="equal">
      <formula>"Napkin Hs"</formula>
    </cfRule>
    <cfRule type="cellIs" dxfId="1387" priority="1843" stopIfTrue="1" operator="equal">
      <formula>"Towel"</formula>
    </cfRule>
    <cfRule type="cellIs" dxfId="1386" priority="1844" stopIfTrue="1" operator="equal">
      <formula>"Napkin Hs"</formula>
    </cfRule>
  </conditionalFormatting>
  <conditionalFormatting sqref="C94">
    <cfRule type="cellIs" dxfId="1385" priority="1823" stopIfTrue="1" operator="equal">
      <formula>"Towel"</formula>
    </cfRule>
    <cfRule type="cellIs" dxfId="1384" priority="1824" stopIfTrue="1" operator="equal">
      <formula>"Napkin Hs"</formula>
    </cfRule>
    <cfRule type="cellIs" dxfId="1383" priority="1831" stopIfTrue="1" operator="equal">
      <formula>"Towel"</formula>
    </cfRule>
    <cfRule type="cellIs" dxfId="1382" priority="1832" stopIfTrue="1" operator="equal">
      <formula>"Napkin Hs"</formula>
    </cfRule>
    <cfRule type="cellIs" dxfId="1381" priority="1835" stopIfTrue="1" operator="equal">
      <formula>"Towel"</formula>
    </cfRule>
    <cfRule type="cellIs" dxfId="1380" priority="1836" stopIfTrue="1" operator="equal">
      <formula>"Napkin Hs"</formula>
    </cfRule>
  </conditionalFormatting>
  <conditionalFormatting sqref="C94">
    <cfRule type="cellIs" dxfId="1379" priority="1825" stopIfTrue="1" operator="equal">
      <formula>"Towel"</formula>
    </cfRule>
    <cfRule type="cellIs" dxfId="1378" priority="1826" stopIfTrue="1" operator="equal">
      <formula>"Napkin Hs"</formula>
    </cfRule>
    <cfRule type="cellIs" dxfId="1377" priority="1829" stopIfTrue="1" operator="equal">
      <formula>"Towel"</formula>
    </cfRule>
    <cfRule type="cellIs" dxfId="1376" priority="1830" stopIfTrue="1" operator="equal">
      <formula>"Napkin Hs"</formula>
    </cfRule>
    <cfRule type="cellIs" dxfId="1375" priority="1841" stopIfTrue="1" operator="equal">
      <formula>"Towel"</formula>
    </cfRule>
    <cfRule type="cellIs" dxfId="1374" priority="1842" stopIfTrue="1" operator="equal">
      <formula>"Napkin Hs"</formula>
    </cfRule>
  </conditionalFormatting>
  <conditionalFormatting sqref="C94">
    <cfRule type="cellIs" dxfId="1373" priority="1821" stopIfTrue="1" operator="equal">
      <formula>"Towel"</formula>
    </cfRule>
    <cfRule type="cellIs" dxfId="1372" priority="1822" stopIfTrue="1" operator="equal">
      <formula>"Napkin Hs"</formula>
    </cfRule>
  </conditionalFormatting>
  <conditionalFormatting sqref="C94">
    <cfRule type="cellIs" dxfId="1371" priority="1817" stopIfTrue="1" operator="equal">
      <formula>"Towel"</formula>
    </cfRule>
    <cfRule type="cellIs" dxfId="1370" priority="1818" stopIfTrue="1" operator="equal">
      <formula>"Napkin Hs"</formula>
    </cfRule>
  </conditionalFormatting>
  <conditionalFormatting sqref="C94">
    <cfRule type="cellIs" dxfId="1369" priority="1819" stopIfTrue="1" operator="equal">
      <formula>"Towel"</formula>
    </cfRule>
    <cfRule type="cellIs" dxfId="1368" priority="1820" stopIfTrue="1" operator="equal">
      <formula>"Napkin Hs"</formula>
    </cfRule>
  </conditionalFormatting>
  <conditionalFormatting sqref="C94">
    <cfRule type="cellIs" dxfId="1367" priority="1815" stopIfTrue="1" operator="equal">
      <formula>"Towel"</formula>
    </cfRule>
    <cfRule type="cellIs" dxfId="1366" priority="1816" stopIfTrue="1" operator="equal">
      <formula>"Napkin Hs"</formula>
    </cfRule>
  </conditionalFormatting>
  <conditionalFormatting sqref="C94">
    <cfRule type="cellIs" dxfId="1365" priority="1811" stopIfTrue="1" operator="equal">
      <formula>"Towel"</formula>
    </cfRule>
    <cfRule type="cellIs" dxfId="1364" priority="1812" stopIfTrue="1" operator="equal">
      <formula>"Napkin Hs"</formula>
    </cfRule>
  </conditionalFormatting>
  <conditionalFormatting sqref="C94">
    <cfRule type="cellIs" dxfId="1363" priority="1813" stopIfTrue="1" operator="equal">
      <formula>"Towel"</formula>
    </cfRule>
    <cfRule type="cellIs" dxfId="1362" priority="1814" stopIfTrue="1" operator="equal">
      <formula>"Napkin Hs"</formula>
    </cfRule>
  </conditionalFormatting>
  <conditionalFormatting sqref="C94">
    <cfRule type="cellIs" dxfId="1361" priority="1809" stopIfTrue="1" operator="equal">
      <formula>"Towel"</formula>
    </cfRule>
    <cfRule type="cellIs" dxfId="1360" priority="1810" stopIfTrue="1" operator="equal">
      <formula>"Napkin Hs"</formula>
    </cfRule>
  </conditionalFormatting>
  <conditionalFormatting sqref="C94">
    <cfRule type="cellIs" dxfId="1359" priority="1805" stopIfTrue="1" operator="equal">
      <formula>"Towel"</formula>
    </cfRule>
    <cfRule type="cellIs" dxfId="1358" priority="1806" stopIfTrue="1" operator="equal">
      <formula>"Napkin Hs"</formula>
    </cfRule>
  </conditionalFormatting>
  <conditionalFormatting sqref="C94">
    <cfRule type="cellIs" dxfId="1357" priority="1807" stopIfTrue="1" operator="equal">
      <formula>"Towel"</formula>
    </cfRule>
    <cfRule type="cellIs" dxfId="1356" priority="1808" stopIfTrue="1" operator="equal">
      <formula>"Napkin Hs"</formula>
    </cfRule>
  </conditionalFormatting>
  <conditionalFormatting sqref="C94">
    <cfRule type="cellIs" dxfId="1355" priority="1803" stopIfTrue="1" operator="equal">
      <formula>"Towel"</formula>
    </cfRule>
    <cfRule type="cellIs" dxfId="1354" priority="1804" stopIfTrue="1" operator="equal">
      <formula>"Napkin Hs"</formula>
    </cfRule>
  </conditionalFormatting>
  <conditionalFormatting sqref="C94">
    <cfRule type="cellIs" dxfId="1353" priority="1801" stopIfTrue="1" operator="equal">
      <formula>"Towel"</formula>
    </cfRule>
    <cfRule type="cellIs" dxfId="1352" priority="1802" stopIfTrue="1" operator="equal">
      <formula>"Napkin Hs"</formula>
    </cfRule>
  </conditionalFormatting>
  <conditionalFormatting sqref="C94">
    <cfRule type="cellIs" dxfId="1351" priority="1799" stopIfTrue="1" operator="equal">
      <formula>"Towel"</formula>
    </cfRule>
    <cfRule type="cellIs" dxfId="1350" priority="1800" stopIfTrue="1" operator="equal">
      <formula>"Napkin Hs"</formula>
    </cfRule>
  </conditionalFormatting>
  <conditionalFormatting sqref="C94">
    <cfRule type="cellIs" dxfId="1349" priority="1797" stopIfTrue="1" operator="equal">
      <formula>"Towel"</formula>
    </cfRule>
    <cfRule type="cellIs" dxfId="1348" priority="1798" stopIfTrue="1" operator="equal">
      <formula>"Napkin Hs"</formula>
    </cfRule>
  </conditionalFormatting>
  <conditionalFormatting sqref="C94">
    <cfRule type="cellIs" dxfId="1347" priority="1796" stopIfTrue="1" operator="equal">
      <formula>"Napkin Hs"</formula>
    </cfRule>
  </conditionalFormatting>
  <conditionalFormatting sqref="C94">
    <cfRule type="cellIs" dxfId="1346" priority="1793" stopIfTrue="1" operator="equal">
      <formula>"Towel"</formula>
    </cfRule>
    <cfRule type="cellIs" dxfId="1345" priority="1794" stopIfTrue="1" operator="equal">
      <formula>"Napkin Hs"</formula>
    </cfRule>
  </conditionalFormatting>
  <conditionalFormatting sqref="C94">
    <cfRule type="cellIs" dxfId="1344" priority="1795" stopIfTrue="1" operator="equal">
      <formula>"Towel"</formula>
    </cfRule>
  </conditionalFormatting>
  <conditionalFormatting sqref="B94">
    <cfRule type="cellIs" dxfId="1343" priority="1791" stopIfTrue="1" operator="equal">
      <formula>"Towel"</formula>
    </cfRule>
    <cfRule type="cellIs" dxfId="1342" priority="1792" stopIfTrue="1" operator="equal">
      <formula>"Napkin Hs"</formula>
    </cfRule>
  </conditionalFormatting>
  <conditionalFormatting sqref="B94">
    <cfRule type="cellIs" dxfId="1341" priority="1789" stopIfTrue="1" operator="equal">
      <formula>"Towel"</formula>
    </cfRule>
    <cfRule type="cellIs" dxfId="1340" priority="1790" stopIfTrue="1" operator="equal">
      <formula>"Napkin Hs"</formula>
    </cfRule>
  </conditionalFormatting>
  <conditionalFormatting sqref="B94">
    <cfRule type="cellIs" dxfId="1339" priority="1787" stopIfTrue="1" operator="equal">
      <formula>"Towel"</formula>
    </cfRule>
    <cfRule type="cellIs" dxfId="1338" priority="1788" stopIfTrue="1" operator="equal">
      <formula>"Napkin Hs"</formula>
    </cfRule>
  </conditionalFormatting>
  <conditionalFormatting sqref="B94">
    <cfRule type="cellIs" dxfId="1337" priority="1785" stopIfTrue="1" operator="equal">
      <formula>"Towel"</formula>
    </cfRule>
    <cfRule type="cellIs" dxfId="1336" priority="1786" stopIfTrue="1" operator="equal">
      <formula>"Napkin Hs"</formula>
    </cfRule>
  </conditionalFormatting>
  <conditionalFormatting sqref="B94">
    <cfRule type="cellIs" dxfId="1335" priority="1783" stopIfTrue="1" operator="equal">
      <formula>"Towel"</formula>
    </cfRule>
    <cfRule type="cellIs" dxfId="1334" priority="1784" stopIfTrue="1" operator="equal">
      <formula>"Napkin Hs"</formula>
    </cfRule>
  </conditionalFormatting>
  <conditionalFormatting sqref="B94">
    <cfRule type="cellIs" dxfId="1333" priority="1781" stopIfTrue="1" operator="equal">
      <formula>"Towel"</formula>
    </cfRule>
    <cfRule type="cellIs" dxfId="1332" priority="1782" stopIfTrue="1" operator="equal">
      <formula>"Napkin Hs"</formula>
    </cfRule>
  </conditionalFormatting>
  <conditionalFormatting sqref="B94">
    <cfRule type="cellIs" dxfId="1331" priority="1777" stopIfTrue="1" operator="equal">
      <formula>"Towel"</formula>
    </cfRule>
    <cfRule type="cellIs" dxfId="1330" priority="1778" stopIfTrue="1" operator="equal">
      <formula>"Napkin Hs"</formula>
    </cfRule>
    <cfRule type="cellIs" dxfId="1329" priority="1779" stopIfTrue="1" operator="equal">
      <formula>"Towel"</formula>
    </cfRule>
    <cfRule type="cellIs" dxfId="1328" priority="1780" stopIfTrue="1" operator="equal">
      <formula>"Napkin Hs"</formula>
    </cfRule>
  </conditionalFormatting>
  <conditionalFormatting sqref="B94">
    <cfRule type="cellIs" dxfId="1327" priority="1775" stopIfTrue="1" operator="equal">
      <formula>"Towel"</formula>
    </cfRule>
    <cfRule type="cellIs" dxfId="1326" priority="1776" stopIfTrue="1" operator="equal">
      <formula>"Napkin Hs"</formula>
    </cfRule>
  </conditionalFormatting>
  <conditionalFormatting sqref="B94">
    <cfRule type="cellIs" dxfId="1325" priority="1773" stopIfTrue="1" operator="equal">
      <formula>"Towel"</formula>
    </cfRule>
    <cfRule type="cellIs" dxfId="1324" priority="1774" stopIfTrue="1" operator="equal">
      <formula>"Napkin Hs"</formula>
    </cfRule>
  </conditionalFormatting>
  <conditionalFormatting sqref="B94">
    <cfRule type="cellIs" dxfId="1323" priority="1771" stopIfTrue="1" operator="equal">
      <formula>"Towel"</formula>
    </cfRule>
    <cfRule type="cellIs" dxfId="1322" priority="1772" stopIfTrue="1" operator="equal">
      <formula>"Napkin Hs"</formula>
    </cfRule>
  </conditionalFormatting>
  <conditionalFormatting sqref="B94">
    <cfRule type="cellIs" dxfId="1321" priority="1769" stopIfTrue="1" operator="equal">
      <formula>"Towel"</formula>
    </cfRule>
    <cfRule type="cellIs" dxfId="1320" priority="1770" stopIfTrue="1" operator="equal">
      <formula>"Napkin Hs"</formula>
    </cfRule>
  </conditionalFormatting>
  <conditionalFormatting sqref="B94">
    <cfRule type="cellIs" dxfId="1319" priority="1767" stopIfTrue="1" operator="equal">
      <formula>"Towel"</formula>
    </cfRule>
    <cfRule type="cellIs" dxfId="1318" priority="1768" stopIfTrue="1" operator="equal">
      <formula>"Napkin Hs"</formula>
    </cfRule>
  </conditionalFormatting>
  <conditionalFormatting sqref="B94:C94">
    <cfRule type="cellIs" dxfId="1317" priority="1753" stopIfTrue="1" operator="equal">
      <formula>"Towel"</formula>
    </cfRule>
    <cfRule type="cellIs" dxfId="1316" priority="1754" stopIfTrue="1" operator="equal">
      <formula>"Napkin Hs"</formula>
    </cfRule>
    <cfRule type="cellIs" dxfId="1315" priority="1759" stopIfTrue="1" operator="equal">
      <formula>"Towel"</formula>
    </cfRule>
    <cfRule type="cellIs" dxfId="1314" priority="1760" stopIfTrue="1" operator="equal">
      <formula>"Napkin Hs"</formula>
    </cfRule>
    <cfRule type="cellIs" dxfId="1313" priority="1765" stopIfTrue="1" operator="equal">
      <formula>"Towel"</formula>
    </cfRule>
    <cfRule type="cellIs" dxfId="1312" priority="1766" stopIfTrue="1" operator="equal">
      <formula>"Napkin Hs"</formula>
    </cfRule>
  </conditionalFormatting>
  <conditionalFormatting sqref="C94">
    <cfRule type="cellIs" dxfId="1311" priority="1747" stopIfTrue="1" operator="equal">
      <formula>"Towel"</formula>
    </cfRule>
    <cfRule type="cellIs" dxfId="1310" priority="1748" stopIfTrue="1" operator="equal">
      <formula>"Napkin Hs"</formula>
    </cfRule>
    <cfRule type="cellIs" dxfId="1309" priority="1749" stopIfTrue="1" operator="equal">
      <formula>"Towel"</formula>
    </cfRule>
    <cfRule type="cellIs" dxfId="1308" priority="1750" stopIfTrue="1" operator="equal">
      <formula>"Napkin Hs"</formula>
    </cfRule>
    <cfRule type="cellIs" dxfId="1307" priority="1757" stopIfTrue="1" operator="equal">
      <formula>"Towel"</formula>
    </cfRule>
    <cfRule type="cellIs" dxfId="1306" priority="1758" stopIfTrue="1" operator="equal">
      <formula>"Napkin Hs"</formula>
    </cfRule>
    <cfRule type="cellIs" dxfId="1305" priority="1761" stopIfTrue="1" operator="equal">
      <formula>"Towel"</formula>
    </cfRule>
    <cfRule type="cellIs" dxfId="1304" priority="1762" stopIfTrue="1" operator="equal">
      <formula>"Napkin Hs"</formula>
    </cfRule>
  </conditionalFormatting>
  <conditionalFormatting sqref="C94">
    <cfRule type="cellIs" dxfId="1303" priority="1751" stopIfTrue="1" operator="equal">
      <formula>"Towel"</formula>
    </cfRule>
    <cfRule type="cellIs" dxfId="1302" priority="1752" stopIfTrue="1" operator="equal">
      <formula>"Napkin Hs"</formula>
    </cfRule>
    <cfRule type="cellIs" dxfId="1301" priority="1755" stopIfTrue="1" operator="equal">
      <formula>"Towel"</formula>
    </cfRule>
    <cfRule type="cellIs" dxfId="1300" priority="1756" stopIfTrue="1" operator="equal">
      <formula>"Napkin Hs"</formula>
    </cfRule>
    <cfRule type="cellIs" dxfId="1299" priority="1763" stopIfTrue="1" operator="equal">
      <formula>"Towel"</formula>
    </cfRule>
    <cfRule type="cellIs" dxfId="1298" priority="1764" stopIfTrue="1" operator="equal">
      <formula>"Napkin Hs"</formula>
    </cfRule>
  </conditionalFormatting>
  <conditionalFormatting sqref="B94:C94">
    <cfRule type="cellIs" dxfId="1297" priority="1745" stopIfTrue="1" operator="equal">
      <formula>"Towel"</formula>
    </cfRule>
    <cfRule type="cellIs" dxfId="1296" priority="1746" stopIfTrue="1" operator="equal">
      <formula>"Napkin Hs"</formula>
    </cfRule>
  </conditionalFormatting>
  <conditionalFormatting sqref="B94:C94">
    <cfRule type="cellIs" dxfId="1295" priority="1737" stopIfTrue="1" operator="equal">
      <formula>"Towel"</formula>
    </cfRule>
    <cfRule type="cellIs" dxfId="1294" priority="1738" stopIfTrue="1" operator="equal">
      <formula>"Napkin Hs"</formula>
    </cfRule>
    <cfRule type="cellIs" dxfId="1293" priority="1743" stopIfTrue="1" operator="equal">
      <formula>"Towel"</formula>
    </cfRule>
    <cfRule type="cellIs" dxfId="1292" priority="1744" stopIfTrue="1" operator="equal">
      <formula>"Napkin Hs"</formula>
    </cfRule>
  </conditionalFormatting>
  <conditionalFormatting sqref="C94">
    <cfRule type="cellIs" dxfId="1291" priority="1733" stopIfTrue="1" operator="equal">
      <formula>"Towel"</formula>
    </cfRule>
    <cfRule type="cellIs" dxfId="1290" priority="1734" stopIfTrue="1" operator="equal">
      <formula>"Napkin Hs"</formula>
    </cfRule>
  </conditionalFormatting>
  <conditionalFormatting sqref="C94">
    <cfRule type="cellIs" dxfId="1289" priority="1731" stopIfTrue="1" operator="equal">
      <formula>"Towel"</formula>
    </cfRule>
    <cfRule type="cellIs" dxfId="1288" priority="1732" stopIfTrue="1" operator="equal">
      <formula>"Napkin Hs"</formula>
    </cfRule>
    <cfRule type="cellIs" dxfId="1287" priority="1741" stopIfTrue="1" operator="equal">
      <formula>"Towel"</formula>
    </cfRule>
    <cfRule type="cellIs" dxfId="1286" priority="1742" stopIfTrue="1" operator="equal">
      <formula>"Napkin Hs"</formula>
    </cfRule>
  </conditionalFormatting>
  <conditionalFormatting sqref="C94">
    <cfRule type="cellIs" dxfId="1285" priority="1735" stopIfTrue="1" operator="equal">
      <formula>"Towel"</formula>
    </cfRule>
    <cfRule type="cellIs" dxfId="1284" priority="1736" stopIfTrue="1" operator="equal">
      <formula>"Napkin Hs"</formula>
    </cfRule>
    <cfRule type="cellIs" dxfId="1283" priority="1739" stopIfTrue="1" operator="equal">
      <formula>"Towel"</formula>
    </cfRule>
    <cfRule type="cellIs" dxfId="1282" priority="1740" stopIfTrue="1" operator="equal">
      <formula>"Napkin Hs"</formula>
    </cfRule>
  </conditionalFormatting>
  <conditionalFormatting sqref="C94">
    <cfRule type="cellIs" dxfId="1281" priority="1730" stopIfTrue="1" operator="equal">
      <formula>"Napkin Hs"</formula>
    </cfRule>
  </conditionalFormatting>
  <conditionalFormatting sqref="C94">
    <cfRule type="cellIs" dxfId="1280" priority="1729" stopIfTrue="1" operator="equal">
      <formula>"Towel"</formula>
    </cfRule>
  </conditionalFormatting>
  <conditionalFormatting sqref="C94">
    <cfRule type="cellIs" dxfId="1279" priority="1725" stopIfTrue="1" operator="equal">
      <formula>"Towel"</formula>
    </cfRule>
    <cfRule type="cellIs" dxfId="1278" priority="1726" stopIfTrue="1" operator="equal">
      <formula>"Napkin Hs"</formula>
    </cfRule>
    <cfRule type="cellIs" dxfId="1277" priority="1727" stopIfTrue="1" operator="equal">
      <formula>"Towel"</formula>
    </cfRule>
    <cfRule type="cellIs" dxfId="1276" priority="1728" stopIfTrue="1" operator="equal">
      <formula>"Napkin Hs"</formula>
    </cfRule>
  </conditionalFormatting>
  <conditionalFormatting sqref="B94:C94">
    <cfRule type="cellIs" dxfId="1275" priority="1723" stopIfTrue="1" operator="equal">
      <formula>"Towel"</formula>
    </cfRule>
    <cfRule type="cellIs" dxfId="1274" priority="1724" stopIfTrue="1" operator="equal">
      <formula>"Napkin Hs"</formula>
    </cfRule>
  </conditionalFormatting>
  <conditionalFormatting sqref="C94">
    <cfRule type="cellIs" dxfId="1273" priority="1719" stopIfTrue="1" operator="equal">
      <formula>"Towel"</formula>
    </cfRule>
    <cfRule type="cellIs" dxfId="1272" priority="1720" stopIfTrue="1" operator="equal">
      <formula>"Napkin Hs"</formula>
    </cfRule>
  </conditionalFormatting>
  <conditionalFormatting sqref="C94">
    <cfRule type="cellIs" dxfId="1271" priority="1721" stopIfTrue="1" operator="equal">
      <formula>"Towel"</formula>
    </cfRule>
    <cfRule type="cellIs" dxfId="1270" priority="1722" stopIfTrue="1" operator="equal">
      <formula>"Napkin Hs"</formula>
    </cfRule>
  </conditionalFormatting>
  <conditionalFormatting sqref="B94:C94">
    <cfRule type="cellIs" dxfId="1269" priority="1717" stopIfTrue="1" operator="equal">
      <formula>"Towel"</formula>
    </cfRule>
    <cfRule type="cellIs" dxfId="1268" priority="1718" stopIfTrue="1" operator="equal">
      <formula>"Napkin Hs"</formula>
    </cfRule>
  </conditionalFormatting>
  <conditionalFormatting sqref="C94">
    <cfRule type="cellIs" dxfId="1267" priority="1713" stopIfTrue="1" operator="equal">
      <formula>"Towel"</formula>
    </cfRule>
    <cfRule type="cellIs" dxfId="1266" priority="1714" stopIfTrue="1" operator="equal">
      <formula>"Napkin Hs"</formula>
    </cfRule>
  </conditionalFormatting>
  <conditionalFormatting sqref="C94">
    <cfRule type="cellIs" dxfId="1265" priority="1715" stopIfTrue="1" operator="equal">
      <formula>"Towel"</formula>
    </cfRule>
    <cfRule type="cellIs" dxfId="1264" priority="1716" stopIfTrue="1" operator="equal">
      <formula>"Napkin Hs"</formula>
    </cfRule>
  </conditionalFormatting>
  <conditionalFormatting sqref="B94:C94">
    <cfRule type="cellIs" dxfId="1263" priority="1711" stopIfTrue="1" operator="equal">
      <formula>"Towel"</formula>
    </cfRule>
    <cfRule type="cellIs" dxfId="1262" priority="1712" stopIfTrue="1" operator="equal">
      <formula>"Napkin Hs"</formula>
    </cfRule>
  </conditionalFormatting>
  <conditionalFormatting sqref="C94">
    <cfRule type="cellIs" dxfId="1261" priority="1707" stopIfTrue="1" operator="equal">
      <formula>"Towel"</formula>
    </cfRule>
    <cfRule type="cellIs" dxfId="1260" priority="1708" stopIfTrue="1" operator="equal">
      <formula>"Napkin Hs"</formula>
    </cfRule>
  </conditionalFormatting>
  <conditionalFormatting sqref="C94">
    <cfRule type="cellIs" dxfId="1259" priority="1709" stopIfTrue="1" operator="equal">
      <formula>"Towel"</formula>
    </cfRule>
    <cfRule type="cellIs" dxfId="1258" priority="1710" stopIfTrue="1" operator="equal">
      <formula>"Napkin Hs"</formula>
    </cfRule>
  </conditionalFormatting>
  <conditionalFormatting sqref="B94:C94">
    <cfRule type="cellIs" dxfId="1257" priority="1705" stopIfTrue="1" operator="equal">
      <formula>"Towel"</formula>
    </cfRule>
    <cfRule type="cellIs" dxfId="1256" priority="1706" stopIfTrue="1" operator="equal">
      <formula>"Napkin Hs"</formula>
    </cfRule>
  </conditionalFormatting>
  <conditionalFormatting sqref="C94">
    <cfRule type="cellIs" dxfId="1255" priority="1703" stopIfTrue="1" operator="equal">
      <formula>"Towel"</formula>
    </cfRule>
    <cfRule type="cellIs" dxfId="1254" priority="1704" stopIfTrue="1" operator="equal">
      <formula>"Napkin Hs"</formula>
    </cfRule>
  </conditionalFormatting>
  <conditionalFormatting sqref="C94">
    <cfRule type="cellIs" dxfId="1253" priority="1701" stopIfTrue="1" operator="equal">
      <formula>"Towel"</formula>
    </cfRule>
    <cfRule type="cellIs" dxfId="1252" priority="1702" stopIfTrue="1" operator="equal">
      <formula>"Napkin Hs"</formula>
    </cfRule>
  </conditionalFormatting>
  <conditionalFormatting sqref="B94:C94">
    <cfRule type="cellIs" dxfId="1251" priority="1699" stopIfTrue="1" operator="equal">
      <formula>"Towel"</formula>
    </cfRule>
    <cfRule type="cellIs" dxfId="1250" priority="1700" stopIfTrue="1" operator="equal">
      <formula>"Napkin Hs"</formula>
    </cfRule>
  </conditionalFormatting>
  <conditionalFormatting sqref="C94">
    <cfRule type="cellIs" dxfId="1249" priority="1698" stopIfTrue="1" operator="equal">
      <formula>"Napkin Hs"</formula>
    </cfRule>
  </conditionalFormatting>
  <conditionalFormatting sqref="C94">
    <cfRule type="cellIs" dxfId="1248" priority="1695" stopIfTrue="1" operator="equal">
      <formula>"Towel"</formula>
    </cfRule>
    <cfRule type="cellIs" dxfId="1247" priority="1696" stopIfTrue="1" operator="equal">
      <formula>"Napkin Hs"</formula>
    </cfRule>
  </conditionalFormatting>
  <conditionalFormatting sqref="C94">
    <cfRule type="cellIs" dxfId="1246" priority="1697" stopIfTrue="1" operator="equal">
      <formula>"Towel"</formula>
    </cfRule>
  </conditionalFormatting>
  <conditionalFormatting sqref="B98:C98">
    <cfRule type="cellIs" dxfId="1245" priority="1693" stopIfTrue="1" operator="equal">
      <formula>"Towel"</formula>
    </cfRule>
    <cfRule type="cellIs" dxfId="1244" priority="1694" stopIfTrue="1" operator="equal">
      <formula>"Napkin Hs"</formula>
    </cfRule>
  </conditionalFormatting>
  <conditionalFormatting sqref="B97:C98">
    <cfRule type="cellIs" dxfId="1243" priority="1687" stopIfTrue="1" operator="equal">
      <formula>"Towel"</formula>
    </cfRule>
    <cfRule type="cellIs" dxfId="1242" priority="1688" stopIfTrue="1" operator="equal">
      <formula>"Napkin Hs"</formula>
    </cfRule>
  </conditionalFormatting>
  <conditionalFormatting sqref="B98:C98">
    <cfRule type="cellIs" dxfId="1241" priority="1641" stopIfTrue="1" operator="equal">
      <formula>"Towel"</formula>
    </cfRule>
    <cfRule type="cellIs" dxfId="1240" priority="1642" stopIfTrue="1" operator="equal">
      <formula>"Napkin Hs"</formula>
    </cfRule>
    <cfRule type="cellIs" dxfId="1239" priority="1647" stopIfTrue="1" operator="equal">
      <formula>"Towel"</formula>
    </cfRule>
    <cfRule type="cellIs" dxfId="1238" priority="1648" stopIfTrue="1" operator="equal">
      <formula>"Napkin Hs"</formula>
    </cfRule>
    <cfRule type="cellIs" dxfId="1237" priority="1653" stopIfTrue="1" operator="equal">
      <formula>"Towel"</formula>
    </cfRule>
    <cfRule type="cellIs" dxfId="1236" priority="1654" stopIfTrue="1" operator="equal">
      <formula>"Napkin Hs"</formula>
    </cfRule>
    <cfRule type="cellIs" dxfId="1235" priority="1659" stopIfTrue="1" operator="equal">
      <formula>"Towel"</formula>
    </cfRule>
    <cfRule type="cellIs" dxfId="1234" priority="1660" stopIfTrue="1" operator="equal">
      <formula>"Napkin Hs"</formula>
    </cfRule>
    <cfRule type="cellIs" dxfId="1233" priority="1665" stopIfTrue="1" operator="equal">
      <formula>"Towel"</formula>
    </cfRule>
    <cfRule type="cellIs" dxfId="1232" priority="1666" stopIfTrue="1" operator="equal">
      <formula>"Napkin Hs"</formula>
    </cfRule>
    <cfRule type="cellIs" dxfId="1231" priority="1671" stopIfTrue="1" operator="equal">
      <formula>"Towel"</formula>
    </cfRule>
    <cfRule type="cellIs" dxfId="1230" priority="1672" stopIfTrue="1" operator="equal">
      <formula>"Napkin Hs"</formula>
    </cfRule>
    <cfRule type="cellIs" dxfId="1229" priority="1677" stopIfTrue="1" operator="equal">
      <formula>"Towel"</formula>
    </cfRule>
    <cfRule type="cellIs" dxfId="1228" priority="1678" stopIfTrue="1" operator="equal">
      <formula>"Napkin Hs"</formula>
    </cfRule>
    <cfRule type="cellIs" dxfId="1227" priority="1683" stopIfTrue="1" operator="equal">
      <formula>"Towel"</formula>
    </cfRule>
    <cfRule type="cellIs" dxfId="1226" priority="1684" stopIfTrue="1" operator="equal">
      <formula>"Napkin Hs"</formula>
    </cfRule>
  </conditionalFormatting>
  <conditionalFormatting sqref="C98">
    <cfRule type="cellIs" dxfId="1225" priority="1692" stopIfTrue="1" operator="equal">
      <formula>"Napkin Hs"</formula>
    </cfRule>
  </conditionalFormatting>
  <conditionalFormatting sqref="C98">
    <cfRule type="cellIs" dxfId="1224" priority="1691" stopIfTrue="1" operator="equal">
      <formula>"Towel"</formula>
    </cfRule>
  </conditionalFormatting>
  <conditionalFormatting sqref="C97:C98">
    <cfRule type="cellIs" dxfId="1223" priority="1685" stopIfTrue="1" operator="equal">
      <formula>"Towel"</formula>
    </cfRule>
    <cfRule type="cellIs" dxfId="1222" priority="1686" stopIfTrue="1" operator="equal">
      <formula>"Napkin Hs"</formula>
    </cfRule>
  </conditionalFormatting>
  <conditionalFormatting sqref="C97:C98">
    <cfRule type="cellIs" dxfId="1221" priority="1689" stopIfTrue="1" operator="equal">
      <formula>"Towel"</formula>
    </cfRule>
    <cfRule type="cellIs" dxfId="1220" priority="1690" stopIfTrue="1" operator="equal">
      <formula>"Napkin Hs"</formula>
    </cfRule>
  </conditionalFormatting>
  <conditionalFormatting sqref="C98">
    <cfRule type="cellIs" dxfId="1219" priority="1639" stopIfTrue="1" operator="equal">
      <formula>"Towel"</formula>
    </cfRule>
    <cfRule type="cellIs" dxfId="1218" priority="1640" stopIfTrue="1" operator="equal">
      <formula>"Napkin Hs"</formula>
    </cfRule>
    <cfRule type="cellIs" dxfId="1217" priority="1643" stopIfTrue="1" operator="equal">
      <formula>"Towel"</formula>
    </cfRule>
    <cfRule type="cellIs" dxfId="1216" priority="1644" stopIfTrue="1" operator="equal">
      <formula>"Napkin Hs"</formula>
    </cfRule>
    <cfRule type="cellIs" dxfId="1215" priority="1645" stopIfTrue="1" operator="equal">
      <formula>"Towel"</formula>
    </cfRule>
    <cfRule type="cellIs" dxfId="1214" priority="1646" stopIfTrue="1" operator="equal">
      <formula>"Napkin Hs"</formula>
    </cfRule>
    <cfRule type="cellIs" dxfId="1213" priority="1649" stopIfTrue="1" operator="equal">
      <formula>"Towel"</formula>
    </cfRule>
    <cfRule type="cellIs" dxfId="1212" priority="1650" stopIfTrue="1" operator="equal">
      <formula>"Napkin Hs"</formula>
    </cfRule>
    <cfRule type="cellIs" dxfId="1211" priority="1651" stopIfTrue="1" operator="equal">
      <formula>"Towel"</formula>
    </cfRule>
    <cfRule type="cellIs" dxfId="1210" priority="1652" stopIfTrue="1" operator="equal">
      <formula>"Napkin Hs"</formula>
    </cfRule>
    <cfRule type="cellIs" dxfId="1209" priority="1655" stopIfTrue="1" operator="equal">
      <formula>"Towel"</formula>
    </cfRule>
    <cfRule type="cellIs" dxfId="1208" priority="1656" stopIfTrue="1" operator="equal">
      <formula>"Napkin Hs"</formula>
    </cfRule>
    <cfRule type="cellIs" dxfId="1207" priority="1657" stopIfTrue="1" operator="equal">
      <formula>"Towel"</formula>
    </cfRule>
    <cfRule type="cellIs" dxfId="1206" priority="1658" stopIfTrue="1" operator="equal">
      <formula>"Napkin Hs"</formula>
    </cfRule>
    <cfRule type="cellIs" dxfId="1205" priority="1661" stopIfTrue="1" operator="equal">
      <formula>"Towel"</formula>
    </cfRule>
    <cfRule type="cellIs" dxfId="1204" priority="1662" stopIfTrue="1" operator="equal">
      <formula>"Napkin Hs"</formula>
    </cfRule>
    <cfRule type="cellIs" dxfId="1203" priority="1663" stopIfTrue="1" operator="equal">
      <formula>"Towel"</formula>
    </cfRule>
    <cfRule type="cellIs" dxfId="1202" priority="1664" stopIfTrue="1" operator="equal">
      <formula>"Napkin Hs"</formula>
    </cfRule>
    <cfRule type="cellIs" dxfId="1201" priority="1667" stopIfTrue="1" operator="equal">
      <formula>"Towel"</formula>
    </cfRule>
    <cfRule type="cellIs" dxfId="1200" priority="1668" stopIfTrue="1" operator="equal">
      <formula>"Napkin Hs"</formula>
    </cfRule>
    <cfRule type="cellIs" dxfId="1199" priority="1669" stopIfTrue="1" operator="equal">
      <formula>"Towel"</formula>
    </cfRule>
    <cfRule type="cellIs" dxfId="1198" priority="1670" stopIfTrue="1" operator="equal">
      <formula>"Napkin Hs"</formula>
    </cfRule>
    <cfRule type="cellIs" dxfId="1197" priority="1673" stopIfTrue="1" operator="equal">
      <formula>"Towel"</formula>
    </cfRule>
    <cfRule type="cellIs" dxfId="1196" priority="1674" stopIfTrue="1" operator="equal">
      <formula>"Napkin Hs"</formula>
    </cfRule>
    <cfRule type="cellIs" dxfId="1195" priority="1675" stopIfTrue="1" operator="equal">
      <formula>"Towel"</formula>
    </cfRule>
    <cfRule type="cellIs" dxfId="1194" priority="1676" stopIfTrue="1" operator="equal">
      <formula>"Napkin Hs"</formula>
    </cfRule>
    <cfRule type="cellIs" dxfId="1193" priority="1679" stopIfTrue="1" operator="equal">
      <formula>"Towel"</formula>
    </cfRule>
    <cfRule type="cellIs" dxfId="1192" priority="1680" stopIfTrue="1" operator="equal">
      <formula>"Napkin Hs"</formula>
    </cfRule>
    <cfRule type="cellIs" dxfId="1191" priority="1681" stopIfTrue="1" operator="equal">
      <formula>"Towel"</formula>
    </cfRule>
    <cfRule type="cellIs" dxfId="1190" priority="1682" stopIfTrue="1" operator="equal">
      <formula>"Napkin Hs"</formula>
    </cfRule>
  </conditionalFormatting>
  <conditionalFormatting sqref="C98">
    <cfRule type="cellIs" dxfId="1189" priority="1637" stopIfTrue="1" operator="equal">
      <formula>"Towel"</formula>
    </cfRule>
    <cfRule type="cellIs" dxfId="1188" priority="1638" stopIfTrue="1" operator="equal">
      <formula>"Napkin Hs"</formula>
    </cfRule>
  </conditionalFormatting>
  <conditionalFormatting sqref="B97:C97">
    <cfRule type="cellIs" dxfId="1187" priority="1601" stopIfTrue="1" operator="equal">
      <formula>"Towel"</formula>
    </cfRule>
    <cfRule type="cellIs" dxfId="1186" priority="1602" stopIfTrue="1" operator="equal">
      <formula>"Napkin Hs"</formula>
    </cfRule>
    <cfRule type="cellIs" dxfId="1185" priority="1607" stopIfTrue="1" operator="equal">
      <formula>"Towel"</formula>
    </cfRule>
    <cfRule type="cellIs" dxfId="1184" priority="1608" stopIfTrue="1" operator="equal">
      <formula>"Napkin Hs"</formula>
    </cfRule>
    <cfRule type="cellIs" dxfId="1183" priority="1613" stopIfTrue="1" operator="equal">
      <formula>"Towel"</formula>
    </cfRule>
    <cfRule type="cellIs" dxfId="1182" priority="1614" stopIfTrue="1" operator="equal">
      <formula>"Napkin Hs"</formula>
    </cfRule>
    <cfRule type="cellIs" dxfId="1181" priority="1619" stopIfTrue="1" operator="equal">
      <formula>"Towel"</formula>
    </cfRule>
    <cfRule type="cellIs" dxfId="1180" priority="1620" stopIfTrue="1" operator="equal">
      <formula>"Napkin Hs"</formula>
    </cfRule>
    <cfRule type="cellIs" dxfId="1179" priority="1625" stopIfTrue="1" operator="equal">
      <formula>"Towel"</formula>
    </cfRule>
    <cfRule type="cellIs" dxfId="1178" priority="1626" stopIfTrue="1" operator="equal">
      <formula>"Napkin Hs"</formula>
    </cfRule>
    <cfRule type="cellIs" dxfId="1177" priority="1631" stopIfTrue="1" operator="equal">
      <formula>"Towel"</formula>
    </cfRule>
    <cfRule type="cellIs" dxfId="1176" priority="1632" stopIfTrue="1" operator="equal">
      <formula>"Napkin Hs"</formula>
    </cfRule>
  </conditionalFormatting>
  <conditionalFormatting sqref="B98:C98">
    <cfRule type="cellIs" dxfId="1175" priority="1635" stopIfTrue="1" operator="equal">
      <formula>"Towel"</formula>
    </cfRule>
    <cfRule type="cellIs" dxfId="1174" priority="1636" stopIfTrue="1" operator="equal">
      <formula>"Napkin Hs"</formula>
    </cfRule>
  </conditionalFormatting>
  <conditionalFormatting sqref="C97">
    <cfRule type="cellIs" dxfId="1173" priority="1597" stopIfTrue="1" operator="equal">
      <formula>"Towel"</formula>
    </cfRule>
    <cfRule type="cellIs" dxfId="1172" priority="1598" stopIfTrue="1" operator="equal">
      <formula>"Napkin Hs"</formula>
    </cfRule>
  </conditionalFormatting>
  <conditionalFormatting sqref="C97">
    <cfRule type="cellIs" dxfId="1171" priority="1599" stopIfTrue="1" operator="equal">
      <formula>"Towel"</formula>
    </cfRule>
    <cfRule type="cellIs" dxfId="1170" priority="1600" stopIfTrue="1" operator="equal">
      <formula>"Napkin Hs"</formula>
    </cfRule>
    <cfRule type="cellIs" dxfId="1169" priority="1603" stopIfTrue="1" operator="equal">
      <formula>"Towel"</formula>
    </cfRule>
    <cfRule type="cellIs" dxfId="1168" priority="1604" stopIfTrue="1" operator="equal">
      <formula>"Napkin Hs"</formula>
    </cfRule>
    <cfRule type="cellIs" dxfId="1167" priority="1605" stopIfTrue="1" operator="equal">
      <formula>"Towel"</formula>
    </cfRule>
    <cfRule type="cellIs" dxfId="1166" priority="1606" stopIfTrue="1" operator="equal">
      <formula>"Napkin Hs"</formula>
    </cfRule>
    <cfRule type="cellIs" dxfId="1165" priority="1609" stopIfTrue="1" operator="equal">
      <formula>"Towel"</formula>
    </cfRule>
    <cfRule type="cellIs" dxfId="1164" priority="1610" stopIfTrue="1" operator="equal">
      <formula>"Napkin Hs"</formula>
    </cfRule>
    <cfRule type="cellIs" dxfId="1163" priority="1611" stopIfTrue="1" operator="equal">
      <formula>"Towel"</formula>
    </cfRule>
    <cfRule type="cellIs" dxfId="1162" priority="1612" stopIfTrue="1" operator="equal">
      <formula>"Napkin Hs"</formula>
    </cfRule>
    <cfRule type="cellIs" dxfId="1161" priority="1615" stopIfTrue="1" operator="equal">
      <formula>"Towel"</formula>
    </cfRule>
    <cfRule type="cellIs" dxfId="1160" priority="1616" stopIfTrue="1" operator="equal">
      <formula>"Napkin Hs"</formula>
    </cfRule>
    <cfRule type="cellIs" dxfId="1159" priority="1617" stopIfTrue="1" operator="equal">
      <formula>"Towel"</formula>
    </cfRule>
    <cfRule type="cellIs" dxfId="1158" priority="1618" stopIfTrue="1" operator="equal">
      <formula>"Napkin Hs"</formula>
    </cfRule>
    <cfRule type="cellIs" dxfId="1157" priority="1621" stopIfTrue="1" operator="equal">
      <formula>"Towel"</formula>
    </cfRule>
    <cfRule type="cellIs" dxfId="1156" priority="1622" stopIfTrue="1" operator="equal">
      <formula>"Napkin Hs"</formula>
    </cfRule>
    <cfRule type="cellIs" dxfId="1155" priority="1623" stopIfTrue="1" operator="equal">
      <formula>"Towel"</formula>
    </cfRule>
    <cfRule type="cellIs" dxfId="1154" priority="1624" stopIfTrue="1" operator="equal">
      <formula>"Napkin Hs"</formula>
    </cfRule>
    <cfRule type="cellIs" dxfId="1153" priority="1627" stopIfTrue="1" operator="equal">
      <formula>"Towel"</formula>
    </cfRule>
    <cfRule type="cellIs" dxfId="1152" priority="1628" stopIfTrue="1" operator="equal">
      <formula>"Napkin Hs"</formula>
    </cfRule>
  </conditionalFormatting>
  <conditionalFormatting sqref="C97:C98">
    <cfRule type="cellIs" dxfId="1151" priority="1629" stopIfTrue="1" operator="equal">
      <formula>"Towel"</formula>
    </cfRule>
    <cfRule type="cellIs" dxfId="1150" priority="1630" stopIfTrue="1" operator="equal">
      <formula>"Napkin Hs"</formula>
    </cfRule>
  </conditionalFormatting>
  <conditionalFormatting sqref="C98">
    <cfRule type="cellIs" dxfId="1149" priority="1633" stopIfTrue="1" operator="equal">
      <formula>"Towel"</formula>
    </cfRule>
    <cfRule type="cellIs" dxfId="1148" priority="1634" stopIfTrue="1" operator="equal">
      <formula>"Napkin Hs"</formula>
    </cfRule>
  </conditionalFormatting>
  <conditionalFormatting sqref="B97:C98">
    <cfRule type="cellIs" dxfId="1147" priority="1595" stopIfTrue="1" operator="equal">
      <formula>"Towel"</formula>
    </cfRule>
    <cfRule type="cellIs" dxfId="1146" priority="1596" stopIfTrue="1" operator="equal">
      <formula>"Napkin Hs"</formula>
    </cfRule>
  </conditionalFormatting>
  <conditionalFormatting sqref="C97:C98">
    <cfRule type="cellIs" dxfId="1145" priority="1591" stopIfTrue="1" operator="equal">
      <formula>"Towel"</formula>
    </cfRule>
    <cfRule type="cellIs" dxfId="1144" priority="1592" stopIfTrue="1" operator="equal">
      <formula>"Napkin Hs"</formula>
    </cfRule>
  </conditionalFormatting>
  <conditionalFormatting sqref="C97:C98">
    <cfRule type="cellIs" dxfId="1143" priority="1593" stopIfTrue="1" operator="equal">
      <formula>"Towel"</formula>
    </cfRule>
    <cfRule type="cellIs" dxfId="1142" priority="1594" stopIfTrue="1" operator="equal">
      <formula>"Napkin Hs"</formula>
    </cfRule>
  </conditionalFormatting>
  <conditionalFormatting sqref="B97:C98">
    <cfRule type="cellIs" dxfId="1141" priority="1547" stopIfTrue="1" operator="equal">
      <formula>"Towel"</formula>
    </cfRule>
    <cfRule type="cellIs" dxfId="1140" priority="1548" stopIfTrue="1" operator="equal">
      <formula>"Napkin Hs"</formula>
    </cfRule>
    <cfRule type="cellIs" dxfId="1139" priority="1553" stopIfTrue="1" operator="equal">
      <formula>"Towel"</formula>
    </cfRule>
    <cfRule type="cellIs" dxfId="1138" priority="1554" stopIfTrue="1" operator="equal">
      <formula>"Napkin Hs"</formula>
    </cfRule>
    <cfRule type="cellIs" dxfId="1137" priority="1559" stopIfTrue="1" operator="equal">
      <formula>"Towel"</formula>
    </cfRule>
    <cfRule type="cellIs" dxfId="1136" priority="1560" stopIfTrue="1" operator="equal">
      <formula>"Napkin Hs"</formula>
    </cfRule>
    <cfRule type="cellIs" dxfId="1135" priority="1565" stopIfTrue="1" operator="equal">
      <formula>"Towel"</formula>
    </cfRule>
    <cfRule type="cellIs" dxfId="1134" priority="1566" stopIfTrue="1" operator="equal">
      <formula>"Napkin Hs"</formula>
    </cfRule>
    <cfRule type="cellIs" dxfId="1133" priority="1571" stopIfTrue="1" operator="equal">
      <formula>"Towel"</formula>
    </cfRule>
    <cfRule type="cellIs" dxfId="1132" priority="1572" stopIfTrue="1" operator="equal">
      <formula>"Napkin Hs"</formula>
    </cfRule>
    <cfRule type="cellIs" dxfId="1131" priority="1577" stopIfTrue="1" operator="equal">
      <formula>"Towel"</formula>
    </cfRule>
    <cfRule type="cellIs" dxfId="1130" priority="1578" stopIfTrue="1" operator="equal">
      <formula>"Napkin Hs"</formula>
    </cfRule>
    <cfRule type="cellIs" dxfId="1129" priority="1583" stopIfTrue="1" operator="equal">
      <formula>"Towel"</formula>
    </cfRule>
    <cfRule type="cellIs" dxfId="1128" priority="1584" stopIfTrue="1" operator="equal">
      <formula>"Napkin Hs"</formula>
    </cfRule>
    <cfRule type="cellIs" dxfId="1127" priority="1589" stopIfTrue="1" operator="equal">
      <formula>"Towel"</formula>
    </cfRule>
    <cfRule type="cellIs" dxfId="1126" priority="1590" stopIfTrue="1" operator="equal">
      <formula>"Napkin Hs"</formula>
    </cfRule>
  </conditionalFormatting>
  <conditionalFormatting sqref="C97:C98">
    <cfRule type="cellIs" dxfId="1125" priority="1543" stopIfTrue="1" operator="equal">
      <formula>"Towel"</formula>
    </cfRule>
    <cfRule type="cellIs" dxfId="1124" priority="1544" stopIfTrue="1" operator="equal">
      <formula>"Napkin Hs"</formula>
    </cfRule>
    <cfRule type="cellIs" dxfId="1123" priority="1545" stopIfTrue="1" operator="equal">
      <formula>"Towel"</formula>
    </cfRule>
    <cfRule type="cellIs" dxfId="1122" priority="1546" stopIfTrue="1" operator="equal">
      <formula>"Napkin Hs"</formula>
    </cfRule>
    <cfRule type="cellIs" dxfId="1121" priority="1549" stopIfTrue="1" operator="equal">
      <formula>"Towel"</formula>
    </cfRule>
    <cfRule type="cellIs" dxfId="1120" priority="1550" stopIfTrue="1" operator="equal">
      <formula>"Napkin Hs"</formula>
    </cfRule>
    <cfRule type="cellIs" dxfId="1119" priority="1551" stopIfTrue="1" operator="equal">
      <formula>"Towel"</formula>
    </cfRule>
    <cfRule type="cellIs" dxfId="1118" priority="1552" stopIfTrue="1" operator="equal">
      <formula>"Napkin Hs"</formula>
    </cfRule>
    <cfRule type="cellIs" dxfId="1117" priority="1555" stopIfTrue="1" operator="equal">
      <formula>"Towel"</formula>
    </cfRule>
    <cfRule type="cellIs" dxfId="1116" priority="1556" stopIfTrue="1" operator="equal">
      <formula>"Napkin Hs"</formula>
    </cfRule>
    <cfRule type="cellIs" dxfId="1115" priority="1557" stopIfTrue="1" operator="equal">
      <formula>"Towel"</formula>
    </cfRule>
    <cfRule type="cellIs" dxfId="1114" priority="1558" stopIfTrue="1" operator="equal">
      <formula>"Napkin Hs"</formula>
    </cfRule>
    <cfRule type="cellIs" dxfId="1113" priority="1561" stopIfTrue="1" operator="equal">
      <formula>"Towel"</formula>
    </cfRule>
    <cfRule type="cellIs" dxfId="1112" priority="1562" stopIfTrue="1" operator="equal">
      <formula>"Napkin Hs"</formula>
    </cfRule>
    <cfRule type="cellIs" dxfId="1111" priority="1563" stopIfTrue="1" operator="equal">
      <formula>"Towel"</formula>
    </cfRule>
    <cfRule type="cellIs" dxfId="1110" priority="1564" stopIfTrue="1" operator="equal">
      <formula>"Napkin Hs"</formula>
    </cfRule>
    <cfRule type="cellIs" dxfId="1109" priority="1567" stopIfTrue="1" operator="equal">
      <formula>"Towel"</formula>
    </cfRule>
    <cfRule type="cellIs" dxfId="1108" priority="1568" stopIfTrue="1" operator="equal">
      <formula>"Napkin Hs"</formula>
    </cfRule>
    <cfRule type="cellIs" dxfId="1107" priority="1569" stopIfTrue="1" operator="equal">
      <formula>"Towel"</formula>
    </cfRule>
    <cfRule type="cellIs" dxfId="1106" priority="1570" stopIfTrue="1" operator="equal">
      <formula>"Napkin Hs"</formula>
    </cfRule>
    <cfRule type="cellIs" dxfId="1105" priority="1573" stopIfTrue="1" operator="equal">
      <formula>"Towel"</formula>
    </cfRule>
    <cfRule type="cellIs" dxfId="1104" priority="1574" stopIfTrue="1" operator="equal">
      <formula>"Napkin Hs"</formula>
    </cfRule>
    <cfRule type="cellIs" dxfId="1103" priority="1575" stopIfTrue="1" operator="equal">
      <formula>"Towel"</formula>
    </cfRule>
    <cfRule type="cellIs" dxfId="1102" priority="1576" stopIfTrue="1" operator="equal">
      <formula>"Napkin Hs"</formula>
    </cfRule>
    <cfRule type="cellIs" dxfId="1101" priority="1579" stopIfTrue="1" operator="equal">
      <formula>"Towel"</formula>
    </cfRule>
    <cfRule type="cellIs" dxfId="1100" priority="1580" stopIfTrue="1" operator="equal">
      <formula>"Napkin Hs"</formula>
    </cfRule>
    <cfRule type="cellIs" dxfId="1099" priority="1581" stopIfTrue="1" operator="equal">
      <formula>"Towel"</formula>
    </cfRule>
    <cfRule type="cellIs" dxfId="1098" priority="1582" stopIfTrue="1" operator="equal">
      <formula>"Napkin Hs"</formula>
    </cfRule>
    <cfRule type="cellIs" dxfId="1097" priority="1585" stopIfTrue="1" operator="equal">
      <formula>"Towel"</formula>
    </cfRule>
    <cfRule type="cellIs" dxfId="1096" priority="1586" stopIfTrue="1" operator="equal">
      <formula>"Napkin Hs"</formula>
    </cfRule>
  </conditionalFormatting>
  <conditionalFormatting sqref="C97:C98">
    <cfRule type="cellIs" dxfId="1095" priority="1587" stopIfTrue="1" operator="equal">
      <formula>"Towel"</formula>
    </cfRule>
    <cfRule type="cellIs" dxfId="1094" priority="1588" stopIfTrue="1" operator="equal">
      <formula>"Napkin Hs"</formula>
    </cfRule>
  </conditionalFormatting>
  <conditionalFormatting sqref="B97:C98">
    <cfRule type="cellIs" dxfId="1093" priority="1499" stopIfTrue="1" operator="equal">
      <formula>"Towel"</formula>
    </cfRule>
    <cfRule type="cellIs" dxfId="1092" priority="1500" stopIfTrue="1" operator="equal">
      <formula>"Napkin Hs"</formula>
    </cfRule>
    <cfRule type="cellIs" dxfId="1091" priority="1505" stopIfTrue="1" operator="equal">
      <formula>"Towel"</formula>
    </cfRule>
    <cfRule type="cellIs" dxfId="1090" priority="1506" stopIfTrue="1" operator="equal">
      <formula>"Napkin Hs"</formula>
    </cfRule>
    <cfRule type="cellIs" dxfId="1089" priority="1511" stopIfTrue="1" operator="equal">
      <formula>"Towel"</formula>
    </cfRule>
    <cfRule type="cellIs" dxfId="1088" priority="1512" stopIfTrue="1" operator="equal">
      <formula>"Napkin Hs"</formula>
    </cfRule>
    <cfRule type="cellIs" dxfId="1087" priority="1517" stopIfTrue="1" operator="equal">
      <formula>"Towel"</formula>
    </cfRule>
    <cfRule type="cellIs" dxfId="1086" priority="1518" stopIfTrue="1" operator="equal">
      <formula>"Napkin Hs"</formula>
    </cfRule>
    <cfRule type="cellIs" dxfId="1085" priority="1523" stopIfTrue="1" operator="equal">
      <formula>"Towel"</formula>
    </cfRule>
    <cfRule type="cellIs" dxfId="1084" priority="1524" stopIfTrue="1" operator="equal">
      <formula>"Napkin Hs"</formula>
    </cfRule>
    <cfRule type="cellIs" dxfId="1083" priority="1529" stopIfTrue="1" operator="equal">
      <formula>"Towel"</formula>
    </cfRule>
    <cfRule type="cellIs" dxfId="1082" priority="1530" stopIfTrue="1" operator="equal">
      <formula>"Napkin Hs"</formula>
    </cfRule>
    <cfRule type="cellIs" dxfId="1081" priority="1535" stopIfTrue="1" operator="equal">
      <formula>"Towel"</formula>
    </cfRule>
    <cfRule type="cellIs" dxfId="1080" priority="1536" stopIfTrue="1" operator="equal">
      <formula>"Napkin Hs"</formula>
    </cfRule>
    <cfRule type="cellIs" dxfId="1079" priority="1541" stopIfTrue="1" operator="equal">
      <formula>"Towel"</formula>
    </cfRule>
    <cfRule type="cellIs" dxfId="1078" priority="1542" stopIfTrue="1" operator="equal">
      <formula>"Napkin Hs"</formula>
    </cfRule>
  </conditionalFormatting>
  <conditionalFormatting sqref="C97:C98">
    <cfRule type="cellIs" dxfId="1077" priority="1495" stopIfTrue="1" operator="equal">
      <formula>"Towel"</formula>
    </cfRule>
    <cfRule type="cellIs" dxfId="1076" priority="1496" stopIfTrue="1" operator="equal">
      <formula>"Napkin Hs"</formula>
    </cfRule>
    <cfRule type="cellIs" dxfId="1075" priority="1497" stopIfTrue="1" operator="equal">
      <formula>"Towel"</formula>
    </cfRule>
    <cfRule type="cellIs" dxfId="1074" priority="1498" stopIfTrue="1" operator="equal">
      <formula>"Napkin Hs"</formula>
    </cfRule>
    <cfRule type="cellIs" dxfId="1073" priority="1501" stopIfTrue="1" operator="equal">
      <formula>"Towel"</formula>
    </cfRule>
    <cfRule type="cellIs" dxfId="1072" priority="1502" stopIfTrue="1" operator="equal">
      <formula>"Napkin Hs"</formula>
    </cfRule>
    <cfRule type="cellIs" dxfId="1071" priority="1503" stopIfTrue="1" operator="equal">
      <formula>"Towel"</formula>
    </cfRule>
    <cfRule type="cellIs" dxfId="1070" priority="1504" stopIfTrue="1" operator="equal">
      <formula>"Napkin Hs"</formula>
    </cfRule>
    <cfRule type="cellIs" dxfId="1069" priority="1507" stopIfTrue="1" operator="equal">
      <formula>"Towel"</formula>
    </cfRule>
    <cfRule type="cellIs" dxfId="1068" priority="1508" stopIfTrue="1" operator="equal">
      <formula>"Napkin Hs"</formula>
    </cfRule>
    <cfRule type="cellIs" dxfId="1067" priority="1509" stopIfTrue="1" operator="equal">
      <formula>"Towel"</formula>
    </cfRule>
    <cfRule type="cellIs" dxfId="1066" priority="1510" stopIfTrue="1" operator="equal">
      <formula>"Napkin Hs"</formula>
    </cfRule>
    <cfRule type="cellIs" dxfId="1065" priority="1513" stopIfTrue="1" operator="equal">
      <formula>"Towel"</formula>
    </cfRule>
    <cfRule type="cellIs" dxfId="1064" priority="1514" stopIfTrue="1" operator="equal">
      <formula>"Napkin Hs"</formula>
    </cfRule>
    <cfRule type="cellIs" dxfId="1063" priority="1515" stopIfTrue="1" operator="equal">
      <formula>"Towel"</formula>
    </cfRule>
    <cfRule type="cellIs" dxfId="1062" priority="1516" stopIfTrue="1" operator="equal">
      <formula>"Napkin Hs"</formula>
    </cfRule>
    <cfRule type="cellIs" dxfId="1061" priority="1519" stopIfTrue="1" operator="equal">
      <formula>"Towel"</formula>
    </cfRule>
    <cfRule type="cellIs" dxfId="1060" priority="1520" stopIfTrue="1" operator="equal">
      <formula>"Napkin Hs"</formula>
    </cfRule>
    <cfRule type="cellIs" dxfId="1059" priority="1521" stopIfTrue="1" operator="equal">
      <formula>"Towel"</formula>
    </cfRule>
    <cfRule type="cellIs" dxfId="1058" priority="1522" stopIfTrue="1" operator="equal">
      <formula>"Napkin Hs"</formula>
    </cfRule>
    <cfRule type="cellIs" dxfId="1057" priority="1525" stopIfTrue="1" operator="equal">
      <formula>"Towel"</formula>
    </cfRule>
    <cfRule type="cellIs" dxfId="1056" priority="1526" stopIfTrue="1" operator="equal">
      <formula>"Napkin Hs"</formula>
    </cfRule>
    <cfRule type="cellIs" dxfId="1055" priority="1527" stopIfTrue="1" operator="equal">
      <formula>"Towel"</formula>
    </cfRule>
    <cfRule type="cellIs" dxfId="1054" priority="1528" stopIfTrue="1" operator="equal">
      <formula>"Napkin Hs"</formula>
    </cfRule>
    <cfRule type="cellIs" dxfId="1053" priority="1531" stopIfTrue="1" operator="equal">
      <formula>"Towel"</formula>
    </cfRule>
    <cfRule type="cellIs" dxfId="1052" priority="1532" stopIfTrue="1" operator="equal">
      <formula>"Napkin Hs"</formula>
    </cfRule>
    <cfRule type="cellIs" dxfId="1051" priority="1533" stopIfTrue="1" operator="equal">
      <formula>"Towel"</formula>
    </cfRule>
    <cfRule type="cellIs" dxfId="1050" priority="1534" stopIfTrue="1" operator="equal">
      <formula>"Napkin Hs"</formula>
    </cfRule>
    <cfRule type="cellIs" dxfId="1049" priority="1537" stopIfTrue="1" operator="equal">
      <formula>"Towel"</formula>
    </cfRule>
    <cfRule type="cellIs" dxfId="1048" priority="1538" stopIfTrue="1" operator="equal">
      <formula>"Napkin Hs"</formula>
    </cfRule>
  </conditionalFormatting>
  <conditionalFormatting sqref="C97:C98">
    <cfRule type="cellIs" dxfId="1047" priority="1539" stopIfTrue="1" operator="equal">
      <formula>"Towel"</formula>
    </cfRule>
    <cfRule type="cellIs" dxfId="1046" priority="1540" stopIfTrue="1" operator="equal">
      <formula>"Napkin Hs"</formula>
    </cfRule>
  </conditionalFormatting>
  <conditionalFormatting sqref="B97:C98">
    <cfRule type="cellIs" dxfId="1045" priority="1493" stopIfTrue="1" operator="equal">
      <formula>"Towel"</formula>
    </cfRule>
    <cfRule type="cellIs" dxfId="1044" priority="1494" stopIfTrue="1" operator="equal">
      <formula>"Napkin Hs"</formula>
    </cfRule>
  </conditionalFormatting>
  <conditionalFormatting sqref="B97:C98">
    <cfRule type="cellIs" dxfId="1043" priority="1469" stopIfTrue="1" operator="equal">
      <formula>"Towel"</formula>
    </cfRule>
    <cfRule type="cellIs" dxfId="1042" priority="1470" stopIfTrue="1" operator="equal">
      <formula>"Napkin Hs"</formula>
    </cfRule>
    <cfRule type="cellIs" dxfId="1041" priority="1475" stopIfTrue="1" operator="equal">
      <formula>"Towel"</formula>
    </cfRule>
    <cfRule type="cellIs" dxfId="1040" priority="1476" stopIfTrue="1" operator="equal">
      <formula>"Napkin Hs"</formula>
    </cfRule>
    <cfRule type="cellIs" dxfId="1039" priority="1481" stopIfTrue="1" operator="equal">
      <formula>"Towel"</formula>
    </cfRule>
    <cfRule type="cellIs" dxfId="1038" priority="1482" stopIfTrue="1" operator="equal">
      <formula>"Napkin Hs"</formula>
    </cfRule>
    <cfRule type="cellIs" dxfId="1037" priority="1487" stopIfTrue="1" operator="equal">
      <formula>"Towel"</formula>
    </cfRule>
    <cfRule type="cellIs" dxfId="1036" priority="1488" stopIfTrue="1" operator="equal">
      <formula>"Napkin Hs"</formula>
    </cfRule>
  </conditionalFormatting>
  <conditionalFormatting sqref="C97:C98">
    <cfRule type="cellIs" dxfId="1035" priority="1483" stopIfTrue="1" operator="equal">
      <formula>"Towel"</formula>
    </cfRule>
    <cfRule type="cellIs" dxfId="1034" priority="1484" stopIfTrue="1" operator="equal">
      <formula>"Napkin Hs"</formula>
    </cfRule>
    <cfRule type="cellIs" dxfId="1033" priority="1489" stopIfTrue="1" operator="equal">
      <formula>"Towel"</formula>
    </cfRule>
    <cfRule type="cellIs" dxfId="1032" priority="1490" stopIfTrue="1" operator="equal">
      <formula>"Napkin Hs"</formula>
    </cfRule>
  </conditionalFormatting>
  <conditionalFormatting sqref="C97:C98">
    <cfRule type="cellIs" dxfId="1031" priority="1463" stopIfTrue="1" operator="equal">
      <formula>"Towel"</formula>
    </cfRule>
    <cfRule type="cellIs" dxfId="1030" priority="1464" stopIfTrue="1" operator="equal">
      <formula>"Napkin Hs"</formula>
    </cfRule>
    <cfRule type="cellIs" dxfId="1029" priority="1465" stopIfTrue="1" operator="equal">
      <formula>"Towel"</formula>
    </cfRule>
    <cfRule type="cellIs" dxfId="1028" priority="1466" stopIfTrue="1" operator="equal">
      <formula>"Napkin Hs"</formula>
    </cfRule>
    <cfRule type="cellIs" dxfId="1027" priority="1473" stopIfTrue="1" operator="equal">
      <formula>"Towel"</formula>
    </cfRule>
    <cfRule type="cellIs" dxfId="1026" priority="1474" stopIfTrue="1" operator="equal">
      <formula>"Napkin Hs"</formula>
    </cfRule>
    <cfRule type="cellIs" dxfId="1025" priority="1477" stopIfTrue="1" operator="equal">
      <formula>"Towel"</formula>
    </cfRule>
    <cfRule type="cellIs" dxfId="1024" priority="1478" stopIfTrue="1" operator="equal">
      <formula>"Napkin Hs"</formula>
    </cfRule>
    <cfRule type="cellIs" dxfId="1023" priority="1479" stopIfTrue="1" operator="equal">
      <formula>"Towel"</formula>
    </cfRule>
    <cfRule type="cellIs" dxfId="1022" priority="1480" stopIfTrue="1" operator="equal">
      <formula>"Napkin Hs"</formula>
    </cfRule>
  </conditionalFormatting>
  <conditionalFormatting sqref="C97:C98">
    <cfRule type="cellIs" dxfId="1021" priority="1491" stopIfTrue="1" operator="equal">
      <formula>"Towel"</formula>
    </cfRule>
    <cfRule type="cellIs" dxfId="1020" priority="1492" stopIfTrue="1" operator="equal">
      <formula>"Napkin Hs"</formula>
    </cfRule>
  </conditionalFormatting>
  <conditionalFormatting sqref="C97:C98">
    <cfRule type="cellIs" dxfId="1019" priority="1467" stopIfTrue="1" operator="equal">
      <formula>"Towel"</formula>
    </cfRule>
    <cfRule type="cellIs" dxfId="1018" priority="1468" stopIfTrue="1" operator="equal">
      <formula>"Napkin Hs"</formula>
    </cfRule>
    <cfRule type="cellIs" dxfId="1017" priority="1471" stopIfTrue="1" operator="equal">
      <formula>"Towel"</formula>
    </cfRule>
    <cfRule type="cellIs" dxfId="1016" priority="1472" stopIfTrue="1" operator="equal">
      <formula>"Napkin Hs"</formula>
    </cfRule>
    <cfRule type="cellIs" dxfId="1015" priority="1485" stopIfTrue="1" operator="equal">
      <formula>"Towel"</formula>
    </cfRule>
    <cfRule type="cellIs" dxfId="1014" priority="1486" stopIfTrue="1" operator="equal">
      <formula>"Napkin Hs"</formula>
    </cfRule>
  </conditionalFormatting>
  <conditionalFormatting sqref="B97:C98">
    <cfRule type="cellIs" dxfId="1013" priority="1419" stopIfTrue="1" operator="equal">
      <formula>"Towel"</formula>
    </cfRule>
    <cfRule type="cellIs" dxfId="1012" priority="1420" stopIfTrue="1" operator="equal">
      <formula>"Napkin Hs"</formula>
    </cfRule>
    <cfRule type="cellIs" dxfId="1011" priority="1425" stopIfTrue="1" operator="equal">
      <formula>"Towel"</formula>
    </cfRule>
    <cfRule type="cellIs" dxfId="1010" priority="1426" stopIfTrue="1" operator="equal">
      <formula>"Napkin Hs"</formula>
    </cfRule>
    <cfRule type="cellIs" dxfId="1009" priority="1431" stopIfTrue="1" operator="equal">
      <formula>"Towel"</formula>
    </cfRule>
    <cfRule type="cellIs" dxfId="1008" priority="1432" stopIfTrue="1" operator="equal">
      <formula>"Napkin Hs"</formula>
    </cfRule>
    <cfRule type="cellIs" dxfId="1007" priority="1437" stopIfTrue="1" operator="equal">
      <formula>"Towel"</formula>
    </cfRule>
    <cfRule type="cellIs" dxfId="1006" priority="1438" stopIfTrue="1" operator="equal">
      <formula>"Napkin Hs"</formula>
    </cfRule>
    <cfRule type="cellIs" dxfId="1005" priority="1443" stopIfTrue="1" operator="equal">
      <formula>"Towel"</formula>
    </cfRule>
    <cfRule type="cellIs" dxfId="1004" priority="1444" stopIfTrue="1" operator="equal">
      <formula>"Napkin Hs"</formula>
    </cfRule>
    <cfRule type="cellIs" dxfId="1003" priority="1449" stopIfTrue="1" operator="equal">
      <formula>"Towel"</formula>
    </cfRule>
    <cfRule type="cellIs" dxfId="1002" priority="1450" stopIfTrue="1" operator="equal">
      <formula>"Napkin Hs"</formula>
    </cfRule>
    <cfRule type="cellIs" dxfId="1001" priority="1455" stopIfTrue="1" operator="equal">
      <formula>"Towel"</formula>
    </cfRule>
    <cfRule type="cellIs" dxfId="1000" priority="1456" stopIfTrue="1" operator="equal">
      <formula>"Napkin Hs"</formula>
    </cfRule>
    <cfRule type="cellIs" dxfId="999" priority="1461" stopIfTrue="1" operator="equal">
      <formula>"Towel"</formula>
    </cfRule>
    <cfRule type="cellIs" dxfId="998" priority="1462" stopIfTrue="1" operator="equal">
      <formula>"Napkin Hs"</formula>
    </cfRule>
  </conditionalFormatting>
  <conditionalFormatting sqref="C97:C98">
    <cfRule type="cellIs" dxfId="997" priority="1415" stopIfTrue="1" operator="equal">
      <formula>"Towel"</formula>
    </cfRule>
    <cfRule type="cellIs" dxfId="996" priority="1416" stopIfTrue="1" operator="equal">
      <formula>"Napkin Hs"</formula>
    </cfRule>
    <cfRule type="cellIs" dxfId="995" priority="1417" stopIfTrue="1" operator="equal">
      <formula>"Towel"</formula>
    </cfRule>
    <cfRule type="cellIs" dxfId="994" priority="1418" stopIfTrue="1" operator="equal">
      <formula>"Napkin Hs"</formula>
    </cfRule>
    <cfRule type="cellIs" dxfId="993" priority="1421" stopIfTrue="1" operator="equal">
      <formula>"Towel"</formula>
    </cfRule>
    <cfRule type="cellIs" dxfId="992" priority="1422" stopIfTrue="1" operator="equal">
      <formula>"Napkin Hs"</formula>
    </cfRule>
    <cfRule type="cellIs" dxfId="991" priority="1423" stopIfTrue="1" operator="equal">
      <formula>"Towel"</formula>
    </cfRule>
    <cfRule type="cellIs" dxfId="990" priority="1424" stopIfTrue="1" operator="equal">
      <formula>"Napkin Hs"</formula>
    </cfRule>
    <cfRule type="cellIs" dxfId="989" priority="1427" stopIfTrue="1" operator="equal">
      <formula>"Towel"</formula>
    </cfRule>
    <cfRule type="cellIs" dxfId="988" priority="1428" stopIfTrue="1" operator="equal">
      <formula>"Napkin Hs"</formula>
    </cfRule>
    <cfRule type="cellIs" dxfId="987" priority="1429" stopIfTrue="1" operator="equal">
      <formula>"Towel"</formula>
    </cfRule>
    <cfRule type="cellIs" dxfId="986" priority="1430" stopIfTrue="1" operator="equal">
      <formula>"Napkin Hs"</formula>
    </cfRule>
    <cfRule type="cellIs" dxfId="985" priority="1433" stopIfTrue="1" operator="equal">
      <formula>"Towel"</formula>
    </cfRule>
    <cfRule type="cellIs" dxfId="984" priority="1434" stopIfTrue="1" operator="equal">
      <formula>"Napkin Hs"</formula>
    </cfRule>
    <cfRule type="cellIs" dxfId="983" priority="1435" stopIfTrue="1" operator="equal">
      <formula>"Towel"</formula>
    </cfRule>
    <cfRule type="cellIs" dxfId="982" priority="1436" stopIfTrue="1" operator="equal">
      <formula>"Napkin Hs"</formula>
    </cfRule>
    <cfRule type="cellIs" dxfId="981" priority="1439" stopIfTrue="1" operator="equal">
      <formula>"Towel"</formula>
    </cfRule>
    <cfRule type="cellIs" dxfId="980" priority="1440" stopIfTrue="1" operator="equal">
      <formula>"Napkin Hs"</formula>
    </cfRule>
    <cfRule type="cellIs" dxfId="979" priority="1441" stopIfTrue="1" operator="equal">
      <formula>"Towel"</formula>
    </cfRule>
    <cfRule type="cellIs" dxfId="978" priority="1442" stopIfTrue="1" operator="equal">
      <formula>"Napkin Hs"</formula>
    </cfRule>
    <cfRule type="cellIs" dxfId="977" priority="1445" stopIfTrue="1" operator="equal">
      <formula>"Towel"</formula>
    </cfRule>
    <cfRule type="cellIs" dxfId="976" priority="1446" stopIfTrue="1" operator="equal">
      <formula>"Napkin Hs"</formula>
    </cfRule>
    <cfRule type="cellIs" dxfId="975" priority="1447" stopIfTrue="1" operator="equal">
      <formula>"Towel"</formula>
    </cfRule>
    <cfRule type="cellIs" dxfId="974" priority="1448" stopIfTrue="1" operator="equal">
      <formula>"Napkin Hs"</formula>
    </cfRule>
    <cfRule type="cellIs" dxfId="973" priority="1451" stopIfTrue="1" operator="equal">
      <formula>"Towel"</formula>
    </cfRule>
    <cfRule type="cellIs" dxfId="972" priority="1452" stopIfTrue="1" operator="equal">
      <formula>"Napkin Hs"</formula>
    </cfRule>
    <cfRule type="cellIs" dxfId="971" priority="1453" stopIfTrue="1" operator="equal">
      <formula>"Towel"</formula>
    </cfRule>
    <cfRule type="cellIs" dxfId="970" priority="1454" stopIfTrue="1" operator="equal">
      <formula>"Napkin Hs"</formula>
    </cfRule>
    <cfRule type="cellIs" dxfId="969" priority="1457" stopIfTrue="1" operator="equal">
      <formula>"Towel"</formula>
    </cfRule>
    <cfRule type="cellIs" dxfId="968" priority="1458" stopIfTrue="1" operator="equal">
      <formula>"Napkin Hs"</formula>
    </cfRule>
  </conditionalFormatting>
  <conditionalFormatting sqref="C97:C98">
    <cfRule type="cellIs" dxfId="967" priority="1459" stopIfTrue="1" operator="equal">
      <formula>"Towel"</formula>
    </cfRule>
    <cfRule type="cellIs" dxfId="966" priority="1460" stopIfTrue="1" operator="equal">
      <formula>"Napkin Hs"</formula>
    </cfRule>
  </conditionalFormatting>
  <conditionalFormatting sqref="B97:B98">
    <cfRule type="cellIs" dxfId="965" priority="1409" stopIfTrue="1" operator="equal">
      <formula>"Towel"</formula>
    </cfRule>
    <cfRule type="cellIs" dxfId="964" priority="1410" stopIfTrue="1" operator="equal">
      <formula>"Napkin Hs"</formula>
    </cfRule>
    <cfRule type="cellIs" dxfId="963" priority="1411" stopIfTrue="1" operator="equal">
      <formula>"Towel"</formula>
    </cfRule>
    <cfRule type="cellIs" dxfId="962" priority="1412" stopIfTrue="1" operator="equal">
      <formula>"Napkin Hs"</formula>
    </cfRule>
    <cfRule type="cellIs" dxfId="961" priority="1413" stopIfTrue="1" operator="equal">
      <formula>"Towel"</formula>
    </cfRule>
    <cfRule type="cellIs" dxfId="960" priority="1414" stopIfTrue="1" operator="equal">
      <formula>"Napkin Hs"</formula>
    </cfRule>
  </conditionalFormatting>
  <conditionalFormatting sqref="B97:C98">
    <cfRule type="cellIs" dxfId="959" priority="1371" stopIfTrue="1" operator="equal">
      <formula>"Towel"</formula>
    </cfRule>
    <cfRule type="cellIs" dxfId="958" priority="1372" stopIfTrue="1" operator="equal">
      <formula>"Napkin Hs"</formula>
    </cfRule>
    <cfRule type="cellIs" dxfId="957" priority="1377" stopIfTrue="1" operator="equal">
      <formula>"Towel"</formula>
    </cfRule>
    <cfRule type="cellIs" dxfId="956" priority="1378" stopIfTrue="1" operator="equal">
      <formula>"Napkin Hs"</formula>
    </cfRule>
    <cfRule type="cellIs" dxfId="955" priority="1383" stopIfTrue="1" operator="equal">
      <formula>"Towel"</formula>
    </cfRule>
    <cfRule type="cellIs" dxfId="954" priority="1384" stopIfTrue="1" operator="equal">
      <formula>"Napkin Hs"</formula>
    </cfRule>
    <cfRule type="cellIs" dxfId="953" priority="1389" stopIfTrue="1" operator="equal">
      <formula>"Towel"</formula>
    </cfRule>
    <cfRule type="cellIs" dxfId="952" priority="1390" stopIfTrue="1" operator="equal">
      <formula>"Napkin Hs"</formula>
    </cfRule>
    <cfRule type="cellIs" dxfId="951" priority="1395" stopIfTrue="1" operator="equal">
      <formula>"Towel"</formula>
    </cfRule>
    <cfRule type="cellIs" dxfId="950" priority="1396" stopIfTrue="1" operator="equal">
      <formula>"Napkin Hs"</formula>
    </cfRule>
    <cfRule type="cellIs" dxfId="949" priority="1401" stopIfTrue="1" operator="equal">
      <formula>"Towel"</formula>
    </cfRule>
    <cfRule type="cellIs" dxfId="948" priority="1402" stopIfTrue="1" operator="equal">
      <formula>"Napkin Hs"</formula>
    </cfRule>
    <cfRule type="cellIs" dxfId="947" priority="1407" stopIfTrue="1" operator="equal">
      <formula>"Towel"</formula>
    </cfRule>
    <cfRule type="cellIs" dxfId="946" priority="1408" stopIfTrue="1" operator="equal">
      <formula>"Napkin Hs"</formula>
    </cfRule>
  </conditionalFormatting>
  <conditionalFormatting sqref="C97:C98">
    <cfRule type="cellIs" dxfId="945" priority="1367" stopIfTrue="1" operator="equal">
      <formula>"Towel"</formula>
    </cfRule>
    <cfRule type="cellIs" dxfId="944" priority="1368" stopIfTrue="1" operator="equal">
      <formula>"Napkin Hs"</formula>
    </cfRule>
    <cfRule type="cellIs" dxfId="943" priority="1369" stopIfTrue="1" operator="equal">
      <formula>"Towel"</formula>
    </cfRule>
    <cfRule type="cellIs" dxfId="942" priority="1370" stopIfTrue="1" operator="equal">
      <formula>"Napkin Hs"</formula>
    </cfRule>
    <cfRule type="cellIs" dxfId="941" priority="1373" stopIfTrue="1" operator="equal">
      <formula>"Towel"</formula>
    </cfRule>
    <cfRule type="cellIs" dxfId="940" priority="1374" stopIfTrue="1" operator="equal">
      <formula>"Napkin Hs"</formula>
    </cfRule>
    <cfRule type="cellIs" dxfId="939" priority="1375" stopIfTrue="1" operator="equal">
      <formula>"Towel"</formula>
    </cfRule>
    <cfRule type="cellIs" dxfId="938" priority="1376" stopIfTrue="1" operator="equal">
      <formula>"Napkin Hs"</formula>
    </cfRule>
    <cfRule type="cellIs" dxfId="937" priority="1379" stopIfTrue="1" operator="equal">
      <formula>"Towel"</formula>
    </cfRule>
    <cfRule type="cellIs" dxfId="936" priority="1380" stopIfTrue="1" operator="equal">
      <formula>"Napkin Hs"</formula>
    </cfRule>
    <cfRule type="cellIs" dxfId="935" priority="1381" stopIfTrue="1" operator="equal">
      <formula>"Towel"</formula>
    </cfRule>
    <cfRule type="cellIs" dxfId="934" priority="1382" stopIfTrue="1" operator="equal">
      <formula>"Napkin Hs"</formula>
    </cfRule>
    <cfRule type="cellIs" dxfId="933" priority="1385" stopIfTrue="1" operator="equal">
      <formula>"Towel"</formula>
    </cfRule>
    <cfRule type="cellIs" dxfId="932" priority="1386" stopIfTrue="1" operator="equal">
      <formula>"Napkin Hs"</formula>
    </cfRule>
    <cfRule type="cellIs" dxfId="931" priority="1387" stopIfTrue="1" operator="equal">
      <formula>"Towel"</formula>
    </cfRule>
    <cfRule type="cellIs" dxfId="930" priority="1388" stopIfTrue="1" operator="equal">
      <formula>"Napkin Hs"</formula>
    </cfRule>
    <cfRule type="cellIs" dxfId="929" priority="1391" stopIfTrue="1" operator="equal">
      <formula>"Towel"</formula>
    </cfRule>
    <cfRule type="cellIs" dxfId="928" priority="1392" stopIfTrue="1" operator="equal">
      <formula>"Napkin Hs"</formula>
    </cfRule>
    <cfRule type="cellIs" dxfId="927" priority="1393" stopIfTrue="1" operator="equal">
      <formula>"Towel"</formula>
    </cfRule>
    <cfRule type="cellIs" dxfId="926" priority="1394" stopIfTrue="1" operator="equal">
      <formula>"Napkin Hs"</formula>
    </cfRule>
    <cfRule type="cellIs" dxfId="925" priority="1397" stopIfTrue="1" operator="equal">
      <formula>"Towel"</formula>
    </cfRule>
    <cfRule type="cellIs" dxfId="924" priority="1398" stopIfTrue="1" operator="equal">
      <formula>"Napkin Hs"</formula>
    </cfRule>
    <cfRule type="cellIs" dxfId="923" priority="1399" stopIfTrue="1" operator="equal">
      <formula>"Towel"</formula>
    </cfRule>
    <cfRule type="cellIs" dxfId="922" priority="1400" stopIfTrue="1" operator="equal">
      <formula>"Napkin Hs"</formula>
    </cfRule>
    <cfRule type="cellIs" dxfId="921" priority="1403" stopIfTrue="1" operator="equal">
      <formula>"Towel"</formula>
    </cfRule>
    <cfRule type="cellIs" dxfId="920" priority="1404" stopIfTrue="1" operator="equal">
      <formula>"Napkin Hs"</formula>
    </cfRule>
  </conditionalFormatting>
  <conditionalFormatting sqref="C97:C98">
    <cfRule type="cellIs" dxfId="919" priority="1405" stopIfTrue="1" operator="equal">
      <formula>"Towel"</formula>
    </cfRule>
    <cfRule type="cellIs" dxfId="918" priority="1406" stopIfTrue="1" operator="equal">
      <formula>"Napkin Hs"</formula>
    </cfRule>
  </conditionalFormatting>
  <conditionalFormatting sqref="B97:C98">
    <cfRule type="cellIs" dxfId="917" priority="1365" stopIfTrue="1" operator="equal">
      <formula>"Towel"</formula>
    </cfRule>
    <cfRule type="cellIs" dxfId="916" priority="1366" stopIfTrue="1" operator="equal">
      <formula>"Napkin Hs"</formula>
    </cfRule>
  </conditionalFormatting>
  <conditionalFormatting sqref="B97:C98">
    <cfRule type="cellIs" dxfId="915" priority="1329" stopIfTrue="1" operator="equal">
      <formula>"Towel"</formula>
    </cfRule>
    <cfRule type="cellIs" dxfId="914" priority="1330" stopIfTrue="1" operator="equal">
      <formula>"Napkin Hs"</formula>
    </cfRule>
    <cfRule type="cellIs" dxfId="913" priority="1335" stopIfTrue="1" operator="equal">
      <formula>"Towel"</formula>
    </cfRule>
    <cfRule type="cellIs" dxfId="912" priority="1336" stopIfTrue="1" operator="equal">
      <formula>"Napkin Hs"</formula>
    </cfRule>
    <cfRule type="cellIs" dxfId="911" priority="1341" stopIfTrue="1" operator="equal">
      <formula>"Towel"</formula>
    </cfRule>
    <cfRule type="cellIs" dxfId="910" priority="1342" stopIfTrue="1" operator="equal">
      <formula>"Napkin Hs"</formula>
    </cfRule>
    <cfRule type="cellIs" dxfId="909" priority="1347" stopIfTrue="1" operator="equal">
      <formula>"Towel"</formula>
    </cfRule>
    <cfRule type="cellIs" dxfId="908" priority="1348" stopIfTrue="1" operator="equal">
      <formula>"Napkin Hs"</formula>
    </cfRule>
    <cfRule type="cellIs" dxfId="907" priority="1353" stopIfTrue="1" operator="equal">
      <formula>"Towel"</formula>
    </cfRule>
    <cfRule type="cellIs" dxfId="906" priority="1354" stopIfTrue="1" operator="equal">
      <formula>"Napkin Hs"</formula>
    </cfRule>
    <cfRule type="cellIs" dxfId="905" priority="1359" stopIfTrue="1" operator="equal">
      <formula>"Towel"</formula>
    </cfRule>
    <cfRule type="cellIs" dxfId="904" priority="1360" stopIfTrue="1" operator="equal">
      <formula>"Napkin Hs"</formula>
    </cfRule>
  </conditionalFormatting>
  <conditionalFormatting sqref="C97:C98">
    <cfRule type="cellIs" dxfId="903" priority="1364" stopIfTrue="1" operator="equal">
      <formula>"Napkin Hs"</formula>
    </cfRule>
  </conditionalFormatting>
  <conditionalFormatting sqref="C97:C98">
    <cfRule type="cellIs" dxfId="902" priority="1363" stopIfTrue="1" operator="equal">
      <formula>"Towel"</formula>
    </cfRule>
  </conditionalFormatting>
  <conditionalFormatting sqref="C97:C98">
    <cfRule type="cellIs" dxfId="901" priority="1357" stopIfTrue="1" operator="equal">
      <formula>"Towel"</formula>
    </cfRule>
    <cfRule type="cellIs" dxfId="900" priority="1358" stopIfTrue="1" operator="equal">
      <formula>"Napkin Hs"</formula>
    </cfRule>
  </conditionalFormatting>
  <conditionalFormatting sqref="C97:C98">
    <cfRule type="cellIs" dxfId="899" priority="1355" stopIfTrue="1" operator="equal">
      <formula>"Towel"</formula>
    </cfRule>
    <cfRule type="cellIs" dxfId="898" priority="1356" stopIfTrue="1" operator="equal">
      <formula>"Napkin Hs"</formula>
    </cfRule>
    <cfRule type="cellIs" dxfId="897" priority="1361" stopIfTrue="1" operator="equal">
      <formula>"Towel"</formula>
    </cfRule>
    <cfRule type="cellIs" dxfId="896" priority="1362" stopIfTrue="1" operator="equal">
      <formula>"Napkin Hs"</formula>
    </cfRule>
  </conditionalFormatting>
  <conditionalFormatting sqref="C97:C98">
    <cfRule type="cellIs" dxfId="895" priority="1327" stopIfTrue="1" operator="equal">
      <formula>"Towel"</formula>
    </cfRule>
    <cfRule type="cellIs" dxfId="894" priority="1328" stopIfTrue="1" operator="equal">
      <formula>"Napkin Hs"</formula>
    </cfRule>
    <cfRule type="cellIs" dxfId="893" priority="1331" stopIfTrue="1" operator="equal">
      <formula>"Towel"</formula>
    </cfRule>
    <cfRule type="cellIs" dxfId="892" priority="1332" stopIfTrue="1" operator="equal">
      <formula>"Napkin Hs"</formula>
    </cfRule>
    <cfRule type="cellIs" dxfId="891" priority="1333" stopIfTrue="1" operator="equal">
      <formula>"Towel"</formula>
    </cfRule>
    <cfRule type="cellIs" dxfId="890" priority="1334" stopIfTrue="1" operator="equal">
      <formula>"Napkin Hs"</formula>
    </cfRule>
    <cfRule type="cellIs" dxfId="889" priority="1337" stopIfTrue="1" operator="equal">
      <formula>"Towel"</formula>
    </cfRule>
    <cfRule type="cellIs" dxfId="888" priority="1338" stopIfTrue="1" operator="equal">
      <formula>"Napkin Hs"</formula>
    </cfRule>
    <cfRule type="cellIs" dxfId="887" priority="1339" stopIfTrue="1" operator="equal">
      <formula>"Towel"</formula>
    </cfRule>
    <cfRule type="cellIs" dxfId="886" priority="1340" stopIfTrue="1" operator="equal">
      <formula>"Napkin Hs"</formula>
    </cfRule>
    <cfRule type="cellIs" dxfId="885" priority="1343" stopIfTrue="1" operator="equal">
      <formula>"Towel"</formula>
    </cfRule>
    <cfRule type="cellIs" dxfId="884" priority="1344" stopIfTrue="1" operator="equal">
      <formula>"Napkin Hs"</formula>
    </cfRule>
    <cfRule type="cellIs" dxfId="883" priority="1345" stopIfTrue="1" operator="equal">
      <formula>"Towel"</formula>
    </cfRule>
    <cfRule type="cellIs" dxfId="882" priority="1346" stopIfTrue="1" operator="equal">
      <formula>"Napkin Hs"</formula>
    </cfRule>
    <cfRule type="cellIs" dxfId="881" priority="1349" stopIfTrue="1" operator="equal">
      <formula>"Towel"</formula>
    </cfRule>
    <cfRule type="cellIs" dxfId="880" priority="1350" stopIfTrue="1" operator="equal">
      <formula>"Napkin Hs"</formula>
    </cfRule>
    <cfRule type="cellIs" dxfId="879" priority="1351" stopIfTrue="1" operator="equal">
      <formula>"Towel"</formula>
    </cfRule>
    <cfRule type="cellIs" dxfId="878" priority="1352" stopIfTrue="1" operator="equal">
      <formula>"Napkin Hs"</formula>
    </cfRule>
  </conditionalFormatting>
  <conditionalFormatting sqref="C97:C98">
    <cfRule type="cellIs" dxfId="877" priority="1325" stopIfTrue="1" operator="equal">
      <formula>"Towel"</formula>
    </cfRule>
    <cfRule type="cellIs" dxfId="876" priority="1326" stopIfTrue="1" operator="equal">
      <formula>"Napkin Hs"</formula>
    </cfRule>
  </conditionalFormatting>
  <conditionalFormatting sqref="C97:C98">
    <cfRule type="cellIs" dxfId="875" priority="1305" stopIfTrue="1" operator="equal">
      <formula>"Towel"</formula>
    </cfRule>
    <cfRule type="cellIs" dxfId="874" priority="1306" stopIfTrue="1" operator="equal">
      <formula>"Napkin Hs"</formula>
    </cfRule>
    <cfRule type="cellIs" dxfId="873" priority="1311" stopIfTrue="1" operator="equal">
      <formula>"Towel"</formula>
    </cfRule>
    <cfRule type="cellIs" dxfId="872" priority="1312" stopIfTrue="1" operator="equal">
      <formula>"Napkin Hs"</formula>
    </cfRule>
    <cfRule type="cellIs" dxfId="871" priority="1317" stopIfTrue="1" operator="equal">
      <formula>"Towel"</formula>
    </cfRule>
    <cfRule type="cellIs" dxfId="870" priority="1318" stopIfTrue="1" operator="equal">
      <formula>"Napkin Hs"</formula>
    </cfRule>
    <cfRule type="cellIs" dxfId="869" priority="1323" stopIfTrue="1" operator="equal">
      <formula>"Towel"</formula>
    </cfRule>
    <cfRule type="cellIs" dxfId="868" priority="1324" stopIfTrue="1" operator="equal">
      <formula>"Napkin Hs"</formula>
    </cfRule>
  </conditionalFormatting>
  <conditionalFormatting sqref="C97:C98">
    <cfRule type="cellIs" dxfId="867" priority="1315" stopIfTrue="1" operator="equal">
      <formula>"Towel"</formula>
    </cfRule>
    <cfRule type="cellIs" dxfId="866" priority="1316" stopIfTrue="1" operator="equal">
      <formula>"Napkin Hs"</formula>
    </cfRule>
    <cfRule type="cellIs" dxfId="865" priority="1321" stopIfTrue="1" operator="equal">
      <formula>"Towel"</formula>
    </cfRule>
    <cfRule type="cellIs" dxfId="864" priority="1322" stopIfTrue="1" operator="equal">
      <formula>"Napkin Hs"</formula>
    </cfRule>
  </conditionalFormatting>
  <conditionalFormatting sqref="C97:C98">
    <cfRule type="cellIs" dxfId="863" priority="1301" stopIfTrue="1" operator="equal">
      <formula>"Towel"</formula>
    </cfRule>
    <cfRule type="cellIs" dxfId="862" priority="1302" stopIfTrue="1" operator="equal">
      <formula>"Napkin Hs"</formula>
    </cfRule>
    <cfRule type="cellIs" dxfId="861" priority="1309" stopIfTrue="1" operator="equal">
      <formula>"Towel"</formula>
    </cfRule>
    <cfRule type="cellIs" dxfId="860" priority="1310" stopIfTrue="1" operator="equal">
      <formula>"Napkin Hs"</formula>
    </cfRule>
    <cfRule type="cellIs" dxfId="859" priority="1313" stopIfTrue="1" operator="equal">
      <formula>"Towel"</formula>
    </cfRule>
    <cfRule type="cellIs" dxfId="858" priority="1314" stopIfTrue="1" operator="equal">
      <formula>"Napkin Hs"</formula>
    </cfRule>
  </conditionalFormatting>
  <conditionalFormatting sqref="C97:C98">
    <cfRule type="cellIs" dxfId="857" priority="1303" stopIfTrue="1" operator="equal">
      <formula>"Towel"</formula>
    </cfRule>
    <cfRule type="cellIs" dxfId="856" priority="1304" stopIfTrue="1" operator="equal">
      <formula>"Napkin Hs"</formula>
    </cfRule>
    <cfRule type="cellIs" dxfId="855" priority="1307" stopIfTrue="1" operator="equal">
      <formula>"Towel"</formula>
    </cfRule>
    <cfRule type="cellIs" dxfId="854" priority="1308" stopIfTrue="1" operator="equal">
      <formula>"Napkin Hs"</formula>
    </cfRule>
    <cfRule type="cellIs" dxfId="853" priority="1319" stopIfTrue="1" operator="equal">
      <formula>"Towel"</formula>
    </cfRule>
    <cfRule type="cellIs" dxfId="852" priority="1320" stopIfTrue="1" operator="equal">
      <formula>"Napkin Hs"</formula>
    </cfRule>
  </conditionalFormatting>
  <conditionalFormatting sqref="C97:C98">
    <cfRule type="cellIs" dxfId="851" priority="1299" stopIfTrue="1" operator="equal">
      <formula>"Towel"</formula>
    </cfRule>
    <cfRule type="cellIs" dxfId="850" priority="1300" stopIfTrue="1" operator="equal">
      <formula>"Napkin Hs"</formula>
    </cfRule>
  </conditionalFormatting>
  <conditionalFormatting sqref="C97:C98">
    <cfRule type="cellIs" dxfId="849" priority="1295" stopIfTrue="1" operator="equal">
      <formula>"Towel"</formula>
    </cfRule>
    <cfRule type="cellIs" dxfId="848" priority="1296" stopIfTrue="1" operator="equal">
      <formula>"Napkin Hs"</formula>
    </cfRule>
  </conditionalFormatting>
  <conditionalFormatting sqref="C97:C98">
    <cfRule type="cellIs" dxfId="847" priority="1297" stopIfTrue="1" operator="equal">
      <formula>"Towel"</formula>
    </cfRule>
    <cfRule type="cellIs" dxfId="846" priority="1298" stopIfTrue="1" operator="equal">
      <formula>"Napkin Hs"</formula>
    </cfRule>
  </conditionalFormatting>
  <conditionalFormatting sqref="C97:C98">
    <cfRule type="cellIs" dxfId="845" priority="1293" stopIfTrue="1" operator="equal">
      <formula>"Towel"</formula>
    </cfRule>
    <cfRule type="cellIs" dxfId="844" priority="1294" stopIfTrue="1" operator="equal">
      <formula>"Napkin Hs"</formula>
    </cfRule>
  </conditionalFormatting>
  <conditionalFormatting sqref="C97:C98">
    <cfRule type="cellIs" dxfId="843" priority="1289" stopIfTrue="1" operator="equal">
      <formula>"Towel"</formula>
    </cfRule>
    <cfRule type="cellIs" dxfId="842" priority="1290" stopIfTrue="1" operator="equal">
      <formula>"Napkin Hs"</formula>
    </cfRule>
  </conditionalFormatting>
  <conditionalFormatting sqref="C97:C98">
    <cfRule type="cellIs" dxfId="841" priority="1291" stopIfTrue="1" operator="equal">
      <formula>"Towel"</formula>
    </cfRule>
    <cfRule type="cellIs" dxfId="840" priority="1292" stopIfTrue="1" operator="equal">
      <formula>"Napkin Hs"</formula>
    </cfRule>
  </conditionalFormatting>
  <conditionalFormatting sqref="C97:C98">
    <cfRule type="cellIs" dxfId="839" priority="1287" stopIfTrue="1" operator="equal">
      <formula>"Towel"</formula>
    </cfRule>
    <cfRule type="cellIs" dxfId="838" priority="1288" stopIfTrue="1" operator="equal">
      <formula>"Napkin Hs"</formula>
    </cfRule>
  </conditionalFormatting>
  <conditionalFormatting sqref="C97:C98">
    <cfRule type="cellIs" dxfId="837" priority="1283" stopIfTrue="1" operator="equal">
      <formula>"Towel"</formula>
    </cfRule>
    <cfRule type="cellIs" dxfId="836" priority="1284" stopIfTrue="1" operator="equal">
      <formula>"Napkin Hs"</formula>
    </cfRule>
  </conditionalFormatting>
  <conditionalFormatting sqref="C97:C98">
    <cfRule type="cellIs" dxfId="835" priority="1285" stopIfTrue="1" operator="equal">
      <formula>"Towel"</formula>
    </cfRule>
    <cfRule type="cellIs" dxfId="834" priority="1286" stopIfTrue="1" operator="equal">
      <formula>"Napkin Hs"</formula>
    </cfRule>
  </conditionalFormatting>
  <conditionalFormatting sqref="C97:C98">
    <cfRule type="cellIs" dxfId="833" priority="1281" stopIfTrue="1" operator="equal">
      <formula>"Towel"</formula>
    </cfRule>
    <cfRule type="cellIs" dxfId="832" priority="1282" stopIfTrue="1" operator="equal">
      <formula>"Napkin Hs"</formula>
    </cfRule>
  </conditionalFormatting>
  <conditionalFormatting sqref="C97:C98">
    <cfRule type="cellIs" dxfId="831" priority="1279" stopIfTrue="1" operator="equal">
      <formula>"Towel"</formula>
    </cfRule>
    <cfRule type="cellIs" dxfId="830" priority="1280" stopIfTrue="1" operator="equal">
      <formula>"Napkin Hs"</formula>
    </cfRule>
  </conditionalFormatting>
  <conditionalFormatting sqref="C97:C98">
    <cfRule type="cellIs" dxfId="829" priority="1277" stopIfTrue="1" operator="equal">
      <formula>"Towel"</formula>
    </cfRule>
    <cfRule type="cellIs" dxfId="828" priority="1278" stopIfTrue="1" operator="equal">
      <formula>"Napkin Hs"</formula>
    </cfRule>
  </conditionalFormatting>
  <conditionalFormatting sqref="C97:C98">
    <cfRule type="cellIs" dxfId="827" priority="1275" stopIfTrue="1" operator="equal">
      <formula>"Towel"</formula>
    </cfRule>
    <cfRule type="cellIs" dxfId="826" priority="1276" stopIfTrue="1" operator="equal">
      <formula>"Napkin Hs"</formula>
    </cfRule>
  </conditionalFormatting>
  <conditionalFormatting sqref="C97:C98">
    <cfRule type="cellIs" dxfId="825" priority="1274" stopIfTrue="1" operator="equal">
      <formula>"Napkin Hs"</formula>
    </cfRule>
  </conditionalFormatting>
  <conditionalFormatting sqref="C97:C98">
    <cfRule type="cellIs" dxfId="824" priority="1271" stopIfTrue="1" operator="equal">
      <formula>"Towel"</formula>
    </cfRule>
    <cfRule type="cellIs" dxfId="823" priority="1272" stopIfTrue="1" operator="equal">
      <formula>"Napkin Hs"</formula>
    </cfRule>
  </conditionalFormatting>
  <conditionalFormatting sqref="C97:C98">
    <cfRule type="cellIs" dxfId="822" priority="1273" stopIfTrue="1" operator="equal">
      <formula>"Towel"</formula>
    </cfRule>
  </conditionalFormatting>
  <conditionalFormatting sqref="B97:B98">
    <cfRule type="cellIs" dxfId="821" priority="1269" stopIfTrue="1" operator="equal">
      <formula>"Towel"</formula>
    </cfRule>
    <cfRule type="cellIs" dxfId="820" priority="1270" stopIfTrue="1" operator="equal">
      <formula>"Napkin Hs"</formula>
    </cfRule>
  </conditionalFormatting>
  <conditionalFormatting sqref="B97:B98">
    <cfRule type="cellIs" dxfId="819" priority="1267" stopIfTrue="1" operator="equal">
      <formula>"Towel"</formula>
    </cfRule>
    <cfRule type="cellIs" dxfId="818" priority="1268" stopIfTrue="1" operator="equal">
      <formula>"Napkin Hs"</formula>
    </cfRule>
  </conditionalFormatting>
  <conditionalFormatting sqref="B97:B98">
    <cfRule type="cellIs" dxfId="817" priority="1265" stopIfTrue="1" operator="equal">
      <formula>"Towel"</formula>
    </cfRule>
    <cfRule type="cellIs" dxfId="816" priority="1266" stopIfTrue="1" operator="equal">
      <formula>"Napkin Hs"</formula>
    </cfRule>
  </conditionalFormatting>
  <conditionalFormatting sqref="B97:B98">
    <cfRule type="cellIs" dxfId="815" priority="1263" stopIfTrue="1" operator="equal">
      <formula>"Towel"</formula>
    </cfRule>
    <cfRule type="cellIs" dxfId="814" priority="1264" stopIfTrue="1" operator="equal">
      <formula>"Napkin Hs"</formula>
    </cfRule>
  </conditionalFormatting>
  <conditionalFormatting sqref="B97:B98">
    <cfRule type="cellIs" dxfId="813" priority="1261" stopIfTrue="1" operator="equal">
      <formula>"Towel"</formula>
    </cfRule>
    <cfRule type="cellIs" dxfId="812" priority="1262" stopIfTrue="1" operator="equal">
      <formula>"Napkin Hs"</formula>
    </cfRule>
  </conditionalFormatting>
  <conditionalFormatting sqref="B97:B98">
    <cfRule type="cellIs" dxfId="811" priority="1259" stopIfTrue="1" operator="equal">
      <formula>"Towel"</formula>
    </cfRule>
    <cfRule type="cellIs" dxfId="810" priority="1260" stopIfTrue="1" operator="equal">
      <formula>"Napkin Hs"</formula>
    </cfRule>
  </conditionalFormatting>
  <conditionalFormatting sqref="B97:B98">
    <cfRule type="cellIs" dxfId="809" priority="1255" stopIfTrue="1" operator="equal">
      <formula>"Towel"</formula>
    </cfRule>
    <cfRule type="cellIs" dxfId="808" priority="1256" stopIfTrue="1" operator="equal">
      <formula>"Napkin Hs"</formula>
    </cfRule>
    <cfRule type="cellIs" dxfId="807" priority="1257" stopIfTrue="1" operator="equal">
      <formula>"Towel"</formula>
    </cfRule>
    <cfRule type="cellIs" dxfId="806" priority="1258" stopIfTrue="1" operator="equal">
      <formula>"Napkin Hs"</formula>
    </cfRule>
  </conditionalFormatting>
  <conditionalFormatting sqref="B97:B98">
    <cfRule type="cellIs" dxfId="805" priority="1253" stopIfTrue="1" operator="equal">
      <formula>"Towel"</formula>
    </cfRule>
    <cfRule type="cellIs" dxfId="804" priority="1254" stopIfTrue="1" operator="equal">
      <formula>"Napkin Hs"</formula>
    </cfRule>
  </conditionalFormatting>
  <conditionalFormatting sqref="B97:B98">
    <cfRule type="cellIs" dxfId="803" priority="1251" stopIfTrue="1" operator="equal">
      <formula>"Towel"</formula>
    </cfRule>
    <cfRule type="cellIs" dxfId="802" priority="1252" stopIfTrue="1" operator="equal">
      <formula>"Napkin Hs"</formula>
    </cfRule>
  </conditionalFormatting>
  <conditionalFormatting sqref="B97:B98">
    <cfRule type="cellIs" dxfId="801" priority="1249" stopIfTrue="1" operator="equal">
      <formula>"Towel"</formula>
    </cfRule>
    <cfRule type="cellIs" dxfId="800" priority="1250" stopIfTrue="1" operator="equal">
      <formula>"Napkin Hs"</formula>
    </cfRule>
  </conditionalFormatting>
  <conditionalFormatting sqref="B97:B98">
    <cfRule type="cellIs" dxfId="799" priority="1247" stopIfTrue="1" operator="equal">
      <formula>"Towel"</formula>
    </cfRule>
    <cfRule type="cellIs" dxfId="798" priority="1248" stopIfTrue="1" operator="equal">
      <formula>"Napkin Hs"</formula>
    </cfRule>
  </conditionalFormatting>
  <conditionalFormatting sqref="B97:B98">
    <cfRule type="cellIs" dxfId="797" priority="1245" stopIfTrue="1" operator="equal">
      <formula>"Towel"</formula>
    </cfRule>
    <cfRule type="cellIs" dxfId="796" priority="1246" stopIfTrue="1" operator="equal">
      <formula>"Napkin Hs"</formula>
    </cfRule>
  </conditionalFormatting>
  <conditionalFormatting sqref="B97:C98">
    <cfRule type="cellIs" dxfId="795" priority="1231" stopIfTrue="1" operator="equal">
      <formula>"Towel"</formula>
    </cfRule>
    <cfRule type="cellIs" dxfId="794" priority="1232" stopIfTrue="1" operator="equal">
      <formula>"Napkin Hs"</formula>
    </cfRule>
    <cfRule type="cellIs" dxfId="793" priority="1237" stopIfTrue="1" operator="equal">
      <formula>"Towel"</formula>
    </cfRule>
    <cfRule type="cellIs" dxfId="792" priority="1238" stopIfTrue="1" operator="equal">
      <formula>"Napkin Hs"</formula>
    </cfRule>
    <cfRule type="cellIs" dxfId="791" priority="1243" stopIfTrue="1" operator="equal">
      <formula>"Towel"</formula>
    </cfRule>
    <cfRule type="cellIs" dxfId="790" priority="1244" stopIfTrue="1" operator="equal">
      <formula>"Napkin Hs"</formula>
    </cfRule>
  </conditionalFormatting>
  <conditionalFormatting sqref="C97:C98">
    <cfRule type="cellIs" dxfId="789" priority="1225" stopIfTrue="1" operator="equal">
      <formula>"Towel"</formula>
    </cfRule>
    <cfRule type="cellIs" dxfId="788" priority="1226" stopIfTrue="1" operator="equal">
      <formula>"Napkin Hs"</formula>
    </cfRule>
    <cfRule type="cellIs" dxfId="787" priority="1227" stopIfTrue="1" operator="equal">
      <formula>"Towel"</formula>
    </cfRule>
    <cfRule type="cellIs" dxfId="786" priority="1228" stopIfTrue="1" operator="equal">
      <formula>"Napkin Hs"</formula>
    </cfRule>
    <cfRule type="cellIs" dxfId="785" priority="1235" stopIfTrue="1" operator="equal">
      <formula>"Towel"</formula>
    </cfRule>
    <cfRule type="cellIs" dxfId="784" priority="1236" stopIfTrue="1" operator="equal">
      <formula>"Napkin Hs"</formula>
    </cfRule>
    <cfRule type="cellIs" dxfId="783" priority="1239" stopIfTrue="1" operator="equal">
      <formula>"Towel"</formula>
    </cfRule>
    <cfRule type="cellIs" dxfId="782" priority="1240" stopIfTrue="1" operator="equal">
      <formula>"Napkin Hs"</formula>
    </cfRule>
  </conditionalFormatting>
  <conditionalFormatting sqref="C97:C98">
    <cfRule type="cellIs" dxfId="781" priority="1229" stopIfTrue="1" operator="equal">
      <formula>"Towel"</formula>
    </cfRule>
    <cfRule type="cellIs" dxfId="780" priority="1230" stopIfTrue="1" operator="equal">
      <formula>"Napkin Hs"</formula>
    </cfRule>
    <cfRule type="cellIs" dxfId="779" priority="1233" stopIfTrue="1" operator="equal">
      <formula>"Towel"</formula>
    </cfRule>
    <cfRule type="cellIs" dxfId="778" priority="1234" stopIfTrue="1" operator="equal">
      <formula>"Napkin Hs"</formula>
    </cfRule>
    <cfRule type="cellIs" dxfId="777" priority="1241" stopIfTrue="1" operator="equal">
      <formula>"Towel"</formula>
    </cfRule>
    <cfRule type="cellIs" dxfId="776" priority="1242" stopIfTrue="1" operator="equal">
      <formula>"Napkin Hs"</formula>
    </cfRule>
  </conditionalFormatting>
  <conditionalFormatting sqref="B97:C98">
    <cfRule type="cellIs" dxfId="775" priority="1223" stopIfTrue="1" operator="equal">
      <formula>"Towel"</formula>
    </cfRule>
    <cfRule type="cellIs" dxfId="774" priority="1224" stopIfTrue="1" operator="equal">
      <formula>"Napkin Hs"</formula>
    </cfRule>
  </conditionalFormatting>
  <conditionalFormatting sqref="B97:C98">
    <cfRule type="cellIs" dxfId="773" priority="1215" stopIfTrue="1" operator="equal">
      <formula>"Towel"</formula>
    </cfRule>
    <cfRule type="cellIs" dxfId="772" priority="1216" stopIfTrue="1" operator="equal">
      <formula>"Napkin Hs"</formula>
    </cfRule>
    <cfRule type="cellIs" dxfId="771" priority="1221" stopIfTrue="1" operator="equal">
      <formula>"Towel"</formula>
    </cfRule>
    <cfRule type="cellIs" dxfId="770" priority="1222" stopIfTrue="1" operator="equal">
      <formula>"Napkin Hs"</formula>
    </cfRule>
  </conditionalFormatting>
  <conditionalFormatting sqref="C97:C98">
    <cfRule type="cellIs" dxfId="769" priority="1211" stopIfTrue="1" operator="equal">
      <formula>"Towel"</formula>
    </cfRule>
    <cfRule type="cellIs" dxfId="768" priority="1212" stopIfTrue="1" operator="equal">
      <formula>"Napkin Hs"</formula>
    </cfRule>
  </conditionalFormatting>
  <conditionalFormatting sqref="C97:C98">
    <cfRule type="cellIs" dxfId="767" priority="1209" stopIfTrue="1" operator="equal">
      <formula>"Towel"</formula>
    </cfRule>
    <cfRule type="cellIs" dxfId="766" priority="1210" stopIfTrue="1" operator="equal">
      <formula>"Napkin Hs"</formula>
    </cfRule>
    <cfRule type="cellIs" dxfId="765" priority="1219" stopIfTrue="1" operator="equal">
      <formula>"Towel"</formula>
    </cfRule>
    <cfRule type="cellIs" dxfId="764" priority="1220" stopIfTrue="1" operator="equal">
      <formula>"Napkin Hs"</formula>
    </cfRule>
  </conditionalFormatting>
  <conditionalFormatting sqref="C97:C98">
    <cfRule type="cellIs" dxfId="763" priority="1213" stopIfTrue="1" operator="equal">
      <formula>"Towel"</formula>
    </cfRule>
    <cfRule type="cellIs" dxfId="762" priority="1214" stopIfTrue="1" operator="equal">
      <formula>"Napkin Hs"</formula>
    </cfRule>
    <cfRule type="cellIs" dxfId="761" priority="1217" stopIfTrue="1" operator="equal">
      <formula>"Towel"</formula>
    </cfRule>
    <cfRule type="cellIs" dxfId="760" priority="1218" stopIfTrue="1" operator="equal">
      <formula>"Napkin Hs"</formula>
    </cfRule>
  </conditionalFormatting>
  <conditionalFormatting sqref="C97:C98">
    <cfRule type="cellIs" dxfId="759" priority="1208" stopIfTrue="1" operator="equal">
      <formula>"Napkin Hs"</formula>
    </cfRule>
  </conditionalFormatting>
  <conditionalFormatting sqref="C97:C98">
    <cfRule type="cellIs" dxfId="758" priority="1207" stopIfTrue="1" operator="equal">
      <formula>"Towel"</formula>
    </cfRule>
  </conditionalFormatting>
  <conditionalFormatting sqref="C97:C98">
    <cfRule type="cellIs" dxfId="757" priority="1203" stopIfTrue="1" operator="equal">
      <formula>"Towel"</formula>
    </cfRule>
    <cfRule type="cellIs" dxfId="756" priority="1204" stopIfTrue="1" operator="equal">
      <formula>"Napkin Hs"</formula>
    </cfRule>
    <cfRule type="cellIs" dxfId="755" priority="1205" stopIfTrue="1" operator="equal">
      <formula>"Towel"</formula>
    </cfRule>
    <cfRule type="cellIs" dxfId="754" priority="1206" stopIfTrue="1" operator="equal">
      <formula>"Napkin Hs"</formula>
    </cfRule>
  </conditionalFormatting>
  <conditionalFormatting sqref="B97:C98">
    <cfRule type="cellIs" dxfId="753" priority="1201" stopIfTrue="1" operator="equal">
      <formula>"Towel"</formula>
    </cfRule>
    <cfRule type="cellIs" dxfId="752" priority="1202" stopIfTrue="1" operator="equal">
      <formula>"Napkin Hs"</formula>
    </cfRule>
  </conditionalFormatting>
  <conditionalFormatting sqref="C97:C98">
    <cfRule type="cellIs" dxfId="751" priority="1197" stopIfTrue="1" operator="equal">
      <formula>"Towel"</formula>
    </cfRule>
    <cfRule type="cellIs" dxfId="750" priority="1198" stopIfTrue="1" operator="equal">
      <formula>"Napkin Hs"</formula>
    </cfRule>
  </conditionalFormatting>
  <conditionalFormatting sqref="C97:C98">
    <cfRule type="cellIs" dxfId="749" priority="1199" stopIfTrue="1" operator="equal">
      <formula>"Towel"</formula>
    </cfRule>
    <cfRule type="cellIs" dxfId="748" priority="1200" stopIfTrue="1" operator="equal">
      <formula>"Napkin Hs"</formula>
    </cfRule>
  </conditionalFormatting>
  <conditionalFormatting sqref="B97:C98">
    <cfRule type="cellIs" dxfId="747" priority="1195" stopIfTrue="1" operator="equal">
      <formula>"Towel"</formula>
    </cfRule>
    <cfRule type="cellIs" dxfId="746" priority="1196" stopIfTrue="1" operator="equal">
      <formula>"Napkin Hs"</formula>
    </cfRule>
  </conditionalFormatting>
  <conditionalFormatting sqref="C97:C98">
    <cfRule type="cellIs" dxfId="745" priority="1191" stopIfTrue="1" operator="equal">
      <formula>"Towel"</formula>
    </cfRule>
    <cfRule type="cellIs" dxfId="744" priority="1192" stopIfTrue="1" operator="equal">
      <formula>"Napkin Hs"</formula>
    </cfRule>
  </conditionalFormatting>
  <conditionalFormatting sqref="C97:C98">
    <cfRule type="cellIs" dxfId="743" priority="1193" stopIfTrue="1" operator="equal">
      <formula>"Towel"</formula>
    </cfRule>
    <cfRule type="cellIs" dxfId="742" priority="1194" stopIfTrue="1" operator="equal">
      <formula>"Napkin Hs"</formula>
    </cfRule>
  </conditionalFormatting>
  <conditionalFormatting sqref="B97:C98">
    <cfRule type="cellIs" dxfId="741" priority="1189" stopIfTrue="1" operator="equal">
      <formula>"Towel"</formula>
    </cfRule>
    <cfRule type="cellIs" dxfId="740" priority="1190" stopIfTrue="1" operator="equal">
      <formula>"Napkin Hs"</formula>
    </cfRule>
  </conditionalFormatting>
  <conditionalFormatting sqref="C97:C98">
    <cfRule type="cellIs" dxfId="739" priority="1185" stopIfTrue="1" operator="equal">
      <formula>"Towel"</formula>
    </cfRule>
    <cfRule type="cellIs" dxfId="738" priority="1186" stopIfTrue="1" operator="equal">
      <formula>"Napkin Hs"</formula>
    </cfRule>
  </conditionalFormatting>
  <conditionalFormatting sqref="C97:C98">
    <cfRule type="cellIs" dxfId="737" priority="1187" stopIfTrue="1" operator="equal">
      <formula>"Towel"</formula>
    </cfRule>
    <cfRule type="cellIs" dxfId="736" priority="1188" stopIfTrue="1" operator="equal">
      <formula>"Napkin Hs"</formula>
    </cfRule>
  </conditionalFormatting>
  <conditionalFormatting sqref="B97:C98">
    <cfRule type="cellIs" dxfId="735" priority="1183" stopIfTrue="1" operator="equal">
      <formula>"Towel"</formula>
    </cfRule>
    <cfRule type="cellIs" dxfId="734" priority="1184" stopIfTrue="1" operator="equal">
      <formula>"Napkin Hs"</formula>
    </cfRule>
  </conditionalFormatting>
  <conditionalFormatting sqref="C97:C98">
    <cfRule type="cellIs" dxfId="733" priority="1181" stopIfTrue="1" operator="equal">
      <formula>"Towel"</formula>
    </cfRule>
    <cfRule type="cellIs" dxfId="732" priority="1182" stopIfTrue="1" operator="equal">
      <formula>"Napkin Hs"</formula>
    </cfRule>
  </conditionalFormatting>
  <conditionalFormatting sqref="C97:C98">
    <cfRule type="cellIs" dxfId="731" priority="1179" stopIfTrue="1" operator="equal">
      <formula>"Towel"</formula>
    </cfRule>
    <cfRule type="cellIs" dxfId="730" priority="1180" stopIfTrue="1" operator="equal">
      <formula>"Napkin Hs"</formula>
    </cfRule>
  </conditionalFormatting>
  <conditionalFormatting sqref="B97:C98">
    <cfRule type="cellIs" dxfId="729" priority="1177" stopIfTrue="1" operator="equal">
      <formula>"Towel"</formula>
    </cfRule>
    <cfRule type="cellIs" dxfId="728" priority="1178" stopIfTrue="1" operator="equal">
      <formula>"Napkin Hs"</formula>
    </cfRule>
  </conditionalFormatting>
  <conditionalFormatting sqref="C97:C98">
    <cfRule type="cellIs" dxfId="727" priority="1176" stopIfTrue="1" operator="equal">
      <formula>"Napkin Hs"</formula>
    </cfRule>
  </conditionalFormatting>
  <conditionalFormatting sqref="C97:C98">
    <cfRule type="cellIs" dxfId="726" priority="1173" stopIfTrue="1" operator="equal">
      <formula>"Towel"</formula>
    </cfRule>
    <cfRule type="cellIs" dxfId="725" priority="1174" stopIfTrue="1" operator="equal">
      <formula>"Napkin Hs"</formula>
    </cfRule>
  </conditionalFormatting>
  <conditionalFormatting sqref="C97:C98">
    <cfRule type="cellIs" dxfId="724" priority="1175" stopIfTrue="1" operator="equal">
      <formula>"Towel"</formula>
    </cfRule>
  </conditionalFormatting>
  <conditionalFormatting sqref="B97:C97">
    <cfRule type="cellIs" dxfId="723" priority="1145" stopIfTrue="1" operator="equal">
      <formula>"Towel"</formula>
    </cfRule>
    <cfRule type="cellIs" dxfId="722" priority="1146" stopIfTrue="1" operator="equal">
      <formula>"Napkin Hs"</formula>
    </cfRule>
    <cfRule type="cellIs" dxfId="721" priority="1151" stopIfTrue="1" operator="equal">
      <formula>"Towel"</formula>
    </cfRule>
    <cfRule type="cellIs" dxfId="720" priority="1152" stopIfTrue="1" operator="equal">
      <formula>"Napkin Hs"</formula>
    </cfRule>
    <cfRule type="cellIs" dxfId="719" priority="1157" stopIfTrue="1" operator="equal">
      <formula>"Towel"</formula>
    </cfRule>
    <cfRule type="cellIs" dxfId="718" priority="1158" stopIfTrue="1" operator="equal">
      <formula>"Napkin Hs"</formula>
    </cfRule>
    <cfRule type="cellIs" dxfId="717" priority="1163" stopIfTrue="1" operator="equal">
      <formula>"Towel"</formula>
    </cfRule>
    <cfRule type="cellIs" dxfId="716" priority="1164" stopIfTrue="1" operator="equal">
      <formula>"Napkin Hs"</formula>
    </cfRule>
    <cfRule type="cellIs" dxfId="715" priority="1169" stopIfTrue="1" operator="equal">
      <formula>"Towel"</formula>
    </cfRule>
    <cfRule type="cellIs" dxfId="714" priority="1170" stopIfTrue="1" operator="equal">
      <formula>"Napkin Hs"</formula>
    </cfRule>
  </conditionalFormatting>
  <conditionalFormatting sqref="C97">
    <cfRule type="cellIs" dxfId="713" priority="1141" stopIfTrue="1" operator="equal">
      <formula>"Towel"</formula>
    </cfRule>
    <cfRule type="cellIs" dxfId="712" priority="1142" stopIfTrue="1" operator="equal">
      <formula>"Napkin Hs"</formula>
    </cfRule>
  </conditionalFormatting>
  <conditionalFormatting sqref="C97">
    <cfRule type="cellIs" dxfId="711" priority="1143" stopIfTrue="1" operator="equal">
      <formula>"Towel"</formula>
    </cfRule>
    <cfRule type="cellIs" dxfId="710" priority="1144" stopIfTrue="1" operator="equal">
      <formula>"Napkin Hs"</formula>
    </cfRule>
    <cfRule type="cellIs" dxfId="709" priority="1147" stopIfTrue="1" operator="equal">
      <formula>"Towel"</formula>
    </cfRule>
    <cfRule type="cellIs" dxfId="708" priority="1148" stopIfTrue="1" operator="equal">
      <formula>"Napkin Hs"</formula>
    </cfRule>
    <cfRule type="cellIs" dxfId="707" priority="1149" stopIfTrue="1" operator="equal">
      <formula>"Towel"</formula>
    </cfRule>
    <cfRule type="cellIs" dxfId="706" priority="1150" stopIfTrue="1" operator="equal">
      <formula>"Napkin Hs"</formula>
    </cfRule>
    <cfRule type="cellIs" dxfId="705" priority="1153" stopIfTrue="1" operator="equal">
      <formula>"Towel"</formula>
    </cfRule>
    <cfRule type="cellIs" dxfId="704" priority="1154" stopIfTrue="1" operator="equal">
      <formula>"Napkin Hs"</formula>
    </cfRule>
    <cfRule type="cellIs" dxfId="703" priority="1155" stopIfTrue="1" operator="equal">
      <formula>"Towel"</formula>
    </cfRule>
    <cfRule type="cellIs" dxfId="702" priority="1156" stopIfTrue="1" operator="equal">
      <formula>"Napkin Hs"</formula>
    </cfRule>
    <cfRule type="cellIs" dxfId="701" priority="1159" stopIfTrue="1" operator="equal">
      <formula>"Towel"</formula>
    </cfRule>
    <cfRule type="cellIs" dxfId="700" priority="1160" stopIfTrue="1" operator="equal">
      <formula>"Napkin Hs"</formula>
    </cfRule>
    <cfRule type="cellIs" dxfId="699" priority="1161" stopIfTrue="1" operator="equal">
      <formula>"Towel"</formula>
    </cfRule>
    <cfRule type="cellIs" dxfId="698" priority="1162" stopIfTrue="1" operator="equal">
      <formula>"Napkin Hs"</formula>
    </cfRule>
    <cfRule type="cellIs" dxfId="697" priority="1165" stopIfTrue="1" operator="equal">
      <formula>"Towel"</formula>
    </cfRule>
    <cfRule type="cellIs" dxfId="696" priority="1166" stopIfTrue="1" operator="equal">
      <formula>"Napkin Hs"</formula>
    </cfRule>
    <cfRule type="cellIs" dxfId="695" priority="1167" stopIfTrue="1" operator="equal">
      <formula>"Towel"</formula>
    </cfRule>
    <cfRule type="cellIs" dxfId="694" priority="1168" stopIfTrue="1" operator="equal">
      <formula>"Napkin Hs"</formula>
    </cfRule>
    <cfRule type="cellIs" dxfId="693" priority="1171" stopIfTrue="1" operator="equal">
      <formula>"Towel"</formula>
    </cfRule>
    <cfRule type="cellIs" dxfId="692" priority="1172" stopIfTrue="1" operator="equal">
      <formula>"Napkin Hs"</formula>
    </cfRule>
  </conditionalFormatting>
  <conditionalFormatting sqref="B98:C98">
    <cfRule type="cellIs" dxfId="691" priority="1111" stopIfTrue="1" operator="equal">
      <formula>"Towel"</formula>
    </cfRule>
    <cfRule type="cellIs" dxfId="690" priority="1112" stopIfTrue="1" operator="equal">
      <formula>"Napkin Hs"</formula>
    </cfRule>
    <cfRule type="cellIs" dxfId="689" priority="1117" stopIfTrue="1" operator="equal">
      <formula>"Towel"</formula>
    </cfRule>
    <cfRule type="cellIs" dxfId="688" priority="1118" stopIfTrue="1" operator="equal">
      <formula>"Napkin Hs"</formula>
    </cfRule>
    <cfRule type="cellIs" dxfId="687" priority="1123" stopIfTrue="1" operator="equal">
      <formula>"Towel"</formula>
    </cfRule>
    <cfRule type="cellIs" dxfId="686" priority="1124" stopIfTrue="1" operator="equal">
      <formula>"Napkin Hs"</formula>
    </cfRule>
    <cfRule type="cellIs" dxfId="685" priority="1129" stopIfTrue="1" operator="equal">
      <formula>"Towel"</formula>
    </cfRule>
    <cfRule type="cellIs" dxfId="684" priority="1130" stopIfTrue="1" operator="equal">
      <formula>"Napkin Hs"</formula>
    </cfRule>
    <cfRule type="cellIs" dxfId="683" priority="1135" stopIfTrue="1" operator="equal">
      <formula>"Towel"</formula>
    </cfRule>
    <cfRule type="cellIs" dxfId="682" priority="1136" stopIfTrue="1" operator="equal">
      <formula>"Napkin Hs"</formula>
    </cfRule>
    <cfRule type="cellIs" dxfId="681" priority="1139" stopIfTrue="1" operator="equal">
      <formula>"Towel"</formula>
    </cfRule>
    <cfRule type="cellIs" dxfId="680" priority="1140" stopIfTrue="1" operator="equal">
      <formula>"Napkin Hs"</formula>
    </cfRule>
  </conditionalFormatting>
  <conditionalFormatting sqref="C98">
    <cfRule type="cellIs" dxfId="679" priority="1107" stopIfTrue="1" operator="equal">
      <formula>"Towel"</formula>
    </cfRule>
    <cfRule type="cellIs" dxfId="678" priority="1108" stopIfTrue="1" operator="equal">
      <formula>"Napkin Hs"</formula>
    </cfRule>
  </conditionalFormatting>
  <conditionalFormatting sqref="C98">
    <cfRule type="cellIs" dxfId="677" priority="1109" stopIfTrue="1" operator="equal">
      <formula>"Towel"</formula>
    </cfRule>
    <cfRule type="cellIs" dxfId="676" priority="1110" stopIfTrue="1" operator="equal">
      <formula>"Napkin Hs"</formula>
    </cfRule>
    <cfRule type="cellIs" dxfId="675" priority="1113" stopIfTrue="1" operator="equal">
      <formula>"Towel"</formula>
    </cfRule>
    <cfRule type="cellIs" dxfId="674" priority="1114" stopIfTrue="1" operator="equal">
      <formula>"Napkin Hs"</formula>
    </cfRule>
    <cfRule type="cellIs" dxfId="673" priority="1115" stopIfTrue="1" operator="equal">
      <formula>"Towel"</formula>
    </cfRule>
    <cfRule type="cellIs" dxfId="672" priority="1116" stopIfTrue="1" operator="equal">
      <formula>"Napkin Hs"</formula>
    </cfRule>
    <cfRule type="cellIs" dxfId="671" priority="1119" stopIfTrue="1" operator="equal">
      <formula>"Towel"</formula>
    </cfRule>
    <cfRule type="cellIs" dxfId="670" priority="1120" stopIfTrue="1" operator="equal">
      <formula>"Napkin Hs"</formula>
    </cfRule>
    <cfRule type="cellIs" dxfId="669" priority="1121" stopIfTrue="1" operator="equal">
      <formula>"Towel"</formula>
    </cfRule>
    <cfRule type="cellIs" dxfId="668" priority="1122" stopIfTrue="1" operator="equal">
      <formula>"Napkin Hs"</formula>
    </cfRule>
    <cfRule type="cellIs" dxfId="667" priority="1125" stopIfTrue="1" operator="equal">
      <formula>"Towel"</formula>
    </cfRule>
    <cfRule type="cellIs" dxfId="666" priority="1126" stopIfTrue="1" operator="equal">
      <formula>"Napkin Hs"</formula>
    </cfRule>
    <cfRule type="cellIs" dxfId="665" priority="1127" stopIfTrue="1" operator="equal">
      <formula>"Towel"</formula>
    </cfRule>
    <cfRule type="cellIs" dxfId="664" priority="1128" stopIfTrue="1" operator="equal">
      <formula>"Napkin Hs"</formula>
    </cfRule>
    <cfRule type="cellIs" dxfId="663" priority="1131" stopIfTrue="1" operator="equal">
      <formula>"Towel"</formula>
    </cfRule>
    <cfRule type="cellIs" dxfId="662" priority="1132" stopIfTrue="1" operator="equal">
      <formula>"Napkin Hs"</formula>
    </cfRule>
    <cfRule type="cellIs" dxfId="661" priority="1133" stopIfTrue="1" operator="equal">
      <formula>"Towel"</formula>
    </cfRule>
    <cfRule type="cellIs" dxfId="660" priority="1134" stopIfTrue="1" operator="equal">
      <formula>"Napkin Hs"</formula>
    </cfRule>
    <cfRule type="cellIs" dxfId="659" priority="1137" stopIfTrue="1" operator="equal">
      <formula>"Towel"</formula>
    </cfRule>
    <cfRule type="cellIs" dxfId="658" priority="1138" stopIfTrue="1" operator="equal">
      <formula>"Napkin Hs"</formula>
    </cfRule>
  </conditionalFormatting>
  <conditionalFormatting sqref="B113:C113">
    <cfRule type="cellIs" dxfId="657" priority="655" stopIfTrue="1" operator="equal">
      <formula>"Towel"</formula>
    </cfRule>
    <cfRule type="cellIs" dxfId="656" priority="656" stopIfTrue="1" operator="equal">
      <formula>"Napkin Hs"</formula>
    </cfRule>
  </conditionalFormatting>
  <conditionalFormatting sqref="B109:C110">
    <cfRule type="cellIs" dxfId="655" priority="589" stopIfTrue="1" operator="equal">
      <formula>"Towel"</formula>
    </cfRule>
    <cfRule type="cellIs" dxfId="654" priority="590" stopIfTrue="1" operator="equal">
      <formula>"Napkin Hs"</formula>
    </cfRule>
    <cfRule type="cellIs" dxfId="653" priority="595" stopIfTrue="1" operator="equal">
      <formula>"Towel"</formula>
    </cfRule>
    <cfRule type="cellIs" dxfId="652" priority="596" stopIfTrue="1" operator="equal">
      <formula>"Napkin Hs"</formula>
    </cfRule>
    <cfRule type="cellIs" dxfId="651" priority="601" stopIfTrue="1" operator="equal">
      <formula>"Towel"</formula>
    </cfRule>
    <cfRule type="cellIs" dxfId="650" priority="602" stopIfTrue="1" operator="equal">
      <formula>"Napkin Hs"</formula>
    </cfRule>
    <cfRule type="cellIs" dxfId="649" priority="607" stopIfTrue="1" operator="equal">
      <formula>"Towel"</formula>
    </cfRule>
    <cfRule type="cellIs" dxfId="648" priority="608" stopIfTrue="1" operator="equal">
      <formula>"Napkin Hs"</formula>
    </cfRule>
    <cfRule type="cellIs" dxfId="647" priority="613" stopIfTrue="1" operator="equal">
      <formula>"Towel"</formula>
    </cfRule>
    <cfRule type="cellIs" dxfId="646" priority="614" stopIfTrue="1" operator="equal">
      <formula>"Napkin Hs"</formula>
    </cfRule>
    <cfRule type="cellIs" dxfId="645" priority="619" stopIfTrue="1" operator="equal">
      <formula>"Towel"</formula>
    </cfRule>
    <cfRule type="cellIs" dxfId="644" priority="620" stopIfTrue="1" operator="equal">
      <formula>"Napkin Hs"</formula>
    </cfRule>
    <cfRule type="cellIs" dxfId="643" priority="625" stopIfTrue="1" operator="equal">
      <formula>"Towel"</formula>
    </cfRule>
    <cfRule type="cellIs" dxfId="642" priority="626" stopIfTrue="1" operator="equal">
      <formula>"Napkin Hs"</formula>
    </cfRule>
    <cfRule type="cellIs" dxfId="641" priority="631" stopIfTrue="1" operator="equal">
      <formula>"Towel"</formula>
    </cfRule>
    <cfRule type="cellIs" dxfId="640" priority="632" stopIfTrue="1" operator="equal">
      <formula>"Napkin Hs"</formula>
    </cfRule>
    <cfRule type="cellIs" dxfId="639" priority="637" stopIfTrue="1" operator="equal">
      <formula>"Towel"</formula>
    </cfRule>
    <cfRule type="cellIs" dxfId="638" priority="638" stopIfTrue="1" operator="equal">
      <formula>"Napkin Hs"</formula>
    </cfRule>
  </conditionalFormatting>
  <conditionalFormatting sqref="B111:C111">
    <cfRule type="cellIs" dxfId="637" priority="651" stopIfTrue="1" operator="equal">
      <formula>"Towel"</formula>
    </cfRule>
    <cfRule type="cellIs" dxfId="636" priority="652" stopIfTrue="1" operator="equal">
      <formula>"Napkin Hs"</formula>
    </cfRule>
  </conditionalFormatting>
  <conditionalFormatting sqref="B113:C114">
    <cfRule type="cellIs" dxfId="635" priority="531" stopIfTrue="1" operator="equal">
      <formula>"Towel"</formula>
    </cfRule>
    <cfRule type="cellIs" dxfId="634" priority="532" stopIfTrue="1" operator="equal">
      <formula>"Napkin Hs"</formula>
    </cfRule>
    <cfRule type="cellIs" dxfId="633" priority="537" stopIfTrue="1" operator="equal">
      <formula>"Towel"</formula>
    </cfRule>
    <cfRule type="cellIs" dxfId="632" priority="538" stopIfTrue="1" operator="equal">
      <formula>"Napkin Hs"</formula>
    </cfRule>
    <cfRule type="cellIs" dxfId="631" priority="543" stopIfTrue="1" operator="equal">
      <formula>"Towel"</formula>
    </cfRule>
    <cfRule type="cellIs" dxfId="630" priority="544" stopIfTrue="1" operator="equal">
      <formula>"Napkin Hs"</formula>
    </cfRule>
    <cfRule type="cellIs" dxfId="629" priority="549" stopIfTrue="1" operator="equal">
      <formula>"Towel"</formula>
    </cfRule>
    <cfRule type="cellIs" dxfId="628" priority="550" stopIfTrue="1" operator="equal">
      <formula>"Napkin Hs"</formula>
    </cfRule>
    <cfRule type="cellIs" dxfId="627" priority="555" stopIfTrue="1" operator="equal">
      <formula>"Towel"</formula>
    </cfRule>
    <cfRule type="cellIs" dxfId="626" priority="556" stopIfTrue="1" operator="equal">
      <formula>"Napkin Hs"</formula>
    </cfRule>
    <cfRule type="cellIs" dxfId="625" priority="561" stopIfTrue="1" operator="equal">
      <formula>"Towel"</formula>
    </cfRule>
    <cfRule type="cellIs" dxfId="624" priority="562" stopIfTrue="1" operator="equal">
      <formula>"Napkin Hs"</formula>
    </cfRule>
    <cfRule type="cellIs" dxfId="623" priority="567" stopIfTrue="1" operator="equal">
      <formula>"Towel"</formula>
    </cfRule>
    <cfRule type="cellIs" dxfId="622" priority="568" stopIfTrue="1" operator="equal">
      <formula>"Napkin Hs"</formula>
    </cfRule>
    <cfRule type="cellIs" dxfId="621" priority="573" stopIfTrue="1" operator="equal">
      <formula>"Towel"</formula>
    </cfRule>
    <cfRule type="cellIs" dxfId="620" priority="574" stopIfTrue="1" operator="equal">
      <formula>"Napkin Hs"</formula>
    </cfRule>
    <cfRule type="cellIs" dxfId="619" priority="579" stopIfTrue="1" operator="equal">
      <formula>"Towel"</formula>
    </cfRule>
    <cfRule type="cellIs" dxfId="618" priority="580" stopIfTrue="1" operator="equal">
      <formula>"Napkin Hs"</formula>
    </cfRule>
  </conditionalFormatting>
  <conditionalFormatting sqref="B114:C114">
    <cfRule type="cellIs" dxfId="617" priority="647" stopIfTrue="1" operator="equal">
      <formula>"Towel"</formula>
    </cfRule>
    <cfRule type="cellIs" dxfId="616" priority="648" stopIfTrue="1" operator="equal">
      <formula>"Napkin Hs"</formula>
    </cfRule>
  </conditionalFormatting>
  <conditionalFormatting sqref="B115:C115">
    <cfRule type="cellIs" dxfId="615" priority="583" stopIfTrue="1" operator="equal">
      <formula>"Towel"</formula>
    </cfRule>
    <cfRule type="cellIs" dxfId="614" priority="584" stopIfTrue="1" operator="equal">
      <formula>"Napkin Hs"</formula>
    </cfRule>
    <cfRule type="cellIs" dxfId="613" priority="643" stopIfTrue="1" operator="equal">
      <formula>"Towel"</formula>
    </cfRule>
    <cfRule type="cellIs" dxfId="612" priority="644" stopIfTrue="1" operator="equal">
      <formula>"Napkin Hs"</formula>
    </cfRule>
  </conditionalFormatting>
  <conditionalFormatting sqref="B116:C116">
    <cfRule type="cellIs" dxfId="611" priority="409" stopIfTrue="1" operator="equal">
      <formula>"Towel"</formula>
    </cfRule>
    <cfRule type="cellIs" dxfId="610" priority="410" stopIfTrue="1" operator="equal">
      <formula>"Napkin Hs"</formula>
    </cfRule>
    <cfRule type="cellIs" dxfId="609" priority="415" stopIfTrue="1" operator="equal">
      <formula>"Towel"</formula>
    </cfRule>
    <cfRule type="cellIs" dxfId="608" priority="416" stopIfTrue="1" operator="equal">
      <formula>"Napkin Hs"</formula>
    </cfRule>
    <cfRule type="cellIs" dxfId="607" priority="421" stopIfTrue="1" operator="equal">
      <formula>"Towel"</formula>
    </cfRule>
    <cfRule type="cellIs" dxfId="606" priority="422" stopIfTrue="1" operator="equal">
      <formula>"Napkin Hs"</formula>
    </cfRule>
    <cfRule type="cellIs" dxfId="605" priority="427" stopIfTrue="1" operator="equal">
      <formula>"Towel"</formula>
    </cfRule>
    <cfRule type="cellIs" dxfId="604" priority="428" stopIfTrue="1" operator="equal">
      <formula>"Napkin Hs"</formula>
    </cfRule>
    <cfRule type="cellIs" dxfId="603" priority="433" stopIfTrue="1" operator="equal">
      <formula>"Towel"</formula>
    </cfRule>
    <cfRule type="cellIs" dxfId="602" priority="434" stopIfTrue="1" operator="equal">
      <formula>"Napkin Hs"</formula>
    </cfRule>
    <cfRule type="cellIs" dxfId="601" priority="439" stopIfTrue="1" operator="equal">
      <formula>"Towel"</formula>
    </cfRule>
    <cfRule type="cellIs" dxfId="600" priority="440" stopIfTrue="1" operator="equal">
      <formula>"Napkin Hs"</formula>
    </cfRule>
    <cfRule type="cellIs" dxfId="599" priority="445" stopIfTrue="1" operator="equal">
      <formula>"Towel"</formula>
    </cfRule>
    <cfRule type="cellIs" dxfId="598" priority="446" stopIfTrue="1" operator="equal">
      <formula>"Napkin Hs"</formula>
    </cfRule>
    <cfRule type="cellIs" dxfId="597" priority="451" stopIfTrue="1" operator="equal">
      <formula>"Towel"</formula>
    </cfRule>
    <cfRule type="cellIs" dxfId="596" priority="452" stopIfTrue="1" operator="equal">
      <formula>"Napkin Hs"</formula>
    </cfRule>
    <cfRule type="cellIs" dxfId="595" priority="457" stopIfTrue="1" operator="equal">
      <formula>"Towel"</formula>
    </cfRule>
    <cfRule type="cellIs" dxfId="594" priority="458" stopIfTrue="1" operator="equal">
      <formula>"Napkin Hs"</formula>
    </cfRule>
    <cfRule type="cellIs" dxfId="593" priority="463" stopIfTrue="1" operator="equal">
      <formula>"Towel"</formula>
    </cfRule>
    <cfRule type="cellIs" dxfId="592" priority="464" stopIfTrue="1" operator="equal">
      <formula>"Napkin Hs"</formula>
    </cfRule>
  </conditionalFormatting>
  <conditionalFormatting sqref="B118:C118">
    <cfRule type="cellIs" dxfId="591" priority="525" stopIfTrue="1" operator="equal">
      <formula>"Towel"</formula>
    </cfRule>
    <cfRule type="cellIs" dxfId="590" priority="526" stopIfTrue="1" operator="equal">
      <formula>"Napkin Hs"</formula>
    </cfRule>
  </conditionalFormatting>
  <conditionalFormatting sqref="B118:C119">
    <cfRule type="cellIs" dxfId="589" priority="467" stopIfTrue="1" operator="equal">
      <formula>"Towel"</formula>
    </cfRule>
    <cfRule type="cellIs" dxfId="588" priority="468" stopIfTrue="1" operator="equal">
      <formula>"Napkin Hs"</formula>
    </cfRule>
    <cfRule type="cellIs" dxfId="587" priority="473" stopIfTrue="1" operator="equal">
      <formula>"Towel"</formula>
    </cfRule>
    <cfRule type="cellIs" dxfId="586" priority="474" stopIfTrue="1" operator="equal">
      <formula>"Napkin Hs"</formula>
    </cfRule>
    <cfRule type="cellIs" dxfId="585" priority="479" stopIfTrue="1" operator="equal">
      <formula>"Towel"</formula>
    </cfRule>
    <cfRule type="cellIs" dxfId="584" priority="480" stopIfTrue="1" operator="equal">
      <formula>"Napkin Hs"</formula>
    </cfRule>
    <cfRule type="cellIs" dxfId="583" priority="485" stopIfTrue="1" operator="equal">
      <formula>"Towel"</formula>
    </cfRule>
    <cfRule type="cellIs" dxfId="582" priority="486" stopIfTrue="1" operator="equal">
      <formula>"Napkin Hs"</formula>
    </cfRule>
    <cfRule type="cellIs" dxfId="581" priority="491" stopIfTrue="1" operator="equal">
      <formula>"Towel"</formula>
    </cfRule>
    <cfRule type="cellIs" dxfId="580" priority="492" stopIfTrue="1" operator="equal">
      <formula>"Napkin Hs"</formula>
    </cfRule>
    <cfRule type="cellIs" dxfId="579" priority="497" stopIfTrue="1" operator="equal">
      <formula>"Towel"</formula>
    </cfRule>
    <cfRule type="cellIs" dxfId="578" priority="498" stopIfTrue="1" operator="equal">
      <formula>"Napkin Hs"</formula>
    </cfRule>
    <cfRule type="cellIs" dxfId="577" priority="503" stopIfTrue="1" operator="equal">
      <formula>"Towel"</formula>
    </cfRule>
    <cfRule type="cellIs" dxfId="576" priority="504" stopIfTrue="1" operator="equal">
      <formula>"Napkin Hs"</formula>
    </cfRule>
    <cfRule type="cellIs" dxfId="575" priority="509" stopIfTrue="1" operator="equal">
      <formula>"Towel"</formula>
    </cfRule>
    <cfRule type="cellIs" dxfId="574" priority="510" stopIfTrue="1" operator="equal">
      <formula>"Napkin Hs"</formula>
    </cfRule>
    <cfRule type="cellIs" dxfId="573" priority="515" stopIfTrue="1" operator="equal">
      <formula>"Towel"</formula>
    </cfRule>
    <cfRule type="cellIs" dxfId="572" priority="516" stopIfTrue="1" operator="equal">
      <formula>"Napkin Hs"</formula>
    </cfRule>
  </conditionalFormatting>
  <conditionalFormatting sqref="B119:C119">
    <cfRule type="cellIs" dxfId="571" priority="521" stopIfTrue="1" operator="equal">
      <formula>"Towel"</formula>
    </cfRule>
    <cfRule type="cellIs" dxfId="570" priority="522" stopIfTrue="1" operator="equal">
      <formula>"Napkin Hs"</formula>
    </cfRule>
  </conditionalFormatting>
  <conditionalFormatting sqref="C113">
    <cfRule type="cellIs" dxfId="569" priority="654" stopIfTrue="1" operator="equal">
      <formula>"Napkin Hs"</formula>
    </cfRule>
  </conditionalFormatting>
  <conditionalFormatting sqref="C113">
    <cfRule type="cellIs" dxfId="568" priority="653" stopIfTrue="1" operator="equal">
      <formula>"Towel"</formula>
    </cfRule>
  </conditionalFormatting>
  <conditionalFormatting sqref="C109:C111">
    <cfRule type="cellIs" dxfId="567" priority="635" stopIfTrue="1" operator="equal">
      <formula>"Towel"</formula>
    </cfRule>
    <cfRule type="cellIs" dxfId="566" priority="636" stopIfTrue="1" operator="equal">
      <formula>"Napkin Hs"</formula>
    </cfRule>
  </conditionalFormatting>
  <conditionalFormatting sqref="C109:C110">
    <cfRule type="cellIs" dxfId="565" priority="585" stopIfTrue="1" operator="equal">
      <formula>"Towel"</formula>
    </cfRule>
    <cfRule type="cellIs" dxfId="564" priority="586" stopIfTrue="1" operator="equal">
      <formula>"Napkin Hs"</formula>
    </cfRule>
    <cfRule type="cellIs" dxfId="563" priority="587" stopIfTrue="1" operator="equal">
      <formula>"Towel"</formula>
    </cfRule>
    <cfRule type="cellIs" dxfId="562" priority="588" stopIfTrue="1" operator="equal">
      <formula>"Napkin Hs"</formula>
    </cfRule>
    <cfRule type="cellIs" dxfId="561" priority="591" stopIfTrue="1" operator="equal">
      <formula>"Towel"</formula>
    </cfRule>
    <cfRule type="cellIs" dxfId="560" priority="592" stopIfTrue="1" operator="equal">
      <formula>"Napkin Hs"</formula>
    </cfRule>
    <cfRule type="cellIs" dxfId="559" priority="593" stopIfTrue="1" operator="equal">
      <formula>"Towel"</formula>
    </cfRule>
    <cfRule type="cellIs" dxfId="558" priority="594" stopIfTrue="1" operator="equal">
      <formula>"Napkin Hs"</formula>
    </cfRule>
    <cfRule type="cellIs" dxfId="557" priority="597" stopIfTrue="1" operator="equal">
      <formula>"Towel"</formula>
    </cfRule>
    <cfRule type="cellIs" dxfId="556" priority="598" stopIfTrue="1" operator="equal">
      <formula>"Napkin Hs"</formula>
    </cfRule>
    <cfRule type="cellIs" dxfId="555" priority="599" stopIfTrue="1" operator="equal">
      <formula>"Towel"</formula>
    </cfRule>
    <cfRule type="cellIs" dxfId="554" priority="600" stopIfTrue="1" operator="equal">
      <formula>"Napkin Hs"</formula>
    </cfRule>
    <cfRule type="cellIs" dxfId="553" priority="603" stopIfTrue="1" operator="equal">
      <formula>"Towel"</formula>
    </cfRule>
    <cfRule type="cellIs" dxfId="552" priority="604" stopIfTrue="1" operator="equal">
      <formula>"Napkin Hs"</formula>
    </cfRule>
    <cfRule type="cellIs" dxfId="551" priority="605" stopIfTrue="1" operator="equal">
      <formula>"Towel"</formula>
    </cfRule>
    <cfRule type="cellIs" dxfId="550" priority="606" stopIfTrue="1" operator="equal">
      <formula>"Napkin Hs"</formula>
    </cfRule>
    <cfRule type="cellIs" dxfId="549" priority="609" stopIfTrue="1" operator="equal">
      <formula>"Towel"</formula>
    </cfRule>
    <cfRule type="cellIs" dxfId="548" priority="610" stopIfTrue="1" operator="equal">
      <formula>"Napkin Hs"</formula>
    </cfRule>
    <cfRule type="cellIs" dxfId="547" priority="611" stopIfTrue="1" operator="equal">
      <formula>"Towel"</formula>
    </cfRule>
    <cfRule type="cellIs" dxfId="546" priority="612" stopIfTrue="1" operator="equal">
      <formula>"Napkin Hs"</formula>
    </cfRule>
    <cfRule type="cellIs" dxfId="545" priority="615" stopIfTrue="1" operator="equal">
      <formula>"Towel"</formula>
    </cfRule>
    <cfRule type="cellIs" dxfId="544" priority="616" stopIfTrue="1" operator="equal">
      <formula>"Napkin Hs"</formula>
    </cfRule>
    <cfRule type="cellIs" dxfId="543" priority="617" stopIfTrue="1" operator="equal">
      <formula>"Towel"</formula>
    </cfRule>
    <cfRule type="cellIs" dxfId="542" priority="618" stopIfTrue="1" operator="equal">
      <formula>"Napkin Hs"</formula>
    </cfRule>
    <cfRule type="cellIs" dxfId="541" priority="621" stopIfTrue="1" operator="equal">
      <formula>"Towel"</formula>
    </cfRule>
    <cfRule type="cellIs" dxfId="540" priority="622" stopIfTrue="1" operator="equal">
      <formula>"Napkin Hs"</formula>
    </cfRule>
    <cfRule type="cellIs" dxfId="539" priority="623" stopIfTrue="1" operator="equal">
      <formula>"Towel"</formula>
    </cfRule>
    <cfRule type="cellIs" dxfId="538" priority="624" stopIfTrue="1" operator="equal">
      <formula>"Napkin Hs"</formula>
    </cfRule>
    <cfRule type="cellIs" dxfId="537" priority="627" stopIfTrue="1" operator="equal">
      <formula>"Towel"</formula>
    </cfRule>
    <cfRule type="cellIs" dxfId="536" priority="628" stopIfTrue="1" operator="equal">
      <formula>"Napkin Hs"</formula>
    </cfRule>
    <cfRule type="cellIs" dxfId="535" priority="629" stopIfTrue="1" operator="equal">
      <formula>"Towel"</formula>
    </cfRule>
    <cfRule type="cellIs" dxfId="534" priority="630" stopIfTrue="1" operator="equal">
      <formula>"Napkin Hs"</formula>
    </cfRule>
    <cfRule type="cellIs" dxfId="533" priority="633" stopIfTrue="1" operator="equal">
      <formula>"Towel"</formula>
    </cfRule>
    <cfRule type="cellIs" dxfId="532" priority="634" stopIfTrue="1" operator="equal">
      <formula>"Napkin Hs"</formula>
    </cfRule>
  </conditionalFormatting>
  <conditionalFormatting sqref="C111">
    <cfRule type="cellIs" dxfId="531" priority="649" stopIfTrue="1" operator="equal">
      <formula>"Towel"</formula>
    </cfRule>
    <cfRule type="cellIs" dxfId="530" priority="650" stopIfTrue="1" operator="equal">
      <formula>"Napkin Hs"</formula>
    </cfRule>
  </conditionalFormatting>
  <conditionalFormatting sqref="C113:C114">
    <cfRule type="cellIs" dxfId="529" priority="527" stopIfTrue="1" operator="equal">
      <formula>"Towel"</formula>
    </cfRule>
    <cfRule type="cellIs" dxfId="528" priority="528" stopIfTrue="1" operator="equal">
      <formula>"Napkin Hs"</formula>
    </cfRule>
  </conditionalFormatting>
  <conditionalFormatting sqref="C113:C114">
    <cfRule type="cellIs" dxfId="527" priority="529" stopIfTrue="1" operator="equal">
      <formula>"Towel"</formula>
    </cfRule>
    <cfRule type="cellIs" dxfId="526" priority="530" stopIfTrue="1" operator="equal">
      <formula>"Napkin Hs"</formula>
    </cfRule>
    <cfRule type="cellIs" dxfId="525" priority="533" stopIfTrue="1" operator="equal">
      <formula>"Towel"</formula>
    </cfRule>
    <cfRule type="cellIs" dxfId="524" priority="534" stopIfTrue="1" operator="equal">
      <formula>"Napkin Hs"</formula>
    </cfRule>
    <cfRule type="cellIs" dxfId="523" priority="535" stopIfTrue="1" operator="equal">
      <formula>"Towel"</formula>
    </cfRule>
    <cfRule type="cellIs" dxfId="522" priority="536" stopIfTrue="1" operator="equal">
      <formula>"Napkin Hs"</formula>
    </cfRule>
    <cfRule type="cellIs" dxfId="521" priority="539" stopIfTrue="1" operator="equal">
      <formula>"Towel"</formula>
    </cfRule>
    <cfRule type="cellIs" dxfId="520" priority="540" stopIfTrue="1" operator="equal">
      <formula>"Napkin Hs"</formula>
    </cfRule>
    <cfRule type="cellIs" dxfId="519" priority="541" stopIfTrue="1" operator="equal">
      <formula>"Towel"</formula>
    </cfRule>
    <cfRule type="cellIs" dxfId="518" priority="542" stopIfTrue="1" operator="equal">
      <formula>"Napkin Hs"</formula>
    </cfRule>
    <cfRule type="cellIs" dxfId="517" priority="545" stopIfTrue="1" operator="equal">
      <formula>"Towel"</formula>
    </cfRule>
    <cfRule type="cellIs" dxfId="516" priority="546" stopIfTrue="1" operator="equal">
      <formula>"Napkin Hs"</formula>
    </cfRule>
    <cfRule type="cellIs" dxfId="515" priority="547" stopIfTrue="1" operator="equal">
      <formula>"Towel"</formula>
    </cfRule>
    <cfRule type="cellIs" dxfId="514" priority="548" stopIfTrue="1" operator="equal">
      <formula>"Napkin Hs"</formula>
    </cfRule>
    <cfRule type="cellIs" dxfId="513" priority="551" stopIfTrue="1" operator="equal">
      <formula>"Towel"</formula>
    </cfRule>
    <cfRule type="cellIs" dxfId="512" priority="552" stopIfTrue="1" operator="equal">
      <formula>"Napkin Hs"</formula>
    </cfRule>
    <cfRule type="cellIs" dxfId="511" priority="553" stopIfTrue="1" operator="equal">
      <formula>"Towel"</formula>
    </cfRule>
    <cfRule type="cellIs" dxfId="510" priority="554" stopIfTrue="1" operator="equal">
      <formula>"Napkin Hs"</formula>
    </cfRule>
    <cfRule type="cellIs" dxfId="509" priority="557" stopIfTrue="1" operator="equal">
      <formula>"Towel"</formula>
    </cfRule>
    <cfRule type="cellIs" dxfId="508" priority="558" stopIfTrue="1" operator="equal">
      <formula>"Napkin Hs"</formula>
    </cfRule>
    <cfRule type="cellIs" dxfId="507" priority="559" stopIfTrue="1" operator="equal">
      <formula>"Towel"</formula>
    </cfRule>
    <cfRule type="cellIs" dxfId="506" priority="560" stopIfTrue="1" operator="equal">
      <formula>"Napkin Hs"</formula>
    </cfRule>
    <cfRule type="cellIs" dxfId="505" priority="563" stopIfTrue="1" operator="equal">
      <formula>"Towel"</formula>
    </cfRule>
    <cfRule type="cellIs" dxfId="504" priority="564" stopIfTrue="1" operator="equal">
      <formula>"Napkin Hs"</formula>
    </cfRule>
    <cfRule type="cellIs" dxfId="503" priority="565" stopIfTrue="1" operator="equal">
      <formula>"Towel"</formula>
    </cfRule>
    <cfRule type="cellIs" dxfId="502" priority="566" stopIfTrue="1" operator="equal">
      <formula>"Napkin Hs"</formula>
    </cfRule>
    <cfRule type="cellIs" dxfId="501" priority="569" stopIfTrue="1" operator="equal">
      <formula>"Towel"</formula>
    </cfRule>
    <cfRule type="cellIs" dxfId="500" priority="570" stopIfTrue="1" operator="equal">
      <formula>"Napkin Hs"</formula>
    </cfRule>
    <cfRule type="cellIs" dxfId="499" priority="571" stopIfTrue="1" operator="equal">
      <formula>"Towel"</formula>
    </cfRule>
    <cfRule type="cellIs" dxfId="498" priority="572" stopIfTrue="1" operator="equal">
      <formula>"Napkin Hs"</formula>
    </cfRule>
    <cfRule type="cellIs" dxfId="497" priority="575" stopIfTrue="1" operator="equal">
      <formula>"Towel"</formula>
    </cfRule>
    <cfRule type="cellIs" dxfId="496" priority="576" stopIfTrue="1" operator="equal">
      <formula>"Napkin Hs"</formula>
    </cfRule>
    <cfRule type="cellIs" dxfId="495" priority="645" stopIfTrue="1" operator="equal">
      <formula>"Towel"</formula>
    </cfRule>
    <cfRule type="cellIs" dxfId="494" priority="646" stopIfTrue="1" operator="equal">
      <formula>"Napkin Hs"</formula>
    </cfRule>
  </conditionalFormatting>
  <conditionalFormatting sqref="C113:C115">
    <cfRule type="cellIs" dxfId="493" priority="577" stopIfTrue="1" operator="equal">
      <formula>"Towel"</formula>
    </cfRule>
    <cfRule type="cellIs" dxfId="492" priority="578" stopIfTrue="1" operator="equal">
      <formula>"Napkin Hs"</formula>
    </cfRule>
  </conditionalFormatting>
  <conditionalFormatting sqref="C114:C115">
    <cfRule type="cellIs" dxfId="491" priority="641" stopIfTrue="1" operator="equal">
      <formula>"Towel"</formula>
    </cfRule>
    <cfRule type="cellIs" dxfId="490" priority="642" stopIfTrue="1" operator="equal">
      <formula>"Napkin Hs"</formula>
    </cfRule>
  </conditionalFormatting>
  <conditionalFormatting sqref="C115">
    <cfRule type="cellIs" dxfId="489" priority="581" stopIfTrue="1" operator="equal">
      <formula>"Towel"</formula>
    </cfRule>
    <cfRule type="cellIs" dxfId="488" priority="582" stopIfTrue="1" operator="equal">
      <formula>"Napkin Hs"</formula>
    </cfRule>
    <cfRule type="cellIs" dxfId="487" priority="639" stopIfTrue="1" operator="equal">
      <formula>"Towel"</formula>
    </cfRule>
    <cfRule type="cellIs" dxfId="486" priority="640" stopIfTrue="1" operator="equal">
      <formula>"Napkin Hs"</formula>
    </cfRule>
  </conditionalFormatting>
  <conditionalFormatting sqref="C116">
    <cfRule type="cellIs" dxfId="485" priority="405" stopIfTrue="1" operator="equal">
      <formula>"Towel"</formula>
    </cfRule>
    <cfRule type="cellIs" dxfId="484" priority="406" stopIfTrue="1" operator="equal">
      <formula>"Napkin Hs"</formula>
    </cfRule>
    <cfRule type="cellIs" dxfId="483" priority="407" stopIfTrue="1" operator="equal">
      <formula>"Towel"</formula>
    </cfRule>
    <cfRule type="cellIs" dxfId="482" priority="408" stopIfTrue="1" operator="equal">
      <formula>"Napkin Hs"</formula>
    </cfRule>
    <cfRule type="cellIs" dxfId="481" priority="411" stopIfTrue="1" operator="equal">
      <formula>"Towel"</formula>
    </cfRule>
    <cfRule type="cellIs" dxfId="480" priority="412" stopIfTrue="1" operator="equal">
      <formula>"Napkin Hs"</formula>
    </cfRule>
    <cfRule type="cellIs" dxfId="479" priority="413" stopIfTrue="1" operator="equal">
      <formula>"Towel"</formula>
    </cfRule>
    <cfRule type="cellIs" dxfId="478" priority="414" stopIfTrue="1" operator="equal">
      <formula>"Napkin Hs"</formula>
    </cfRule>
    <cfRule type="cellIs" dxfId="477" priority="417" stopIfTrue="1" operator="equal">
      <formula>"Towel"</formula>
    </cfRule>
    <cfRule type="cellIs" dxfId="476" priority="418" stopIfTrue="1" operator="equal">
      <formula>"Napkin Hs"</formula>
    </cfRule>
    <cfRule type="cellIs" dxfId="475" priority="419" stopIfTrue="1" operator="equal">
      <formula>"Towel"</formula>
    </cfRule>
    <cfRule type="cellIs" dxfId="474" priority="420" stopIfTrue="1" operator="equal">
      <formula>"Napkin Hs"</formula>
    </cfRule>
    <cfRule type="cellIs" dxfId="473" priority="423" stopIfTrue="1" operator="equal">
      <formula>"Towel"</formula>
    </cfRule>
    <cfRule type="cellIs" dxfId="472" priority="424" stopIfTrue="1" operator="equal">
      <formula>"Napkin Hs"</formula>
    </cfRule>
    <cfRule type="cellIs" dxfId="471" priority="425" stopIfTrue="1" operator="equal">
      <formula>"Towel"</formula>
    </cfRule>
    <cfRule type="cellIs" dxfId="470" priority="426" stopIfTrue="1" operator="equal">
      <formula>"Napkin Hs"</formula>
    </cfRule>
    <cfRule type="cellIs" dxfId="469" priority="429" stopIfTrue="1" operator="equal">
      <formula>"Towel"</formula>
    </cfRule>
    <cfRule type="cellIs" dxfId="468" priority="430" stopIfTrue="1" operator="equal">
      <formula>"Napkin Hs"</formula>
    </cfRule>
    <cfRule type="cellIs" dxfId="467" priority="431" stopIfTrue="1" operator="equal">
      <formula>"Towel"</formula>
    </cfRule>
    <cfRule type="cellIs" dxfId="466" priority="432" stopIfTrue="1" operator="equal">
      <formula>"Napkin Hs"</formula>
    </cfRule>
    <cfRule type="cellIs" dxfId="465" priority="435" stopIfTrue="1" operator="equal">
      <formula>"Towel"</formula>
    </cfRule>
    <cfRule type="cellIs" dxfId="464" priority="436" stopIfTrue="1" operator="equal">
      <formula>"Napkin Hs"</formula>
    </cfRule>
    <cfRule type="cellIs" dxfId="463" priority="437" stopIfTrue="1" operator="equal">
      <formula>"Towel"</formula>
    </cfRule>
    <cfRule type="cellIs" dxfId="462" priority="438" stopIfTrue="1" operator="equal">
      <formula>"Napkin Hs"</formula>
    </cfRule>
    <cfRule type="cellIs" dxfId="461" priority="441" stopIfTrue="1" operator="equal">
      <formula>"Towel"</formula>
    </cfRule>
    <cfRule type="cellIs" dxfId="460" priority="442" stopIfTrue="1" operator="equal">
      <formula>"Napkin Hs"</formula>
    </cfRule>
    <cfRule type="cellIs" dxfId="459" priority="443" stopIfTrue="1" operator="equal">
      <formula>"Towel"</formula>
    </cfRule>
    <cfRule type="cellIs" dxfId="458" priority="444" stopIfTrue="1" operator="equal">
      <formula>"Napkin Hs"</formula>
    </cfRule>
    <cfRule type="cellIs" dxfId="457" priority="447" stopIfTrue="1" operator="equal">
      <formula>"Towel"</formula>
    </cfRule>
    <cfRule type="cellIs" dxfId="456" priority="448" stopIfTrue="1" operator="equal">
      <formula>"Napkin Hs"</formula>
    </cfRule>
    <cfRule type="cellIs" dxfId="455" priority="449" stopIfTrue="1" operator="equal">
      <formula>"Towel"</formula>
    </cfRule>
    <cfRule type="cellIs" dxfId="454" priority="450" stopIfTrue="1" operator="equal">
      <formula>"Napkin Hs"</formula>
    </cfRule>
    <cfRule type="cellIs" dxfId="453" priority="453" stopIfTrue="1" operator="equal">
      <formula>"Towel"</formula>
    </cfRule>
    <cfRule type="cellIs" dxfId="452" priority="454" stopIfTrue="1" operator="equal">
      <formula>"Napkin Hs"</formula>
    </cfRule>
    <cfRule type="cellIs" dxfId="451" priority="455" stopIfTrue="1" operator="equal">
      <formula>"Towel"</formula>
    </cfRule>
    <cfRule type="cellIs" dxfId="450" priority="456" stopIfTrue="1" operator="equal">
      <formula>"Napkin Hs"</formula>
    </cfRule>
    <cfRule type="cellIs" dxfId="449" priority="459" stopIfTrue="1" operator="equal">
      <formula>"Towel"</formula>
    </cfRule>
    <cfRule type="cellIs" dxfId="448" priority="460" stopIfTrue="1" operator="equal">
      <formula>"Napkin Hs"</formula>
    </cfRule>
  </conditionalFormatting>
  <conditionalFormatting sqref="C116 C118:C119">
    <cfRule type="cellIs" dxfId="447" priority="461" stopIfTrue="1" operator="equal">
      <formula>"Towel"</formula>
    </cfRule>
    <cfRule type="cellIs" dxfId="446" priority="462" stopIfTrue="1" operator="equal">
      <formula>"Napkin Hs"</formula>
    </cfRule>
  </conditionalFormatting>
  <conditionalFormatting sqref="C118">
    <cfRule type="cellIs" dxfId="445" priority="523" stopIfTrue="1" operator="equal">
      <formula>"Towel"</formula>
    </cfRule>
    <cfRule type="cellIs" dxfId="444" priority="524" stopIfTrue="1" operator="equal">
      <formula>"Napkin Hs"</formula>
    </cfRule>
  </conditionalFormatting>
  <conditionalFormatting sqref="C118:C119">
    <cfRule type="cellIs" dxfId="443" priority="465" stopIfTrue="1" operator="equal">
      <formula>"Towel"</formula>
    </cfRule>
    <cfRule type="cellIs" dxfId="442" priority="466" stopIfTrue="1" operator="equal">
      <formula>"Napkin Hs"</formula>
    </cfRule>
    <cfRule type="cellIs" dxfId="441" priority="469" stopIfTrue="1" operator="equal">
      <formula>"Towel"</formula>
    </cfRule>
    <cfRule type="cellIs" dxfId="440" priority="470" stopIfTrue="1" operator="equal">
      <formula>"Napkin Hs"</formula>
    </cfRule>
    <cfRule type="cellIs" dxfId="439" priority="471" stopIfTrue="1" operator="equal">
      <formula>"Towel"</formula>
    </cfRule>
    <cfRule type="cellIs" dxfId="438" priority="472" stopIfTrue="1" operator="equal">
      <formula>"Napkin Hs"</formula>
    </cfRule>
    <cfRule type="cellIs" dxfId="437" priority="475" stopIfTrue="1" operator="equal">
      <formula>"Towel"</formula>
    </cfRule>
    <cfRule type="cellIs" dxfId="436" priority="476" stopIfTrue="1" operator="equal">
      <formula>"Napkin Hs"</formula>
    </cfRule>
    <cfRule type="cellIs" dxfId="435" priority="477" stopIfTrue="1" operator="equal">
      <formula>"Towel"</formula>
    </cfRule>
    <cfRule type="cellIs" dxfId="434" priority="478" stopIfTrue="1" operator="equal">
      <formula>"Napkin Hs"</formula>
    </cfRule>
    <cfRule type="cellIs" dxfId="433" priority="481" stopIfTrue="1" operator="equal">
      <formula>"Towel"</formula>
    </cfRule>
    <cfRule type="cellIs" dxfId="432" priority="482" stopIfTrue="1" operator="equal">
      <formula>"Napkin Hs"</formula>
    </cfRule>
    <cfRule type="cellIs" dxfId="431" priority="483" stopIfTrue="1" operator="equal">
      <formula>"Towel"</formula>
    </cfRule>
    <cfRule type="cellIs" dxfId="430" priority="484" stopIfTrue="1" operator="equal">
      <formula>"Napkin Hs"</formula>
    </cfRule>
    <cfRule type="cellIs" dxfId="429" priority="487" stopIfTrue="1" operator="equal">
      <formula>"Towel"</formula>
    </cfRule>
    <cfRule type="cellIs" dxfId="428" priority="488" stopIfTrue="1" operator="equal">
      <formula>"Napkin Hs"</formula>
    </cfRule>
    <cfRule type="cellIs" dxfId="427" priority="489" stopIfTrue="1" operator="equal">
      <formula>"Towel"</formula>
    </cfRule>
    <cfRule type="cellIs" dxfId="426" priority="490" stopIfTrue="1" operator="equal">
      <formula>"Napkin Hs"</formula>
    </cfRule>
    <cfRule type="cellIs" dxfId="425" priority="493" stopIfTrue="1" operator="equal">
      <formula>"Towel"</formula>
    </cfRule>
    <cfRule type="cellIs" dxfId="424" priority="494" stopIfTrue="1" operator="equal">
      <formula>"Napkin Hs"</formula>
    </cfRule>
    <cfRule type="cellIs" dxfId="423" priority="495" stopIfTrue="1" operator="equal">
      <formula>"Towel"</formula>
    </cfRule>
    <cfRule type="cellIs" dxfId="422" priority="496" stopIfTrue="1" operator="equal">
      <formula>"Napkin Hs"</formula>
    </cfRule>
    <cfRule type="cellIs" dxfId="421" priority="499" stopIfTrue="1" operator="equal">
      <formula>"Towel"</formula>
    </cfRule>
    <cfRule type="cellIs" dxfId="420" priority="500" stopIfTrue="1" operator="equal">
      <formula>"Napkin Hs"</formula>
    </cfRule>
    <cfRule type="cellIs" dxfId="419" priority="501" stopIfTrue="1" operator="equal">
      <formula>"Towel"</formula>
    </cfRule>
    <cfRule type="cellIs" dxfId="418" priority="502" stopIfTrue="1" operator="equal">
      <formula>"Napkin Hs"</formula>
    </cfRule>
    <cfRule type="cellIs" dxfId="417" priority="505" stopIfTrue="1" operator="equal">
      <formula>"Towel"</formula>
    </cfRule>
    <cfRule type="cellIs" dxfId="416" priority="506" stopIfTrue="1" operator="equal">
      <formula>"Napkin Hs"</formula>
    </cfRule>
    <cfRule type="cellIs" dxfId="415" priority="507" stopIfTrue="1" operator="equal">
      <formula>"Towel"</formula>
    </cfRule>
    <cfRule type="cellIs" dxfId="414" priority="508" stopIfTrue="1" operator="equal">
      <formula>"Napkin Hs"</formula>
    </cfRule>
    <cfRule type="cellIs" dxfId="413" priority="511" stopIfTrue="1" operator="equal">
      <formula>"Towel"</formula>
    </cfRule>
    <cfRule type="cellIs" dxfId="412" priority="512" stopIfTrue="1" operator="equal">
      <formula>"Napkin Hs"</formula>
    </cfRule>
    <cfRule type="cellIs" dxfId="411" priority="513" stopIfTrue="1" operator="equal">
      <formula>"Towel"</formula>
    </cfRule>
    <cfRule type="cellIs" dxfId="410" priority="514" stopIfTrue="1" operator="equal">
      <formula>"Napkin Hs"</formula>
    </cfRule>
  </conditionalFormatting>
  <conditionalFormatting sqref="C118:C119">
    <cfRule type="cellIs" dxfId="409" priority="519" stopIfTrue="1" operator="equal">
      <formula>"Towel"</formula>
    </cfRule>
    <cfRule type="cellIs" dxfId="408" priority="520" stopIfTrue="1" operator="equal">
      <formula>"Napkin Hs"</formula>
    </cfRule>
  </conditionalFormatting>
  <conditionalFormatting sqref="C119">
    <cfRule type="cellIs" dxfId="407" priority="517" stopIfTrue="1" operator="equal">
      <formula>"Towel"</formula>
    </cfRule>
    <cfRule type="cellIs" dxfId="406" priority="518" stopIfTrue="1" operator="equal">
      <formula>"Napkin Hs"</formula>
    </cfRule>
  </conditionalFormatting>
  <conditionalFormatting sqref="B112:C112">
    <cfRule type="cellIs" dxfId="405" priority="403" stopIfTrue="1" operator="equal">
      <formula>"Towel"</formula>
    </cfRule>
    <cfRule type="cellIs" dxfId="404" priority="404" stopIfTrue="1" operator="equal">
      <formula>"Napkin Hs"</formula>
    </cfRule>
  </conditionalFormatting>
  <conditionalFormatting sqref="C112">
    <cfRule type="cellIs" dxfId="403" priority="399" stopIfTrue="1" operator="equal">
      <formula>"Towel"</formula>
    </cfRule>
    <cfRule type="cellIs" dxfId="402" priority="400" stopIfTrue="1" operator="equal">
      <formula>"Napkin Hs"</formula>
    </cfRule>
  </conditionalFormatting>
  <conditionalFormatting sqref="C112">
    <cfRule type="cellIs" dxfId="401" priority="401" stopIfTrue="1" operator="equal">
      <formula>"Towel"</formula>
    </cfRule>
    <cfRule type="cellIs" dxfId="400" priority="402" stopIfTrue="1" operator="equal">
      <formula>"Napkin Hs"</formula>
    </cfRule>
  </conditionalFormatting>
  <conditionalFormatting sqref="C117">
    <cfRule type="cellIs" dxfId="399" priority="397" stopIfTrue="1" operator="equal">
      <formula>"Towel"</formula>
    </cfRule>
    <cfRule type="cellIs" dxfId="398" priority="398" stopIfTrue="1" operator="equal">
      <formula>"Napkin Hs"</formula>
    </cfRule>
  </conditionalFormatting>
  <conditionalFormatting sqref="C117">
    <cfRule type="cellIs" dxfId="397" priority="393" stopIfTrue="1" operator="equal">
      <formula>"Towel"</formula>
    </cfRule>
    <cfRule type="cellIs" dxfId="396" priority="394" stopIfTrue="1" operator="equal">
      <formula>"Napkin Hs"</formula>
    </cfRule>
  </conditionalFormatting>
  <conditionalFormatting sqref="C117">
    <cfRule type="cellIs" dxfId="395" priority="395" stopIfTrue="1" operator="equal">
      <formula>"Towel"</formula>
    </cfRule>
    <cfRule type="cellIs" dxfId="394" priority="396" stopIfTrue="1" operator="equal">
      <formula>"Napkin Hs"</formula>
    </cfRule>
  </conditionalFormatting>
  <conditionalFormatting sqref="B117">
    <cfRule type="cellIs" dxfId="393" priority="391" stopIfTrue="1" operator="equal">
      <formula>"Towel"</formula>
    </cfRule>
    <cfRule type="cellIs" dxfId="392" priority="392" stopIfTrue="1" operator="equal">
      <formula>"Napkin Hs"</formula>
    </cfRule>
  </conditionalFormatting>
  <conditionalFormatting sqref="B138:C138">
    <cfRule type="cellIs" dxfId="391" priority="233" stopIfTrue="1" operator="equal">
      <formula>"Towel"</formula>
    </cfRule>
    <cfRule type="cellIs" dxfId="390" priority="234" stopIfTrue="1" operator="equal">
      <formula>"Napkin Hs"</formula>
    </cfRule>
  </conditionalFormatting>
  <conditionalFormatting sqref="C138">
    <cfRule type="cellIs" dxfId="389" priority="229" stopIfTrue="1" operator="equal">
      <formula>"Towel"</formula>
    </cfRule>
    <cfRule type="cellIs" dxfId="388" priority="230" stopIfTrue="1" operator="equal">
      <formula>"Napkin Hs"</formula>
    </cfRule>
  </conditionalFormatting>
  <conditionalFormatting sqref="B136:C138">
    <cfRule type="cellIs" dxfId="387" priority="383" stopIfTrue="1" operator="equal">
      <formula>"Towel"</formula>
    </cfRule>
    <cfRule type="cellIs" dxfId="386" priority="384" stopIfTrue="1" operator="equal">
      <formula>"Napkin Hs"</formula>
    </cfRule>
  </conditionalFormatting>
  <conditionalFormatting sqref="C136:C138">
    <cfRule type="cellIs" dxfId="385" priority="382" stopIfTrue="1" operator="equal">
      <formula>"Napkin Hs"</formula>
    </cfRule>
  </conditionalFormatting>
  <conditionalFormatting sqref="C136:C138">
    <cfRule type="cellIs" dxfId="384" priority="381" stopIfTrue="1" operator="equal">
      <formula>"Towel"</formula>
    </cfRule>
  </conditionalFormatting>
  <conditionalFormatting sqref="C136:C138">
    <cfRule type="cellIs" dxfId="383" priority="379" stopIfTrue="1" operator="equal">
      <formula>"Towel"</formula>
    </cfRule>
    <cfRule type="cellIs" dxfId="382" priority="380" stopIfTrue="1" operator="equal">
      <formula>"Napkin Hs"</formula>
    </cfRule>
  </conditionalFormatting>
  <conditionalFormatting sqref="B138:C138">
    <cfRule type="cellIs" dxfId="381" priority="323" stopIfTrue="1" operator="equal">
      <formula>"Towel"</formula>
    </cfRule>
    <cfRule type="cellIs" dxfId="380" priority="324" stopIfTrue="1" operator="equal">
      <formula>"Napkin Hs"</formula>
    </cfRule>
    <cfRule type="cellIs" dxfId="379" priority="329" stopIfTrue="1" operator="equal">
      <formula>"Towel"</formula>
    </cfRule>
    <cfRule type="cellIs" dxfId="378" priority="330" stopIfTrue="1" operator="equal">
      <formula>"Napkin Hs"</formula>
    </cfRule>
    <cfRule type="cellIs" dxfId="377" priority="335" stopIfTrue="1" operator="equal">
      <formula>"Towel"</formula>
    </cfRule>
    <cfRule type="cellIs" dxfId="376" priority="336" stopIfTrue="1" operator="equal">
      <formula>"Napkin Hs"</formula>
    </cfRule>
    <cfRule type="cellIs" dxfId="375" priority="341" stopIfTrue="1" operator="equal">
      <formula>"Towel"</formula>
    </cfRule>
    <cfRule type="cellIs" dxfId="374" priority="342" stopIfTrue="1" operator="equal">
      <formula>"Napkin Hs"</formula>
    </cfRule>
    <cfRule type="cellIs" dxfId="373" priority="347" stopIfTrue="1" operator="equal">
      <formula>"Towel"</formula>
    </cfRule>
    <cfRule type="cellIs" dxfId="372" priority="348" stopIfTrue="1" operator="equal">
      <formula>"Napkin Hs"</formula>
    </cfRule>
    <cfRule type="cellIs" dxfId="371" priority="353" stopIfTrue="1" operator="equal">
      <formula>"Towel"</formula>
    </cfRule>
    <cfRule type="cellIs" dxfId="370" priority="354" stopIfTrue="1" operator="equal">
      <formula>"Napkin Hs"</formula>
    </cfRule>
    <cfRule type="cellIs" dxfId="369" priority="359" stopIfTrue="1" operator="equal">
      <formula>"Towel"</formula>
    </cfRule>
    <cfRule type="cellIs" dxfId="368" priority="360" stopIfTrue="1" operator="equal">
      <formula>"Napkin Hs"</formula>
    </cfRule>
    <cfRule type="cellIs" dxfId="367" priority="365" stopIfTrue="1" operator="equal">
      <formula>"Towel"</formula>
    </cfRule>
    <cfRule type="cellIs" dxfId="366" priority="366" stopIfTrue="1" operator="equal">
      <formula>"Napkin Hs"</formula>
    </cfRule>
    <cfRule type="cellIs" dxfId="365" priority="371" stopIfTrue="1" operator="equal">
      <formula>"Towel"</formula>
    </cfRule>
    <cfRule type="cellIs" dxfId="364" priority="372" stopIfTrue="1" operator="equal">
      <formula>"Napkin Hs"</formula>
    </cfRule>
    <cfRule type="cellIs" dxfId="363" priority="377" stopIfTrue="1" operator="equal">
      <formula>"Towel"</formula>
    </cfRule>
    <cfRule type="cellIs" dxfId="362" priority="378" stopIfTrue="1" operator="equal">
      <formula>"Napkin Hs"</formula>
    </cfRule>
  </conditionalFormatting>
  <conditionalFormatting sqref="C138">
    <cfRule type="cellIs" dxfId="361" priority="375" stopIfTrue="1" operator="equal">
      <formula>"Towel"</formula>
    </cfRule>
    <cfRule type="cellIs" dxfId="360" priority="376" stopIfTrue="1" operator="equal">
      <formula>"Napkin Hs"</formula>
    </cfRule>
  </conditionalFormatting>
  <conditionalFormatting sqref="C138">
    <cfRule type="cellIs" dxfId="359" priority="319" stopIfTrue="1" operator="equal">
      <formula>"Towel"</formula>
    </cfRule>
    <cfRule type="cellIs" dxfId="358" priority="320" stopIfTrue="1" operator="equal">
      <formula>"Napkin Hs"</formula>
    </cfRule>
    <cfRule type="cellIs" dxfId="357" priority="321" stopIfTrue="1" operator="equal">
      <formula>"Towel"</formula>
    </cfRule>
    <cfRule type="cellIs" dxfId="356" priority="322" stopIfTrue="1" operator="equal">
      <formula>"Napkin Hs"</formula>
    </cfRule>
    <cfRule type="cellIs" dxfId="355" priority="325" stopIfTrue="1" operator="equal">
      <formula>"Towel"</formula>
    </cfRule>
    <cfRule type="cellIs" dxfId="354" priority="326" stopIfTrue="1" operator="equal">
      <formula>"Napkin Hs"</formula>
    </cfRule>
    <cfRule type="cellIs" dxfId="353" priority="327" stopIfTrue="1" operator="equal">
      <formula>"Towel"</formula>
    </cfRule>
    <cfRule type="cellIs" dxfId="352" priority="328" stopIfTrue="1" operator="equal">
      <formula>"Napkin Hs"</formula>
    </cfRule>
    <cfRule type="cellIs" dxfId="351" priority="331" stopIfTrue="1" operator="equal">
      <formula>"Towel"</formula>
    </cfRule>
    <cfRule type="cellIs" dxfId="350" priority="332" stopIfTrue="1" operator="equal">
      <formula>"Napkin Hs"</formula>
    </cfRule>
    <cfRule type="cellIs" dxfId="349" priority="333" stopIfTrue="1" operator="equal">
      <formula>"Towel"</formula>
    </cfRule>
    <cfRule type="cellIs" dxfId="348" priority="334" stopIfTrue="1" operator="equal">
      <formula>"Napkin Hs"</formula>
    </cfRule>
    <cfRule type="cellIs" dxfId="347" priority="337" stopIfTrue="1" operator="equal">
      <formula>"Towel"</formula>
    </cfRule>
    <cfRule type="cellIs" dxfId="346" priority="338" stopIfTrue="1" operator="equal">
      <formula>"Napkin Hs"</formula>
    </cfRule>
    <cfRule type="cellIs" dxfId="345" priority="339" stopIfTrue="1" operator="equal">
      <formula>"Towel"</formula>
    </cfRule>
    <cfRule type="cellIs" dxfId="344" priority="340" stopIfTrue="1" operator="equal">
      <formula>"Napkin Hs"</formula>
    </cfRule>
    <cfRule type="cellIs" dxfId="343" priority="343" stopIfTrue="1" operator="equal">
      <formula>"Towel"</formula>
    </cfRule>
    <cfRule type="cellIs" dxfId="342" priority="344" stopIfTrue="1" operator="equal">
      <formula>"Napkin Hs"</formula>
    </cfRule>
    <cfRule type="cellIs" dxfId="341" priority="345" stopIfTrue="1" operator="equal">
      <formula>"Towel"</formula>
    </cfRule>
    <cfRule type="cellIs" dxfId="340" priority="346" stopIfTrue="1" operator="equal">
      <formula>"Napkin Hs"</formula>
    </cfRule>
    <cfRule type="cellIs" dxfId="339" priority="349" stopIfTrue="1" operator="equal">
      <formula>"Towel"</formula>
    </cfRule>
    <cfRule type="cellIs" dxfId="338" priority="350" stopIfTrue="1" operator="equal">
      <formula>"Napkin Hs"</formula>
    </cfRule>
    <cfRule type="cellIs" dxfId="337" priority="351" stopIfTrue="1" operator="equal">
      <formula>"Towel"</formula>
    </cfRule>
    <cfRule type="cellIs" dxfId="336" priority="352" stopIfTrue="1" operator="equal">
      <formula>"Napkin Hs"</formula>
    </cfRule>
    <cfRule type="cellIs" dxfId="335" priority="355" stopIfTrue="1" operator="equal">
      <formula>"Towel"</formula>
    </cfRule>
    <cfRule type="cellIs" dxfId="334" priority="356" stopIfTrue="1" operator="equal">
      <formula>"Napkin Hs"</formula>
    </cfRule>
    <cfRule type="cellIs" dxfId="333" priority="357" stopIfTrue="1" operator="equal">
      <formula>"Towel"</formula>
    </cfRule>
    <cfRule type="cellIs" dxfId="332" priority="358" stopIfTrue="1" operator="equal">
      <formula>"Napkin Hs"</formula>
    </cfRule>
    <cfRule type="cellIs" dxfId="331" priority="361" stopIfTrue="1" operator="equal">
      <formula>"Towel"</formula>
    </cfRule>
    <cfRule type="cellIs" dxfId="330" priority="362" stopIfTrue="1" operator="equal">
      <formula>"Napkin Hs"</formula>
    </cfRule>
    <cfRule type="cellIs" dxfId="329" priority="363" stopIfTrue="1" operator="equal">
      <formula>"Towel"</formula>
    </cfRule>
    <cfRule type="cellIs" dxfId="328" priority="364" stopIfTrue="1" operator="equal">
      <formula>"Napkin Hs"</formula>
    </cfRule>
    <cfRule type="cellIs" dxfId="327" priority="367" stopIfTrue="1" operator="equal">
      <formula>"Towel"</formula>
    </cfRule>
    <cfRule type="cellIs" dxfId="326" priority="368" stopIfTrue="1" operator="equal">
      <formula>"Napkin Hs"</formula>
    </cfRule>
    <cfRule type="cellIs" dxfId="325" priority="369" stopIfTrue="1" operator="equal">
      <formula>"Towel"</formula>
    </cfRule>
    <cfRule type="cellIs" dxfId="324" priority="370" stopIfTrue="1" operator="equal">
      <formula>"Napkin Hs"</formula>
    </cfRule>
    <cfRule type="cellIs" dxfId="323" priority="373" stopIfTrue="1" operator="equal">
      <formula>"Towel"</formula>
    </cfRule>
    <cfRule type="cellIs" dxfId="322" priority="374" stopIfTrue="1" operator="equal">
      <formula>"Napkin Hs"</formula>
    </cfRule>
  </conditionalFormatting>
  <conditionalFormatting sqref="B136:C136">
    <cfRule type="cellIs" dxfId="321" priority="317" stopIfTrue="1" operator="equal">
      <formula>"Towel"</formula>
    </cfRule>
    <cfRule type="cellIs" dxfId="320" priority="318" stopIfTrue="1" operator="equal">
      <formula>"Napkin Hs"</formula>
    </cfRule>
  </conditionalFormatting>
  <conditionalFormatting sqref="C136">
    <cfRule type="cellIs" dxfId="319" priority="313" stopIfTrue="1" operator="equal">
      <formula>"Towel"</formula>
    </cfRule>
    <cfRule type="cellIs" dxfId="318" priority="314" stopIfTrue="1" operator="equal">
      <formula>"Napkin Hs"</formula>
    </cfRule>
  </conditionalFormatting>
  <conditionalFormatting sqref="C136">
    <cfRule type="cellIs" dxfId="317" priority="315" stopIfTrue="1" operator="equal">
      <formula>"Towel"</formula>
    </cfRule>
    <cfRule type="cellIs" dxfId="316" priority="316" stopIfTrue="1" operator="equal">
      <formula>"Napkin Hs"</formula>
    </cfRule>
  </conditionalFormatting>
  <conditionalFormatting sqref="B137:C137">
    <cfRule type="cellIs" dxfId="315" priority="311" stopIfTrue="1" operator="equal">
      <formula>"Towel"</formula>
    </cfRule>
    <cfRule type="cellIs" dxfId="314" priority="312" stopIfTrue="1" operator="equal">
      <formula>"Napkin Hs"</formula>
    </cfRule>
  </conditionalFormatting>
  <conditionalFormatting sqref="C137">
    <cfRule type="cellIs" dxfId="313" priority="307" stopIfTrue="1" operator="equal">
      <formula>"Towel"</formula>
    </cfRule>
    <cfRule type="cellIs" dxfId="312" priority="308" stopIfTrue="1" operator="equal">
      <formula>"Napkin Hs"</formula>
    </cfRule>
  </conditionalFormatting>
  <conditionalFormatting sqref="C137">
    <cfRule type="cellIs" dxfId="311" priority="309" stopIfTrue="1" operator="equal">
      <formula>"Towel"</formula>
    </cfRule>
    <cfRule type="cellIs" dxfId="310" priority="310" stopIfTrue="1" operator="equal">
      <formula>"Napkin Hs"</formula>
    </cfRule>
  </conditionalFormatting>
  <conditionalFormatting sqref="B139:C139">
    <cfRule type="cellIs" dxfId="309" priority="305" stopIfTrue="1" operator="equal">
      <formula>"Towel"</formula>
    </cfRule>
    <cfRule type="cellIs" dxfId="308" priority="306" stopIfTrue="1" operator="equal">
      <formula>"Napkin Hs"</formula>
    </cfRule>
  </conditionalFormatting>
  <conditionalFormatting sqref="C139">
    <cfRule type="cellIs" dxfId="307" priority="301" stopIfTrue="1" operator="equal">
      <formula>"Towel"</formula>
    </cfRule>
    <cfRule type="cellIs" dxfId="306" priority="302" stopIfTrue="1" operator="equal">
      <formula>"Napkin Hs"</formula>
    </cfRule>
  </conditionalFormatting>
  <conditionalFormatting sqref="C139">
    <cfRule type="cellIs" dxfId="305" priority="303" stopIfTrue="1" operator="equal">
      <formula>"Towel"</formula>
    </cfRule>
    <cfRule type="cellIs" dxfId="304" priority="304" stopIfTrue="1" operator="equal">
      <formula>"Napkin Hs"</formula>
    </cfRule>
  </conditionalFormatting>
  <conditionalFormatting sqref="B139:C139">
    <cfRule type="cellIs" dxfId="303" priority="245" stopIfTrue="1" operator="equal">
      <formula>"Towel"</formula>
    </cfRule>
    <cfRule type="cellIs" dxfId="302" priority="246" stopIfTrue="1" operator="equal">
      <formula>"Napkin Hs"</formula>
    </cfRule>
    <cfRule type="cellIs" dxfId="301" priority="251" stopIfTrue="1" operator="equal">
      <formula>"Towel"</formula>
    </cfRule>
    <cfRule type="cellIs" dxfId="300" priority="252" stopIfTrue="1" operator="equal">
      <formula>"Napkin Hs"</formula>
    </cfRule>
    <cfRule type="cellIs" dxfId="299" priority="257" stopIfTrue="1" operator="equal">
      <formula>"Towel"</formula>
    </cfRule>
    <cfRule type="cellIs" dxfId="298" priority="258" stopIfTrue="1" operator="equal">
      <formula>"Napkin Hs"</formula>
    </cfRule>
    <cfRule type="cellIs" dxfId="297" priority="263" stopIfTrue="1" operator="equal">
      <formula>"Towel"</formula>
    </cfRule>
    <cfRule type="cellIs" dxfId="296" priority="264" stopIfTrue="1" operator="equal">
      <formula>"Napkin Hs"</formula>
    </cfRule>
    <cfRule type="cellIs" dxfId="295" priority="269" stopIfTrue="1" operator="equal">
      <formula>"Towel"</formula>
    </cfRule>
    <cfRule type="cellIs" dxfId="294" priority="270" stopIfTrue="1" operator="equal">
      <formula>"Napkin Hs"</formula>
    </cfRule>
    <cfRule type="cellIs" dxfId="293" priority="275" stopIfTrue="1" operator="equal">
      <formula>"Towel"</formula>
    </cfRule>
    <cfRule type="cellIs" dxfId="292" priority="276" stopIfTrue="1" operator="equal">
      <formula>"Napkin Hs"</formula>
    </cfRule>
    <cfRule type="cellIs" dxfId="291" priority="281" stopIfTrue="1" operator="equal">
      <formula>"Towel"</formula>
    </cfRule>
    <cfRule type="cellIs" dxfId="290" priority="282" stopIfTrue="1" operator="equal">
      <formula>"Napkin Hs"</formula>
    </cfRule>
    <cfRule type="cellIs" dxfId="289" priority="287" stopIfTrue="1" operator="equal">
      <formula>"Towel"</formula>
    </cfRule>
    <cfRule type="cellIs" dxfId="288" priority="288" stopIfTrue="1" operator="equal">
      <formula>"Napkin Hs"</formula>
    </cfRule>
    <cfRule type="cellIs" dxfId="287" priority="293" stopIfTrue="1" operator="equal">
      <formula>"Towel"</formula>
    </cfRule>
    <cfRule type="cellIs" dxfId="286" priority="294" stopIfTrue="1" operator="equal">
      <formula>"Napkin Hs"</formula>
    </cfRule>
    <cfRule type="cellIs" dxfId="285" priority="299" stopIfTrue="1" operator="equal">
      <formula>"Towel"</formula>
    </cfRule>
    <cfRule type="cellIs" dxfId="284" priority="300" stopIfTrue="1" operator="equal">
      <formula>"Napkin Hs"</formula>
    </cfRule>
  </conditionalFormatting>
  <conditionalFormatting sqref="C139">
    <cfRule type="cellIs" dxfId="283" priority="241" stopIfTrue="1" operator="equal">
      <formula>"Towel"</formula>
    </cfRule>
    <cfRule type="cellIs" dxfId="282" priority="242" stopIfTrue="1" operator="equal">
      <formula>"Napkin Hs"</formula>
    </cfRule>
  </conditionalFormatting>
  <conditionalFormatting sqref="C139">
    <cfRule type="cellIs" dxfId="281" priority="243" stopIfTrue="1" operator="equal">
      <formula>"Towel"</formula>
    </cfRule>
    <cfRule type="cellIs" dxfId="280" priority="244" stopIfTrue="1" operator="equal">
      <formula>"Napkin Hs"</formula>
    </cfRule>
    <cfRule type="cellIs" dxfId="279" priority="247" stopIfTrue="1" operator="equal">
      <formula>"Towel"</formula>
    </cfRule>
    <cfRule type="cellIs" dxfId="278" priority="248" stopIfTrue="1" operator="equal">
      <formula>"Napkin Hs"</formula>
    </cfRule>
    <cfRule type="cellIs" dxfId="277" priority="249" stopIfTrue="1" operator="equal">
      <formula>"Towel"</formula>
    </cfRule>
    <cfRule type="cellIs" dxfId="276" priority="250" stopIfTrue="1" operator="equal">
      <formula>"Napkin Hs"</formula>
    </cfRule>
    <cfRule type="cellIs" dxfId="275" priority="253" stopIfTrue="1" operator="equal">
      <formula>"Towel"</formula>
    </cfRule>
    <cfRule type="cellIs" dxfId="274" priority="254" stopIfTrue="1" operator="equal">
      <formula>"Napkin Hs"</formula>
    </cfRule>
    <cfRule type="cellIs" dxfId="273" priority="255" stopIfTrue="1" operator="equal">
      <formula>"Towel"</formula>
    </cfRule>
    <cfRule type="cellIs" dxfId="272" priority="256" stopIfTrue="1" operator="equal">
      <formula>"Napkin Hs"</formula>
    </cfRule>
    <cfRule type="cellIs" dxfId="271" priority="259" stopIfTrue="1" operator="equal">
      <formula>"Towel"</formula>
    </cfRule>
    <cfRule type="cellIs" dxfId="270" priority="260" stopIfTrue="1" operator="equal">
      <formula>"Napkin Hs"</formula>
    </cfRule>
    <cfRule type="cellIs" dxfId="269" priority="261" stopIfTrue="1" operator="equal">
      <formula>"Towel"</formula>
    </cfRule>
    <cfRule type="cellIs" dxfId="268" priority="262" stopIfTrue="1" operator="equal">
      <formula>"Napkin Hs"</formula>
    </cfRule>
    <cfRule type="cellIs" dxfId="267" priority="265" stopIfTrue="1" operator="equal">
      <formula>"Towel"</formula>
    </cfRule>
    <cfRule type="cellIs" dxfId="266" priority="266" stopIfTrue="1" operator="equal">
      <formula>"Napkin Hs"</formula>
    </cfRule>
    <cfRule type="cellIs" dxfId="265" priority="267" stopIfTrue="1" operator="equal">
      <formula>"Towel"</formula>
    </cfRule>
    <cfRule type="cellIs" dxfId="264" priority="268" stopIfTrue="1" operator="equal">
      <formula>"Napkin Hs"</formula>
    </cfRule>
    <cfRule type="cellIs" dxfId="263" priority="271" stopIfTrue="1" operator="equal">
      <formula>"Towel"</formula>
    </cfRule>
    <cfRule type="cellIs" dxfId="262" priority="272" stopIfTrue="1" operator="equal">
      <formula>"Napkin Hs"</formula>
    </cfRule>
    <cfRule type="cellIs" dxfId="261" priority="273" stopIfTrue="1" operator="equal">
      <formula>"Towel"</formula>
    </cfRule>
    <cfRule type="cellIs" dxfId="260" priority="274" stopIfTrue="1" operator="equal">
      <formula>"Napkin Hs"</formula>
    </cfRule>
    <cfRule type="cellIs" dxfId="259" priority="277" stopIfTrue="1" operator="equal">
      <formula>"Towel"</formula>
    </cfRule>
    <cfRule type="cellIs" dxfId="258" priority="278" stopIfTrue="1" operator="equal">
      <formula>"Napkin Hs"</formula>
    </cfRule>
    <cfRule type="cellIs" dxfId="257" priority="279" stopIfTrue="1" operator="equal">
      <formula>"Towel"</formula>
    </cfRule>
    <cfRule type="cellIs" dxfId="256" priority="280" stopIfTrue="1" operator="equal">
      <formula>"Napkin Hs"</formula>
    </cfRule>
    <cfRule type="cellIs" dxfId="255" priority="283" stopIfTrue="1" operator="equal">
      <formula>"Towel"</formula>
    </cfRule>
    <cfRule type="cellIs" dxfId="254" priority="284" stopIfTrue="1" operator="equal">
      <formula>"Napkin Hs"</formula>
    </cfRule>
    <cfRule type="cellIs" dxfId="253" priority="285" stopIfTrue="1" operator="equal">
      <formula>"Towel"</formula>
    </cfRule>
    <cfRule type="cellIs" dxfId="252" priority="286" stopIfTrue="1" operator="equal">
      <formula>"Napkin Hs"</formula>
    </cfRule>
    <cfRule type="cellIs" dxfId="251" priority="289" stopIfTrue="1" operator="equal">
      <formula>"Towel"</formula>
    </cfRule>
    <cfRule type="cellIs" dxfId="250" priority="290" stopIfTrue="1" operator="equal">
      <formula>"Napkin Hs"</formula>
    </cfRule>
    <cfRule type="cellIs" dxfId="249" priority="291" stopIfTrue="1" operator="equal">
      <formula>"Towel"</formula>
    </cfRule>
    <cfRule type="cellIs" dxfId="248" priority="292" stopIfTrue="1" operator="equal">
      <formula>"Napkin Hs"</formula>
    </cfRule>
    <cfRule type="cellIs" dxfId="247" priority="295" stopIfTrue="1" operator="equal">
      <formula>"Towel"</formula>
    </cfRule>
    <cfRule type="cellIs" dxfId="246" priority="296" stopIfTrue="1" operator="equal">
      <formula>"Napkin Hs"</formula>
    </cfRule>
    <cfRule type="cellIs" dxfId="245" priority="297" stopIfTrue="1" operator="equal">
      <formula>"Towel"</formula>
    </cfRule>
    <cfRule type="cellIs" dxfId="244" priority="298" stopIfTrue="1" operator="equal">
      <formula>"Napkin Hs"</formula>
    </cfRule>
  </conditionalFormatting>
  <conditionalFormatting sqref="B139:C139">
    <cfRule type="cellIs" dxfId="243" priority="239" stopIfTrue="1" operator="equal">
      <formula>"Towel"</formula>
    </cfRule>
    <cfRule type="cellIs" dxfId="242" priority="240" stopIfTrue="1" operator="equal">
      <formula>"Napkin Hs"</formula>
    </cfRule>
  </conditionalFormatting>
  <conditionalFormatting sqref="C139">
    <cfRule type="cellIs" dxfId="241" priority="238" stopIfTrue="1" operator="equal">
      <formula>"Napkin Hs"</formula>
    </cfRule>
  </conditionalFormatting>
  <conditionalFormatting sqref="C139">
    <cfRule type="cellIs" dxfId="240" priority="237" stopIfTrue="1" operator="equal">
      <formula>"Towel"</formula>
    </cfRule>
  </conditionalFormatting>
  <conditionalFormatting sqref="C139">
    <cfRule type="cellIs" dxfId="239" priority="235" stopIfTrue="1" operator="equal">
      <formula>"Towel"</formula>
    </cfRule>
    <cfRule type="cellIs" dxfId="238" priority="236" stopIfTrue="1" operator="equal">
      <formula>"Napkin Hs"</formula>
    </cfRule>
  </conditionalFormatting>
  <conditionalFormatting sqref="C138">
    <cfRule type="cellIs" dxfId="237" priority="231" stopIfTrue="1" operator="equal">
      <formula>"Towel"</formula>
    </cfRule>
    <cfRule type="cellIs" dxfId="236" priority="232" stopIfTrue="1" operator="equal">
      <formula>"Napkin Hs"</formula>
    </cfRule>
  </conditionalFormatting>
  <conditionalFormatting sqref="B138:C138">
    <cfRule type="cellIs" dxfId="235" priority="173" stopIfTrue="1" operator="equal">
      <formula>"Towel"</formula>
    </cfRule>
    <cfRule type="cellIs" dxfId="234" priority="174" stopIfTrue="1" operator="equal">
      <formula>"Napkin Hs"</formula>
    </cfRule>
    <cfRule type="cellIs" dxfId="233" priority="179" stopIfTrue="1" operator="equal">
      <formula>"Towel"</formula>
    </cfRule>
    <cfRule type="cellIs" dxfId="232" priority="180" stopIfTrue="1" operator="equal">
      <formula>"Napkin Hs"</formula>
    </cfRule>
    <cfRule type="cellIs" dxfId="231" priority="185" stopIfTrue="1" operator="equal">
      <formula>"Towel"</formula>
    </cfRule>
    <cfRule type="cellIs" dxfId="230" priority="186" stopIfTrue="1" operator="equal">
      <formula>"Napkin Hs"</formula>
    </cfRule>
    <cfRule type="cellIs" dxfId="229" priority="191" stopIfTrue="1" operator="equal">
      <formula>"Towel"</formula>
    </cfRule>
    <cfRule type="cellIs" dxfId="228" priority="192" stopIfTrue="1" operator="equal">
      <formula>"Napkin Hs"</formula>
    </cfRule>
    <cfRule type="cellIs" dxfId="227" priority="197" stopIfTrue="1" operator="equal">
      <formula>"Towel"</formula>
    </cfRule>
    <cfRule type="cellIs" dxfId="226" priority="198" stopIfTrue="1" operator="equal">
      <formula>"Napkin Hs"</formula>
    </cfRule>
    <cfRule type="cellIs" dxfId="225" priority="203" stopIfTrue="1" operator="equal">
      <formula>"Towel"</formula>
    </cfRule>
    <cfRule type="cellIs" dxfId="224" priority="204" stopIfTrue="1" operator="equal">
      <formula>"Napkin Hs"</formula>
    </cfRule>
    <cfRule type="cellIs" dxfId="223" priority="209" stopIfTrue="1" operator="equal">
      <formula>"Towel"</formula>
    </cfRule>
    <cfRule type="cellIs" dxfId="222" priority="210" stopIfTrue="1" operator="equal">
      <formula>"Napkin Hs"</formula>
    </cfRule>
    <cfRule type="cellIs" dxfId="221" priority="215" stopIfTrue="1" operator="equal">
      <formula>"Towel"</formula>
    </cfRule>
    <cfRule type="cellIs" dxfId="220" priority="216" stopIfTrue="1" operator="equal">
      <formula>"Napkin Hs"</formula>
    </cfRule>
    <cfRule type="cellIs" dxfId="219" priority="221" stopIfTrue="1" operator="equal">
      <formula>"Towel"</formula>
    </cfRule>
    <cfRule type="cellIs" dxfId="218" priority="222" stopIfTrue="1" operator="equal">
      <formula>"Napkin Hs"</formula>
    </cfRule>
    <cfRule type="cellIs" dxfId="217" priority="227" stopIfTrue="1" operator="equal">
      <formula>"Towel"</formula>
    </cfRule>
    <cfRule type="cellIs" dxfId="216" priority="228" stopIfTrue="1" operator="equal">
      <formula>"Napkin Hs"</formula>
    </cfRule>
  </conditionalFormatting>
  <conditionalFormatting sqref="C138">
    <cfRule type="cellIs" dxfId="215" priority="169" stopIfTrue="1" operator="equal">
      <formula>"Towel"</formula>
    </cfRule>
    <cfRule type="cellIs" dxfId="214" priority="170" stopIfTrue="1" operator="equal">
      <formula>"Napkin Hs"</formula>
    </cfRule>
  </conditionalFormatting>
  <conditionalFormatting sqref="C138">
    <cfRule type="cellIs" dxfId="213" priority="171" stopIfTrue="1" operator="equal">
      <formula>"Towel"</formula>
    </cfRule>
    <cfRule type="cellIs" dxfId="212" priority="172" stopIfTrue="1" operator="equal">
      <formula>"Napkin Hs"</formula>
    </cfRule>
    <cfRule type="cellIs" dxfId="211" priority="175" stopIfTrue="1" operator="equal">
      <formula>"Towel"</formula>
    </cfRule>
    <cfRule type="cellIs" dxfId="210" priority="176" stopIfTrue="1" operator="equal">
      <formula>"Napkin Hs"</formula>
    </cfRule>
    <cfRule type="cellIs" dxfId="209" priority="177" stopIfTrue="1" operator="equal">
      <formula>"Towel"</formula>
    </cfRule>
    <cfRule type="cellIs" dxfId="208" priority="178" stopIfTrue="1" operator="equal">
      <formula>"Napkin Hs"</formula>
    </cfRule>
    <cfRule type="cellIs" dxfId="207" priority="181" stopIfTrue="1" operator="equal">
      <formula>"Towel"</formula>
    </cfRule>
    <cfRule type="cellIs" dxfId="206" priority="182" stopIfTrue="1" operator="equal">
      <formula>"Napkin Hs"</formula>
    </cfRule>
    <cfRule type="cellIs" dxfId="205" priority="183" stopIfTrue="1" operator="equal">
      <formula>"Towel"</formula>
    </cfRule>
    <cfRule type="cellIs" dxfId="204" priority="184" stopIfTrue="1" operator="equal">
      <formula>"Napkin Hs"</formula>
    </cfRule>
    <cfRule type="cellIs" dxfId="203" priority="187" stopIfTrue="1" operator="equal">
      <formula>"Towel"</formula>
    </cfRule>
    <cfRule type="cellIs" dxfId="202" priority="188" stopIfTrue="1" operator="equal">
      <formula>"Napkin Hs"</formula>
    </cfRule>
    <cfRule type="cellIs" dxfId="201" priority="189" stopIfTrue="1" operator="equal">
      <formula>"Towel"</formula>
    </cfRule>
    <cfRule type="cellIs" dxfId="200" priority="190" stopIfTrue="1" operator="equal">
      <formula>"Napkin Hs"</formula>
    </cfRule>
    <cfRule type="cellIs" dxfId="199" priority="193" stopIfTrue="1" operator="equal">
      <formula>"Towel"</formula>
    </cfRule>
    <cfRule type="cellIs" dxfId="198" priority="194" stopIfTrue="1" operator="equal">
      <formula>"Napkin Hs"</formula>
    </cfRule>
    <cfRule type="cellIs" dxfId="197" priority="195" stopIfTrue="1" operator="equal">
      <formula>"Towel"</formula>
    </cfRule>
    <cfRule type="cellIs" dxfId="196" priority="196" stopIfTrue="1" operator="equal">
      <formula>"Napkin Hs"</formula>
    </cfRule>
    <cfRule type="cellIs" dxfId="195" priority="199" stopIfTrue="1" operator="equal">
      <formula>"Towel"</formula>
    </cfRule>
    <cfRule type="cellIs" dxfId="194" priority="200" stopIfTrue="1" operator="equal">
      <formula>"Napkin Hs"</formula>
    </cfRule>
    <cfRule type="cellIs" dxfId="193" priority="201" stopIfTrue="1" operator="equal">
      <formula>"Towel"</formula>
    </cfRule>
    <cfRule type="cellIs" dxfId="192" priority="202" stopIfTrue="1" operator="equal">
      <formula>"Napkin Hs"</formula>
    </cfRule>
    <cfRule type="cellIs" dxfId="191" priority="205" stopIfTrue="1" operator="equal">
      <formula>"Towel"</formula>
    </cfRule>
    <cfRule type="cellIs" dxfId="190" priority="206" stopIfTrue="1" operator="equal">
      <formula>"Napkin Hs"</formula>
    </cfRule>
    <cfRule type="cellIs" dxfId="189" priority="207" stopIfTrue="1" operator="equal">
      <formula>"Towel"</formula>
    </cfRule>
    <cfRule type="cellIs" dxfId="188" priority="208" stopIfTrue="1" operator="equal">
      <formula>"Napkin Hs"</formula>
    </cfRule>
    <cfRule type="cellIs" dxfId="187" priority="211" stopIfTrue="1" operator="equal">
      <formula>"Towel"</formula>
    </cfRule>
    <cfRule type="cellIs" dxfId="186" priority="212" stopIfTrue="1" operator="equal">
      <formula>"Napkin Hs"</formula>
    </cfRule>
    <cfRule type="cellIs" dxfId="185" priority="213" stopIfTrue="1" operator="equal">
      <formula>"Towel"</formula>
    </cfRule>
    <cfRule type="cellIs" dxfId="184" priority="214" stopIfTrue="1" operator="equal">
      <formula>"Napkin Hs"</formula>
    </cfRule>
    <cfRule type="cellIs" dxfId="183" priority="217" stopIfTrue="1" operator="equal">
      <formula>"Towel"</formula>
    </cfRule>
    <cfRule type="cellIs" dxfId="182" priority="218" stopIfTrue="1" operator="equal">
      <formula>"Napkin Hs"</formula>
    </cfRule>
    <cfRule type="cellIs" dxfId="181" priority="219" stopIfTrue="1" operator="equal">
      <formula>"Towel"</formula>
    </cfRule>
    <cfRule type="cellIs" dxfId="180" priority="220" stopIfTrue="1" operator="equal">
      <formula>"Napkin Hs"</formula>
    </cfRule>
    <cfRule type="cellIs" dxfId="179" priority="223" stopIfTrue="1" operator="equal">
      <formula>"Towel"</formula>
    </cfRule>
    <cfRule type="cellIs" dxfId="178" priority="224" stopIfTrue="1" operator="equal">
      <formula>"Napkin Hs"</formula>
    </cfRule>
    <cfRule type="cellIs" dxfId="177" priority="225" stopIfTrue="1" operator="equal">
      <formula>"Towel"</formula>
    </cfRule>
    <cfRule type="cellIs" dxfId="176" priority="226" stopIfTrue="1" operator="equal">
      <formula>"Napkin Hs"</formula>
    </cfRule>
  </conditionalFormatting>
  <conditionalFormatting sqref="B135:C135">
    <cfRule type="cellIs" dxfId="175" priority="167" stopIfTrue="1" operator="equal">
      <formula>"Towel"</formula>
    </cfRule>
    <cfRule type="cellIs" dxfId="174" priority="168" stopIfTrue="1" operator="equal">
      <formula>"Napkin Hs"</formula>
    </cfRule>
  </conditionalFormatting>
  <conditionalFormatting sqref="C135">
    <cfRule type="cellIs" dxfId="173" priority="166" stopIfTrue="1" operator="equal">
      <formula>"Napkin Hs"</formula>
    </cfRule>
  </conditionalFormatting>
  <conditionalFormatting sqref="C135">
    <cfRule type="cellIs" dxfId="172" priority="165" stopIfTrue="1" operator="equal">
      <formula>"Towel"</formula>
    </cfRule>
  </conditionalFormatting>
  <conditionalFormatting sqref="C135">
    <cfRule type="cellIs" dxfId="171" priority="163" stopIfTrue="1" operator="equal">
      <formula>"Towel"</formula>
    </cfRule>
    <cfRule type="cellIs" dxfId="170" priority="164" stopIfTrue="1" operator="equal">
      <formula>"Napkin Hs"</formula>
    </cfRule>
  </conditionalFormatting>
  <conditionalFormatting sqref="B135:C135">
    <cfRule type="cellIs" dxfId="169" priority="161" stopIfTrue="1" operator="equal">
      <formula>"Towel"</formula>
    </cfRule>
    <cfRule type="cellIs" dxfId="168" priority="162" stopIfTrue="1" operator="equal">
      <formula>"Napkin Hs"</formula>
    </cfRule>
  </conditionalFormatting>
  <conditionalFormatting sqref="C135">
    <cfRule type="cellIs" dxfId="167" priority="157" stopIfTrue="1" operator="equal">
      <formula>"Towel"</formula>
    </cfRule>
    <cfRule type="cellIs" dxfId="166" priority="158" stopIfTrue="1" operator="equal">
      <formula>"Napkin Hs"</formula>
    </cfRule>
  </conditionalFormatting>
  <conditionalFormatting sqref="C135">
    <cfRule type="cellIs" dxfId="165" priority="159" stopIfTrue="1" operator="equal">
      <formula>"Towel"</formula>
    </cfRule>
    <cfRule type="cellIs" dxfId="164" priority="160" stopIfTrue="1" operator="equal">
      <formula>"Napkin Hs"</formula>
    </cfRule>
  </conditionalFormatting>
  <conditionalFormatting sqref="B141:C144">
    <cfRule type="cellIs" dxfId="163" priority="155" stopIfTrue="1" operator="equal">
      <formula>"Towel"</formula>
    </cfRule>
    <cfRule type="cellIs" dxfId="162" priority="156" stopIfTrue="1" operator="equal">
      <formula>"Napkin Hs"</formula>
    </cfRule>
  </conditionalFormatting>
  <conditionalFormatting sqref="C141:C144">
    <cfRule type="cellIs" dxfId="161" priority="154" stopIfTrue="1" operator="equal">
      <formula>"Napkin Hs"</formula>
    </cfRule>
  </conditionalFormatting>
  <conditionalFormatting sqref="C141:C144">
    <cfRule type="cellIs" dxfId="160" priority="153" stopIfTrue="1" operator="equal">
      <formula>"Towel"</formula>
    </cfRule>
  </conditionalFormatting>
  <conditionalFormatting sqref="C141:C144">
    <cfRule type="cellIs" dxfId="159" priority="151" stopIfTrue="1" operator="equal">
      <formula>"Towel"</formula>
    </cfRule>
    <cfRule type="cellIs" dxfId="158" priority="152" stopIfTrue="1" operator="equal">
      <formula>"Napkin Hs"</formula>
    </cfRule>
  </conditionalFormatting>
  <conditionalFormatting sqref="B143:C144">
    <cfRule type="cellIs" dxfId="157" priority="95" stopIfTrue="1" operator="equal">
      <formula>"Towel"</formula>
    </cfRule>
    <cfRule type="cellIs" dxfId="156" priority="96" stopIfTrue="1" operator="equal">
      <formula>"Napkin Hs"</formula>
    </cfRule>
    <cfRule type="cellIs" dxfId="155" priority="101" stopIfTrue="1" operator="equal">
      <formula>"Towel"</formula>
    </cfRule>
    <cfRule type="cellIs" dxfId="154" priority="102" stopIfTrue="1" operator="equal">
      <formula>"Napkin Hs"</formula>
    </cfRule>
    <cfRule type="cellIs" dxfId="153" priority="107" stopIfTrue="1" operator="equal">
      <formula>"Towel"</formula>
    </cfRule>
    <cfRule type="cellIs" dxfId="152" priority="108" stopIfTrue="1" operator="equal">
      <formula>"Napkin Hs"</formula>
    </cfRule>
    <cfRule type="cellIs" dxfId="151" priority="113" stopIfTrue="1" operator="equal">
      <formula>"Towel"</formula>
    </cfRule>
    <cfRule type="cellIs" dxfId="150" priority="114" stopIfTrue="1" operator="equal">
      <formula>"Napkin Hs"</formula>
    </cfRule>
    <cfRule type="cellIs" dxfId="149" priority="119" stopIfTrue="1" operator="equal">
      <formula>"Towel"</formula>
    </cfRule>
    <cfRule type="cellIs" dxfId="148" priority="120" stopIfTrue="1" operator="equal">
      <formula>"Napkin Hs"</formula>
    </cfRule>
    <cfRule type="cellIs" dxfId="147" priority="125" stopIfTrue="1" operator="equal">
      <formula>"Towel"</formula>
    </cfRule>
    <cfRule type="cellIs" dxfId="146" priority="126" stopIfTrue="1" operator="equal">
      <formula>"Napkin Hs"</formula>
    </cfRule>
    <cfRule type="cellIs" dxfId="145" priority="131" stopIfTrue="1" operator="equal">
      <formula>"Towel"</formula>
    </cfRule>
    <cfRule type="cellIs" dxfId="144" priority="132" stopIfTrue="1" operator="equal">
      <formula>"Napkin Hs"</formula>
    </cfRule>
    <cfRule type="cellIs" dxfId="143" priority="137" stopIfTrue="1" operator="equal">
      <formula>"Towel"</formula>
    </cfRule>
    <cfRule type="cellIs" dxfId="142" priority="138" stopIfTrue="1" operator="equal">
      <formula>"Napkin Hs"</formula>
    </cfRule>
    <cfRule type="cellIs" dxfId="141" priority="143" stopIfTrue="1" operator="equal">
      <formula>"Towel"</formula>
    </cfRule>
    <cfRule type="cellIs" dxfId="140" priority="144" stopIfTrue="1" operator="equal">
      <formula>"Napkin Hs"</formula>
    </cfRule>
    <cfRule type="cellIs" dxfId="139" priority="149" stopIfTrue="1" operator="equal">
      <formula>"Towel"</formula>
    </cfRule>
    <cfRule type="cellIs" dxfId="138" priority="150" stopIfTrue="1" operator="equal">
      <formula>"Napkin Hs"</formula>
    </cfRule>
  </conditionalFormatting>
  <conditionalFormatting sqref="C143:C144">
    <cfRule type="cellIs" dxfId="137" priority="147" stopIfTrue="1" operator="equal">
      <formula>"Towel"</formula>
    </cfRule>
    <cfRule type="cellIs" dxfId="136" priority="148" stopIfTrue="1" operator="equal">
      <formula>"Napkin Hs"</formula>
    </cfRule>
  </conditionalFormatting>
  <conditionalFormatting sqref="C143:C144">
    <cfRule type="cellIs" dxfId="135" priority="91" stopIfTrue="1" operator="equal">
      <formula>"Towel"</formula>
    </cfRule>
    <cfRule type="cellIs" dxfId="134" priority="92" stopIfTrue="1" operator="equal">
      <formula>"Napkin Hs"</formula>
    </cfRule>
    <cfRule type="cellIs" dxfId="133" priority="93" stopIfTrue="1" operator="equal">
      <formula>"Towel"</formula>
    </cfRule>
    <cfRule type="cellIs" dxfId="132" priority="94" stopIfTrue="1" operator="equal">
      <formula>"Napkin Hs"</formula>
    </cfRule>
    <cfRule type="cellIs" dxfId="131" priority="97" stopIfTrue="1" operator="equal">
      <formula>"Towel"</formula>
    </cfRule>
    <cfRule type="cellIs" dxfId="130" priority="98" stopIfTrue="1" operator="equal">
      <formula>"Napkin Hs"</formula>
    </cfRule>
    <cfRule type="cellIs" dxfId="129" priority="99" stopIfTrue="1" operator="equal">
      <formula>"Towel"</formula>
    </cfRule>
    <cfRule type="cellIs" dxfId="128" priority="100" stopIfTrue="1" operator="equal">
      <formula>"Napkin Hs"</formula>
    </cfRule>
    <cfRule type="cellIs" dxfId="127" priority="103" stopIfTrue="1" operator="equal">
      <formula>"Towel"</formula>
    </cfRule>
    <cfRule type="cellIs" dxfId="126" priority="104" stopIfTrue="1" operator="equal">
      <formula>"Napkin Hs"</formula>
    </cfRule>
    <cfRule type="cellIs" dxfId="125" priority="105" stopIfTrue="1" operator="equal">
      <formula>"Towel"</formula>
    </cfRule>
    <cfRule type="cellIs" dxfId="124" priority="106" stopIfTrue="1" operator="equal">
      <formula>"Napkin Hs"</formula>
    </cfRule>
    <cfRule type="cellIs" dxfId="123" priority="109" stopIfTrue="1" operator="equal">
      <formula>"Towel"</formula>
    </cfRule>
    <cfRule type="cellIs" dxfId="122" priority="110" stopIfTrue="1" operator="equal">
      <formula>"Napkin Hs"</formula>
    </cfRule>
    <cfRule type="cellIs" dxfId="121" priority="111" stopIfTrue="1" operator="equal">
      <formula>"Towel"</formula>
    </cfRule>
    <cfRule type="cellIs" dxfId="120" priority="112" stopIfTrue="1" operator="equal">
      <formula>"Napkin Hs"</formula>
    </cfRule>
    <cfRule type="cellIs" dxfId="119" priority="115" stopIfTrue="1" operator="equal">
      <formula>"Towel"</formula>
    </cfRule>
    <cfRule type="cellIs" dxfId="118" priority="116" stopIfTrue="1" operator="equal">
      <formula>"Napkin Hs"</formula>
    </cfRule>
    <cfRule type="cellIs" dxfId="117" priority="117" stopIfTrue="1" operator="equal">
      <formula>"Towel"</formula>
    </cfRule>
    <cfRule type="cellIs" dxfId="116" priority="118" stopIfTrue="1" operator="equal">
      <formula>"Napkin Hs"</formula>
    </cfRule>
    <cfRule type="cellIs" dxfId="115" priority="121" stopIfTrue="1" operator="equal">
      <formula>"Towel"</formula>
    </cfRule>
    <cfRule type="cellIs" dxfId="114" priority="122" stopIfTrue="1" operator="equal">
      <formula>"Napkin Hs"</formula>
    </cfRule>
    <cfRule type="cellIs" dxfId="113" priority="123" stopIfTrue="1" operator="equal">
      <formula>"Towel"</formula>
    </cfRule>
    <cfRule type="cellIs" dxfId="112" priority="124" stopIfTrue="1" operator="equal">
      <formula>"Napkin Hs"</formula>
    </cfRule>
    <cfRule type="cellIs" dxfId="111" priority="127" stopIfTrue="1" operator="equal">
      <formula>"Towel"</formula>
    </cfRule>
    <cfRule type="cellIs" dxfId="110" priority="128" stopIfTrue="1" operator="equal">
      <formula>"Napkin Hs"</formula>
    </cfRule>
    <cfRule type="cellIs" dxfId="109" priority="129" stopIfTrue="1" operator="equal">
      <formula>"Towel"</formula>
    </cfRule>
    <cfRule type="cellIs" dxfId="108" priority="130" stopIfTrue="1" operator="equal">
      <formula>"Napkin Hs"</formula>
    </cfRule>
    <cfRule type="cellIs" dxfId="107" priority="133" stopIfTrue="1" operator="equal">
      <formula>"Towel"</formula>
    </cfRule>
    <cfRule type="cellIs" dxfId="106" priority="134" stopIfTrue="1" operator="equal">
      <formula>"Napkin Hs"</formula>
    </cfRule>
    <cfRule type="cellIs" dxfId="105" priority="135" stopIfTrue="1" operator="equal">
      <formula>"Towel"</formula>
    </cfRule>
    <cfRule type="cellIs" dxfId="104" priority="136" stopIfTrue="1" operator="equal">
      <formula>"Napkin Hs"</formula>
    </cfRule>
    <cfRule type="cellIs" dxfId="103" priority="139" stopIfTrue="1" operator="equal">
      <formula>"Towel"</formula>
    </cfRule>
    <cfRule type="cellIs" dxfId="102" priority="140" stopIfTrue="1" operator="equal">
      <formula>"Napkin Hs"</formula>
    </cfRule>
    <cfRule type="cellIs" dxfId="101" priority="141" stopIfTrue="1" operator="equal">
      <formula>"Towel"</formula>
    </cfRule>
    <cfRule type="cellIs" dxfId="100" priority="142" stopIfTrue="1" operator="equal">
      <formula>"Napkin Hs"</formula>
    </cfRule>
    <cfRule type="cellIs" dxfId="99" priority="145" stopIfTrue="1" operator="equal">
      <formula>"Towel"</formula>
    </cfRule>
    <cfRule type="cellIs" dxfId="98" priority="146" stopIfTrue="1" operator="equal">
      <formula>"Napkin Hs"</formula>
    </cfRule>
  </conditionalFormatting>
  <conditionalFormatting sqref="B141:C141">
    <cfRule type="cellIs" dxfId="97" priority="89" stopIfTrue="1" operator="equal">
      <formula>"Towel"</formula>
    </cfRule>
    <cfRule type="cellIs" dxfId="96" priority="90" stopIfTrue="1" operator="equal">
      <formula>"Napkin Hs"</formula>
    </cfRule>
  </conditionalFormatting>
  <conditionalFormatting sqref="C141">
    <cfRule type="cellIs" dxfId="95" priority="85" stopIfTrue="1" operator="equal">
      <formula>"Towel"</formula>
    </cfRule>
    <cfRule type="cellIs" dxfId="94" priority="86" stopIfTrue="1" operator="equal">
      <formula>"Napkin Hs"</formula>
    </cfRule>
  </conditionalFormatting>
  <conditionalFormatting sqref="C141">
    <cfRule type="cellIs" dxfId="93" priority="87" stopIfTrue="1" operator="equal">
      <formula>"Towel"</formula>
    </cfRule>
    <cfRule type="cellIs" dxfId="92" priority="88" stopIfTrue="1" operator="equal">
      <formula>"Napkin Hs"</formula>
    </cfRule>
  </conditionalFormatting>
  <conditionalFormatting sqref="B142:C142">
    <cfRule type="cellIs" dxfId="91" priority="83" stopIfTrue="1" operator="equal">
      <formula>"Towel"</formula>
    </cfRule>
    <cfRule type="cellIs" dxfId="90" priority="84" stopIfTrue="1" operator="equal">
      <formula>"Napkin Hs"</formula>
    </cfRule>
  </conditionalFormatting>
  <conditionalFormatting sqref="C142">
    <cfRule type="cellIs" dxfId="89" priority="79" stopIfTrue="1" operator="equal">
      <formula>"Towel"</formula>
    </cfRule>
    <cfRule type="cellIs" dxfId="88" priority="80" stopIfTrue="1" operator="equal">
      <formula>"Napkin Hs"</formula>
    </cfRule>
  </conditionalFormatting>
  <conditionalFormatting sqref="C142">
    <cfRule type="cellIs" dxfId="87" priority="81" stopIfTrue="1" operator="equal">
      <formula>"Towel"</formula>
    </cfRule>
    <cfRule type="cellIs" dxfId="86" priority="82" stopIfTrue="1" operator="equal">
      <formula>"Napkin Hs"</formula>
    </cfRule>
  </conditionalFormatting>
  <conditionalFormatting sqref="B143:C144">
    <cfRule type="cellIs" dxfId="85" priority="77" stopIfTrue="1" operator="equal">
      <formula>"Towel"</formula>
    </cfRule>
    <cfRule type="cellIs" dxfId="84" priority="78" stopIfTrue="1" operator="equal">
      <formula>"Napkin Hs"</formula>
    </cfRule>
  </conditionalFormatting>
  <conditionalFormatting sqref="C143:C144">
    <cfRule type="cellIs" dxfId="83" priority="73" stopIfTrue="1" operator="equal">
      <formula>"Towel"</formula>
    </cfRule>
    <cfRule type="cellIs" dxfId="82" priority="74" stopIfTrue="1" operator="equal">
      <formula>"Napkin Hs"</formula>
    </cfRule>
  </conditionalFormatting>
  <conditionalFormatting sqref="C143:C144">
    <cfRule type="cellIs" dxfId="81" priority="75" stopIfTrue="1" operator="equal">
      <formula>"Towel"</formula>
    </cfRule>
    <cfRule type="cellIs" dxfId="80" priority="76" stopIfTrue="1" operator="equal">
      <formula>"Napkin Hs"</formula>
    </cfRule>
  </conditionalFormatting>
  <conditionalFormatting sqref="B143:C144">
    <cfRule type="cellIs" dxfId="79" priority="17" stopIfTrue="1" operator="equal">
      <formula>"Towel"</formula>
    </cfRule>
    <cfRule type="cellIs" dxfId="78" priority="18" stopIfTrue="1" operator="equal">
      <formula>"Napkin Hs"</formula>
    </cfRule>
    <cfRule type="cellIs" dxfId="77" priority="23" stopIfTrue="1" operator="equal">
      <formula>"Towel"</formula>
    </cfRule>
    <cfRule type="cellIs" dxfId="76" priority="24" stopIfTrue="1" operator="equal">
      <formula>"Napkin Hs"</formula>
    </cfRule>
    <cfRule type="cellIs" dxfId="75" priority="29" stopIfTrue="1" operator="equal">
      <formula>"Towel"</formula>
    </cfRule>
    <cfRule type="cellIs" dxfId="74" priority="30" stopIfTrue="1" operator="equal">
      <formula>"Napkin Hs"</formula>
    </cfRule>
    <cfRule type="cellIs" dxfId="73" priority="35" stopIfTrue="1" operator="equal">
      <formula>"Towel"</formula>
    </cfRule>
    <cfRule type="cellIs" dxfId="72" priority="36" stopIfTrue="1" operator="equal">
      <formula>"Napkin Hs"</formula>
    </cfRule>
    <cfRule type="cellIs" dxfId="71" priority="41" stopIfTrue="1" operator="equal">
      <formula>"Towel"</formula>
    </cfRule>
    <cfRule type="cellIs" dxfId="70" priority="42" stopIfTrue="1" operator="equal">
      <formula>"Napkin Hs"</formula>
    </cfRule>
    <cfRule type="cellIs" dxfId="69" priority="47" stopIfTrue="1" operator="equal">
      <formula>"Towel"</formula>
    </cfRule>
    <cfRule type="cellIs" dxfId="68" priority="48" stopIfTrue="1" operator="equal">
      <formula>"Napkin Hs"</formula>
    </cfRule>
    <cfRule type="cellIs" dxfId="67" priority="53" stopIfTrue="1" operator="equal">
      <formula>"Towel"</formula>
    </cfRule>
    <cfRule type="cellIs" dxfId="66" priority="54" stopIfTrue="1" operator="equal">
      <formula>"Napkin Hs"</formula>
    </cfRule>
    <cfRule type="cellIs" dxfId="65" priority="59" stopIfTrue="1" operator="equal">
      <formula>"Towel"</formula>
    </cfRule>
    <cfRule type="cellIs" dxfId="64" priority="60" stopIfTrue="1" operator="equal">
      <formula>"Napkin Hs"</formula>
    </cfRule>
    <cfRule type="cellIs" dxfId="63" priority="65" stopIfTrue="1" operator="equal">
      <formula>"Towel"</formula>
    </cfRule>
    <cfRule type="cellIs" dxfId="62" priority="66" stopIfTrue="1" operator="equal">
      <formula>"Napkin Hs"</formula>
    </cfRule>
    <cfRule type="cellIs" dxfId="61" priority="71" stopIfTrue="1" operator="equal">
      <formula>"Towel"</formula>
    </cfRule>
    <cfRule type="cellIs" dxfId="60" priority="72" stopIfTrue="1" operator="equal">
      <formula>"Napkin Hs"</formula>
    </cfRule>
  </conditionalFormatting>
  <conditionalFormatting sqref="C143:C144">
    <cfRule type="cellIs" dxfId="59" priority="13" stopIfTrue="1" operator="equal">
      <formula>"Towel"</formula>
    </cfRule>
    <cfRule type="cellIs" dxfId="58" priority="14" stopIfTrue="1" operator="equal">
      <formula>"Napkin Hs"</formula>
    </cfRule>
  </conditionalFormatting>
  <conditionalFormatting sqref="C143:C144">
    <cfRule type="cellIs" dxfId="57" priority="15" stopIfTrue="1" operator="equal">
      <formula>"Towel"</formula>
    </cfRule>
    <cfRule type="cellIs" dxfId="56" priority="16" stopIfTrue="1" operator="equal">
      <formula>"Napkin Hs"</formula>
    </cfRule>
    <cfRule type="cellIs" dxfId="55" priority="19" stopIfTrue="1" operator="equal">
      <formula>"Towel"</formula>
    </cfRule>
    <cfRule type="cellIs" dxfId="54" priority="20" stopIfTrue="1" operator="equal">
      <formula>"Napkin Hs"</formula>
    </cfRule>
    <cfRule type="cellIs" dxfId="53" priority="21" stopIfTrue="1" operator="equal">
      <formula>"Towel"</formula>
    </cfRule>
    <cfRule type="cellIs" dxfId="52" priority="22" stopIfTrue="1" operator="equal">
      <formula>"Napkin Hs"</formula>
    </cfRule>
    <cfRule type="cellIs" dxfId="51" priority="25" stopIfTrue="1" operator="equal">
      <formula>"Towel"</formula>
    </cfRule>
    <cfRule type="cellIs" dxfId="50" priority="26" stopIfTrue="1" operator="equal">
      <formula>"Napkin Hs"</formula>
    </cfRule>
    <cfRule type="cellIs" dxfId="49" priority="27" stopIfTrue="1" operator="equal">
      <formula>"Towel"</formula>
    </cfRule>
    <cfRule type="cellIs" dxfId="48" priority="28" stopIfTrue="1" operator="equal">
      <formula>"Napkin Hs"</formula>
    </cfRule>
    <cfRule type="cellIs" dxfId="47" priority="31" stopIfTrue="1" operator="equal">
      <formula>"Towel"</formula>
    </cfRule>
    <cfRule type="cellIs" dxfId="46" priority="32" stopIfTrue="1" operator="equal">
      <formula>"Napkin Hs"</formula>
    </cfRule>
    <cfRule type="cellIs" dxfId="45" priority="33" stopIfTrue="1" operator="equal">
      <formula>"Towel"</formula>
    </cfRule>
    <cfRule type="cellIs" dxfId="44" priority="34" stopIfTrue="1" operator="equal">
      <formula>"Napkin Hs"</formula>
    </cfRule>
    <cfRule type="cellIs" dxfId="43" priority="37" stopIfTrue="1" operator="equal">
      <formula>"Towel"</formula>
    </cfRule>
    <cfRule type="cellIs" dxfId="42" priority="38" stopIfTrue="1" operator="equal">
      <formula>"Napkin Hs"</formula>
    </cfRule>
    <cfRule type="cellIs" dxfId="41" priority="39" stopIfTrue="1" operator="equal">
      <formula>"Towel"</formula>
    </cfRule>
    <cfRule type="cellIs" dxfId="40" priority="40" stopIfTrue="1" operator="equal">
      <formula>"Napkin Hs"</formula>
    </cfRule>
    <cfRule type="cellIs" dxfId="39" priority="43" stopIfTrue="1" operator="equal">
      <formula>"Towel"</formula>
    </cfRule>
    <cfRule type="cellIs" dxfId="38" priority="44" stopIfTrue="1" operator="equal">
      <formula>"Napkin Hs"</formula>
    </cfRule>
    <cfRule type="cellIs" dxfId="37" priority="45" stopIfTrue="1" operator="equal">
      <formula>"Towel"</formula>
    </cfRule>
    <cfRule type="cellIs" dxfId="36" priority="46" stopIfTrue="1" operator="equal">
      <formula>"Napkin Hs"</formula>
    </cfRule>
    <cfRule type="cellIs" dxfId="35" priority="49" stopIfTrue="1" operator="equal">
      <formula>"Towel"</formula>
    </cfRule>
    <cfRule type="cellIs" dxfId="34" priority="50" stopIfTrue="1" operator="equal">
      <formula>"Napkin Hs"</formula>
    </cfRule>
    <cfRule type="cellIs" dxfId="33" priority="51" stopIfTrue="1" operator="equal">
      <formula>"Towel"</formula>
    </cfRule>
    <cfRule type="cellIs" dxfId="32" priority="52" stopIfTrue="1" operator="equal">
      <formula>"Napkin Hs"</formula>
    </cfRule>
    <cfRule type="cellIs" dxfId="31" priority="55" stopIfTrue="1" operator="equal">
      <formula>"Towel"</formula>
    </cfRule>
    <cfRule type="cellIs" dxfId="30" priority="56" stopIfTrue="1" operator="equal">
      <formula>"Napkin Hs"</formula>
    </cfRule>
    <cfRule type="cellIs" dxfId="29" priority="57" stopIfTrue="1" operator="equal">
      <formula>"Towel"</formula>
    </cfRule>
    <cfRule type="cellIs" dxfId="28" priority="58" stopIfTrue="1" operator="equal">
      <formula>"Napkin Hs"</formula>
    </cfRule>
    <cfRule type="cellIs" dxfId="27" priority="61" stopIfTrue="1" operator="equal">
      <formula>"Towel"</formula>
    </cfRule>
    <cfRule type="cellIs" dxfId="26" priority="62" stopIfTrue="1" operator="equal">
      <formula>"Napkin Hs"</formula>
    </cfRule>
    <cfRule type="cellIs" dxfId="25" priority="63" stopIfTrue="1" operator="equal">
      <formula>"Towel"</formula>
    </cfRule>
    <cfRule type="cellIs" dxfId="24" priority="64" stopIfTrue="1" operator="equal">
      <formula>"Napkin Hs"</formula>
    </cfRule>
    <cfRule type="cellIs" dxfId="23" priority="67" stopIfTrue="1" operator="equal">
      <formula>"Towel"</formula>
    </cfRule>
    <cfRule type="cellIs" dxfId="22" priority="68" stopIfTrue="1" operator="equal">
      <formula>"Napkin Hs"</formula>
    </cfRule>
    <cfRule type="cellIs" dxfId="21" priority="69" stopIfTrue="1" operator="equal">
      <formula>"Towel"</formula>
    </cfRule>
    <cfRule type="cellIs" dxfId="20" priority="70" stopIfTrue="1" operator="equal">
      <formula>"Napkin Hs"</formula>
    </cfRule>
  </conditionalFormatting>
  <conditionalFormatting sqref="B140:C140">
    <cfRule type="cellIs" dxfId="19" priority="11" stopIfTrue="1" operator="equal">
      <formula>"Towel"</formula>
    </cfRule>
    <cfRule type="cellIs" dxfId="18" priority="12" stopIfTrue="1" operator="equal">
      <formula>"Napkin Hs"</formula>
    </cfRule>
  </conditionalFormatting>
  <conditionalFormatting sqref="C140">
    <cfRule type="cellIs" dxfId="17" priority="10" stopIfTrue="1" operator="equal">
      <formula>"Napkin Hs"</formula>
    </cfRule>
  </conditionalFormatting>
  <conditionalFormatting sqref="C140">
    <cfRule type="cellIs" dxfId="16" priority="9" stopIfTrue="1" operator="equal">
      <formula>"Towel"</formula>
    </cfRule>
  </conditionalFormatting>
  <conditionalFormatting sqref="C140">
    <cfRule type="cellIs" dxfId="15" priority="7" stopIfTrue="1" operator="equal">
      <formula>"Towel"</formula>
    </cfRule>
    <cfRule type="cellIs" dxfId="14" priority="8" stopIfTrue="1" operator="equal">
      <formula>"Napkin Hs"</formula>
    </cfRule>
  </conditionalFormatting>
  <conditionalFormatting sqref="B140:C140">
    <cfRule type="cellIs" dxfId="13" priority="5" stopIfTrue="1" operator="equal">
      <formula>"Towel"</formula>
    </cfRule>
    <cfRule type="cellIs" dxfId="12" priority="6" stopIfTrue="1" operator="equal">
      <formula>"Napkin Hs"</formula>
    </cfRule>
  </conditionalFormatting>
  <conditionalFormatting sqref="C140">
    <cfRule type="cellIs" dxfId="11" priority="1" stopIfTrue="1" operator="equal">
      <formula>"Towel"</formula>
    </cfRule>
    <cfRule type="cellIs" dxfId="10" priority="2" stopIfTrue="1" operator="equal">
      <formula>"Napkin Hs"</formula>
    </cfRule>
  </conditionalFormatting>
  <conditionalFormatting sqref="C140">
    <cfRule type="cellIs" dxfId="9" priority="3" stopIfTrue="1" operator="equal">
      <formula>"Towel"</formula>
    </cfRule>
    <cfRule type="cellIs" dxfId="8" priority="4" stopIfTrue="1" operator="equal">
      <formula>"Napkin Hs"</formula>
    </cfRule>
  </conditionalFormatting>
  <pageMargins left="0.75" right="0.75" top="1" bottom="1" header="0.5" footer="0.5"/>
  <pageSetup scale="2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M45"/>
  <sheetViews>
    <sheetView zoomScale="85" workbookViewId="0">
      <pane xSplit="5" ySplit="9" topLeftCell="AG28" activePane="bottomRight" state="frozen"/>
      <selection pane="topRight"/>
      <selection pane="bottomLeft"/>
      <selection pane="bottomRight" activeCell="CB43" sqref="CB43"/>
    </sheetView>
  </sheetViews>
  <sheetFormatPr defaultColWidth="9.140625" defaultRowHeight="12.75"/>
  <cols>
    <col min="1" max="1" width="8" customWidth="1"/>
    <col min="2" max="3" width="9.140625" customWidth="1"/>
    <col min="4" max="4" width="12.5703125" customWidth="1"/>
    <col min="5" max="6" width="10" customWidth="1"/>
    <col min="7" max="7" width="10.7109375" hidden="1" customWidth="1"/>
    <col min="8" max="8" width="8.85546875" hidden="1" customWidth="1"/>
    <col min="9" max="9" width="11.5703125" hidden="1" customWidth="1"/>
    <col min="10" max="10" width="8" hidden="1" customWidth="1"/>
    <col min="11" max="11" width="11.5703125" hidden="1" customWidth="1"/>
    <col min="12" max="12" width="8" hidden="1" customWidth="1"/>
    <col min="13" max="13" width="11.5703125" hidden="1" customWidth="1"/>
    <col min="14" max="14" width="8" hidden="1" customWidth="1"/>
    <col min="15" max="15" width="10.5703125" hidden="1" customWidth="1"/>
    <col min="16" max="16" width="8" hidden="1" customWidth="1"/>
    <col min="17" max="17" width="11.5703125" hidden="1" customWidth="1"/>
    <col min="18" max="18" width="8" hidden="1" customWidth="1"/>
    <col min="19" max="19" width="10.5703125" hidden="1" customWidth="1"/>
    <col min="20" max="20" width="8" hidden="1" customWidth="1"/>
    <col min="21" max="21" width="11.5703125" hidden="1" customWidth="1"/>
    <col min="22" max="22" width="8" hidden="1" customWidth="1"/>
    <col min="23" max="23" width="10.5703125" hidden="1" customWidth="1"/>
    <col min="24" max="24" width="8" hidden="1" customWidth="1"/>
    <col min="25" max="25" width="11.5703125" hidden="1" customWidth="1"/>
    <col min="26" max="26" width="8" hidden="1" customWidth="1"/>
    <col min="27" max="27" width="13.140625" hidden="1" customWidth="1"/>
    <col min="28" max="28" width="8.7109375" hidden="1" customWidth="1"/>
    <col min="29" max="29" width="12.140625" hidden="1" customWidth="1"/>
    <col min="30" max="30" width="9.28515625" hidden="1" customWidth="1"/>
    <col min="31" max="31" width="13.140625" bestFit="1" customWidth="1"/>
    <col min="32" max="32" width="8.28515625" bestFit="1" customWidth="1"/>
    <col min="33" max="33" width="14.42578125" bestFit="1" customWidth="1"/>
    <col min="34" max="34" width="8" bestFit="1" customWidth="1"/>
    <col min="35" max="35" width="13.140625" hidden="1" customWidth="1"/>
    <col min="36" max="36" width="7.7109375" hidden="1" customWidth="1"/>
    <col min="37" max="37" width="13.140625" hidden="1" customWidth="1"/>
    <col min="38" max="38" width="7.7109375" hidden="1" customWidth="1"/>
    <col min="39" max="39" width="12.85546875" hidden="1" customWidth="1"/>
    <col min="40" max="40" width="7.7109375" hidden="1" customWidth="1"/>
    <col min="41" max="41" width="12.42578125" hidden="1" customWidth="1"/>
    <col min="42" max="42" width="7.7109375" hidden="1" customWidth="1"/>
    <col min="43" max="43" width="17.7109375" hidden="1" customWidth="1"/>
    <col min="44" max="44" width="12.28515625" hidden="1" customWidth="1"/>
    <col min="45" max="45" width="14.42578125" hidden="1" customWidth="1"/>
    <col min="46" max="46" width="9.42578125" hidden="1" customWidth="1"/>
    <col min="47" max="47" width="17.7109375" hidden="1" customWidth="1"/>
    <col min="48" max="48" width="9.28515625" hidden="1" customWidth="1"/>
    <col min="49" max="49" width="14.42578125" hidden="1" customWidth="1"/>
    <col min="50" max="50" width="8.140625" hidden="1" customWidth="1"/>
    <col min="51" max="51" width="11.42578125" hidden="1" customWidth="1"/>
    <col min="52" max="52" width="8.5703125" hidden="1" customWidth="1"/>
    <col min="53" max="53" width="11.42578125" hidden="1" customWidth="1"/>
    <col min="54" max="54" width="8" hidden="1" customWidth="1"/>
    <col min="55" max="55" width="13.7109375" customWidth="1"/>
    <col min="56" max="56" width="8.140625" customWidth="1"/>
    <col min="57" max="57" width="13.140625" bestFit="1" customWidth="1"/>
    <col min="58" max="58" width="8.140625" customWidth="1"/>
    <col min="59" max="59" width="12.140625" hidden="1" customWidth="1"/>
    <col min="60" max="60" width="7.7109375" hidden="1" customWidth="1"/>
    <col min="61" max="61" width="12.140625" hidden="1" customWidth="1"/>
    <col min="62" max="62" width="7.7109375" hidden="1" customWidth="1"/>
    <col min="63" max="63" width="13.28515625" hidden="1" customWidth="1"/>
    <col min="64" max="64" width="8.85546875" hidden="1" customWidth="1"/>
    <col min="65" max="65" width="15.28515625" hidden="1" customWidth="1"/>
    <col min="66" max="66" width="7.7109375" hidden="1" customWidth="1"/>
    <col min="67" max="67" width="10.28515625" hidden="1" customWidth="1"/>
    <col min="68" max="68" width="8.140625" hidden="1" customWidth="1"/>
    <col min="69" max="69" width="11.42578125" hidden="1" customWidth="1"/>
    <col min="70" max="70" width="7.7109375" hidden="1" customWidth="1"/>
    <col min="71" max="71" width="12.85546875" customWidth="1"/>
    <col min="72" max="72" width="8.140625" customWidth="1"/>
    <col min="73" max="73" width="14.42578125" customWidth="1"/>
    <col min="74" max="74" width="6" customWidth="1"/>
    <col min="75" max="75" width="15.42578125" hidden="1" customWidth="1"/>
    <col min="76" max="76" width="8.7109375" hidden="1" customWidth="1"/>
    <col min="77" max="77" width="12.85546875" hidden="1" customWidth="1"/>
    <col min="78" max="78" width="8.42578125" hidden="1" customWidth="1"/>
    <col min="79" max="79" width="17.7109375" bestFit="1" customWidth="1"/>
    <col min="80" max="80" width="14.42578125" bestFit="1" customWidth="1"/>
    <col min="81" max="81" width="8.85546875" bestFit="1" customWidth="1"/>
    <col min="82" max="82" width="10.28515625" bestFit="1" customWidth="1"/>
    <col min="83" max="83" width="13.28515625" bestFit="1" customWidth="1"/>
    <col min="84" max="84" width="10.42578125" bestFit="1" customWidth="1"/>
    <col min="86" max="86" width="15.42578125" bestFit="1" customWidth="1"/>
    <col min="87" max="87" width="10.42578125" bestFit="1" customWidth="1"/>
    <col min="90" max="90" width="10.42578125" bestFit="1" customWidth="1"/>
  </cols>
  <sheetData>
    <row r="1" spans="1:82" ht="15.75">
      <c r="A1" s="157"/>
      <c r="AP1" s="4"/>
      <c r="AU1" s="261"/>
    </row>
    <row r="2" spans="1:82" ht="15.75">
      <c r="A2" s="157"/>
      <c r="AU2" s="261"/>
      <c r="AY2" s="20"/>
    </row>
    <row r="3" spans="1:82" ht="15">
      <c r="A3" s="159"/>
      <c r="AU3" s="261"/>
    </row>
    <row r="4" spans="1:82" ht="15.75">
      <c r="A4" s="160" t="s">
        <v>324</v>
      </c>
      <c r="G4" s="13"/>
      <c r="AQ4" s="13"/>
      <c r="AU4" s="261"/>
      <c r="BL4" s="20"/>
    </row>
    <row r="5" spans="1:82" ht="15.75">
      <c r="A5" s="160"/>
      <c r="G5" s="13"/>
      <c r="AQ5" s="13"/>
      <c r="AU5" s="13"/>
    </row>
    <row r="6" spans="1:82" ht="18">
      <c r="A6" s="262"/>
      <c r="AQ6" s="13"/>
      <c r="AU6" s="13"/>
      <c r="BT6" s="13"/>
      <c r="BU6" s="13"/>
      <c r="BV6" s="13"/>
      <c r="CB6" s="13"/>
    </row>
    <row r="7" spans="1:82" ht="16.5" thickBot="1">
      <c r="A7" s="263"/>
      <c r="B7" s="263"/>
      <c r="C7" s="263"/>
      <c r="D7" s="263"/>
      <c r="E7" s="263"/>
      <c r="F7" s="263"/>
      <c r="G7" s="460">
        <v>250.179</v>
      </c>
      <c r="K7" s="465">
        <v>248.91800000000001</v>
      </c>
      <c r="O7" s="263">
        <v>214.10599999999999</v>
      </c>
      <c r="P7" s="263"/>
      <c r="Q7" s="263"/>
      <c r="R7" s="263"/>
      <c r="S7">
        <v>250</v>
      </c>
      <c r="W7">
        <v>250.69399999999999</v>
      </c>
      <c r="AA7">
        <v>222.79599999999999</v>
      </c>
      <c r="AE7" s="263"/>
      <c r="AF7" s="263"/>
      <c r="AG7" s="264"/>
      <c r="AH7" s="264"/>
      <c r="AI7" s="263">
        <v>251.43899999999999</v>
      </c>
      <c r="AJ7" s="263"/>
      <c r="AK7" s="263"/>
      <c r="AL7" s="263"/>
      <c r="AQ7" s="466">
        <v>250</v>
      </c>
      <c r="AR7" s="263"/>
      <c r="AS7" s="263"/>
      <c r="AT7" s="263"/>
      <c r="AU7" s="461">
        <v>243.255</v>
      </c>
      <c r="AV7" s="263"/>
      <c r="AW7" s="263"/>
      <c r="AX7" s="263"/>
      <c r="AY7" s="263">
        <v>250</v>
      </c>
      <c r="AZ7" s="263"/>
      <c r="BA7" s="263"/>
      <c r="BB7" s="263"/>
      <c r="BC7" s="263"/>
      <c r="BD7" s="263"/>
      <c r="BE7" s="263"/>
      <c r="BF7" s="263"/>
      <c r="BG7" s="263">
        <v>249.28100000000001</v>
      </c>
      <c r="BH7" s="263"/>
      <c r="BI7" s="263"/>
      <c r="BJ7" s="263"/>
      <c r="BK7" s="263">
        <v>245.55600000000001</v>
      </c>
      <c r="BL7" s="263"/>
      <c r="BM7" s="263"/>
      <c r="BN7" s="263"/>
      <c r="BO7" s="263"/>
      <c r="BP7" s="263"/>
      <c r="BQ7" s="263"/>
      <c r="BR7" s="263"/>
      <c r="BS7" s="264"/>
      <c r="BT7" s="264"/>
      <c r="BU7" s="263"/>
      <c r="BV7" s="263"/>
      <c r="BW7" s="263"/>
      <c r="BX7" s="263"/>
      <c r="BY7" s="263"/>
      <c r="BZ7" s="263"/>
      <c r="CA7" s="263"/>
      <c r="CB7" s="263"/>
      <c r="CC7" s="263"/>
      <c r="CD7" s="263"/>
    </row>
    <row r="8" spans="1:82" ht="38.25" customHeight="1" thickTop="1">
      <c r="A8" s="964" t="s">
        <v>29</v>
      </c>
      <c r="B8" s="964" t="s">
        <v>4</v>
      </c>
      <c r="C8" s="964" t="s">
        <v>5</v>
      </c>
      <c r="D8" s="966" t="s">
        <v>40</v>
      </c>
      <c r="E8" s="968" t="s">
        <v>38</v>
      </c>
      <c r="F8" s="969"/>
      <c r="G8" s="958" t="s">
        <v>596</v>
      </c>
      <c r="H8" s="959"/>
      <c r="I8" s="959"/>
      <c r="J8" s="963"/>
      <c r="K8" s="958" t="s">
        <v>41</v>
      </c>
      <c r="L8" s="959"/>
      <c r="M8" s="959"/>
      <c r="N8" s="963"/>
      <c r="O8" s="958" t="s">
        <v>411</v>
      </c>
      <c r="P8" s="959"/>
      <c r="Q8" s="959"/>
      <c r="R8" s="963"/>
      <c r="S8" s="958" t="s">
        <v>333</v>
      </c>
      <c r="T8" s="959"/>
      <c r="U8" s="959"/>
      <c r="V8" s="963"/>
      <c r="W8" s="958" t="s">
        <v>416</v>
      </c>
      <c r="X8" s="959"/>
      <c r="Y8" s="959"/>
      <c r="Z8" s="963"/>
      <c r="AA8" s="958" t="s">
        <v>421</v>
      </c>
      <c r="AB8" s="959"/>
      <c r="AC8" s="959"/>
      <c r="AD8" s="963"/>
      <c r="AE8" s="958" t="s">
        <v>42</v>
      </c>
      <c r="AF8" s="959"/>
      <c r="AG8" s="959"/>
      <c r="AH8" s="959"/>
      <c r="AI8" s="958" t="s">
        <v>334</v>
      </c>
      <c r="AJ8" s="959"/>
      <c r="AK8" s="959"/>
      <c r="AL8" s="959"/>
      <c r="AM8" s="960" t="s">
        <v>43</v>
      </c>
      <c r="AN8" s="961"/>
      <c r="AO8" s="961"/>
      <c r="AP8" s="962"/>
      <c r="AQ8" s="959" t="s">
        <v>313</v>
      </c>
      <c r="AR8" s="959"/>
      <c r="AS8" s="959"/>
      <c r="AT8" s="963"/>
      <c r="AU8" s="958" t="s">
        <v>211</v>
      </c>
      <c r="AV8" s="959"/>
      <c r="AW8" s="959"/>
      <c r="AX8" s="963"/>
      <c r="AY8" s="958" t="s">
        <v>233</v>
      </c>
      <c r="AZ8" s="959"/>
      <c r="BA8" s="959"/>
      <c r="BB8" s="963"/>
      <c r="BC8" s="958" t="s">
        <v>90</v>
      </c>
      <c r="BD8" s="959"/>
      <c r="BE8" s="959"/>
      <c r="BF8" s="963"/>
      <c r="BG8" s="958" t="s">
        <v>576</v>
      </c>
      <c r="BH8" s="959"/>
      <c r="BI8" s="959"/>
      <c r="BJ8" s="963"/>
      <c r="BK8" s="958" t="s">
        <v>409</v>
      </c>
      <c r="BL8" s="959"/>
      <c r="BM8" s="959"/>
      <c r="BN8" s="963"/>
      <c r="BO8" s="958" t="s">
        <v>146</v>
      </c>
      <c r="BP8" s="959"/>
      <c r="BQ8" s="959"/>
      <c r="BR8" s="963"/>
      <c r="BS8" s="958" t="s">
        <v>91</v>
      </c>
      <c r="BT8" s="959"/>
      <c r="BU8" s="959"/>
      <c r="BV8" s="959"/>
      <c r="BW8" s="958" t="s">
        <v>44</v>
      </c>
      <c r="BX8" s="959"/>
      <c r="BY8" s="959"/>
      <c r="BZ8" s="963"/>
      <c r="CA8" s="958" t="s">
        <v>45</v>
      </c>
      <c r="CB8" s="963"/>
      <c r="CC8" s="958" t="s">
        <v>46</v>
      </c>
      <c r="CD8" s="963"/>
    </row>
    <row r="9" spans="1:82">
      <c r="A9" s="965"/>
      <c r="B9" s="965"/>
      <c r="C9" s="965"/>
      <c r="D9" s="967"/>
      <c r="E9" s="2" t="s">
        <v>36</v>
      </c>
      <c r="F9" s="486" t="s">
        <v>37</v>
      </c>
      <c r="G9" s="9" t="s">
        <v>36</v>
      </c>
      <c r="H9" s="9" t="s">
        <v>10</v>
      </c>
      <c r="I9" s="485" t="s">
        <v>37</v>
      </c>
      <c r="J9" s="485" t="s">
        <v>10</v>
      </c>
      <c r="K9" s="9" t="s">
        <v>36</v>
      </c>
      <c r="L9" s="9" t="s">
        <v>10</v>
      </c>
      <c r="M9" s="485" t="s">
        <v>37</v>
      </c>
      <c r="N9" s="485" t="s">
        <v>10</v>
      </c>
      <c r="O9" s="485" t="s">
        <v>36</v>
      </c>
      <c r="P9" s="485" t="s">
        <v>10</v>
      </c>
      <c r="Q9" s="485" t="s">
        <v>37</v>
      </c>
      <c r="R9" s="485" t="s">
        <v>10</v>
      </c>
      <c r="S9" s="9" t="s">
        <v>36</v>
      </c>
      <c r="T9" s="9" t="s">
        <v>10</v>
      </c>
      <c r="U9" s="485" t="s">
        <v>37</v>
      </c>
      <c r="V9" s="485" t="s">
        <v>10</v>
      </c>
      <c r="W9" s="9" t="s">
        <v>36</v>
      </c>
      <c r="X9" s="9" t="s">
        <v>10</v>
      </c>
      <c r="Y9" s="485" t="s">
        <v>37</v>
      </c>
      <c r="Z9" s="485" t="s">
        <v>10</v>
      </c>
      <c r="AA9" s="9" t="s">
        <v>36</v>
      </c>
      <c r="AB9" s="9" t="s">
        <v>10</v>
      </c>
      <c r="AC9" s="485" t="s">
        <v>37</v>
      </c>
      <c r="AD9" s="485" t="s">
        <v>10</v>
      </c>
      <c r="AE9" s="485" t="s">
        <v>36</v>
      </c>
      <c r="AF9" s="485" t="s">
        <v>10</v>
      </c>
      <c r="AG9" s="485" t="s">
        <v>37</v>
      </c>
      <c r="AH9" s="485" t="s">
        <v>10</v>
      </c>
      <c r="AI9" s="485" t="s">
        <v>36</v>
      </c>
      <c r="AJ9" s="485" t="s">
        <v>10</v>
      </c>
      <c r="AK9" s="485" t="s">
        <v>37</v>
      </c>
      <c r="AL9" s="485" t="s">
        <v>10</v>
      </c>
      <c r="AM9" s="485" t="s">
        <v>36</v>
      </c>
      <c r="AN9" s="485" t="s">
        <v>10</v>
      </c>
      <c r="AO9" s="485" t="s">
        <v>37</v>
      </c>
      <c r="AP9" s="485" t="s">
        <v>10</v>
      </c>
      <c r="AQ9" s="485" t="s">
        <v>36</v>
      </c>
      <c r="AR9" s="485" t="s">
        <v>10</v>
      </c>
      <c r="AS9" s="485" t="s">
        <v>37</v>
      </c>
      <c r="AT9" s="485" t="s">
        <v>10</v>
      </c>
      <c r="AU9" s="485" t="s">
        <v>36</v>
      </c>
      <c r="AV9" s="485" t="s">
        <v>10</v>
      </c>
      <c r="AW9" s="485" t="s">
        <v>37</v>
      </c>
      <c r="AX9" s="485" t="s">
        <v>10</v>
      </c>
      <c r="AY9" s="485" t="s">
        <v>36</v>
      </c>
      <c r="AZ9" s="485" t="s">
        <v>10</v>
      </c>
      <c r="BA9" s="485" t="s">
        <v>37</v>
      </c>
      <c r="BB9" s="485" t="s">
        <v>10</v>
      </c>
      <c r="BC9" s="485" t="s">
        <v>36</v>
      </c>
      <c r="BD9" s="485" t="s">
        <v>10</v>
      </c>
      <c r="BE9" s="485" t="s">
        <v>37</v>
      </c>
      <c r="BF9" s="485" t="s">
        <v>10</v>
      </c>
      <c r="BG9" s="485" t="s">
        <v>36</v>
      </c>
      <c r="BH9" s="485" t="s">
        <v>10</v>
      </c>
      <c r="BI9" s="485" t="s">
        <v>37</v>
      </c>
      <c r="BJ9" s="485" t="s">
        <v>10</v>
      </c>
      <c r="BK9" s="485" t="s">
        <v>36</v>
      </c>
      <c r="BL9" s="485" t="s">
        <v>10</v>
      </c>
      <c r="BM9" s="485" t="s">
        <v>37</v>
      </c>
      <c r="BN9" s="485" t="s">
        <v>10</v>
      </c>
      <c r="BO9" s="485" t="s">
        <v>36</v>
      </c>
      <c r="BP9" s="485" t="s">
        <v>10</v>
      </c>
      <c r="BQ9" s="485" t="s">
        <v>37</v>
      </c>
      <c r="BR9" s="485" t="s">
        <v>10</v>
      </c>
      <c r="BS9" s="485" t="s">
        <v>36</v>
      </c>
      <c r="BT9" s="485" t="s">
        <v>10</v>
      </c>
      <c r="BU9" s="485" t="s">
        <v>37</v>
      </c>
      <c r="BV9" s="485" t="s">
        <v>10</v>
      </c>
      <c r="BW9" s="485" t="s">
        <v>36</v>
      </c>
      <c r="BX9" s="485" t="s">
        <v>10</v>
      </c>
      <c r="BY9" s="485" t="s">
        <v>37</v>
      </c>
      <c r="BZ9" s="485" t="s">
        <v>10</v>
      </c>
      <c r="CA9" s="485" t="s">
        <v>36</v>
      </c>
      <c r="CB9" s="485" t="s">
        <v>37</v>
      </c>
      <c r="CC9" s="485" t="s">
        <v>36</v>
      </c>
      <c r="CD9" s="485" t="s">
        <v>37</v>
      </c>
    </row>
    <row r="10" spans="1:82">
      <c r="A10" s="16">
        <f>+Chem!A9</f>
        <v>46113</v>
      </c>
      <c r="B10" s="6" t="str">
        <f>+Chem!B9</f>
        <v>Toilet</v>
      </c>
      <c r="C10" s="16" t="str">
        <f>+Chem!C9</f>
        <v>14/15</v>
      </c>
      <c r="D10" s="8">
        <f>+Chem!D9</f>
        <v>66.177999999999997</v>
      </c>
      <c r="E10" s="7">
        <f>+Chem!E9</f>
        <v>63.094000000000001</v>
      </c>
      <c r="F10" s="7">
        <f>+E10</f>
        <v>63.094000000000001</v>
      </c>
      <c r="G10" s="105">
        <v>0</v>
      </c>
      <c r="H10" s="10">
        <f t="shared" ref="H10:H39" si="0">G10/CA10*100</f>
        <v>0</v>
      </c>
      <c r="I10" s="8">
        <f>G10</f>
        <v>0</v>
      </c>
      <c r="J10" s="10">
        <f t="shared" ref="J10:J39" si="1">I10/CB10*100</f>
        <v>0</v>
      </c>
      <c r="K10" s="105"/>
      <c r="L10" s="10">
        <f t="shared" ref="L10:L39" si="2">+K10/CA10*100</f>
        <v>0</v>
      </c>
      <c r="M10" s="10">
        <f>+K10</f>
        <v>0</v>
      </c>
      <c r="N10" s="10">
        <f t="shared" ref="N10:N39" si="3">+M10/CB10*100</f>
        <v>0</v>
      </c>
      <c r="O10" s="105"/>
      <c r="P10" s="10">
        <f t="shared" ref="P10:P39" si="4">+O10/CA10*100</f>
        <v>0</v>
      </c>
      <c r="Q10" s="10">
        <f>+O10</f>
        <v>0</v>
      </c>
      <c r="R10" s="10">
        <f t="shared" ref="R10:R39" si="5">+Q10/CB10*100</f>
        <v>0</v>
      </c>
      <c r="S10" s="105">
        <f>21*S7</f>
        <v>5250</v>
      </c>
      <c r="T10" s="10">
        <f t="shared" ref="T10:T39" si="6">+S10/CA10*100</f>
        <v>7.6516526957690649</v>
      </c>
      <c r="U10" s="10">
        <f>+S10</f>
        <v>5250</v>
      </c>
      <c r="V10" s="10">
        <f t="shared" ref="V10:V39" si="7">+U10/CB10*100</f>
        <v>7.6516526957690649</v>
      </c>
      <c r="W10" s="105"/>
      <c r="X10" s="10">
        <f t="shared" ref="X10:X39" si="8">+W10/CA10*100</f>
        <v>0</v>
      </c>
      <c r="Y10" s="10">
        <f>+W10</f>
        <v>0</v>
      </c>
      <c r="Z10" s="10">
        <f t="shared" ref="Z10:Z39" si="9">+Y10/CB10*100</f>
        <v>0</v>
      </c>
      <c r="AA10" s="105">
        <v>0</v>
      </c>
      <c r="AB10" s="10">
        <f t="shared" ref="AB10:AB39" si="10">AA10/CA10*100</f>
        <v>0</v>
      </c>
      <c r="AC10" s="10">
        <f>AA10</f>
        <v>0</v>
      </c>
      <c r="AD10" s="10">
        <f t="shared" ref="AD10:AD39" si="11">AC10/CB10*100</f>
        <v>0</v>
      </c>
      <c r="AE10" s="10">
        <f>G10+AA10+K10+W10+S10+O10</f>
        <v>5250</v>
      </c>
      <c r="AF10" s="10">
        <f t="shared" ref="AF10:AF39" si="12">AE10/CA10*100</f>
        <v>7.6516526957690649</v>
      </c>
      <c r="AG10" s="10">
        <f>AE10</f>
        <v>5250</v>
      </c>
      <c r="AH10" s="10">
        <f t="shared" ref="AH10:AH39" si="13">AG10/CB10*100</f>
        <v>7.6516526957690649</v>
      </c>
      <c r="AI10" s="106">
        <f>252*AI7</f>
        <v>63362.627999999997</v>
      </c>
      <c r="AJ10" s="10">
        <f t="shared" ref="AJ10:AJ39" si="14">AI10/CA10*100</f>
        <v>92.348347304230941</v>
      </c>
      <c r="AK10" s="10">
        <f>AI10</f>
        <v>63362.627999999997</v>
      </c>
      <c r="AL10" s="10">
        <f t="shared" ref="AL10:AL39" si="15">AK10/CB10*100</f>
        <v>92.348347304230941</v>
      </c>
      <c r="AM10" s="105"/>
      <c r="AN10" s="10">
        <f t="shared" ref="AN10:AN39" si="16">AM10/CA10*100</f>
        <v>0</v>
      </c>
      <c r="AO10" s="10">
        <f>AM10</f>
        <v>0</v>
      </c>
      <c r="AP10" s="10">
        <f t="shared" ref="AP10:AP39" si="17">AO10/CB10*100</f>
        <v>0</v>
      </c>
      <c r="AQ10" s="105"/>
      <c r="AR10" s="10">
        <f t="shared" ref="AR10:AR39" si="18">AQ10/CA10*100</f>
        <v>0</v>
      </c>
      <c r="AS10" s="10">
        <f>AQ10</f>
        <v>0</v>
      </c>
      <c r="AT10" s="10">
        <f t="shared" ref="AT10:AT39" si="19">AS10/CB10*100</f>
        <v>0</v>
      </c>
      <c r="AU10" s="105"/>
      <c r="AV10" s="10">
        <f t="shared" ref="AV10:AV39" si="20">AU10/CA10*100</f>
        <v>0</v>
      </c>
      <c r="AW10" s="10">
        <f>AU10</f>
        <v>0</v>
      </c>
      <c r="AX10" s="10">
        <f t="shared" ref="AX10:AX39" si="21">AW10/CB10*100</f>
        <v>0</v>
      </c>
      <c r="AY10" s="105"/>
      <c r="AZ10" s="10">
        <f t="shared" ref="AZ10:AZ39" si="22">AY10/CA10*100</f>
        <v>0</v>
      </c>
      <c r="BA10" s="10">
        <f>AY10</f>
        <v>0</v>
      </c>
      <c r="BB10" s="10">
        <f t="shared" ref="BB10:BB39" si="23">BA10/CB10</f>
        <v>0</v>
      </c>
      <c r="BC10" s="10">
        <f>AI10+AM10+AQ10+AU10+AY10</f>
        <v>63362.627999999997</v>
      </c>
      <c r="BD10" s="10">
        <f t="shared" ref="BD10:BD39" si="24">BC10/CA10*100</f>
        <v>92.348347304230941</v>
      </c>
      <c r="BE10" s="10">
        <f>BC10</f>
        <v>63362.627999999997</v>
      </c>
      <c r="BF10" s="10">
        <f t="shared" ref="BF10:BF39" si="25">BE10/CB10*100</f>
        <v>92.348347304230941</v>
      </c>
      <c r="BG10" s="105">
        <v>0</v>
      </c>
      <c r="BH10" s="10">
        <f t="shared" ref="BH10:BH39" si="26">+BG10/CA10*100</f>
        <v>0</v>
      </c>
      <c r="BI10" s="10">
        <f>+BG10</f>
        <v>0</v>
      </c>
      <c r="BJ10" s="10">
        <f t="shared" ref="BJ10:BJ39" si="27">+BI10/CB10*100</f>
        <v>0</v>
      </c>
      <c r="BK10" s="105"/>
      <c r="BL10" s="10">
        <f t="shared" ref="BL10:BL39" si="28">BK10/CA10*100</f>
        <v>0</v>
      </c>
      <c r="BM10" s="10">
        <f>BK10</f>
        <v>0</v>
      </c>
      <c r="BN10" s="10">
        <f t="shared" ref="BN10:BN39" si="29">BM10/CB10*100</f>
        <v>0</v>
      </c>
      <c r="BO10" s="105"/>
      <c r="BP10" s="15">
        <f t="shared" ref="BP10:BP39" si="30">BO10/CA10*100</f>
        <v>0</v>
      </c>
      <c r="BQ10" s="10">
        <f>BO10</f>
        <v>0</v>
      </c>
      <c r="BR10" s="10">
        <f t="shared" ref="BR10:BR39" si="31">BQ10/CB10*100</f>
        <v>0</v>
      </c>
      <c r="BS10" s="10">
        <f>BG10+BK10+BO10</f>
        <v>0</v>
      </c>
      <c r="BT10" s="10">
        <f t="shared" ref="BT10:BT39" si="32">BS10/CA10*100</f>
        <v>0</v>
      </c>
      <c r="BU10" s="10">
        <f>BS10</f>
        <v>0</v>
      </c>
      <c r="BV10" s="10">
        <f t="shared" ref="BV10:BV39" si="33">BU10/CB10*100</f>
        <v>0</v>
      </c>
      <c r="BW10" s="105">
        <v>0</v>
      </c>
      <c r="BX10" s="10">
        <f t="shared" ref="BX10:BX39" si="34">BW10/CA10*100</f>
        <v>0</v>
      </c>
      <c r="BY10" s="10">
        <f>BW10</f>
        <v>0</v>
      </c>
      <c r="BZ10" s="10">
        <f t="shared" ref="BZ10:BZ39" si="35">BY10/CB10*100</f>
        <v>0</v>
      </c>
      <c r="CA10" s="10">
        <f t="shared" ref="CA10:CA39" si="36">AE10+BC10+BS10+BW10</f>
        <v>68612.627999999997</v>
      </c>
      <c r="CB10" s="10">
        <f>CA10</f>
        <v>68612.627999999997</v>
      </c>
      <c r="CC10" s="10">
        <f t="shared" ref="CC10:CC39" si="37">CA10/1000/E10</f>
        <v>1.0874667638761213</v>
      </c>
      <c r="CD10" s="10">
        <f t="shared" ref="CD10:CD39" si="38">(CB10/1000)/F10</f>
        <v>1.0874667638761213</v>
      </c>
    </row>
    <row r="11" spans="1:82">
      <c r="A11" s="16">
        <f>+Chem!A10</f>
        <v>46114</v>
      </c>
      <c r="B11" s="6" t="str">
        <f>+Chem!B10</f>
        <v>Toilet</v>
      </c>
      <c r="C11" s="16" t="str">
        <f>+Chem!C10</f>
        <v>15/12,5</v>
      </c>
      <c r="D11" s="8">
        <f>+Chem!D10</f>
        <v>68.733999999999995</v>
      </c>
      <c r="E11" s="7">
        <f>+Chem!E10</f>
        <v>64.578999999999994</v>
      </c>
      <c r="F11" s="7">
        <f t="shared" ref="F11:F39" si="39">+E11+F10</f>
        <v>127.673</v>
      </c>
      <c r="G11" s="105">
        <v>0</v>
      </c>
      <c r="H11" s="10">
        <f t="shared" si="0"/>
        <v>0</v>
      </c>
      <c r="I11" s="8">
        <f t="shared" ref="I11:I39" si="40">G11+I10</f>
        <v>0</v>
      </c>
      <c r="J11" s="10">
        <f t="shared" si="1"/>
        <v>0</v>
      </c>
      <c r="K11" s="105"/>
      <c r="L11" s="10">
        <f t="shared" si="2"/>
        <v>0</v>
      </c>
      <c r="M11" s="10">
        <f t="shared" ref="M11:M39" si="41">+K11+M10</f>
        <v>0</v>
      </c>
      <c r="N11" s="10">
        <f t="shared" si="3"/>
        <v>0</v>
      </c>
      <c r="O11" s="105"/>
      <c r="P11" s="10">
        <f t="shared" si="4"/>
        <v>0</v>
      </c>
      <c r="Q11" s="10">
        <f t="shared" ref="Q11:Q39" si="42">+O11+Q10</f>
        <v>0</v>
      </c>
      <c r="R11" s="10">
        <f t="shared" si="5"/>
        <v>0</v>
      </c>
      <c r="S11" s="105">
        <f>23.9*S7</f>
        <v>5975</v>
      </c>
      <c r="T11" s="10">
        <f t="shared" si="6"/>
        <v>9.291100969496453</v>
      </c>
      <c r="U11" s="10">
        <f t="shared" ref="U11:U39" si="43">+S11+U10</f>
        <v>11225</v>
      </c>
      <c r="V11" s="10">
        <f t="shared" si="7"/>
        <v>8.444835505738741</v>
      </c>
      <c r="W11" s="105"/>
      <c r="X11" s="10">
        <f t="shared" si="8"/>
        <v>0</v>
      </c>
      <c r="Y11" s="10">
        <f t="shared" ref="Y11:Y39" si="44">+W11+Y10</f>
        <v>0</v>
      </c>
      <c r="Z11" s="10">
        <f t="shared" si="9"/>
        <v>0</v>
      </c>
      <c r="AA11" s="105">
        <v>0</v>
      </c>
      <c r="AB11" s="10">
        <f t="shared" si="10"/>
        <v>0</v>
      </c>
      <c r="AC11" s="10">
        <f t="shared" ref="AC11:AC39" si="45">AA11+AC10</f>
        <v>0</v>
      </c>
      <c r="AD11" s="10">
        <f t="shared" si="11"/>
        <v>0</v>
      </c>
      <c r="AE11" s="10">
        <f t="shared" ref="AE11:AE39" si="46">G11+AA11+K11+W11+S11+O11</f>
        <v>5975</v>
      </c>
      <c r="AF11" s="10">
        <f t="shared" si="12"/>
        <v>9.291100969496453</v>
      </c>
      <c r="AG11" s="10">
        <f t="shared" ref="AG11:AG39" si="47">AE11+AG10</f>
        <v>11225</v>
      </c>
      <c r="AH11" s="10">
        <f t="shared" si="13"/>
        <v>8.444835505738741</v>
      </c>
      <c r="AI11" s="106">
        <f>232*AI7</f>
        <v>58333.847999999998</v>
      </c>
      <c r="AJ11" s="10">
        <f t="shared" si="14"/>
        <v>90.708899030503545</v>
      </c>
      <c r="AK11" s="10">
        <f t="shared" ref="AK11:AK39" si="48">AI11+AK10</f>
        <v>121696.476</v>
      </c>
      <c r="AL11" s="10">
        <f t="shared" si="15"/>
        <v>91.555164494261248</v>
      </c>
      <c r="AM11" s="105"/>
      <c r="AN11" s="10">
        <f t="shared" si="16"/>
        <v>0</v>
      </c>
      <c r="AO11" s="10">
        <f t="shared" ref="AO11:AO39" si="49">AM11+AO10</f>
        <v>0</v>
      </c>
      <c r="AP11" s="10">
        <f t="shared" si="17"/>
        <v>0</v>
      </c>
      <c r="AQ11" s="105"/>
      <c r="AR11" s="10">
        <f t="shared" si="18"/>
        <v>0</v>
      </c>
      <c r="AS11" s="10">
        <f t="shared" ref="AS11:AS39" si="50">AQ11+AS10</f>
        <v>0</v>
      </c>
      <c r="AT11" s="10">
        <f t="shared" si="19"/>
        <v>0</v>
      </c>
      <c r="AU11" s="105"/>
      <c r="AV11" s="10">
        <f t="shared" si="20"/>
        <v>0</v>
      </c>
      <c r="AW11" s="10">
        <f t="shared" ref="AW11:AW39" si="51">AU11+AW10</f>
        <v>0</v>
      </c>
      <c r="AX11" s="10">
        <f t="shared" si="21"/>
        <v>0</v>
      </c>
      <c r="AY11" s="105"/>
      <c r="AZ11" s="10">
        <f t="shared" si="22"/>
        <v>0</v>
      </c>
      <c r="BA11" s="10">
        <f t="shared" ref="BA11:BA39" si="52">AY11+BA10</f>
        <v>0</v>
      </c>
      <c r="BB11" s="10">
        <f t="shared" si="23"/>
        <v>0</v>
      </c>
      <c r="BC11" s="10">
        <f t="shared" ref="BC11:BC39" si="53">AI11+AM11+AQ11+AU11+AY11</f>
        <v>58333.847999999998</v>
      </c>
      <c r="BD11" s="10">
        <f t="shared" si="24"/>
        <v>90.708899030503545</v>
      </c>
      <c r="BE11" s="10">
        <f t="shared" ref="BE11:BE39" si="54">BC11+BE10</f>
        <v>121696.476</v>
      </c>
      <c r="BF11" s="10">
        <f t="shared" si="25"/>
        <v>91.555164494261248</v>
      </c>
      <c r="BG11" s="105">
        <v>0</v>
      </c>
      <c r="BH11" s="10">
        <f t="shared" si="26"/>
        <v>0</v>
      </c>
      <c r="BI11" s="10">
        <f t="shared" ref="BI11:BI39" si="55">+BG11+BI10</f>
        <v>0</v>
      </c>
      <c r="BJ11" s="10">
        <f t="shared" si="27"/>
        <v>0</v>
      </c>
      <c r="BK11" s="105"/>
      <c r="BL11" s="10">
        <f t="shared" si="28"/>
        <v>0</v>
      </c>
      <c r="BM11" s="10">
        <f t="shared" ref="BM11:BM39" si="56">BK11+BM10</f>
        <v>0</v>
      </c>
      <c r="BN11" s="10">
        <f t="shared" si="29"/>
        <v>0</v>
      </c>
      <c r="BO11" s="105"/>
      <c r="BP11" s="15">
        <f t="shared" si="30"/>
        <v>0</v>
      </c>
      <c r="BQ11" s="10">
        <f t="shared" ref="BQ11:BQ39" si="57">BO11+BQ10</f>
        <v>0</v>
      </c>
      <c r="BR11" s="10">
        <f t="shared" si="31"/>
        <v>0</v>
      </c>
      <c r="BS11" s="10">
        <f t="shared" ref="BS11:BS39" si="58">BG11+BK11+BO11</f>
        <v>0</v>
      </c>
      <c r="BT11" s="10">
        <f t="shared" si="32"/>
        <v>0</v>
      </c>
      <c r="BU11" s="10">
        <f t="shared" ref="BU11:BU39" si="59">BS11+BU10</f>
        <v>0</v>
      </c>
      <c r="BV11" s="10">
        <f t="shared" si="33"/>
        <v>0</v>
      </c>
      <c r="BW11" s="105">
        <v>0</v>
      </c>
      <c r="BX11" s="10">
        <f t="shared" si="34"/>
        <v>0</v>
      </c>
      <c r="BY11" s="10">
        <f t="shared" ref="BY11:BY39" si="60">BW11+BY10</f>
        <v>0</v>
      </c>
      <c r="BZ11" s="10">
        <f t="shared" si="35"/>
        <v>0</v>
      </c>
      <c r="CA11" s="10">
        <f t="shared" si="36"/>
        <v>64308.847999999998</v>
      </c>
      <c r="CB11" s="10">
        <f t="shared" ref="CB11:CB39" si="61">CA11+CB10</f>
        <v>132921.476</v>
      </c>
      <c r="CC11" s="10">
        <f t="shared" si="37"/>
        <v>0.99581672060576976</v>
      </c>
      <c r="CD11" s="10">
        <f t="shared" si="38"/>
        <v>1.0411087387309768</v>
      </c>
    </row>
    <row r="12" spans="1:82">
      <c r="A12" s="16">
        <f>+Chem!A11</f>
        <v>46115</v>
      </c>
      <c r="B12" s="6" t="str">
        <f>+Chem!B11</f>
        <v>Toilet</v>
      </c>
      <c r="C12" s="16" t="str">
        <f>+Chem!C11</f>
        <v>12,5</v>
      </c>
      <c r="D12" s="8">
        <f>+Chem!D11</f>
        <v>61.594000000000001</v>
      </c>
      <c r="E12" s="7">
        <f>+Chem!E11</f>
        <v>63.481000000000002</v>
      </c>
      <c r="F12" s="7">
        <f t="shared" si="39"/>
        <v>191.154</v>
      </c>
      <c r="G12" s="105">
        <v>0</v>
      </c>
      <c r="H12" s="10">
        <f t="shared" si="0"/>
        <v>0</v>
      </c>
      <c r="I12" s="8">
        <f t="shared" si="40"/>
        <v>0</v>
      </c>
      <c r="J12" s="10">
        <f t="shared" si="1"/>
        <v>0</v>
      </c>
      <c r="K12" s="105"/>
      <c r="L12" s="10">
        <f t="shared" si="2"/>
        <v>0</v>
      </c>
      <c r="M12" s="10">
        <f t="shared" si="41"/>
        <v>0</v>
      </c>
      <c r="N12" s="10">
        <f t="shared" si="3"/>
        <v>0</v>
      </c>
      <c r="O12" s="105"/>
      <c r="P12" s="10">
        <f t="shared" si="4"/>
        <v>0</v>
      </c>
      <c r="Q12" s="10">
        <f t="shared" si="42"/>
        <v>0</v>
      </c>
      <c r="R12" s="10">
        <f t="shared" si="5"/>
        <v>0</v>
      </c>
      <c r="S12" s="105">
        <f>20.6*S7</f>
        <v>5150</v>
      </c>
      <c r="T12" s="10">
        <f t="shared" si="6"/>
        <v>8.1122996829051708</v>
      </c>
      <c r="U12" s="10">
        <f t="shared" si="43"/>
        <v>16375</v>
      </c>
      <c r="V12" s="10">
        <f t="shared" si="7"/>
        <v>8.3373503663271364</v>
      </c>
      <c r="W12" s="105"/>
      <c r="X12" s="10">
        <f t="shared" si="8"/>
        <v>0</v>
      </c>
      <c r="Y12" s="10">
        <f t="shared" si="44"/>
        <v>0</v>
      </c>
      <c r="Z12" s="10">
        <f t="shared" si="9"/>
        <v>0</v>
      </c>
      <c r="AA12" s="105">
        <v>0</v>
      </c>
      <c r="AB12" s="10">
        <f t="shared" si="10"/>
        <v>0</v>
      </c>
      <c r="AC12" s="10">
        <f t="shared" si="45"/>
        <v>0</v>
      </c>
      <c r="AD12" s="10">
        <f t="shared" si="11"/>
        <v>0</v>
      </c>
      <c r="AE12" s="10">
        <f t="shared" si="46"/>
        <v>5150</v>
      </c>
      <c r="AF12" s="10">
        <f t="shared" si="12"/>
        <v>8.1122996829051708</v>
      </c>
      <c r="AG12" s="10">
        <f t="shared" si="47"/>
        <v>16375</v>
      </c>
      <c r="AH12" s="10">
        <f t="shared" si="13"/>
        <v>8.3373503663271364</v>
      </c>
      <c r="AI12" s="106">
        <f>232*AI7</f>
        <v>58333.847999999998</v>
      </c>
      <c r="AJ12" s="10">
        <f t="shared" si="14"/>
        <v>91.88770031709484</v>
      </c>
      <c r="AK12" s="10">
        <f t="shared" si="48"/>
        <v>180030.32399999999</v>
      </c>
      <c r="AL12" s="10">
        <f t="shared" si="15"/>
        <v>91.662649633672871</v>
      </c>
      <c r="AM12" s="105"/>
      <c r="AN12" s="10">
        <f t="shared" si="16"/>
        <v>0</v>
      </c>
      <c r="AO12" s="10">
        <f t="shared" si="49"/>
        <v>0</v>
      </c>
      <c r="AP12" s="10">
        <f t="shared" si="17"/>
        <v>0</v>
      </c>
      <c r="AQ12" s="105"/>
      <c r="AR12" s="10">
        <f t="shared" si="18"/>
        <v>0</v>
      </c>
      <c r="AS12" s="10">
        <f t="shared" si="50"/>
        <v>0</v>
      </c>
      <c r="AT12" s="10">
        <f t="shared" si="19"/>
        <v>0</v>
      </c>
      <c r="AU12" s="105"/>
      <c r="AV12" s="10">
        <f t="shared" si="20"/>
        <v>0</v>
      </c>
      <c r="AW12" s="10">
        <f t="shared" si="51"/>
        <v>0</v>
      </c>
      <c r="AX12" s="10">
        <f t="shared" si="21"/>
        <v>0</v>
      </c>
      <c r="AY12" s="105"/>
      <c r="AZ12" s="10">
        <f t="shared" si="22"/>
        <v>0</v>
      </c>
      <c r="BA12" s="10">
        <f t="shared" si="52"/>
        <v>0</v>
      </c>
      <c r="BB12" s="10">
        <f t="shared" si="23"/>
        <v>0</v>
      </c>
      <c r="BC12" s="10">
        <f t="shared" si="53"/>
        <v>58333.847999999998</v>
      </c>
      <c r="BD12" s="10">
        <f t="shared" si="24"/>
        <v>91.88770031709484</v>
      </c>
      <c r="BE12" s="10">
        <f t="shared" si="54"/>
        <v>180030.32399999999</v>
      </c>
      <c r="BF12" s="10">
        <f t="shared" si="25"/>
        <v>91.662649633672871</v>
      </c>
      <c r="BG12" s="105">
        <v>0</v>
      </c>
      <c r="BH12" s="10">
        <f t="shared" si="26"/>
        <v>0</v>
      </c>
      <c r="BI12" s="10">
        <f t="shared" si="55"/>
        <v>0</v>
      </c>
      <c r="BJ12" s="10">
        <f t="shared" si="27"/>
        <v>0</v>
      </c>
      <c r="BK12" s="105"/>
      <c r="BL12" s="10">
        <f t="shared" si="28"/>
        <v>0</v>
      </c>
      <c r="BM12" s="10">
        <f t="shared" si="56"/>
        <v>0</v>
      </c>
      <c r="BN12" s="10">
        <f t="shared" si="29"/>
        <v>0</v>
      </c>
      <c r="BO12" s="105"/>
      <c r="BP12" s="15">
        <f t="shared" si="30"/>
        <v>0</v>
      </c>
      <c r="BQ12" s="10">
        <f t="shared" si="57"/>
        <v>0</v>
      </c>
      <c r="BR12" s="10">
        <f t="shared" si="31"/>
        <v>0</v>
      </c>
      <c r="BS12" s="10">
        <f t="shared" si="58"/>
        <v>0</v>
      </c>
      <c r="BT12" s="10">
        <f t="shared" si="32"/>
        <v>0</v>
      </c>
      <c r="BU12" s="10">
        <f t="shared" si="59"/>
        <v>0</v>
      </c>
      <c r="BV12" s="10">
        <f t="shared" si="33"/>
        <v>0</v>
      </c>
      <c r="BW12" s="105">
        <v>0</v>
      </c>
      <c r="BX12" s="10">
        <f t="shared" si="34"/>
        <v>0</v>
      </c>
      <c r="BY12" s="10">
        <f t="shared" si="60"/>
        <v>0</v>
      </c>
      <c r="BZ12" s="10">
        <f t="shared" si="35"/>
        <v>0</v>
      </c>
      <c r="CA12" s="10">
        <f t="shared" si="36"/>
        <v>63483.847999999998</v>
      </c>
      <c r="CB12" s="10">
        <f t="shared" si="61"/>
        <v>196405.32399999999</v>
      </c>
      <c r="CC12" s="10">
        <f t="shared" si="37"/>
        <v>1.0000448638175201</v>
      </c>
      <c r="CD12" s="10">
        <f t="shared" si="38"/>
        <v>1.0274716929805288</v>
      </c>
    </row>
    <row r="13" spans="1:82">
      <c r="A13" s="16">
        <f>+Chem!A12</f>
        <v>46116</v>
      </c>
      <c r="B13" s="6" t="str">
        <f>+Chem!B12</f>
        <v>Toilet</v>
      </c>
      <c r="C13" s="16" t="str">
        <f>+Chem!C12</f>
        <v>12,5/12</v>
      </c>
      <c r="D13" s="8">
        <f>+Chem!D12</f>
        <v>55.378</v>
      </c>
      <c r="E13" s="7">
        <f>+Chem!E12</f>
        <v>54.262</v>
      </c>
      <c r="F13" s="7">
        <f t="shared" si="39"/>
        <v>245.416</v>
      </c>
      <c r="G13" s="105">
        <v>0</v>
      </c>
      <c r="H13" s="10">
        <f t="shared" si="0"/>
        <v>0</v>
      </c>
      <c r="I13" s="8">
        <f t="shared" si="40"/>
        <v>0</v>
      </c>
      <c r="J13" s="10">
        <f t="shared" si="1"/>
        <v>0</v>
      </c>
      <c r="K13" s="105"/>
      <c r="L13" s="10">
        <f t="shared" si="2"/>
        <v>0</v>
      </c>
      <c r="M13" s="10">
        <f t="shared" si="41"/>
        <v>0</v>
      </c>
      <c r="N13" s="10">
        <f t="shared" si="3"/>
        <v>0</v>
      </c>
      <c r="O13" s="105"/>
      <c r="P13" s="10">
        <f t="shared" si="4"/>
        <v>0</v>
      </c>
      <c r="Q13" s="10">
        <f t="shared" si="42"/>
        <v>0</v>
      </c>
      <c r="R13" s="10">
        <f t="shared" si="5"/>
        <v>0</v>
      </c>
      <c r="S13" s="105">
        <f>18*S7</f>
        <v>4500</v>
      </c>
      <c r="T13" s="10">
        <f t="shared" si="6"/>
        <v>7.6516526957690649</v>
      </c>
      <c r="U13" s="10">
        <f t="shared" si="43"/>
        <v>20875</v>
      </c>
      <c r="V13" s="10">
        <f t="shared" si="7"/>
        <v>8.1793413792923495</v>
      </c>
      <c r="W13" s="105"/>
      <c r="X13" s="10">
        <f t="shared" si="8"/>
        <v>0</v>
      </c>
      <c r="Y13" s="10">
        <f t="shared" si="44"/>
        <v>0</v>
      </c>
      <c r="Z13" s="10">
        <f t="shared" si="9"/>
        <v>0</v>
      </c>
      <c r="AA13" s="105">
        <v>0</v>
      </c>
      <c r="AB13" s="10">
        <f t="shared" si="10"/>
        <v>0</v>
      </c>
      <c r="AC13" s="10">
        <f t="shared" si="45"/>
        <v>0</v>
      </c>
      <c r="AD13" s="10">
        <f t="shared" si="11"/>
        <v>0</v>
      </c>
      <c r="AE13" s="10">
        <f t="shared" si="46"/>
        <v>4500</v>
      </c>
      <c r="AF13" s="10">
        <f t="shared" si="12"/>
        <v>7.6516526957690649</v>
      </c>
      <c r="AG13" s="10">
        <f t="shared" si="47"/>
        <v>20875</v>
      </c>
      <c r="AH13" s="10">
        <f t="shared" si="13"/>
        <v>8.1793413792923495</v>
      </c>
      <c r="AI13" s="106">
        <f>216*AI7</f>
        <v>54310.824000000001</v>
      </c>
      <c r="AJ13" s="10">
        <f t="shared" si="14"/>
        <v>92.348347304230941</v>
      </c>
      <c r="AK13" s="10">
        <f t="shared" si="48"/>
        <v>234341.14799999999</v>
      </c>
      <c r="AL13" s="10">
        <f t="shared" si="15"/>
        <v>91.820658620707647</v>
      </c>
      <c r="AM13" s="105"/>
      <c r="AN13" s="10">
        <f t="shared" si="16"/>
        <v>0</v>
      </c>
      <c r="AO13" s="10">
        <f t="shared" si="49"/>
        <v>0</v>
      </c>
      <c r="AP13" s="10">
        <f t="shared" si="17"/>
        <v>0</v>
      </c>
      <c r="AQ13" s="105"/>
      <c r="AR13" s="10">
        <f t="shared" si="18"/>
        <v>0</v>
      </c>
      <c r="AS13" s="10">
        <f t="shared" si="50"/>
        <v>0</v>
      </c>
      <c r="AT13" s="10">
        <f t="shared" si="19"/>
        <v>0</v>
      </c>
      <c r="AU13" s="105"/>
      <c r="AV13" s="10">
        <f t="shared" si="20"/>
        <v>0</v>
      </c>
      <c r="AW13" s="10">
        <f t="shared" si="51"/>
        <v>0</v>
      </c>
      <c r="AX13" s="10">
        <f t="shared" si="21"/>
        <v>0</v>
      </c>
      <c r="AY13" s="105"/>
      <c r="AZ13" s="10">
        <f t="shared" si="22"/>
        <v>0</v>
      </c>
      <c r="BA13" s="10">
        <f t="shared" si="52"/>
        <v>0</v>
      </c>
      <c r="BB13" s="10">
        <f t="shared" si="23"/>
        <v>0</v>
      </c>
      <c r="BC13" s="10">
        <f t="shared" si="53"/>
        <v>54310.824000000001</v>
      </c>
      <c r="BD13" s="10">
        <f t="shared" si="24"/>
        <v>92.348347304230941</v>
      </c>
      <c r="BE13" s="10">
        <f t="shared" si="54"/>
        <v>234341.14799999999</v>
      </c>
      <c r="BF13" s="10">
        <f t="shared" si="25"/>
        <v>91.820658620707647</v>
      </c>
      <c r="BG13" s="105">
        <v>0</v>
      </c>
      <c r="BH13" s="10">
        <f t="shared" si="26"/>
        <v>0</v>
      </c>
      <c r="BI13" s="10">
        <f t="shared" si="55"/>
        <v>0</v>
      </c>
      <c r="BJ13" s="10">
        <f t="shared" si="27"/>
        <v>0</v>
      </c>
      <c r="BK13" s="105"/>
      <c r="BL13" s="10">
        <f t="shared" si="28"/>
        <v>0</v>
      </c>
      <c r="BM13" s="10">
        <f t="shared" si="56"/>
        <v>0</v>
      </c>
      <c r="BN13" s="10">
        <f t="shared" si="29"/>
        <v>0</v>
      </c>
      <c r="BO13" s="105"/>
      <c r="BP13" s="15">
        <f t="shared" si="30"/>
        <v>0</v>
      </c>
      <c r="BQ13" s="10">
        <f t="shared" si="57"/>
        <v>0</v>
      </c>
      <c r="BR13" s="10">
        <f t="shared" si="31"/>
        <v>0</v>
      </c>
      <c r="BS13" s="10">
        <f t="shared" si="58"/>
        <v>0</v>
      </c>
      <c r="BT13" s="10">
        <f t="shared" si="32"/>
        <v>0</v>
      </c>
      <c r="BU13" s="10">
        <f t="shared" si="59"/>
        <v>0</v>
      </c>
      <c r="BV13" s="10">
        <f t="shared" si="33"/>
        <v>0</v>
      </c>
      <c r="BW13" s="105">
        <v>0</v>
      </c>
      <c r="BX13" s="10">
        <f t="shared" si="34"/>
        <v>0</v>
      </c>
      <c r="BY13" s="10">
        <f t="shared" si="60"/>
        <v>0</v>
      </c>
      <c r="BZ13" s="10">
        <f t="shared" si="35"/>
        <v>0</v>
      </c>
      <c r="CA13" s="10">
        <f t="shared" si="36"/>
        <v>58810.824000000001</v>
      </c>
      <c r="CB13" s="10">
        <f t="shared" si="61"/>
        <v>255216.14799999999</v>
      </c>
      <c r="CC13" s="10">
        <f t="shared" si="37"/>
        <v>1.0838307471158455</v>
      </c>
      <c r="CD13" s="10">
        <f t="shared" si="38"/>
        <v>1.0399327998174528</v>
      </c>
    </row>
    <row r="14" spans="1:82">
      <c r="A14" s="16">
        <f>+Chem!A13</f>
        <v>46117</v>
      </c>
      <c r="B14" s="6" t="str">
        <f>+Chem!B13</f>
        <v>Toilet/Facial</v>
      </c>
      <c r="C14" s="16" t="str">
        <f>+Chem!C13</f>
        <v>12/14/12</v>
      </c>
      <c r="D14" s="8">
        <f>+Chem!D13</f>
        <v>49.277000000000001</v>
      </c>
      <c r="E14" s="7">
        <f>+Chem!E13</f>
        <v>47.134</v>
      </c>
      <c r="F14" s="7">
        <f t="shared" si="39"/>
        <v>292.55</v>
      </c>
      <c r="G14" s="105">
        <v>0</v>
      </c>
      <c r="H14" s="97">
        <f t="shared" si="0"/>
        <v>0</v>
      </c>
      <c r="I14" s="8">
        <f t="shared" si="40"/>
        <v>0</v>
      </c>
      <c r="J14" s="97">
        <f t="shared" si="1"/>
        <v>0</v>
      </c>
      <c r="K14" s="106"/>
      <c r="L14" s="97">
        <f t="shared" si="2"/>
        <v>0</v>
      </c>
      <c r="M14" s="97">
        <f t="shared" si="41"/>
        <v>0</v>
      </c>
      <c r="N14" s="97">
        <f t="shared" si="3"/>
        <v>0</v>
      </c>
      <c r="O14" s="105"/>
      <c r="P14" s="97">
        <f t="shared" si="4"/>
        <v>0</v>
      </c>
      <c r="Q14" s="97">
        <f t="shared" si="42"/>
        <v>0</v>
      </c>
      <c r="R14" s="97">
        <f t="shared" si="5"/>
        <v>0</v>
      </c>
      <c r="S14" s="106">
        <f>18.34*S7</f>
        <v>4585</v>
      </c>
      <c r="T14" s="97">
        <f t="shared" si="6"/>
        <v>9.3881305854769952</v>
      </c>
      <c r="U14" s="97">
        <f t="shared" si="43"/>
        <v>25460</v>
      </c>
      <c r="V14" s="97">
        <f t="shared" si="7"/>
        <v>8.3735012534532789</v>
      </c>
      <c r="W14" s="105"/>
      <c r="X14" s="97">
        <f t="shared" si="8"/>
        <v>0</v>
      </c>
      <c r="Y14" s="97">
        <f t="shared" si="44"/>
        <v>0</v>
      </c>
      <c r="Z14" s="97">
        <f t="shared" si="9"/>
        <v>0</v>
      </c>
      <c r="AA14" s="105">
        <v>0</v>
      </c>
      <c r="AB14" s="97">
        <f t="shared" si="10"/>
        <v>0</v>
      </c>
      <c r="AC14" s="97">
        <f t="shared" si="45"/>
        <v>0</v>
      </c>
      <c r="AD14" s="97">
        <f t="shared" si="11"/>
        <v>0</v>
      </c>
      <c r="AE14" s="10">
        <f t="shared" si="46"/>
        <v>4585</v>
      </c>
      <c r="AF14" s="97">
        <f t="shared" si="12"/>
        <v>9.3881305854769952</v>
      </c>
      <c r="AG14" s="97">
        <f t="shared" si="47"/>
        <v>25460</v>
      </c>
      <c r="AH14" s="97">
        <f t="shared" si="13"/>
        <v>8.3735012534532789</v>
      </c>
      <c r="AI14" s="106">
        <f>176*AI7</f>
        <v>44253.263999999996</v>
      </c>
      <c r="AJ14" s="97">
        <f t="shared" si="14"/>
        <v>90.611869414522999</v>
      </c>
      <c r="AK14" s="97">
        <f t="shared" si="48"/>
        <v>278594.41200000001</v>
      </c>
      <c r="AL14" s="97">
        <f t="shared" si="15"/>
        <v>91.62649874654673</v>
      </c>
      <c r="AM14" s="106"/>
      <c r="AN14" s="97">
        <f t="shared" si="16"/>
        <v>0</v>
      </c>
      <c r="AO14" s="97">
        <f t="shared" si="49"/>
        <v>0</v>
      </c>
      <c r="AP14" s="97">
        <f t="shared" si="17"/>
        <v>0</v>
      </c>
      <c r="AQ14" s="106"/>
      <c r="AR14" s="97">
        <f t="shared" si="18"/>
        <v>0</v>
      </c>
      <c r="AS14" s="97">
        <f t="shared" si="50"/>
        <v>0</v>
      </c>
      <c r="AT14" s="97">
        <f t="shared" si="19"/>
        <v>0</v>
      </c>
      <c r="AU14" s="106"/>
      <c r="AV14" s="97">
        <f t="shared" si="20"/>
        <v>0</v>
      </c>
      <c r="AW14" s="97">
        <f t="shared" si="51"/>
        <v>0</v>
      </c>
      <c r="AX14" s="97">
        <f t="shared" si="21"/>
        <v>0</v>
      </c>
      <c r="AY14" s="106"/>
      <c r="AZ14" s="97">
        <f t="shared" si="22"/>
        <v>0</v>
      </c>
      <c r="BA14" s="97">
        <f t="shared" si="52"/>
        <v>0</v>
      </c>
      <c r="BB14" s="97">
        <f t="shared" si="23"/>
        <v>0</v>
      </c>
      <c r="BC14" s="10">
        <f t="shared" si="53"/>
        <v>44253.263999999996</v>
      </c>
      <c r="BD14" s="97">
        <f t="shared" si="24"/>
        <v>90.611869414522999</v>
      </c>
      <c r="BE14" s="97">
        <f t="shared" si="54"/>
        <v>278594.41200000001</v>
      </c>
      <c r="BF14" s="97">
        <f t="shared" si="25"/>
        <v>91.62649874654673</v>
      </c>
      <c r="BG14" s="105">
        <v>0</v>
      </c>
      <c r="BH14" s="97">
        <f t="shared" si="26"/>
        <v>0</v>
      </c>
      <c r="BI14" s="97">
        <f t="shared" si="55"/>
        <v>0</v>
      </c>
      <c r="BJ14" s="97">
        <f t="shared" si="27"/>
        <v>0</v>
      </c>
      <c r="BK14" s="106"/>
      <c r="BL14" s="97">
        <f t="shared" si="28"/>
        <v>0</v>
      </c>
      <c r="BM14" s="97">
        <f t="shared" si="56"/>
        <v>0</v>
      </c>
      <c r="BN14" s="97">
        <f t="shared" si="29"/>
        <v>0</v>
      </c>
      <c r="BO14" s="106"/>
      <c r="BP14" s="98">
        <f t="shared" si="30"/>
        <v>0</v>
      </c>
      <c r="BQ14" s="97">
        <f t="shared" si="57"/>
        <v>0</v>
      </c>
      <c r="BR14" s="97">
        <f t="shared" si="31"/>
        <v>0</v>
      </c>
      <c r="BS14" s="97">
        <f t="shared" si="58"/>
        <v>0</v>
      </c>
      <c r="BT14" s="97">
        <f t="shared" si="32"/>
        <v>0</v>
      </c>
      <c r="BU14" s="97">
        <f t="shared" si="59"/>
        <v>0</v>
      </c>
      <c r="BV14" s="97">
        <f t="shared" si="33"/>
        <v>0</v>
      </c>
      <c r="BW14" s="106">
        <v>0</v>
      </c>
      <c r="BX14" s="97">
        <f t="shared" si="34"/>
        <v>0</v>
      </c>
      <c r="BY14" s="97">
        <f t="shared" si="60"/>
        <v>0</v>
      </c>
      <c r="BZ14" s="97">
        <f t="shared" si="35"/>
        <v>0</v>
      </c>
      <c r="CA14" s="97">
        <f t="shared" si="36"/>
        <v>48838.263999999996</v>
      </c>
      <c r="CB14" s="97">
        <f t="shared" si="61"/>
        <v>304054.41200000001</v>
      </c>
      <c r="CC14" s="97">
        <f t="shared" si="37"/>
        <v>1.0361578478380786</v>
      </c>
      <c r="CD14" s="97">
        <f t="shared" si="38"/>
        <v>1.0393246009229191</v>
      </c>
    </row>
    <row r="15" spans="1:82">
      <c r="A15" s="16">
        <f>+Chem!A14</f>
        <v>46118</v>
      </c>
      <c r="B15" s="6" t="str">
        <f>+Chem!B14</f>
        <v>Facial</v>
      </c>
      <c r="C15" s="16" t="str">
        <f>+Chem!C14</f>
        <v>12/13</v>
      </c>
      <c r="D15" s="8">
        <f>+Chem!D14</f>
        <v>60.231999999999999</v>
      </c>
      <c r="E15" s="7">
        <f>+Chem!E14</f>
        <v>58.991999999999997</v>
      </c>
      <c r="F15" s="7">
        <f t="shared" si="39"/>
        <v>351.54200000000003</v>
      </c>
      <c r="G15" s="105">
        <v>0</v>
      </c>
      <c r="H15" s="97">
        <f t="shared" si="0"/>
        <v>0</v>
      </c>
      <c r="I15" s="8">
        <f t="shared" si="40"/>
        <v>0</v>
      </c>
      <c r="J15" s="97">
        <f t="shared" si="1"/>
        <v>0</v>
      </c>
      <c r="K15" s="106"/>
      <c r="L15" s="97">
        <f t="shared" si="2"/>
        <v>0</v>
      </c>
      <c r="M15" s="97">
        <f t="shared" si="41"/>
        <v>0</v>
      </c>
      <c r="N15" s="97">
        <f t="shared" si="3"/>
        <v>0</v>
      </c>
      <c r="O15" s="105"/>
      <c r="P15" s="97">
        <f t="shared" si="4"/>
        <v>0</v>
      </c>
      <c r="Q15" s="97">
        <f t="shared" si="42"/>
        <v>0</v>
      </c>
      <c r="R15" s="97">
        <f t="shared" si="5"/>
        <v>0</v>
      </c>
      <c r="S15" s="106">
        <f>19.67*S7</f>
        <v>4917.5</v>
      </c>
      <c r="T15" s="97">
        <f t="shared" si="6"/>
        <v>8.5945019096834692</v>
      </c>
      <c r="U15" s="97">
        <f t="shared" si="43"/>
        <v>30377.5</v>
      </c>
      <c r="V15" s="97">
        <f t="shared" si="7"/>
        <v>8.4085025271760934</v>
      </c>
      <c r="W15" s="105"/>
      <c r="X15" s="97">
        <f t="shared" si="8"/>
        <v>0</v>
      </c>
      <c r="Y15" s="97">
        <f t="shared" si="44"/>
        <v>0</v>
      </c>
      <c r="Z15" s="97">
        <f t="shared" si="9"/>
        <v>0</v>
      </c>
      <c r="AA15" s="105">
        <v>0</v>
      </c>
      <c r="AB15" s="97">
        <f t="shared" si="10"/>
        <v>0</v>
      </c>
      <c r="AC15" s="97">
        <f t="shared" si="45"/>
        <v>0</v>
      </c>
      <c r="AD15" s="97">
        <f t="shared" si="11"/>
        <v>0</v>
      </c>
      <c r="AE15" s="10">
        <f t="shared" si="46"/>
        <v>4917.5</v>
      </c>
      <c r="AF15" s="97">
        <f t="shared" si="12"/>
        <v>8.5945019096834692</v>
      </c>
      <c r="AG15" s="97">
        <f t="shared" si="47"/>
        <v>30377.5</v>
      </c>
      <c r="AH15" s="97">
        <f t="shared" si="13"/>
        <v>8.4085025271760934</v>
      </c>
      <c r="AI15" s="106">
        <f>208*AI7</f>
        <v>52299.311999999998</v>
      </c>
      <c r="AJ15" s="97">
        <f t="shared" si="14"/>
        <v>91.405498090316527</v>
      </c>
      <c r="AK15" s="97">
        <f t="shared" si="48"/>
        <v>330893.72399999999</v>
      </c>
      <c r="AL15" s="97">
        <f t="shared" si="15"/>
        <v>91.591497472823917</v>
      </c>
      <c r="AM15" s="106"/>
      <c r="AN15" s="97">
        <f t="shared" si="16"/>
        <v>0</v>
      </c>
      <c r="AO15" s="97">
        <f t="shared" si="49"/>
        <v>0</v>
      </c>
      <c r="AP15" s="97">
        <f t="shared" si="17"/>
        <v>0</v>
      </c>
      <c r="AQ15" s="106"/>
      <c r="AR15" s="97">
        <f t="shared" si="18"/>
        <v>0</v>
      </c>
      <c r="AS15" s="97">
        <f t="shared" si="50"/>
        <v>0</v>
      </c>
      <c r="AT15" s="97">
        <f t="shared" si="19"/>
        <v>0</v>
      </c>
      <c r="AU15" s="106"/>
      <c r="AV15" s="97">
        <f t="shared" si="20"/>
        <v>0</v>
      </c>
      <c r="AW15" s="97">
        <f t="shared" si="51"/>
        <v>0</v>
      </c>
      <c r="AX15" s="97">
        <f t="shared" si="21"/>
        <v>0</v>
      </c>
      <c r="AY15" s="106"/>
      <c r="AZ15" s="97">
        <f t="shared" si="22"/>
        <v>0</v>
      </c>
      <c r="BA15" s="97">
        <f t="shared" si="52"/>
        <v>0</v>
      </c>
      <c r="BB15" s="97">
        <f t="shared" si="23"/>
        <v>0</v>
      </c>
      <c r="BC15" s="10">
        <f t="shared" si="53"/>
        <v>52299.311999999998</v>
      </c>
      <c r="BD15" s="97">
        <f t="shared" si="24"/>
        <v>91.405498090316527</v>
      </c>
      <c r="BE15" s="97">
        <f t="shared" si="54"/>
        <v>330893.72399999999</v>
      </c>
      <c r="BF15" s="97">
        <f t="shared" si="25"/>
        <v>91.591497472823917</v>
      </c>
      <c r="BG15" s="105">
        <v>0</v>
      </c>
      <c r="BH15" s="97">
        <f t="shared" si="26"/>
        <v>0</v>
      </c>
      <c r="BI15" s="97">
        <f t="shared" si="55"/>
        <v>0</v>
      </c>
      <c r="BJ15" s="97">
        <f t="shared" si="27"/>
        <v>0</v>
      </c>
      <c r="BK15" s="106"/>
      <c r="BL15" s="97">
        <f t="shared" si="28"/>
        <v>0</v>
      </c>
      <c r="BM15" s="97">
        <f t="shared" si="56"/>
        <v>0</v>
      </c>
      <c r="BN15" s="97">
        <f t="shared" si="29"/>
        <v>0</v>
      </c>
      <c r="BO15" s="106"/>
      <c r="BP15" s="98">
        <f t="shared" si="30"/>
        <v>0</v>
      </c>
      <c r="BQ15" s="97">
        <f t="shared" si="57"/>
        <v>0</v>
      </c>
      <c r="BR15" s="97">
        <f t="shared" si="31"/>
        <v>0</v>
      </c>
      <c r="BS15" s="97">
        <f t="shared" si="58"/>
        <v>0</v>
      </c>
      <c r="BT15" s="97">
        <f t="shared" si="32"/>
        <v>0</v>
      </c>
      <c r="BU15" s="97">
        <f t="shared" si="59"/>
        <v>0</v>
      </c>
      <c r="BV15" s="97">
        <f t="shared" si="33"/>
        <v>0</v>
      </c>
      <c r="BW15" s="106">
        <v>0</v>
      </c>
      <c r="BX15" s="97">
        <f t="shared" si="34"/>
        <v>0</v>
      </c>
      <c r="BY15" s="97">
        <f t="shared" si="60"/>
        <v>0</v>
      </c>
      <c r="BZ15" s="97">
        <f t="shared" si="35"/>
        <v>0</v>
      </c>
      <c r="CA15" s="97">
        <f t="shared" si="36"/>
        <v>57216.811999999998</v>
      </c>
      <c r="CB15" s="97">
        <f t="shared" si="61"/>
        <v>361271.22399999999</v>
      </c>
      <c r="CC15" s="97">
        <f t="shared" si="37"/>
        <v>0.96990798752373208</v>
      </c>
      <c r="CD15" s="97">
        <f t="shared" si="38"/>
        <v>1.027675850965176</v>
      </c>
    </row>
    <row r="16" spans="1:82">
      <c r="A16" s="16">
        <f>+Chem!A15</f>
        <v>46119</v>
      </c>
      <c r="B16" s="6" t="str">
        <f>+Chem!B15</f>
        <v>Facial</v>
      </c>
      <c r="C16" s="16" t="str">
        <f>+Chem!C15</f>
        <v>13,5/12,5</v>
      </c>
      <c r="D16" s="8">
        <f>+Chem!D15</f>
        <v>61.576999999999998</v>
      </c>
      <c r="E16" s="7">
        <f>+Chem!E15</f>
        <v>60.41</v>
      </c>
      <c r="F16" s="7">
        <f t="shared" si="39"/>
        <v>411.952</v>
      </c>
      <c r="G16" s="105">
        <v>0</v>
      </c>
      <c r="H16" s="97">
        <f t="shared" si="0"/>
        <v>0</v>
      </c>
      <c r="I16" s="8">
        <f t="shared" si="40"/>
        <v>0</v>
      </c>
      <c r="J16" s="97">
        <f t="shared" si="1"/>
        <v>0</v>
      </c>
      <c r="K16" s="106"/>
      <c r="L16" s="97">
        <f t="shared" si="2"/>
        <v>0</v>
      </c>
      <c r="M16" s="97">
        <f t="shared" si="41"/>
        <v>0</v>
      </c>
      <c r="N16" s="97">
        <f t="shared" si="3"/>
        <v>0</v>
      </c>
      <c r="O16" s="105"/>
      <c r="P16" s="97">
        <f t="shared" si="4"/>
        <v>0</v>
      </c>
      <c r="Q16" s="97">
        <f t="shared" si="42"/>
        <v>0</v>
      </c>
      <c r="R16" s="97">
        <f t="shared" si="5"/>
        <v>0</v>
      </c>
      <c r="S16" s="106">
        <f>18*S7</f>
        <v>4500</v>
      </c>
      <c r="T16" s="97">
        <f t="shared" si="6"/>
        <v>7.6516526957690649</v>
      </c>
      <c r="U16" s="97">
        <f t="shared" si="43"/>
        <v>34877.5</v>
      </c>
      <c r="V16" s="97">
        <f t="shared" si="7"/>
        <v>8.3025447447828089</v>
      </c>
      <c r="W16" s="105"/>
      <c r="X16" s="97">
        <f t="shared" si="8"/>
        <v>0</v>
      </c>
      <c r="Y16" s="97">
        <f t="shared" si="44"/>
        <v>0</v>
      </c>
      <c r="Z16" s="97">
        <f t="shared" si="9"/>
        <v>0</v>
      </c>
      <c r="AA16" s="105">
        <v>0</v>
      </c>
      <c r="AB16" s="97">
        <f t="shared" si="10"/>
        <v>0</v>
      </c>
      <c r="AC16" s="97">
        <f t="shared" si="45"/>
        <v>0</v>
      </c>
      <c r="AD16" s="97">
        <f t="shared" si="11"/>
        <v>0</v>
      </c>
      <c r="AE16" s="10">
        <f t="shared" si="46"/>
        <v>4500</v>
      </c>
      <c r="AF16" s="97">
        <f t="shared" si="12"/>
        <v>7.6516526957690649</v>
      </c>
      <c r="AG16" s="97">
        <f t="shared" si="47"/>
        <v>34877.5</v>
      </c>
      <c r="AH16" s="97">
        <f t="shared" si="13"/>
        <v>8.3025447447828089</v>
      </c>
      <c r="AI16" s="106">
        <f>216*AI7</f>
        <v>54310.824000000001</v>
      </c>
      <c r="AJ16" s="97">
        <f t="shared" si="14"/>
        <v>92.348347304230941</v>
      </c>
      <c r="AK16" s="97">
        <f t="shared" si="48"/>
        <v>385204.54800000001</v>
      </c>
      <c r="AL16" s="97">
        <f t="shared" si="15"/>
        <v>91.697455255217193</v>
      </c>
      <c r="AM16" s="106"/>
      <c r="AN16" s="97">
        <f t="shared" si="16"/>
        <v>0</v>
      </c>
      <c r="AO16" s="97">
        <f t="shared" si="49"/>
        <v>0</v>
      </c>
      <c r="AP16" s="97">
        <f t="shared" si="17"/>
        <v>0</v>
      </c>
      <c r="AQ16" s="106"/>
      <c r="AR16" s="97">
        <f t="shared" si="18"/>
        <v>0</v>
      </c>
      <c r="AS16" s="97">
        <f t="shared" si="50"/>
        <v>0</v>
      </c>
      <c r="AT16" s="97">
        <f t="shared" si="19"/>
        <v>0</v>
      </c>
      <c r="AU16" s="106"/>
      <c r="AV16" s="97">
        <f t="shared" si="20"/>
        <v>0</v>
      </c>
      <c r="AW16" s="97">
        <f t="shared" si="51"/>
        <v>0</v>
      </c>
      <c r="AX16" s="97">
        <f t="shared" si="21"/>
        <v>0</v>
      </c>
      <c r="AY16" s="106"/>
      <c r="AZ16" s="97">
        <f t="shared" si="22"/>
        <v>0</v>
      </c>
      <c r="BA16" s="97">
        <f t="shared" si="52"/>
        <v>0</v>
      </c>
      <c r="BB16" s="97">
        <f t="shared" si="23"/>
        <v>0</v>
      </c>
      <c r="BC16" s="10">
        <f t="shared" si="53"/>
        <v>54310.824000000001</v>
      </c>
      <c r="BD16" s="97">
        <f t="shared" si="24"/>
        <v>92.348347304230941</v>
      </c>
      <c r="BE16" s="97">
        <f t="shared" si="54"/>
        <v>385204.54800000001</v>
      </c>
      <c r="BF16" s="97">
        <f t="shared" si="25"/>
        <v>91.697455255217193</v>
      </c>
      <c r="BG16" s="105">
        <v>0</v>
      </c>
      <c r="BH16" s="97">
        <f t="shared" si="26"/>
        <v>0</v>
      </c>
      <c r="BI16" s="97">
        <f t="shared" si="55"/>
        <v>0</v>
      </c>
      <c r="BJ16" s="97">
        <f t="shared" si="27"/>
        <v>0</v>
      </c>
      <c r="BK16" s="106"/>
      <c r="BL16" s="97">
        <f t="shared" si="28"/>
        <v>0</v>
      </c>
      <c r="BM16" s="97">
        <f t="shared" si="56"/>
        <v>0</v>
      </c>
      <c r="BN16" s="97">
        <f t="shared" si="29"/>
        <v>0</v>
      </c>
      <c r="BO16" s="106"/>
      <c r="BP16" s="98">
        <f t="shared" si="30"/>
        <v>0</v>
      </c>
      <c r="BQ16" s="97">
        <f t="shared" si="57"/>
        <v>0</v>
      </c>
      <c r="BR16" s="97">
        <f t="shared" si="31"/>
        <v>0</v>
      </c>
      <c r="BS16" s="97">
        <f t="shared" si="58"/>
        <v>0</v>
      </c>
      <c r="BT16" s="97">
        <f t="shared" si="32"/>
        <v>0</v>
      </c>
      <c r="BU16" s="97">
        <f t="shared" si="59"/>
        <v>0</v>
      </c>
      <c r="BV16" s="97">
        <f t="shared" si="33"/>
        <v>0</v>
      </c>
      <c r="BW16" s="106">
        <v>0</v>
      </c>
      <c r="BX16" s="97">
        <f t="shared" si="34"/>
        <v>0</v>
      </c>
      <c r="BY16" s="97">
        <f t="shared" si="60"/>
        <v>0</v>
      </c>
      <c r="BZ16" s="97">
        <f t="shared" si="35"/>
        <v>0</v>
      </c>
      <c r="CA16" s="97">
        <f t="shared" si="36"/>
        <v>58810.824000000001</v>
      </c>
      <c r="CB16" s="97">
        <f t="shared" si="61"/>
        <v>420082.04800000001</v>
      </c>
      <c r="CC16" s="97">
        <f t="shared" si="37"/>
        <v>0.97352795894719424</v>
      </c>
      <c r="CD16" s="97">
        <f t="shared" si="38"/>
        <v>1.0197354254864643</v>
      </c>
    </row>
    <row r="17" spans="1:91">
      <c r="A17" s="16">
        <f>+Chem!A16</f>
        <v>46120</v>
      </c>
      <c r="B17" s="6" t="str">
        <f>+Chem!B16</f>
        <v>Facial</v>
      </c>
      <c r="C17" s="16" t="str">
        <f>+Chem!C16</f>
        <v>12,5/13</v>
      </c>
      <c r="D17" s="8">
        <f>+Chem!D16</f>
        <v>62.326000000000008</v>
      </c>
      <c r="E17" s="7">
        <f>+Chem!E16</f>
        <v>59.228999999999999</v>
      </c>
      <c r="F17" s="7">
        <f t="shared" si="39"/>
        <v>471.18099999999998</v>
      </c>
      <c r="G17" s="105">
        <v>0</v>
      </c>
      <c r="H17" s="97">
        <f t="shared" si="0"/>
        <v>0</v>
      </c>
      <c r="I17" s="8">
        <f t="shared" si="40"/>
        <v>0</v>
      </c>
      <c r="J17" s="97">
        <f t="shared" si="1"/>
        <v>0</v>
      </c>
      <c r="K17" s="106"/>
      <c r="L17" s="97">
        <f t="shared" si="2"/>
        <v>0</v>
      </c>
      <c r="M17" s="97">
        <f t="shared" si="41"/>
        <v>0</v>
      </c>
      <c r="N17" s="97">
        <f t="shared" si="3"/>
        <v>0</v>
      </c>
      <c r="O17" s="105"/>
      <c r="P17" s="97">
        <f t="shared" si="4"/>
        <v>0</v>
      </c>
      <c r="Q17" s="97">
        <f t="shared" si="42"/>
        <v>0</v>
      </c>
      <c r="R17" s="97">
        <f t="shared" si="5"/>
        <v>0</v>
      </c>
      <c r="S17" s="106">
        <f>18.34*S7</f>
        <v>4585</v>
      </c>
      <c r="T17" s="97">
        <f t="shared" si="6"/>
        <v>7.675791187408235</v>
      </c>
      <c r="U17" s="97">
        <f t="shared" si="43"/>
        <v>39462.5</v>
      </c>
      <c r="V17" s="97">
        <f t="shared" si="7"/>
        <v>8.2245188244349947</v>
      </c>
      <c r="W17" s="105"/>
      <c r="X17" s="97">
        <f t="shared" si="8"/>
        <v>0</v>
      </c>
      <c r="Y17" s="97">
        <f t="shared" si="44"/>
        <v>0</v>
      </c>
      <c r="Z17" s="97">
        <f t="shared" si="9"/>
        <v>0</v>
      </c>
      <c r="AA17" s="105">
        <v>0</v>
      </c>
      <c r="AB17" s="97">
        <f t="shared" si="10"/>
        <v>0</v>
      </c>
      <c r="AC17" s="97">
        <f t="shared" si="45"/>
        <v>0</v>
      </c>
      <c r="AD17" s="97">
        <f t="shared" si="11"/>
        <v>0</v>
      </c>
      <c r="AE17" s="10">
        <f t="shared" si="46"/>
        <v>4585</v>
      </c>
      <c r="AF17" s="97">
        <f t="shared" si="12"/>
        <v>7.675791187408235</v>
      </c>
      <c r="AG17" s="97">
        <f t="shared" si="47"/>
        <v>39462.5</v>
      </c>
      <c r="AH17" s="97">
        <f t="shared" si="13"/>
        <v>8.2245188244349947</v>
      </c>
      <c r="AI17" s="106">
        <f>142*AI7</f>
        <v>35704.337999999996</v>
      </c>
      <c r="AJ17" s="97">
        <f t="shared" si="14"/>
        <v>59.772964661427466</v>
      </c>
      <c r="AK17" s="97">
        <f t="shared" si="48"/>
        <v>420908.886</v>
      </c>
      <c r="AL17" s="97">
        <f t="shared" si="15"/>
        <v>87.723105638998121</v>
      </c>
      <c r="AM17" s="106"/>
      <c r="AN17" s="97">
        <f t="shared" si="16"/>
        <v>0</v>
      </c>
      <c r="AO17" s="97">
        <f t="shared" si="49"/>
        <v>0</v>
      </c>
      <c r="AP17" s="97">
        <f t="shared" si="17"/>
        <v>0</v>
      </c>
      <c r="AQ17" s="106"/>
      <c r="AR17" s="97">
        <f t="shared" si="18"/>
        <v>0</v>
      </c>
      <c r="AS17" s="97">
        <f t="shared" si="50"/>
        <v>0</v>
      </c>
      <c r="AT17" s="97">
        <f t="shared" si="19"/>
        <v>0</v>
      </c>
      <c r="AU17" s="106"/>
      <c r="AV17" s="97">
        <f t="shared" si="20"/>
        <v>0</v>
      </c>
      <c r="AW17" s="97">
        <f t="shared" si="51"/>
        <v>0</v>
      </c>
      <c r="AX17" s="97">
        <f t="shared" si="21"/>
        <v>0</v>
      </c>
      <c r="AY17" s="106"/>
      <c r="AZ17" s="97">
        <f t="shared" si="22"/>
        <v>0</v>
      </c>
      <c r="BA17" s="97">
        <f t="shared" si="52"/>
        <v>0</v>
      </c>
      <c r="BB17" s="97">
        <f t="shared" si="23"/>
        <v>0</v>
      </c>
      <c r="BC17" s="10">
        <f t="shared" si="53"/>
        <v>35704.337999999996</v>
      </c>
      <c r="BD17" s="97">
        <f t="shared" si="24"/>
        <v>59.772964661427466</v>
      </c>
      <c r="BE17" s="97">
        <f t="shared" si="54"/>
        <v>420908.886</v>
      </c>
      <c r="BF17" s="97">
        <f t="shared" si="25"/>
        <v>87.723105638998121</v>
      </c>
      <c r="BG17" s="106">
        <f>78*BG7</f>
        <v>19443.918000000001</v>
      </c>
      <c r="BH17" s="97">
        <f t="shared" si="26"/>
        <v>32.551244151164312</v>
      </c>
      <c r="BI17" s="97">
        <f t="shared" si="55"/>
        <v>19443.918000000001</v>
      </c>
      <c r="BJ17" s="97">
        <f t="shared" si="27"/>
        <v>4.0523755365668785</v>
      </c>
      <c r="BK17" s="106"/>
      <c r="BL17" s="97">
        <f t="shared" si="28"/>
        <v>0</v>
      </c>
      <c r="BM17" s="97">
        <f t="shared" si="56"/>
        <v>0</v>
      </c>
      <c r="BN17" s="97">
        <f t="shared" si="29"/>
        <v>0</v>
      </c>
      <c r="BO17" s="106"/>
      <c r="BP17" s="98">
        <f t="shared" si="30"/>
        <v>0</v>
      </c>
      <c r="BQ17" s="97">
        <f t="shared" si="57"/>
        <v>0</v>
      </c>
      <c r="BR17" s="97">
        <f t="shared" si="31"/>
        <v>0</v>
      </c>
      <c r="BS17" s="97">
        <f t="shared" si="58"/>
        <v>19443.918000000001</v>
      </c>
      <c r="BT17" s="97">
        <f t="shared" si="32"/>
        <v>32.551244151164312</v>
      </c>
      <c r="BU17" s="97">
        <f t="shared" si="59"/>
        <v>19443.918000000001</v>
      </c>
      <c r="BV17" s="97">
        <f t="shared" si="33"/>
        <v>4.0523755365668785</v>
      </c>
      <c r="BW17" s="106">
        <v>0</v>
      </c>
      <c r="BX17" s="97">
        <f t="shared" si="34"/>
        <v>0</v>
      </c>
      <c r="BY17" s="97">
        <f t="shared" si="60"/>
        <v>0</v>
      </c>
      <c r="BZ17" s="97">
        <f t="shared" si="35"/>
        <v>0</v>
      </c>
      <c r="CA17" s="97">
        <f t="shared" si="36"/>
        <v>59733.255999999994</v>
      </c>
      <c r="CB17" s="97">
        <f t="shared" si="61"/>
        <v>479815.304</v>
      </c>
      <c r="CC17" s="97">
        <f t="shared" si="37"/>
        <v>1.0085136672913606</v>
      </c>
      <c r="CD17" s="97">
        <f t="shared" si="38"/>
        <v>1.0183248136066607</v>
      </c>
    </row>
    <row r="18" spans="1:91">
      <c r="A18" s="16">
        <f>+Chem!A17</f>
        <v>46121</v>
      </c>
      <c r="B18" s="6" t="str">
        <f>+Chem!B17</f>
        <v>Facial</v>
      </c>
      <c r="C18" s="16" t="str">
        <f>+Chem!C17</f>
        <v>13</v>
      </c>
      <c r="D18" s="8">
        <f>+Chem!D17</f>
        <v>62.637000000000008</v>
      </c>
      <c r="E18" s="7">
        <f>+Chem!E17</f>
        <v>61.509</v>
      </c>
      <c r="F18" s="7">
        <f t="shared" si="39"/>
        <v>532.68999999999994</v>
      </c>
      <c r="G18" s="105">
        <v>0</v>
      </c>
      <c r="H18" s="10">
        <f t="shared" si="0"/>
        <v>0</v>
      </c>
      <c r="I18" s="8">
        <f t="shared" si="40"/>
        <v>0</v>
      </c>
      <c r="J18" s="10">
        <f t="shared" si="1"/>
        <v>0</v>
      </c>
      <c r="K18" s="105"/>
      <c r="L18" s="10">
        <f t="shared" si="2"/>
        <v>0</v>
      </c>
      <c r="M18" s="10">
        <f t="shared" si="41"/>
        <v>0</v>
      </c>
      <c r="N18" s="10">
        <f t="shared" si="3"/>
        <v>0</v>
      </c>
      <c r="O18" s="105"/>
      <c r="P18" s="10">
        <f t="shared" si="4"/>
        <v>0</v>
      </c>
      <c r="Q18" s="10">
        <f t="shared" si="42"/>
        <v>0</v>
      </c>
      <c r="R18" s="10">
        <f t="shared" si="5"/>
        <v>0</v>
      </c>
      <c r="S18" s="105">
        <f>27.34*S7</f>
        <v>6835</v>
      </c>
      <c r="T18" s="10">
        <f t="shared" si="6"/>
        <v>10.488139977554921</v>
      </c>
      <c r="U18" s="10">
        <f t="shared" si="43"/>
        <v>46297.5</v>
      </c>
      <c r="V18" s="10">
        <f t="shared" si="7"/>
        <v>8.4952011595375723</v>
      </c>
      <c r="W18" s="105"/>
      <c r="X18" s="10">
        <f t="shared" si="8"/>
        <v>0</v>
      </c>
      <c r="Y18" s="10">
        <f t="shared" si="44"/>
        <v>0</v>
      </c>
      <c r="Z18" s="10">
        <f t="shared" si="9"/>
        <v>0</v>
      </c>
      <c r="AA18" s="105">
        <v>0</v>
      </c>
      <c r="AB18" s="10">
        <f t="shared" si="10"/>
        <v>0</v>
      </c>
      <c r="AC18" s="10">
        <f t="shared" si="45"/>
        <v>0</v>
      </c>
      <c r="AD18" s="10">
        <f t="shared" si="11"/>
        <v>0</v>
      </c>
      <c r="AE18" s="10">
        <f t="shared" si="46"/>
        <v>6835</v>
      </c>
      <c r="AF18" s="10">
        <f t="shared" si="12"/>
        <v>10.488139977554921</v>
      </c>
      <c r="AG18" s="10">
        <f t="shared" si="47"/>
        <v>46297.5</v>
      </c>
      <c r="AH18" s="10">
        <f t="shared" si="13"/>
        <v>8.4952011595375723</v>
      </c>
      <c r="AI18" s="105">
        <f>232*AI7</f>
        <v>58333.847999999998</v>
      </c>
      <c r="AJ18" s="10">
        <f t="shared" si="14"/>
        <v>89.511860022445077</v>
      </c>
      <c r="AK18" s="10">
        <f t="shared" si="48"/>
        <v>479242.734</v>
      </c>
      <c r="AL18" s="10">
        <f t="shared" si="15"/>
        <v>87.937003716761282</v>
      </c>
      <c r="AM18" s="105"/>
      <c r="AN18" s="10">
        <f t="shared" si="16"/>
        <v>0</v>
      </c>
      <c r="AO18" s="10">
        <f t="shared" si="49"/>
        <v>0</v>
      </c>
      <c r="AP18" s="10">
        <f t="shared" si="17"/>
        <v>0</v>
      </c>
      <c r="AQ18" s="105"/>
      <c r="AR18" s="10">
        <f t="shared" si="18"/>
        <v>0</v>
      </c>
      <c r="AS18" s="10">
        <f t="shared" si="50"/>
        <v>0</v>
      </c>
      <c r="AT18" s="10">
        <f t="shared" si="19"/>
        <v>0</v>
      </c>
      <c r="AU18" s="105"/>
      <c r="AV18" s="10">
        <f t="shared" si="20"/>
        <v>0</v>
      </c>
      <c r="AW18" s="10">
        <f t="shared" si="51"/>
        <v>0</v>
      </c>
      <c r="AX18" s="10">
        <f t="shared" si="21"/>
        <v>0</v>
      </c>
      <c r="AY18" s="105"/>
      <c r="AZ18" s="10">
        <f t="shared" si="22"/>
        <v>0</v>
      </c>
      <c r="BA18" s="10">
        <f t="shared" si="52"/>
        <v>0</v>
      </c>
      <c r="BB18" s="10">
        <f t="shared" si="23"/>
        <v>0</v>
      </c>
      <c r="BC18" s="10">
        <f t="shared" si="53"/>
        <v>58333.847999999998</v>
      </c>
      <c r="BD18" s="10">
        <f t="shared" si="24"/>
        <v>89.511860022445077</v>
      </c>
      <c r="BE18" s="10">
        <f t="shared" si="54"/>
        <v>479242.734</v>
      </c>
      <c r="BF18" s="10">
        <f t="shared" si="25"/>
        <v>87.937003716761282</v>
      </c>
      <c r="BG18" s="105">
        <v>0</v>
      </c>
      <c r="BH18" s="10">
        <f t="shared" si="26"/>
        <v>0</v>
      </c>
      <c r="BI18" s="10">
        <f t="shared" si="55"/>
        <v>19443.918000000001</v>
      </c>
      <c r="BJ18" s="10">
        <f t="shared" si="27"/>
        <v>3.5677951237011389</v>
      </c>
      <c r="BK18" s="105"/>
      <c r="BL18" s="10">
        <f t="shared" si="28"/>
        <v>0</v>
      </c>
      <c r="BM18" s="10">
        <f t="shared" si="56"/>
        <v>0</v>
      </c>
      <c r="BN18" s="10">
        <f t="shared" si="29"/>
        <v>0</v>
      </c>
      <c r="BO18" s="105"/>
      <c r="BP18" s="15">
        <f t="shared" si="30"/>
        <v>0</v>
      </c>
      <c r="BQ18" s="10">
        <f t="shared" si="57"/>
        <v>0</v>
      </c>
      <c r="BR18" s="10">
        <f t="shared" si="31"/>
        <v>0</v>
      </c>
      <c r="BS18" s="10">
        <f t="shared" si="58"/>
        <v>0</v>
      </c>
      <c r="BT18" s="10">
        <f t="shared" si="32"/>
        <v>0</v>
      </c>
      <c r="BU18" s="10">
        <f t="shared" si="59"/>
        <v>19443.918000000001</v>
      </c>
      <c r="BV18" s="10">
        <f t="shared" si="33"/>
        <v>3.5677951237011389</v>
      </c>
      <c r="BW18" s="105">
        <v>0</v>
      </c>
      <c r="BX18" s="10">
        <f t="shared" si="34"/>
        <v>0</v>
      </c>
      <c r="BY18" s="10">
        <f t="shared" si="60"/>
        <v>0</v>
      </c>
      <c r="BZ18" s="10">
        <f t="shared" si="35"/>
        <v>0</v>
      </c>
      <c r="CA18" s="10">
        <f t="shared" si="36"/>
        <v>65168.847999999998</v>
      </c>
      <c r="CB18" s="10">
        <f t="shared" si="61"/>
        <v>544984.152</v>
      </c>
      <c r="CC18" s="10">
        <f t="shared" si="37"/>
        <v>1.0595010161114633</v>
      </c>
      <c r="CD18" s="10">
        <f t="shared" si="38"/>
        <v>1.0230793744954854</v>
      </c>
    </row>
    <row r="19" spans="1:91">
      <c r="A19" s="16">
        <f>+Chem!A18</f>
        <v>46122</v>
      </c>
      <c r="B19" s="6" t="str">
        <f>+Chem!B18</f>
        <v>Facial/MG</v>
      </c>
      <c r="C19" s="16" t="str">
        <f>+Chem!C18</f>
        <v>13/14/17</v>
      </c>
      <c r="D19" s="8">
        <f>+Chem!D18</f>
        <v>77.078000000000003</v>
      </c>
      <c r="E19" s="7">
        <f>+Chem!E18</f>
        <v>65.072000000000003</v>
      </c>
      <c r="F19" s="7">
        <f t="shared" si="39"/>
        <v>597.76199999999994</v>
      </c>
      <c r="G19" s="105">
        <f>76*G7</f>
        <v>19013.603999999999</v>
      </c>
      <c r="H19" s="10">
        <f t="shared" si="0"/>
        <v>24.545354134071594</v>
      </c>
      <c r="I19" s="8">
        <f t="shared" si="40"/>
        <v>19013.603999999999</v>
      </c>
      <c r="J19" s="10">
        <f t="shared" si="1"/>
        <v>3.0546528196041653</v>
      </c>
      <c r="K19" s="105"/>
      <c r="L19" s="10">
        <f t="shared" si="2"/>
        <v>0</v>
      </c>
      <c r="M19" s="10">
        <f t="shared" si="41"/>
        <v>0</v>
      </c>
      <c r="N19" s="10">
        <f t="shared" si="3"/>
        <v>0</v>
      </c>
      <c r="O19" s="105"/>
      <c r="P19" s="10">
        <f t="shared" si="4"/>
        <v>0</v>
      </c>
      <c r="Q19" s="10">
        <f t="shared" si="42"/>
        <v>0</v>
      </c>
      <c r="R19" s="10">
        <f t="shared" si="5"/>
        <v>0</v>
      </c>
      <c r="S19" s="105">
        <f>36.67*S7</f>
        <v>9167.5</v>
      </c>
      <c r="T19" s="10">
        <f t="shared" si="6"/>
        <v>11.834659753306179</v>
      </c>
      <c r="U19" s="10">
        <f t="shared" si="43"/>
        <v>55465</v>
      </c>
      <c r="V19" s="10">
        <f t="shared" si="7"/>
        <v>8.9107945363406653</v>
      </c>
      <c r="W19" s="105"/>
      <c r="X19" s="10">
        <f t="shared" si="8"/>
        <v>0</v>
      </c>
      <c r="Y19" s="10">
        <f t="shared" si="44"/>
        <v>0</v>
      </c>
      <c r="Z19" s="10">
        <f t="shared" si="9"/>
        <v>0</v>
      </c>
      <c r="AA19" s="105">
        <v>0</v>
      </c>
      <c r="AB19" s="10">
        <f t="shared" si="10"/>
        <v>0</v>
      </c>
      <c r="AC19" s="10">
        <f t="shared" si="45"/>
        <v>0</v>
      </c>
      <c r="AD19" s="10">
        <f t="shared" si="11"/>
        <v>0</v>
      </c>
      <c r="AE19" s="10">
        <f t="shared" si="46"/>
        <v>28181.103999999999</v>
      </c>
      <c r="AF19" s="10">
        <f t="shared" si="12"/>
        <v>36.380013887377778</v>
      </c>
      <c r="AG19" s="10">
        <f t="shared" si="47"/>
        <v>74478.603999999992</v>
      </c>
      <c r="AH19" s="10">
        <f t="shared" si="13"/>
        <v>11.96544735594483</v>
      </c>
      <c r="AI19" s="105">
        <f>196*AI7</f>
        <v>49282.044000000002</v>
      </c>
      <c r="AJ19" s="10">
        <f t="shared" si="14"/>
        <v>63.619986112622229</v>
      </c>
      <c r="AK19" s="10">
        <f t="shared" si="48"/>
        <v>528524.77800000005</v>
      </c>
      <c r="AL19" s="10">
        <f t="shared" si="15"/>
        <v>84.910767224791556</v>
      </c>
      <c r="AM19" s="105"/>
      <c r="AN19" s="10">
        <f t="shared" si="16"/>
        <v>0</v>
      </c>
      <c r="AO19" s="10">
        <f t="shared" si="49"/>
        <v>0</v>
      </c>
      <c r="AP19" s="10">
        <f t="shared" si="17"/>
        <v>0</v>
      </c>
      <c r="AQ19" s="105"/>
      <c r="AR19" s="10">
        <f t="shared" si="18"/>
        <v>0</v>
      </c>
      <c r="AS19" s="10">
        <f t="shared" si="50"/>
        <v>0</v>
      </c>
      <c r="AT19" s="10">
        <f t="shared" si="19"/>
        <v>0</v>
      </c>
      <c r="AU19" s="105"/>
      <c r="AV19" s="10">
        <f t="shared" si="20"/>
        <v>0</v>
      </c>
      <c r="AW19" s="10">
        <f t="shared" si="51"/>
        <v>0</v>
      </c>
      <c r="AX19" s="10">
        <f t="shared" si="21"/>
        <v>0</v>
      </c>
      <c r="AY19" s="105"/>
      <c r="AZ19" s="10">
        <f t="shared" si="22"/>
        <v>0</v>
      </c>
      <c r="BA19" s="10">
        <f t="shared" si="52"/>
        <v>0</v>
      </c>
      <c r="BB19" s="10">
        <f t="shared" si="23"/>
        <v>0</v>
      </c>
      <c r="BC19" s="10">
        <f t="shared" si="53"/>
        <v>49282.044000000002</v>
      </c>
      <c r="BD19" s="10">
        <f t="shared" si="24"/>
        <v>63.619986112622229</v>
      </c>
      <c r="BE19" s="10">
        <f t="shared" si="54"/>
        <v>528524.77800000005</v>
      </c>
      <c r="BF19" s="10">
        <f t="shared" si="25"/>
        <v>84.910767224791556</v>
      </c>
      <c r="BG19" s="105">
        <v>0</v>
      </c>
      <c r="BH19" s="10">
        <f t="shared" si="26"/>
        <v>0</v>
      </c>
      <c r="BI19" s="10">
        <f t="shared" si="55"/>
        <v>19443.918000000001</v>
      </c>
      <c r="BJ19" s="10">
        <f t="shared" si="27"/>
        <v>3.1237854192636068</v>
      </c>
      <c r="BK19" s="105"/>
      <c r="BL19" s="10">
        <f t="shared" si="28"/>
        <v>0</v>
      </c>
      <c r="BM19" s="10">
        <f t="shared" si="56"/>
        <v>0</v>
      </c>
      <c r="BN19" s="10">
        <f t="shared" si="29"/>
        <v>0</v>
      </c>
      <c r="BO19" s="105"/>
      <c r="BP19" s="15">
        <f t="shared" si="30"/>
        <v>0</v>
      </c>
      <c r="BQ19" s="10">
        <f t="shared" si="57"/>
        <v>0</v>
      </c>
      <c r="BR19" s="10">
        <f t="shared" si="31"/>
        <v>0</v>
      </c>
      <c r="BS19" s="10">
        <f t="shared" si="58"/>
        <v>0</v>
      </c>
      <c r="BT19" s="10">
        <f t="shared" si="32"/>
        <v>0</v>
      </c>
      <c r="BU19" s="10">
        <f t="shared" si="59"/>
        <v>19443.918000000001</v>
      </c>
      <c r="BV19" s="10">
        <f t="shared" si="33"/>
        <v>3.1237854192636068</v>
      </c>
      <c r="BW19" s="105"/>
      <c r="BX19" s="10">
        <f t="shared" si="34"/>
        <v>0</v>
      </c>
      <c r="BY19" s="10">
        <f t="shared" si="60"/>
        <v>0</v>
      </c>
      <c r="BZ19" s="10">
        <f t="shared" si="35"/>
        <v>0</v>
      </c>
      <c r="CA19" s="10">
        <f t="shared" si="36"/>
        <v>77463.148000000001</v>
      </c>
      <c r="CB19" s="10">
        <f t="shared" si="61"/>
        <v>622447.30000000005</v>
      </c>
      <c r="CC19" s="10">
        <f t="shared" si="37"/>
        <v>1.190422117039587</v>
      </c>
      <c r="CD19" s="10">
        <f t="shared" si="38"/>
        <v>1.0412962014982554</v>
      </c>
    </row>
    <row r="20" spans="1:91">
      <c r="A20" s="16">
        <f>+Chem!A19</f>
        <v>46123</v>
      </c>
      <c r="B20" s="6" t="str">
        <f>+Chem!B19</f>
        <v>MG</v>
      </c>
      <c r="C20" s="16" t="str">
        <f>+Chem!C19</f>
        <v>17</v>
      </c>
      <c r="D20" s="8">
        <f>+Chem!D19</f>
        <v>82.43</v>
      </c>
      <c r="E20" s="7">
        <f>+Chem!E19</f>
        <v>80.748000000000005</v>
      </c>
      <c r="F20" s="7">
        <f t="shared" si="39"/>
        <v>678.51</v>
      </c>
      <c r="G20" s="105">
        <f>112*G7</f>
        <v>28020.047999999999</v>
      </c>
      <c r="H20" s="10">
        <f t="shared" si="0"/>
        <v>33.622728291814255</v>
      </c>
      <c r="I20" s="8">
        <f t="shared" si="40"/>
        <v>47033.652000000002</v>
      </c>
      <c r="J20" s="10">
        <f t="shared" si="1"/>
        <v>6.664029901230621</v>
      </c>
      <c r="K20" s="105"/>
      <c r="L20" s="10">
        <f t="shared" si="2"/>
        <v>0</v>
      </c>
      <c r="M20" s="10">
        <f t="shared" si="41"/>
        <v>0</v>
      </c>
      <c r="N20" s="10">
        <f t="shared" si="3"/>
        <v>0</v>
      </c>
      <c r="O20" s="105"/>
      <c r="P20" s="10">
        <f t="shared" si="4"/>
        <v>0</v>
      </c>
      <c r="Q20" s="10">
        <f t="shared" si="42"/>
        <v>0</v>
      </c>
      <c r="R20" s="10">
        <f t="shared" si="5"/>
        <v>0</v>
      </c>
      <c r="S20" s="105">
        <v>0</v>
      </c>
      <c r="T20" s="10">
        <f t="shared" si="6"/>
        <v>0</v>
      </c>
      <c r="U20" s="10">
        <f t="shared" si="43"/>
        <v>55465</v>
      </c>
      <c r="V20" s="10">
        <f t="shared" si="7"/>
        <v>7.8586374383974356</v>
      </c>
      <c r="W20" s="105"/>
      <c r="X20" s="10">
        <f t="shared" si="8"/>
        <v>0</v>
      </c>
      <c r="Y20" s="10">
        <f t="shared" si="44"/>
        <v>0</v>
      </c>
      <c r="Z20" s="10">
        <f t="shared" si="9"/>
        <v>0</v>
      </c>
      <c r="AA20" s="105">
        <v>0</v>
      </c>
      <c r="AB20" s="10">
        <f t="shared" si="10"/>
        <v>0</v>
      </c>
      <c r="AC20" s="10">
        <f t="shared" si="45"/>
        <v>0</v>
      </c>
      <c r="AD20" s="10">
        <f t="shared" si="11"/>
        <v>0</v>
      </c>
      <c r="AE20" s="10">
        <f t="shared" si="46"/>
        <v>28020.047999999999</v>
      </c>
      <c r="AF20" s="10">
        <f t="shared" si="12"/>
        <v>33.622728291814255</v>
      </c>
      <c r="AG20" s="10">
        <f t="shared" si="47"/>
        <v>102498.65199999999</v>
      </c>
      <c r="AH20" s="10">
        <f t="shared" si="13"/>
        <v>14.522667339628054</v>
      </c>
      <c r="AI20" s="105">
        <f>220*AI7</f>
        <v>55316.58</v>
      </c>
      <c r="AJ20" s="10">
        <f t="shared" si="14"/>
        <v>66.377271708185745</v>
      </c>
      <c r="AK20" s="10">
        <f t="shared" si="48"/>
        <v>583841.35800000001</v>
      </c>
      <c r="AL20" s="10">
        <f t="shared" si="15"/>
        <v>82.722393474508237</v>
      </c>
      <c r="AM20" s="105"/>
      <c r="AN20" s="10">
        <f t="shared" si="16"/>
        <v>0</v>
      </c>
      <c r="AO20" s="10">
        <f t="shared" si="49"/>
        <v>0</v>
      </c>
      <c r="AP20" s="10">
        <f t="shared" si="17"/>
        <v>0</v>
      </c>
      <c r="AQ20" s="105"/>
      <c r="AR20" s="10">
        <f t="shared" si="18"/>
        <v>0</v>
      </c>
      <c r="AS20" s="10">
        <f t="shared" si="50"/>
        <v>0</v>
      </c>
      <c r="AT20" s="10">
        <f t="shared" si="19"/>
        <v>0</v>
      </c>
      <c r="AU20" s="105"/>
      <c r="AV20" s="10">
        <f t="shared" si="20"/>
        <v>0</v>
      </c>
      <c r="AW20" s="10">
        <f t="shared" si="51"/>
        <v>0</v>
      </c>
      <c r="AX20" s="10">
        <f t="shared" si="21"/>
        <v>0</v>
      </c>
      <c r="AY20" s="105"/>
      <c r="AZ20" s="10">
        <f t="shared" si="22"/>
        <v>0</v>
      </c>
      <c r="BA20" s="10">
        <f t="shared" si="52"/>
        <v>0</v>
      </c>
      <c r="BB20" s="10">
        <f t="shared" si="23"/>
        <v>0</v>
      </c>
      <c r="BC20" s="10">
        <f t="shared" si="53"/>
        <v>55316.58</v>
      </c>
      <c r="BD20" s="10">
        <f t="shared" si="24"/>
        <v>66.377271708185745</v>
      </c>
      <c r="BE20" s="10">
        <f t="shared" si="54"/>
        <v>583841.35800000001</v>
      </c>
      <c r="BF20" s="10">
        <f t="shared" si="25"/>
        <v>82.722393474508237</v>
      </c>
      <c r="BG20" s="105"/>
      <c r="BH20" s="10">
        <f t="shared" si="26"/>
        <v>0</v>
      </c>
      <c r="BI20" s="10">
        <f t="shared" si="55"/>
        <v>19443.918000000001</v>
      </c>
      <c r="BJ20" s="10">
        <f t="shared" si="27"/>
        <v>2.754939185863694</v>
      </c>
      <c r="BK20" s="105"/>
      <c r="BL20" s="10">
        <f t="shared" si="28"/>
        <v>0</v>
      </c>
      <c r="BM20" s="10">
        <f t="shared" si="56"/>
        <v>0</v>
      </c>
      <c r="BN20" s="10">
        <f t="shared" si="29"/>
        <v>0</v>
      </c>
      <c r="BO20" s="105"/>
      <c r="BP20" s="15">
        <f t="shared" si="30"/>
        <v>0</v>
      </c>
      <c r="BQ20" s="10">
        <f t="shared" si="57"/>
        <v>0</v>
      </c>
      <c r="BR20" s="10">
        <f t="shared" si="31"/>
        <v>0</v>
      </c>
      <c r="BS20" s="10">
        <f t="shared" si="58"/>
        <v>0</v>
      </c>
      <c r="BT20" s="10">
        <f t="shared" si="32"/>
        <v>0</v>
      </c>
      <c r="BU20" s="10">
        <f t="shared" si="59"/>
        <v>19443.918000000001</v>
      </c>
      <c r="BV20" s="10">
        <f t="shared" si="33"/>
        <v>2.754939185863694</v>
      </c>
      <c r="BW20" s="105"/>
      <c r="BX20" s="10">
        <f t="shared" si="34"/>
        <v>0</v>
      </c>
      <c r="BY20" s="10">
        <f t="shared" si="60"/>
        <v>0</v>
      </c>
      <c r="BZ20" s="10">
        <f t="shared" si="35"/>
        <v>0</v>
      </c>
      <c r="CA20" s="10">
        <f t="shared" si="36"/>
        <v>83336.627999999997</v>
      </c>
      <c r="CB20" s="10">
        <f t="shared" si="61"/>
        <v>705783.92800000007</v>
      </c>
      <c r="CC20" s="10">
        <f t="shared" si="37"/>
        <v>1.0320581067023331</v>
      </c>
      <c r="CD20" s="10">
        <f t="shared" si="38"/>
        <v>1.040196795920473</v>
      </c>
    </row>
    <row r="21" spans="1:91">
      <c r="A21" s="16">
        <f>+Chem!A20</f>
        <v>46124</v>
      </c>
      <c r="B21" s="6" t="str">
        <f>+Chem!B20</f>
        <v>MG</v>
      </c>
      <c r="C21" s="16" t="str">
        <f>+Chem!C20</f>
        <v>17/16</v>
      </c>
      <c r="D21" s="8">
        <f>+Chem!D20</f>
        <v>82.275000000000006</v>
      </c>
      <c r="E21" s="7">
        <f>+Chem!E20</f>
        <v>89.156000000000006</v>
      </c>
      <c r="F21" s="7">
        <f t="shared" si="39"/>
        <v>767.66599999999994</v>
      </c>
      <c r="G21" s="105">
        <f>16*G7</f>
        <v>4002.864</v>
      </c>
      <c r="H21" s="10">
        <f t="shared" si="0"/>
        <v>4.803905661192533</v>
      </c>
      <c r="I21" s="8">
        <f t="shared" si="40"/>
        <v>51036.516000000003</v>
      </c>
      <c r="J21" s="10">
        <f t="shared" si="1"/>
        <v>6.4676119169160096</v>
      </c>
      <c r="K21" s="105"/>
      <c r="L21" s="10">
        <f t="shared" si="2"/>
        <v>0</v>
      </c>
      <c r="M21" s="10">
        <f t="shared" si="41"/>
        <v>0</v>
      </c>
      <c r="N21" s="10">
        <f t="shared" si="3"/>
        <v>0</v>
      </c>
      <c r="O21" s="105"/>
      <c r="P21" s="10">
        <f t="shared" si="4"/>
        <v>0</v>
      </c>
      <c r="Q21" s="10">
        <f t="shared" si="42"/>
        <v>0</v>
      </c>
      <c r="R21" s="10">
        <f t="shared" si="5"/>
        <v>0</v>
      </c>
      <c r="S21" s="105">
        <f>92*S7</f>
        <v>23000</v>
      </c>
      <c r="T21" s="10">
        <f t="shared" si="6"/>
        <v>27.602694022936642</v>
      </c>
      <c r="U21" s="10">
        <f t="shared" si="43"/>
        <v>78465</v>
      </c>
      <c r="V21" s="10">
        <f t="shared" si="7"/>
        <v>9.9434916180566599</v>
      </c>
      <c r="W21" s="105"/>
      <c r="X21" s="10">
        <f t="shared" si="8"/>
        <v>0</v>
      </c>
      <c r="Y21" s="10">
        <f t="shared" si="44"/>
        <v>0</v>
      </c>
      <c r="Z21" s="10">
        <f t="shared" si="9"/>
        <v>0</v>
      </c>
      <c r="AA21" s="105">
        <v>0</v>
      </c>
      <c r="AB21" s="10">
        <f t="shared" si="10"/>
        <v>0</v>
      </c>
      <c r="AC21" s="10">
        <f t="shared" si="45"/>
        <v>0</v>
      </c>
      <c r="AD21" s="10">
        <f t="shared" si="11"/>
        <v>0</v>
      </c>
      <c r="AE21" s="10">
        <f t="shared" si="46"/>
        <v>27002.864000000001</v>
      </c>
      <c r="AF21" s="10">
        <f t="shared" si="12"/>
        <v>32.406599684129169</v>
      </c>
      <c r="AG21" s="10">
        <f t="shared" si="47"/>
        <v>129501.51599999999</v>
      </c>
      <c r="AH21" s="10">
        <f t="shared" si="13"/>
        <v>16.411103534972664</v>
      </c>
      <c r="AI21" s="105">
        <f>224*AI7</f>
        <v>56322.335999999996</v>
      </c>
      <c r="AJ21" s="10">
        <f t="shared" si="14"/>
        <v>67.593400315870824</v>
      </c>
      <c r="AK21" s="10">
        <f t="shared" si="48"/>
        <v>640163.69400000002</v>
      </c>
      <c r="AL21" s="10">
        <f t="shared" si="15"/>
        <v>81.124862365044137</v>
      </c>
      <c r="AM21" s="105"/>
      <c r="AN21" s="10">
        <f t="shared" si="16"/>
        <v>0</v>
      </c>
      <c r="AO21" s="10">
        <f t="shared" si="49"/>
        <v>0</v>
      </c>
      <c r="AP21" s="10">
        <f t="shared" si="17"/>
        <v>0</v>
      </c>
      <c r="AQ21" s="105"/>
      <c r="AR21" s="10">
        <f t="shared" si="18"/>
        <v>0</v>
      </c>
      <c r="AS21" s="10">
        <f t="shared" si="50"/>
        <v>0</v>
      </c>
      <c r="AT21" s="10">
        <f t="shared" si="19"/>
        <v>0</v>
      </c>
      <c r="AU21" s="105"/>
      <c r="AV21" s="10">
        <f t="shared" si="20"/>
        <v>0</v>
      </c>
      <c r="AW21" s="10">
        <f t="shared" si="51"/>
        <v>0</v>
      </c>
      <c r="AX21" s="10">
        <f t="shared" si="21"/>
        <v>0</v>
      </c>
      <c r="AY21" s="105"/>
      <c r="AZ21" s="10">
        <f t="shared" si="22"/>
        <v>0</v>
      </c>
      <c r="BA21" s="10">
        <f t="shared" si="52"/>
        <v>0</v>
      </c>
      <c r="BB21" s="10">
        <f t="shared" si="23"/>
        <v>0</v>
      </c>
      <c r="BC21" s="10">
        <f t="shared" si="53"/>
        <v>56322.335999999996</v>
      </c>
      <c r="BD21" s="10">
        <f t="shared" si="24"/>
        <v>67.593400315870824</v>
      </c>
      <c r="BE21" s="10">
        <f t="shared" si="54"/>
        <v>640163.69400000002</v>
      </c>
      <c r="BF21" s="10">
        <f t="shared" si="25"/>
        <v>81.124862365044137</v>
      </c>
      <c r="BG21" s="105"/>
      <c r="BH21" s="10">
        <f t="shared" si="26"/>
        <v>0</v>
      </c>
      <c r="BI21" s="10">
        <f t="shared" si="55"/>
        <v>19443.918000000001</v>
      </c>
      <c r="BJ21" s="10">
        <f t="shared" si="27"/>
        <v>2.46403409998319</v>
      </c>
      <c r="BK21" s="105"/>
      <c r="BL21" s="10">
        <f t="shared" si="28"/>
        <v>0</v>
      </c>
      <c r="BM21" s="10">
        <f t="shared" si="56"/>
        <v>0</v>
      </c>
      <c r="BN21" s="10">
        <f t="shared" si="29"/>
        <v>0</v>
      </c>
      <c r="BO21" s="105"/>
      <c r="BP21" s="15">
        <f t="shared" si="30"/>
        <v>0</v>
      </c>
      <c r="BQ21" s="10">
        <f t="shared" si="57"/>
        <v>0</v>
      </c>
      <c r="BR21" s="10">
        <f t="shared" si="31"/>
        <v>0</v>
      </c>
      <c r="BS21" s="10">
        <f t="shared" si="58"/>
        <v>0</v>
      </c>
      <c r="BT21" s="10">
        <f t="shared" si="32"/>
        <v>0</v>
      </c>
      <c r="BU21" s="10">
        <f t="shared" si="59"/>
        <v>19443.918000000001</v>
      </c>
      <c r="BV21" s="10">
        <f t="shared" si="33"/>
        <v>2.46403409998319</v>
      </c>
      <c r="BW21" s="105"/>
      <c r="BX21" s="10">
        <f t="shared" si="34"/>
        <v>0</v>
      </c>
      <c r="BY21" s="10">
        <f t="shared" si="60"/>
        <v>0</v>
      </c>
      <c r="BZ21" s="10">
        <f t="shared" si="35"/>
        <v>0</v>
      </c>
      <c r="CA21" s="10">
        <f t="shared" si="36"/>
        <v>83325.2</v>
      </c>
      <c r="CB21" s="10">
        <f t="shared" si="61"/>
        <v>789109.12800000003</v>
      </c>
      <c r="CC21" s="10">
        <f t="shared" si="37"/>
        <v>0.93460002691910793</v>
      </c>
      <c r="CD21" s="10">
        <f t="shared" si="38"/>
        <v>1.0279328874797113</v>
      </c>
      <c r="CH21" s="13"/>
      <c r="CI21" s="13"/>
      <c r="CL21" s="13"/>
      <c r="CM21" s="13"/>
    </row>
    <row r="22" spans="1:91">
      <c r="A22" s="16">
        <f>+Chem!A21</f>
        <v>46125</v>
      </c>
      <c r="B22" s="6" t="str">
        <f>+Chem!B21</f>
        <v>MG</v>
      </c>
      <c r="C22" s="16" t="str">
        <f>+Chem!C21</f>
        <v>16</v>
      </c>
      <c r="D22" s="8">
        <f>+Chem!D21</f>
        <v>57.341000000000001</v>
      </c>
      <c r="E22" s="7">
        <f>+Chem!E21</f>
        <v>55.878</v>
      </c>
      <c r="F22" s="7">
        <f t="shared" si="39"/>
        <v>823.54399999999998</v>
      </c>
      <c r="G22" s="105">
        <f>30*G7</f>
        <v>7505.37</v>
      </c>
      <c r="H22" s="10">
        <f t="shared" si="0"/>
        <v>12.889213151727979</v>
      </c>
      <c r="I22" s="8">
        <f t="shared" si="40"/>
        <v>58541.886000000006</v>
      </c>
      <c r="J22" s="10">
        <f t="shared" si="1"/>
        <v>6.9089098039396006</v>
      </c>
      <c r="K22" s="105"/>
      <c r="L22" s="10">
        <f t="shared" si="2"/>
        <v>0</v>
      </c>
      <c r="M22" s="10">
        <f t="shared" si="41"/>
        <v>0</v>
      </c>
      <c r="N22" s="10">
        <f t="shared" si="3"/>
        <v>0</v>
      </c>
      <c r="O22" s="105"/>
      <c r="P22" s="10">
        <f t="shared" si="4"/>
        <v>0</v>
      </c>
      <c r="Q22" s="10">
        <f t="shared" si="42"/>
        <v>0</v>
      </c>
      <c r="R22" s="10">
        <f t="shared" si="5"/>
        <v>0</v>
      </c>
      <c r="S22" s="105">
        <f>46*S7</f>
        <v>11500</v>
      </c>
      <c r="T22" s="10">
        <f t="shared" si="6"/>
        <v>19.749319653111275</v>
      </c>
      <c r="U22" s="10">
        <f t="shared" si="43"/>
        <v>89965</v>
      </c>
      <c r="V22" s="10">
        <f t="shared" si="7"/>
        <v>10.617356443067552</v>
      </c>
      <c r="W22" s="105"/>
      <c r="X22" s="10">
        <f t="shared" si="8"/>
        <v>0</v>
      </c>
      <c r="Y22" s="10">
        <f t="shared" si="44"/>
        <v>0</v>
      </c>
      <c r="Z22" s="10">
        <f t="shared" si="9"/>
        <v>0</v>
      </c>
      <c r="AA22" s="105">
        <v>0</v>
      </c>
      <c r="AB22" s="10">
        <f t="shared" si="10"/>
        <v>0</v>
      </c>
      <c r="AC22" s="10">
        <f t="shared" si="45"/>
        <v>0</v>
      </c>
      <c r="AD22" s="10">
        <f t="shared" si="11"/>
        <v>0</v>
      </c>
      <c r="AE22" s="10">
        <f t="shared" si="46"/>
        <v>19005.37</v>
      </c>
      <c r="AF22" s="10">
        <f t="shared" si="12"/>
        <v>32.638532804839251</v>
      </c>
      <c r="AG22" s="10">
        <f t="shared" si="47"/>
        <v>148506.886</v>
      </c>
      <c r="AH22" s="10">
        <f t="shared" si="13"/>
        <v>17.52626624700715</v>
      </c>
      <c r="AI22" s="105">
        <f>156*AI7</f>
        <v>39224.483999999997</v>
      </c>
      <c r="AJ22" s="10">
        <f t="shared" si="14"/>
        <v>67.361467195160756</v>
      </c>
      <c r="AK22" s="10">
        <f t="shared" si="48"/>
        <v>679388.17800000007</v>
      </c>
      <c r="AL22" s="10">
        <f t="shared" si="15"/>
        <v>80.179030167645465</v>
      </c>
      <c r="AM22" s="105"/>
      <c r="AN22" s="10">
        <f t="shared" si="16"/>
        <v>0</v>
      </c>
      <c r="AO22" s="10">
        <f t="shared" si="49"/>
        <v>0</v>
      </c>
      <c r="AP22" s="10">
        <f t="shared" si="17"/>
        <v>0</v>
      </c>
      <c r="AQ22" s="105"/>
      <c r="AR22" s="10">
        <f t="shared" si="18"/>
        <v>0</v>
      </c>
      <c r="AS22" s="10">
        <f t="shared" si="50"/>
        <v>0</v>
      </c>
      <c r="AT22" s="10">
        <f t="shared" si="19"/>
        <v>0</v>
      </c>
      <c r="AU22" s="105"/>
      <c r="AV22" s="10">
        <f t="shared" si="20"/>
        <v>0</v>
      </c>
      <c r="AW22" s="10">
        <f t="shared" si="51"/>
        <v>0</v>
      </c>
      <c r="AX22" s="10">
        <f t="shared" si="21"/>
        <v>0</v>
      </c>
      <c r="AY22" s="105"/>
      <c r="AZ22" s="10">
        <f t="shared" si="22"/>
        <v>0</v>
      </c>
      <c r="BA22" s="10">
        <f t="shared" si="52"/>
        <v>0</v>
      </c>
      <c r="BB22" s="10">
        <f t="shared" si="23"/>
        <v>0</v>
      </c>
      <c r="BC22" s="10">
        <f t="shared" si="53"/>
        <v>39224.483999999997</v>
      </c>
      <c r="BD22" s="10">
        <f t="shared" si="24"/>
        <v>67.361467195160756</v>
      </c>
      <c r="BE22" s="10">
        <f t="shared" si="54"/>
        <v>679388.17800000007</v>
      </c>
      <c r="BF22" s="10">
        <f t="shared" si="25"/>
        <v>80.179030167645465</v>
      </c>
      <c r="BG22" s="105"/>
      <c r="BH22" s="10">
        <f t="shared" si="26"/>
        <v>0</v>
      </c>
      <c r="BI22" s="10">
        <f t="shared" si="55"/>
        <v>19443.918000000001</v>
      </c>
      <c r="BJ22" s="10">
        <f t="shared" si="27"/>
        <v>2.2947035853473809</v>
      </c>
      <c r="BK22" s="105"/>
      <c r="BL22" s="10">
        <f t="shared" si="28"/>
        <v>0</v>
      </c>
      <c r="BM22" s="10">
        <f t="shared" si="56"/>
        <v>0</v>
      </c>
      <c r="BN22" s="10">
        <f t="shared" si="29"/>
        <v>0</v>
      </c>
      <c r="BO22" s="105"/>
      <c r="BP22" s="15">
        <f t="shared" si="30"/>
        <v>0</v>
      </c>
      <c r="BQ22" s="10">
        <f t="shared" si="57"/>
        <v>0</v>
      </c>
      <c r="BR22" s="10">
        <f t="shared" si="31"/>
        <v>0</v>
      </c>
      <c r="BS22" s="10">
        <f t="shared" si="58"/>
        <v>0</v>
      </c>
      <c r="BT22" s="10">
        <f t="shared" si="32"/>
        <v>0</v>
      </c>
      <c r="BU22" s="10">
        <f t="shared" si="59"/>
        <v>19443.918000000001</v>
      </c>
      <c r="BV22" s="10">
        <f t="shared" si="33"/>
        <v>2.2947035853473809</v>
      </c>
      <c r="BW22" s="105"/>
      <c r="BX22" s="10">
        <f t="shared" si="34"/>
        <v>0</v>
      </c>
      <c r="BY22" s="10">
        <f t="shared" si="60"/>
        <v>0</v>
      </c>
      <c r="BZ22" s="10">
        <f t="shared" si="35"/>
        <v>0</v>
      </c>
      <c r="CA22" s="10">
        <f t="shared" si="36"/>
        <v>58229.853999999992</v>
      </c>
      <c r="CB22" s="10">
        <f t="shared" si="61"/>
        <v>847338.98200000008</v>
      </c>
      <c r="CC22" s="10">
        <f t="shared" si="37"/>
        <v>1.0420890869394035</v>
      </c>
      <c r="CD22" s="10">
        <f t="shared" si="38"/>
        <v>1.0288933948884336</v>
      </c>
      <c r="CH22" s="13"/>
      <c r="CI22" s="13"/>
      <c r="CL22" s="13"/>
      <c r="CM22" s="13"/>
    </row>
    <row r="23" spans="1:91">
      <c r="A23" s="16">
        <f>+Chem!A22</f>
        <v>46126</v>
      </c>
      <c r="B23" s="6" t="str">
        <f>+Chem!B22</f>
        <v>MG</v>
      </c>
      <c r="C23" s="16" t="str">
        <f>+Chem!C22</f>
        <v>16</v>
      </c>
      <c r="D23" s="8">
        <f>+Chem!D22</f>
        <v>77.495000000000005</v>
      </c>
      <c r="E23" s="7">
        <f>+Chem!E22</f>
        <v>73.936999999999998</v>
      </c>
      <c r="F23" s="7">
        <f t="shared" si="39"/>
        <v>897.48099999999999</v>
      </c>
      <c r="G23" s="105">
        <f>4*G7</f>
        <v>1000.716</v>
      </c>
      <c r="H23" s="10">
        <f t="shared" si="0"/>
        <v>1.2010903474351833</v>
      </c>
      <c r="I23" s="8">
        <f t="shared" si="40"/>
        <v>59542.602000000006</v>
      </c>
      <c r="J23" s="10">
        <f t="shared" si="1"/>
        <v>6.3979154718601698</v>
      </c>
      <c r="K23" s="105"/>
      <c r="L23" s="10">
        <f t="shared" si="2"/>
        <v>0</v>
      </c>
      <c r="M23" s="10">
        <f t="shared" si="41"/>
        <v>0</v>
      </c>
      <c r="N23" s="10">
        <f t="shared" si="3"/>
        <v>0</v>
      </c>
      <c r="O23" s="105"/>
      <c r="P23" s="10">
        <f t="shared" si="4"/>
        <v>0</v>
      </c>
      <c r="Q23" s="10">
        <f t="shared" si="42"/>
        <v>0</v>
      </c>
      <c r="R23" s="10">
        <f t="shared" si="5"/>
        <v>0</v>
      </c>
      <c r="S23" s="105">
        <f>108*S7</f>
        <v>27000</v>
      </c>
      <c r="T23" s="10">
        <f t="shared" si="6"/>
        <v>32.40623651540492</v>
      </c>
      <c r="U23" s="10">
        <f t="shared" si="43"/>
        <v>116965</v>
      </c>
      <c r="V23" s="10">
        <f t="shared" si="7"/>
        <v>12.568012784629815</v>
      </c>
      <c r="W23" s="105"/>
      <c r="X23" s="10">
        <f t="shared" si="8"/>
        <v>0</v>
      </c>
      <c r="Y23" s="10">
        <f t="shared" si="44"/>
        <v>0</v>
      </c>
      <c r="Z23" s="10">
        <f t="shared" si="9"/>
        <v>0</v>
      </c>
      <c r="AA23" s="105">
        <v>0</v>
      </c>
      <c r="AB23" s="10">
        <f t="shared" si="10"/>
        <v>0</v>
      </c>
      <c r="AC23" s="10">
        <f t="shared" si="45"/>
        <v>0</v>
      </c>
      <c r="AD23" s="10">
        <f t="shared" si="11"/>
        <v>0</v>
      </c>
      <c r="AE23" s="10">
        <f t="shared" si="46"/>
        <v>28000.716</v>
      </c>
      <c r="AF23" s="10">
        <f t="shared" si="12"/>
        <v>33.607326862840097</v>
      </c>
      <c r="AG23" s="10">
        <f t="shared" si="47"/>
        <v>176507.60200000001</v>
      </c>
      <c r="AH23" s="10">
        <f t="shared" si="13"/>
        <v>18.965928256489985</v>
      </c>
      <c r="AI23" s="105">
        <f>220*AI7</f>
        <v>55316.58</v>
      </c>
      <c r="AJ23" s="10">
        <f t="shared" si="14"/>
        <v>66.392673137159903</v>
      </c>
      <c r="AK23" s="10">
        <f t="shared" si="48"/>
        <v>734704.75800000003</v>
      </c>
      <c r="AL23" s="10">
        <f t="shared" si="15"/>
        <v>78.944802218376054</v>
      </c>
      <c r="AM23" s="105"/>
      <c r="AN23" s="10">
        <f t="shared" si="16"/>
        <v>0</v>
      </c>
      <c r="AO23" s="10">
        <f t="shared" si="49"/>
        <v>0</v>
      </c>
      <c r="AP23" s="10">
        <f t="shared" si="17"/>
        <v>0</v>
      </c>
      <c r="AQ23" s="105"/>
      <c r="AR23" s="10">
        <f t="shared" si="18"/>
        <v>0</v>
      </c>
      <c r="AS23" s="10">
        <f t="shared" si="50"/>
        <v>0</v>
      </c>
      <c r="AT23" s="10">
        <f t="shared" si="19"/>
        <v>0</v>
      </c>
      <c r="AU23" s="105"/>
      <c r="AV23" s="10">
        <f t="shared" si="20"/>
        <v>0</v>
      </c>
      <c r="AW23" s="10">
        <f t="shared" si="51"/>
        <v>0</v>
      </c>
      <c r="AX23" s="10">
        <f t="shared" si="21"/>
        <v>0</v>
      </c>
      <c r="AY23" s="105"/>
      <c r="AZ23" s="10">
        <f t="shared" si="22"/>
        <v>0</v>
      </c>
      <c r="BA23" s="10">
        <f t="shared" si="52"/>
        <v>0</v>
      </c>
      <c r="BB23" s="10">
        <f t="shared" si="23"/>
        <v>0</v>
      </c>
      <c r="BC23" s="10">
        <f t="shared" si="53"/>
        <v>55316.58</v>
      </c>
      <c r="BD23" s="10">
        <f t="shared" si="24"/>
        <v>66.392673137159903</v>
      </c>
      <c r="BE23" s="10">
        <f t="shared" si="54"/>
        <v>734704.75800000003</v>
      </c>
      <c r="BF23" s="10">
        <f t="shared" si="25"/>
        <v>78.944802218376054</v>
      </c>
      <c r="BG23" s="105"/>
      <c r="BH23" s="10">
        <f t="shared" si="26"/>
        <v>0</v>
      </c>
      <c r="BI23" s="10">
        <f t="shared" si="55"/>
        <v>19443.918000000001</v>
      </c>
      <c r="BJ23" s="10">
        <f t="shared" si="27"/>
        <v>2.0892695251339615</v>
      </c>
      <c r="BK23" s="105"/>
      <c r="BL23" s="10">
        <f t="shared" si="28"/>
        <v>0</v>
      </c>
      <c r="BM23" s="10">
        <f t="shared" si="56"/>
        <v>0</v>
      </c>
      <c r="BN23" s="10">
        <f t="shared" si="29"/>
        <v>0</v>
      </c>
      <c r="BO23" s="105"/>
      <c r="BP23" s="15">
        <f t="shared" si="30"/>
        <v>0</v>
      </c>
      <c r="BQ23" s="10">
        <f t="shared" si="57"/>
        <v>0</v>
      </c>
      <c r="BR23" s="10">
        <f t="shared" si="31"/>
        <v>0</v>
      </c>
      <c r="BS23" s="10">
        <f t="shared" si="58"/>
        <v>0</v>
      </c>
      <c r="BT23" s="10">
        <f t="shared" si="32"/>
        <v>0</v>
      </c>
      <c r="BU23" s="10">
        <f t="shared" si="59"/>
        <v>19443.918000000001</v>
      </c>
      <c r="BV23" s="10">
        <f t="shared" si="33"/>
        <v>2.0892695251339615</v>
      </c>
      <c r="BW23" s="105"/>
      <c r="BX23" s="10">
        <f t="shared" si="34"/>
        <v>0</v>
      </c>
      <c r="BY23" s="10">
        <f t="shared" si="60"/>
        <v>0</v>
      </c>
      <c r="BZ23" s="10">
        <f t="shared" si="35"/>
        <v>0</v>
      </c>
      <c r="CA23" s="10">
        <f t="shared" si="36"/>
        <v>83317.296000000002</v>
      </c>
      <c r="CB23" s="10">
        <f t="shared" si="61"/>
        <v>930656.27800000005</v>
      </c>
      <c r="CC23" s="10">
        <f t="shared" si="37"/>
        <v>1.1268687666526909</v>
      </c>
      <c r="CD23" s="10">
        <f t="shared" si="38"/>
        <v>1.0369648805935725</v>
      </c>
      <c r="CL23" s="13"/>
      <c r="CM23" s="13"/>
    </row>
    <row r="24" spans="1:91">
      <c r="A24" s="16">
        <f>+Chem!A23</f>
        <v>46127</v>
      </c>
      <c r="B24" s="6" t="str">
        <f>+Chem!B23</f>
        <v>MG</v>
      </c>
      <c r="C24" s="16" t="str">
        <f>+Chem!C23</f>
        <v>16</v>
      </c>
      <c r="D24" s="8">
        <f>+Chem!D23</f>
        <v>79.481999999999999</v>
      </c>
      <c r="E24" s="7">
        <f>+Chem!E23</f>
        <v>80.088999999999999</v>
      </c>
      <c r="F24" s="7">
        <f t="shared" si="39"/>
        <v>977.56999999999994</v>
      </c>
      <c r="G24" s="105">
        <v>0</v>
      </c>
      <c r="H24" s="10">
        <f t="shared" si="0"/>
        <v>0</v>
      </c>
      <c r="I24" s="8">
        <f t="shared" si="40"/>
        <v>59542.602000000006</v>
      </c>
      <c r="J24" s="10">
        <f t="shared" si="1"/>
        <v>5.8722086622164795</v>
      </c>
      <c r="K24" s="105"/>
      <c r="L24" s="10">
        <f t="shared" si="2"/>
        <v>0</v>
      </c>
      <c r="M24" s="10">
        <f t="shared" si="41"/>
        <v>0</v>
      </c>
      <c r="N24" s="10">
        <f t="shared" si="3"/>
        <v>0</v>
      </c>
      <c r="O24" s="105"/>
      <c r="P24" s="10">
        <f t="shared" si="4"/>
        <v>0</v>
      </c>
      <c r="Q24" s="10">
        <f t="shared" si="42"/>
        <v>0</v>
      </c>
      <c r="R24" s="10">
        <f t="shared" si="5"/>
        <v>0</v>
      </c>
      <c r="S24" s="105">
        <f>112*S7</f>
        <v>28000</v>
      </c>
      <c r="T24" s="10">
        <f t="shared" si="6"/>
        <v>33.60675630228701</v>
      </c>
      <c r="U24" s="10">
        <f t="shared" si="43"/>
        <v>144965</v>
      </c>
      <c r="V24" s="10">
        <f t="shared" si="7"/>
        <v>14.29673376917945</v>
      </c>
      <c r="W24" s="105"/>
      <c r="X24" s="10">
        <f t="shared" si="8"/>
        <v>0</v>
      </c>
      <c r="Y24" s="10">
        <f t="shared" si="44"/>
        <v>0</v>
      </c>
      <c r="Z24" s="10">
        <f t="shared" si="9"/>
        <v>0</v>
      </c>
      <c r="AA24" s="105">
        <v>0</v>
      </c>
      <c r="AB24" s="10">
        <f t="shared" si="10"/>
        <v>0</v>
      </c>
      <c r="AC24" s="10">
        <f t="shared" si="45"/>
        <v>0</v>
      </c>
      <c r="AD24" s="10">
        <f t="shared" si="11"/>
        <v>0</v>
      </c>
      <c r="AE24" s="10">
        <f t="shared" si="46"/>
        <v>28000</v>
      </c>
      <c r="AF24" s="10">
        <f t="shared" si="12"/>
        <v>33.60675630228701</v>
      </c>
      <c r="AG24" s="10">
        <f t="shared" si="47"/>
        <v>204507.60200000001</v>
      </c>
      <c r="AH24" s="10">
        <f t="shared" si="13"/>
        <v>20.16894243139593</v>
      </c>
      <c r="AI24" s="105">
        <f>220*AI7</f>
        <v>55316.58</v>
      </c>
      <c r="AJ24" s="10">
        <f t="shared" si="14"/>
        <v>66.39324369771299</v>
      </c>
      <c r="AK24" s="10">
        <f t="shared" si="48"/>
        <v>790021.33799999999</v>
      </c>
      <c r="AL24" s="10">
        <f t="shared" si="15"/>
        <v>77.913460085930623</v>
      </c>
      <c r="AM24" s="105"/>
      <c r="AN24" s="10">
        <f t="shared" si="16"/>
        <v>0</v>
      </c>
      <c r="AO24" s="10">
        <f t="shared" si="49"/>
        <v>0</v>
      </c>
      <c r="AP24" s="10">
        <f t="shared" si="17"/>
        <v>0</v>
      </c>
      <c r="AQ24" s="105"/>
      <c r="AR24" s="10">
        <f t="shared" si="18"/>
        <v>0</v>
      </c>
      <c r="AS24" s="10">
        <f t="shared" si="50"/>
        <v>0</v>
      </c>
      <c r="AT24" s="10">
        <f t="shared" si="19"/>
        <v>0</v>
      </c>
      <c r="AU24" s="105"/>
      <c r="AV24" s="10">
        <f t="shared" si="20"/>
        <v>0</v>
      </c>
      <c r="AW24" s="10">
        <f t="shared" si="51"/>
        <v>0</v>
      </c>
      <c r="AX24" s="10">
        <f t="shared" si="21"/>
        <v>0</v>
      </c>
      <c r="AY24" s="105"/>
      <c r="AZ24" s="10">
        <f t="shared" si="22"/>
        <v>0</v>
      </c>
      <c r="BA24" s="10">
        <f t="shared" si="52"/>
        <v>0</v>
      </c>
      <c r="BB24" s="10">
        <f t="shared" si="23"/>
        <v>0</v>
      </c>
      <c r="BC24" s="10">
        <f t="shared" si="53"/>
        <v>55316.58</v>
      </c>
      <c r="BD24" s="10">
        <f t="shared" si="24"/>
        <v>66.39324369771299</v>
      </c>
      <c r="BE24" s="10">
        <f t="shared" si="54"/>
        <v>790021.33799999999</v>
      </c>
      <c r="BF24" s="10">
        <f t="shared" si="25"/>
        <v>77.913460085930623</v>
      </c>
      <c r="BG24" s="105"/>
      <c r="BH24" s="10">
        <f t="shared" si="26"/>
        <v>0</v>
      </c>
      <c r="BI24" s="10">
        <f t="shared" si="55"/>
        <v>19443.918000000001</v>
      </c>
      <c r="BJ24" s="10">
        <f t="shared" si="27"/>
        <v>1.9175974826734468</v>
      </c>
      <c r="BK24" s="105"/>
      <c r="BL24" s="10">
        <f t="shared" si="28"/>
        <v>0</v>
      </c>
      <c r="BM24" s="10">
        <f t="shared" si="56"/>
        <v>0</v>
      </c>
      <c r="BN24" s="10">
        <f t="shared" si="29"/>
        <v>0</v>
      </c>
      <c r="BO24" s="105"/>
      <c r="BP24" s="15">
        <f t="shared" si="30"/>
        <v>0</v>
      </c>
      <c r="BQ24" s="10">
        <f t="shared" si="57"/>
        <v>0</v>
      </c>
      <c r="BR24" s="10">
        <f t="shared" si="31"/>
        <v>0</v>
      </c>
      <c r="BS24" s="10">
        <f t="shared" si="58"/>
        <v>0</v>
      </c>
      <c r="BT24" s="10">
        <f t="shared" si="32"/>
        <v>0</v>
      </c>
      <c r="BU24" s="10">
        <f t="shared" si="59"/>
        <v>19443.918000000001</v>
      </c>
      <c r="BV24" s="10">
        <f t="shared" si="33"/>
        <v>1.9175974826734468</v>
      </c>
      <c r="BW24" s="105"/>
      <c r="BX24" s="10">
        <f t="shared" si="34"/>
        <v>0</v>
      </c>
      <c r="BY24" s="10">
        <f t="shared" si="60"/>
        <v>0</v>
      </c>
      <c r="BZ24" s="10">
        <f t="shared" si="35"/>
        <v>0</v>
      </c>
      <c r="CA24" s="10">
        <f t="shared" si="36"/>
        <v>83316.58</v>
      </c>
      <c r="CB24" s="10">
        <f t="shared" si="61"/>
        <v>1013972.858</v>
      </c>
      <c r="CC24" s="10">
        <f t="shared" si="37"/>
        <v>1.0402999163430684</v>
      </c>
      <c r="CD24" s="10">
        <f t="shared" si="38"/>
        <v>1.0372381087799341</v>
      </c>
      <c r="CL24" s="13"/>
      <c r="CM24" s="13"/>
    </row>
    <row r="25" spans="1:91">
      <c r="A25" s="16">
        <f>+Chem!A24</f>
        <v>46128</v>
      </c>
      <c r="B25" s="6" t="str">
        <f>+Chem!B24</f>
        <v>MG</v>
      </c>
      <c r="C25" s="16" t="str">
        <f>+Chem!C24</f>
        <v>16</v>
      </c>
      <c r="D25" s="8">
        <f>+Chem!D24</f>
        <v>80.688999999999993</v>
      </c>
      <c r="E25" s="7">
        <f>+Chem!E24</f>
        <v>79.995000000000005</v>
      </c>
      <c r="F25" s="7">
        <f t="shared" si="39"/>
        <v>1057.5650000000001</v>
      </c>
      <c r="G25" s="105">
        <v>0</v>
      </c>
      <c r="H25" s="10">
        <f t="shared" si="0"/>
        <v>0</v>
      </c>
      <c r="I25" s="8">
        <f t="shared" si="40"/>
        <v>59542.602000000006</v>
      </c>
      <c r="J25" s="10">
        <f t="shared" si="1"/>
        <v>5.4163775837095649</v>
      </c>
      <c r="K25" s="105"/>
      <c r="L25" s="10">
        <f t="shared" si="2"/>
        <v>0</v>
      </c>
      <c r="M25" s="10">
        <f t="shared" si="41"/>
        <v>0</v>
      </c>
      <c r="N25" s="10">
        <f t="shared" si="3"/>
        <v>0</v>
      </c>
      <c r="O25" s="105"/>
      <c r="P25" s="10">
        <f t="shared" si="4"/>
        <v>0</v>
      </c>
      <c r="Q25" s="10">
        <f t="shared" si="42"/>
        <v>0</v>
      </c>
      <c r="R25" s="10">
        <f t="shared" si="5"/>
        <v>0</v>
      </c>
      <c r="S25" s="105">
        <f>108*S7</f>
        <v>27000</v>
      </c>
      <c r="T25" s="10">
        <f t="shared" si="6"/>
        <v>31.640434168631419</v>
      </c>
      <c r="U25" s="10">
        <f t="shared" si="43"/>
        <v>171965</v>
      </c>
      <c r="V25" s="10">
        <f t="shared" si="7"/>
        <v>15.643041115042555</v>
      </c>
      <c r="W25" s="105"/>
      <c r="X25" s="10">
        <f t="shared" si="8"/>
        <v>0</v>
      </c>
      <c r="Y25" s="10">
        <f t="shared" si="44"/>
        <v>0</v>
      </c>
      <c r="Z25" s="10">
        <f t="shared" si="9"/>
        <v>0</v>
      </c>
      <c r="AA25" s="105">
        <v>0</v>
      </c>
      <c r="AB25" s="10">
        <f t="shared" si="10"/>
        <v>0</v>
      </c>
      <c r="AC25" s="10">
        <f t="shared" si="45"/>
        <v>0</v>
      </c>
      <c r="AD25" s="10">
        <f t="shared" si="11"/>
        <v>0</v>
      </c>
      <c r="AE25" s="10">
        <f t="shared" si="46"/>
        <v>27000</v>
      </c>
      <c r="AF25" s="10">
        <f t="shared" si="12"/>
        <v>31.640434168631419</v>
      </c>
      <c r="AG25" s="10">
        <f t="shared" si="47"/>
        <v>231507.60200000001</v>
      </c>
      <c r="AH25" s="10">
        <f t="shared" si="13"/>
        <v>21.059418698752122</v>
      </c>
      <c r="AI25" s="105">
        <f>232*AI7</f>
        <v>58333.847999999998</v>
      </c>
      <c r="AJ25" s="10">
        <f t="shared" si="14"/>
        <v>68.35956583136857</v>
      </c>
      <c r="AK25" s="10">
        <f t="shared" si="48"/>
        <v>848355.18599999999</v>
      </c>
      <c r="AL25" s="10">
        <f t="shared" si="15"/>
        <v>77.171837610895096</v>
      </c>
      <c r="AM25" s="105"/>
      <c r="AN25" s="10">
        <f t="shared" si="16"/>
        <v>0</v>
      </c>
      <c r="AO25" s="10">
        <f t="shared" si="49"/>
        <v>0</v>
      </c>
      <c r="AP25" s="10">
        <f t="shared" si="17"/>
        <v>0</v>
      </c>
      <c r="AQ25" s="105"/>
      <c r="AR25" s="10">
        <f t="shared" si="18"/>
        <v>0</v>
      </c>
      <c r="AS25" s="10">
        <f t="shared" si="50"/>
        <v>0</v>
      </c>
      <c r="AT25" s="10">
        <f t="shared" si="19"/>
        <v>0</v>
      </c>
      <c r="AU25" s="105"/>
      <c r="AV25" s="10">
        <f t="shared" si="20"/>
        <v>0</v>
      </c>
      <c r="AW25" s="10">
        <f t="shared" si="51"/>
        <v>0</v>
      </c>
      <c r="AX25" s="10">
        <f t="shared" si="21"/>
        <v>0</v>
      </c>
      <c r="AY25" s="105"/>
      <c r="AZ25" s="10">
        <f t="shared" si="22"/>
        <v>0</v>
      </c>
      <c r="BA25" s="10">
        <f t="shared" si="52"/>
        <v>0</v>
      </c>
      <c r="BB25" s="10">
        <f t="shared" si="23"/>
        <v>0</v>
      </c>
      <c r="BC25" s="10">
        <f t="shared" si="53"/>
        <v>58333.847999999998</v>
      </c>
      <c r="BD25" s="10">
        <f t="shared" si="24"/>
        <v>68.35956583136857</v>
      </c>
      <c r="BE25" s="10">
        <f t="shared" si="54"/>
        <v>848355.18599999999</v>
      </c>
      <c r="BF25" s="10">
        <f t="shared" si="25"/>
        <v>77.171837610895096</v>
      </c>
      <c r="BG25" s="105"/>
      <c r="BH25" s="10">
        <f t="shared" si="26"/>
        <v>0</v>
      </c>
      <c r="BI25" s="10">
        <f t="shared" si="55"/>
        <v>19443.918000000001</v>
      </c>
      <c r="BJ25" s="10">
        <f t="shared" si="27"/>
        <v>1.7687436903527816</v>
      </c>
      <c r="BK25" s="105"/>
      <c r="BL25" s="10">
        <f t="shared" si="28"/>
        <v>0</v>
      </c>
      <c r="BM25" s="10">
        <f t="shared" si="56"/>
        <v>0</v>
      </c>
      <c r="BN25" s="10">
        <f t="shared" si="29"/>
        <v>0</v>
      </c>
      <c r="BO25" s="105"/>
      <c r="BP25" s="15">
        <f t="shared" si="30"/>
        <v>0</v>
      </c>
      <c r="BQ25" s="10">
        <f t="shared" si="57"/>
        <v>0</v>
      </c>
      <c r="BR25" s="10">
        <f t="shared" si="31"/>
        <v>0</v>
      </c>
      <c r="BS25" s="10">
        <f t="shared" si="58"/>
        <v>0</v>
      </c>
      <c r="BT25" s="10">
        <f t="shared" si="32"/>
        <v>0</v>
      </c>
      <c r="BU25" s="10">
        <f t="shared" si="59"/>
        <v>19443.918000000001</v>
      </c>
      <c r="BV25" s="10">
        <f t="shared" si="33"/>
        <v>1.7687436903527816</v>
      </c>
      <c r="BW25" s="105"/>
      <c r="BX25" s="10">
        <f t="shared" si="34"/>
        <v>0</v>
      </c>
      <c r="BY25" s="10">
        <f t="shared" si="60"/>
        <v>0</v>
      </c>
      <c r="BZ25" s="10">
        <f t="shared" si="35"/>
        <v>0</v>
      </c>
      <c r="CA25" s="10">
        <f t="shared" si="36"/>
        <v>85333.847999999998</v>
      </c>
      <c r="CB25" s="10">
        <f t="shared" si="61"/>
        <v>1099306.706</v>
      </c>
      <c r="CC25" s="10">
        <f t="shared" si="37"/>
        <v>1.0667397712357023</v>
      </c>
      <c r="CD25" s="10">
        <f t="shared" si="38"/>
        <v>1.0394696363816882</v>
      </c>
      <c r="CL25" s="13"/>
      <c r="CM25" s="13"/>
    </row>
    <row r="26" spans="1:91">
      <c r="A26" s="16">
        <f>+Chem!A25</f>
        <v>46129</v>
      </c>
      <c r="B26" s="6" t="str">
        <f>+Chem!B25</f>
        <v>MG</v>
      </c>
      <c r="C26" s="16" t="str">
        <f>+Chem!C25</f>
        <v>16/17</v>
      </c>
      <c r="D26" s="8">
        <f>+Chem!D25</f>
        <v>81.471000000000004</v>
      </c>
      <c r="E26" s="7">
        <f>+Chem!E25</f>
        <v>82.838999999999999</v>
      </c>
      <c r="F26" s="7">
        <f t="shared" si="39"/>
        <v>1140.404</v>
      </c>
      <c r="G26" s="105">
        <f>10*G7</f>
        <v>2501.79</v>
      </c>
      <c r="H26" s="10">
        <f t="shared" si="0"/>
        <v>2.9658610694455505</v>
      </c>
      <c r="I26" s="8">
        <f t="shared" si="40"/>
        <v>62044.392000000007</v>
      </c>
      <c r="J26" s="10">
        <f t="shared" si="1"/>
        <v>5.2417427587281749</v>
      </c>
      <c r="K26" s="105"/>
      <c r="L26" s="10">
        <f t="shared" si="2"/>
        <v>0</v>
      </c>
      <c r="M26" s="10">
        <f t="shared" si="41"/>
        <v>0</v>
      </c>
      <c r="N26" s="10">
        <f t="shared" si="3"/>
        <v>0</v>
      </c>
      <c r="O26" s="105"/>
      <c r="P26" s="10">
        <f t="shared" si="4"/>
        <v>0</v>
      </c>
      <c r="Q26" s="10">
        <f t="shared" si="42"/>
        <v>0</v>
      </c>
      <c r="R26" s="10">
        <f t="shared" si="5"/>
        <v>0</v>
      </c>
      <c r="S26" s="105">
        <f>82*S7</f>
        <v>20500</v>
      </c>
      <c r="T26" s="10">
        <f t="shared" si="6"/>
        <v>24.302660064847085</v>
      </c>
      <c r="U26" s="10">
        <f t="shared" si="43"/>
        <v>192465</v>
      </c>
      <c r="V26" s="10">
        <f t="shared" si="7"/>
        <v>16.260164497358893</v>
      </c>
      <c r="W26" s="105"/>
      <c r="X26" s="10">
        <f t="shared" si="8"/>
        <v>0</v>
      </c>
      <c r="Y26" s="10">
        <f t="shared" si="44"/>
        <v>0</v>
      </c>
      <c r="Z26" s="10">
        <f t="shared" si="9"/>
        <v>0</v>
      </c>
      <c r="AA26" s="105">
        <v>0</v>
      </c>
      <c r="AB26" s="10">
        <f t="shared" si="10"/>
        <v>0</v>
      </c>
      <c r="AC26" s="10">
        <f t="shared" si="45"/>
        <v>0</v>
      </c>
      <c r="AD26" s="10">
        <f t="shared" si="11"/>
        <v>0</v>
      </c>
      <c r="AE26" s="10">
        <f t="shared" si="46"/>
        <v>23001.79</v>
      </c>
      <c r="AF26" s="10">
        <f t="shared" si="12"/>
        <v>27.268521134292634</v>
      </c>
      <c r="AG26" s="10">
        <f t="shared" si="47"/>
        <v>254509.39200000002</v>
      </c>
      <c r="AH26" s="10">
        <f t="shared" si="13"/>
        <v>21.501907256087065</v>
      </c>
      <c r="AI26" s="105">
        <f>244*AI7</f>
        <v>61351.116000000002</v>
      </c>
      <c r="AJ26" s="10">
        <f t="shared" si="14"/>
        <v>72.731478865707373</v>
      </c>
      <c r="AK26" s="10">
        <f t="shared" si="48"/>
        <v>909706.30200000003</v>
      </c>
      <c r="AL26" s="10">
        <f t="shared" si="15"/>
        <v>76.855397681677431</v>
      </c>
      <c r="AM26" s="105"/>
      <c r="AN26" s="10">
        <f t="shared" si="16"/>
        <v>0</v>
      </c>
      <c r="AO26" s="10">
        <f t="shared" si="49"/>
        <v>0</v>
      </c>
      <c r="AP26" s="10">
        <f t="shared" si="17"/>
        <v>0</v>
      </c>
      <c r="AQ26" s="105"/>
      <c r="AR26" s="10">
        <f t="shared" si="18"/>
        <v>0</v>
      </c>
      <c r="AS26" s="10">
        <f t="shared" si="50"/>
        <v>0</v>
      </c>
      <c r="AT26" s="10">
        <f t="shared" si="19"/>
        <v>0</v>
      </c>
      <c r="AU26" s="105"/>
      <c r="AV26" s="10">
        <f t="shared" si="20"/>
        <v>0</v>
      </c>
      <c r="AW26" s="10">
        <f t="shared" si="51"/>
        <v>0</v>
      </c>
      <c r="AX26" s="10">
        <f t="shared" si="21"/>
        <v>0</v>
      </c>
      <c r="AY26" s="105"/>
      <c r="AZ26" s="10">
        <f t="shared" si="22"/>
        <v>0</v>
      </c>
      <c r="BA26" s="10">
        <f t="shared" si="52"/>
        <v>0</v>
      </c>
      <c r="BB26" s="10">
        <f t="shared" si="23"/>
        <v>0</v>
      </c>
      <c r="BC26" s="10">
        <f t="shared" si="53"/>
        <v>61351.116000000002</v>
      </c>
      <c r="BD26" s="10">
        <f t="shared" si="24"/>
        <v>72.731478865707373</v>
      </c>
      <c r="BE26" s="10">
        <f t="shared" si="54"/>
        <v>909706.30200000003</v>
      </c>
      <c r="BF26" s="10">
        <f t="shared" si="25"/>
        <v>76.855397681677431</v>
      </c>
      <c r="BG26" s="105"/>
      <c r="BH26" s="10">
        <f t="shared" si="26"/>
        <v>0</v>
      </c>
      <c r="BI26" s="10">
        <f t="shared" si="55"/>
        <v>19443.918000000001</v>
      </c>
      <c r="BJ26" s="10">
        <f t="shared" si="27"/>
        <v>1.6426950622355103</v>
      </c>
      <c r="BK26" s="105"/>
      <c r="BL26" s="10">
        <f t="shared" si="28"/>
        <v>0</v>
      </c>
      <c r="BM26" s="10">
        <f t="shared" si="56"/>
        <v>0</v>
      </c>
      <c r="BN26" s="10">
        <f t="shared" si="29"/>
        <v>0</v>
      </c>
      <c r="BO26" s="105"/>
      <c r="BP26" s="15">
        <f t="shared" si="30"/>
        <v>0</v>
      </c>
      <c r="BQ26" s="10">
        <f t="shared" si="57"/>
        <v>0</v>
      </c>
      <c r="BR26" s="10">
        <f t="shared" si="31"/>
        <v>0</v>
      </c>
      <c r="BS26" s="10">
        <f t="shared" si="58"/>
        <v>0</v>
      </c>
      <c r="BT26" s="10">
        <f t="shared" si="32"/>
        <v>0</v>
      </c>
      <c r="BU26" s="10">
        <f t="shared" si="59"/>
        <v>19443.918000000001</v>
      </c>
      <c r="BV26" s="10">
        <f t="shared" si="33"/>
        <v>1.6426950622355103</v>
      </c>
      <c r="BW26" s="105"/>
      <c r="BX26" s="10">
        <f t="shared" si="34"/>
        <v>0</v>
      </c>
      <c r="BY26" s="10">
        <f t="shared" si="60"/>
        <v>0</v>
      </c>
      <c r="BZ26" s="10">
        <f t="shared" si="35"/>
        <v>0</v>
      </c>
      <c r="CA26" s="10">
        <f t="shared" si="36"/>
        <v>84352.906000000003</v>
      </c>
      <c r="CB26" s="10">
        <f t="shared" si="61"/>
        <v>1183659.612</v>
      </c>
      <c r="CC26" s="10">
        <f t="shared" si="37"/>
        <v>1.0182752809666944</v>
      </c>
      <c r="CD26" s="10">
        <f t="shared" si="38"/>
        <v>1.0379300774111631</v>
      </c>
      <c r="CF26" s="13"/>
      <c r="CL26" s="13"/>
    </row>
    <row r="27" spans="1:91">
      <c r="A27" s="16">
        <f>+Chem!A26</f>
        <v>46130</v>
      </c>
      <c r="B27" s="6" t="str">
        <f>+Chem!B26</f>
        <v>MG</v>
      </c>
      <c r="C27" s="16" t="str">
        <f>+Chem!C26</f>
        <v>17/14</v>
      </c>
      <c r="D27" s="8">
        <f>+Chem!D26</f>
        <v>80.524000000000001</v>
      </c>
      <c r="E27" s="7">
        <f>+Chem!E26</f>
        <v>76.516000000000005</v>
      </c>
      <c r="F27" s="7">
        <f t="shared" si="39"/>
        <v>1216.92</v>
      </c>
      <c r="G27" s="105">
        <f>2*G7</f>
        <v>500.358</v>
      </c>
      <c r="H27" s="10">
        <f t="shared" si="0"/>
        <v>0.61518766163402394</v>
      </c>
      <c r="I27" s="8">
        <f t="shared" si="40"/>
        <v>62544.750000000007</v>
      </c>
      <c r="J27" s="10">
        <f t="shared" si="1"/>
        <v>4.9442731743057422</v>
      </c>
      <c r="K27" s="105"/>
      <c r="L27" s="10">
        <f t="shared" si="2"/>
        <v>0</v>
      </c>
      <c r="M27" s="10">
        <f t="shared" si="41"/>
        <v>0</v>
      </c>
      <c r="N27" s="10">
        <f t="shared" si="3"/>
        <v>0</v>
      </c>
      <c r="O27" s="105"/>
      <c r="P27" s="10">
        <f t="shared" si="4"/>
        <v>0</v>
      </c>
      <c r="Q27" s="10">
        <f t="shared" si="42"/>
        <v>0</v>
      </c>
      <c r="R27" s="10">
        <f t="shared" si="5"/>
        <v>0</v>
      </c>
      <c r="S27" s="105">
        <f>90*S7</f>
        <v>22500</v>
      </c>
      <c r="T27" s="10">
        <f t="shared" si="6"/>
        <v>27.663637609003029</v>
      </c>
      <c r="U27" s="10">
        <f t="shared" si="43"/>
        <v>214965</v>
      </c>
      <c r="V27" s="10">
        <f t="shared" si="7"/>
        <v>16.993363678240524</v>
      </c>
      <c r="W27" s="105"/>
      <c r="X27" s="10">
        <f t="shared" si="8"/>
        <v>0</v>
      </c>
      <c r="Y27" s="10">
        <f t="shared" si="44"/>
        <v>0</v>
      </c>
      <c r="Z27" s="10">
        <f t="shared" si="9"/>
        <v>0</v>
      </c>
      <c r="AA27" s="105">
        <v>0</v>
      </c>
      <c r="AB27" s="10">
        <f t="shared" si="10"/>
        <v>0</v>
      </c>
      <c r="AC27" s="10">
        <f t="shared" si="45"/>
        <v>0</v>
      </c>
      <c r="AD27" s="10">
        <f t="shared" si="11"/>
        <v>0</v>
      </c>
      <c r="AE27" s="10">
        <f t="shared" si="46"/>
        <v>23000.358</v>
      </c>
      <c r="AF27" s="10">
        <f t="shared" si="12"/>
        <v>28.278825270637054</v>
      </c>
      <c r="AG27" s="10">
        <f t="shared" si="47"/>
        <v>277509.75</v>
      </c>
      <c r="AH27" s="10">
        <f t="shared" si="13"/>
        <v>21.937636852546262</v>
      </c>
      <c r="AI27" s="105">
        <f>232*AI7</f>
        <v>58333.847999999998</v>
      </c>
      <c r="AJ27" s="10">
        <f t="shared" si="14"/>
        <v>71.721174729362929</v>
      </c>
      <c r="AK27" s="10">
        <f t="shared" si="48"/>
        <v>968040.15</v>
      </c>
      <c r="AL27" s="10">
        <f t="shared" si="15"/>
        <v>76.525287019228742</v>
      </c>
      <c r="AM27" s="105"/>
      <c r="AN27" s="10">
        <f t="shared" si="16"/>
        <v>0</v>
      </c>
      <c r="AO27" s="10">
        <f t="shared" si="49"/>
        <v>0</v>
      </c>
      <c r="AP27" s="10">
        <f t="shared" si="17"/>
        <v>0</v>
      </c>
      <c r="AQ27" s="105"/>
      <c r="AR27" s="10">
        <f t="shared" si="18"/>
        <v>0</v>
      </c>
      <c r="AS27" s="10">
        <f t="shared" si="50"/>
        <v>0</v>
      </c>
      <c r="AT27" s="10">
        <f t="shared" si="19"/>
        <v>0</v>
      </c>
      <c r="AU27" s="105"/>
      <c r="AV27" s="10">
        <f t="shared" si="20"/>
        <v>0</v>
      </c>
      <c r="AW27" s="10">
        <f t="shared" si="51"/>
        <v>0</v>
      </c>
      <c r="AX27" s="10">
        <f t="shared" si="21"/>
        <v>0</v>
      </c>
      <c r="AY27" s="105"/>
      <c r="AZ27" s="10">
        <f t="shared" si="22"/>
        <v>0</v>
      </c>
      <c r="BA27" s="10">
        <f t="shared" si="52"/>
        <v>0</v>
      </c>
      <c r="BB27" s="10">
        <f t="shared" si="23"/>
        <v>0</v>
      </c>
      <c r="BC27" s="10">
        <f t="shared" si="53"/>
        <v>58333.847999999998</v>
      </c>
      <c r="BD27" s="10">
        <f t="shared" si="24"/>
        <v>71.721174729362929</v>
      </c>
      <c r="BE27" s="10">
        <f t="shared" si="54"/>
        <v>968040.15</v>
      </c>
      <c r="BF27" s="10">
        <f t="shared" si="25"/>
        <v>76.525287019228742</v>
      </c>
      <c r="BG27" s="105"/>
      <c r="BH27" s="10">
        <f t="shared" si="26"/>
        <v>0</v>
      </c>
      <c r="BI27" s="10">
        <f t="shared" si="55"/>
        <v>19443.918000000001</v>
      </c>
      <c r="BJ27" s="10">
        <f t="shared" si="27"/>
        <v>1.5370761282250001</v>
      </c>
      <c r="BK27" s="105"/>
      <c r="BL27" s="10">
        <f t="shared" si="28"/>
        <v>0</v>
      </c>
      <c r="BM27" s="10">
        <f t="shared" si="56"/>
        <v>0</v>
      </c>
      <c r="BN27" s="10">
        <f t="shared" si="29"/>
        <v>0</v>
      </c>
      <c r="BO27" s="105"/>
      <c r="BP27" s="15">
        <f t="shared" si="30"/>
        <v>0</v>
      </c>
      <c r="BQ27" s="10">
        <f t="shared" si="57"/>
        <v>0</v>
      </c>
      <c r="BR27" s="10">
        <f t="shared" si="31"/>
        <v>0</v>
      </c>
      <c r="BS27" s="10">
        <f t="shared" si="58"/>
        <v>0</v>
      </c>
      <c r="BT27" s="10">
        <f t="shared" si="32"/>
        <v>0</v>
      </c>
      <c r="BU27" s="10">
        <f t="shared" si="59"/>
        <v>19443.918000000001</v>
      </c>
      <c r="BV27" s="10">
        <f t="shared" si="33"/>
        <v>1.5370761282250001</v>
      </c>
      <c r="BW27" s="105"/>
      <c r="BX27" s="10">
        <f t="shared" si="34"/>
        <v>0</v>
      </c>
      <c r="BY27" s="10">
        <f t="shared" si="60"/>
        <v>0</v>
      </c>
      <c r="BZ27" s="10">
        <f t="shared" si="35"/>
        <v>0</v>
      </c>
      <c r="CA27" s="10">
        <f t="shared" si="36"/>
        <v>81334.206000000006</v>
      </c>
      <c r="CB27" s="10">
        <f t="shared" si="61"/>
        <v>1264993.818</v>
      </c>
      <c r="CC27" s="10">
        <f t="shared" si="37"/>
        <v>1.0629699147890637</v>
      </c>
      <c r="CD27" s="10">
        <f t="shared" si="38"/>
        <v>1.0395045015284488</v>
      </c>
      <c r="CL27" s="13"/>
    </row>
    <row r="28" spans="1:91">
      <c r="A28" s="16">
        <f>+Chem!A27</f>
        <v>46131</v>
      </c>
      <c r="B28" s="6" t="str">
        <f>+Chem!B27</f>
        <v>MG</v>
      </c>
      <c r="C28" s="16" t="str">
        <f>+Chem!C27</f>
        <v>14/19</v>
      </c>
      <c r="D28" s="8">
        <f>+Chem!D27</f>
        <v>71.169000000000011</v>
      </c>
      <c r="E28" s="7">
        <f>+Chem!E27</f>
        <v>73.134</v>
      </c>
      <c r="F28" s="7">
        <f t="shared" si="39"/>
        <v>1290.0540000000001</v>
      </c>
      <c r="G28" s="105"/>
      <c r="H28" s="10">
        <f t="shared" si="0"/>
        <v>0</v>
      </c>
      <c r="I28" s="8">
        <f t="shared" si="40"/>
        <v>62544.750000000007</v>
      </c>
      <c r="J28" s="10">
        <f t="shared" si="1"/>
        <v>4.6771274240851177</v>
      </c>
      <c r="K28" s="105"/>
      <c r="L28" s="10">
        <f t="shared" si="2"/>
        <v>0</v>
      </c>
      <c r="M28" s="10">
        <f t="shared" si="41"/>
        <v>0</v>
      </c>
      <c r="N28" s="10">
        <f t="shared" si="3"/>
        <v>0</v>
      </c>
      <c r="O28" s="105"/>
      <c r="P28" s="10">
        <f t="shared" si="4"/>
        <v>0</v>
      </c>
      <c r="Q28" s="10">
        <f t="shared" si="42"/>
        <v>0</v>
      </c>
      <c r="R28" s="10">
        <f t="shared" si="5"/>
        <v>0</v>
      </c>
      <c r="S28" s="105">
        <f>112*S7</f>
        <v>28000</v>
      </c>
      <c r="T28" s="10">
        <f t="shared" si="6"/>
        <v>38.75257455497097</v>
      </c>
      <c r="U28" s="10">
        <f t="shared" si="43"/>
        <v>242965</v>
      </c>
      <c r="V28" s="10">
        <f t="shared" si="7"/>
        <v>18.169043198555286</v>
      </c>
      <c r="W28" s="105"/>
      <c r="X28" s="10">
        <f t="shared" si="8"/>
        <v>0</v>
      </c>
      <c r="Y28" s="10">
        <f t="shared" si="44"/>
        <v>0</v>
      </c>
      <c r="Z28" s="10">
        <f t="shared" si="9"/>
        <v>0</v>
      </c>
      <c r="AA28" s="105">
        <v>0</v>
      </c>
      <c r="AB28" s="10">
        <f t="shared" si="10"/>
        <v>0</v>
      </c>
      <c r="AC28" s="10">
        <f t="shared" si="45"/>
        <v>0</v>
      </c>
      <c r="AD28" s="10">
        <f t="shared" si="11"/>
        <v>0</v>
      </c>
      <c r="AE28" s="10">
        <f t="shared" si="46"/>
        <v>28000</v>
      </c>
      <c r="AF28" s="10">
        <f t="shared" si="12"/>
        <v>38.75257455497097</v>
      </c>
      <c r="AG28" s="10">
        <f t="shared" si="47"/>
        <v>305509.75</v>
      </c>
      <c r="AH28" s="10">
        <f t="shared" si="13"/>
        <v>22.8461706226404</v>
      </c>
      <c r="AI28" s="105">
        <f>176*AI7</f>
        <v>44253.263999999996</v>
      </c>
      <c r="AJ28" s="10">
        <f t="shared" si="14"/>
        <v>61.247425445029023</v>
      </c>
      <c r="AK28" s="10">
        <f t="shared" si="48"/>
        <v>1012293.414</v>
      </c>
      <c r="AL28" s="10">
        <f t="shared" si="15"/>
        <v>75.699803546103382</v>
      </c>
      <c r="AM28" s="105"/>
      <c r="AN28" s="10">
        <f t="shared" si="16"/>
        <v>0</v>
      </c>
      <c r="AO28" s="10">
        <f t="shared" si="49"/>
        <v>0</v>
      </c>
      <c r="AP28" s="10">
        <f t="shared" si="17"/>
        <v>0</v>
      </c>
      <c r="AQ28" s="105"/>
      <c r="AR28" s="10">
        <f t="shared" si="18"/>
        <v>0</v>
      </c>
      <c r="AS28" s="10">
        <f t="shared" si="50"/>
        <v>0</v>
      </c>
      <c r="AT28" s="10">
        <f t="shared" si="19"/>
        <v>0</v>
      </c>
      <c r="AU28" s="105"/>
      <c r="AV28" s="10">
        <f t="shared" si="20"/>
        <v>0</v>
      </c>
      <c r="AW28" s="10">
        <f t="shared" si="51"/>
        <v>0</v>
      </c>
      <c r="AX28" s="10">
        <f t="shared" si="21"/>
        <v>0</v>
      </c>
      <c r="AY28" s="105"/>
      <c r="AZ28" s="10">
        <f t="shared" si="22"/>
        <v>0</v>
      </c>
      <c r="BA28" s="10">
        <f t="shared" si="52"/>
        <v>0</v>
      </c>
      <c r="BB28" s="10">
        <f t="shared" si="23"/>
        <v>0</v>
      </c>
      <c r="BC28" s="10">
        <f t="shared" si="53"/>
        <v>44253.263999999996</v>
      </c>
      <c r="BD28" s="10">
        <f t="shared" si="24"/>
        <v>61.247425445029023</v>
      </c>
      <c r="BE28" s="10">
        <f t="shared" si="54"/>
        <v>1012293.414</v>
      </c>
      <c r="BF28" s="10">
        <f t="shared" si="25"/>
        <v>75.699803546103382</v>
      </c>
      <c r="BG28" s="105"/>
      <c r="BH28" s="10">
        <f t="shared" si="26"/>
        <v>0</v>
      </c>
      <c r="BI28" s="10">
        <f t="shared" si="55"/>
        <v>19443.918000000001</v>
      </c>
      <c r="BJ28" s="10">
        <f t="shared" si="27"/>
        <v>1.4540258312562166</v>
      </c>
      <c r="BK28" s="105"/>
      <c r="BL28" s="10">
        <f t="shared" si="28"/>
        <v>0</v>
      </c>
      <c r="BM28" s="10">
        <f t="shared" si="56"/>
        <v>0</v>
      </c>
      <c r="BN28" s="10">
        <f t="shared" si="29"/>
        <v>0</v>
      </c>
      <c r="BO28" s="105"/>
      <c r="BP28" s="15">
        <f t="shared" si="30"/>
        <v>0</v>
      </c>
      <c r="BQ28" s="10">
        <f t="shared" si="57"/>
        <v>0</v>
      </c>
      <c r="BR28" s="10">
        <f t="shared" si="31"/>
        <v>0</v>
      </c>
      <c r="BS28" s="10">
        <f t="shared" si="58"/>
        <v>0</v>
      </c>
      <c r="BT28" s="10">
        <f t="shared" si="32"/>
        <v>0</v>
      </c>
      <c r="BU28" s="10">
        <f t="shared" si="59"/>
        <v>19443.918000000001</v>
      </c>
      <c r="BV28" s="10">
        <f t="shared" si="33"/>
        <v>1.4540258312562166</v>
      </c>
      <c r="BW28" s="105"/>
      <c r="BX28" s="10">
        <f t="shared" si="34"/>
        <v>0</v>
      </c>
      <c r="BY28" s="10">
        <f t="shared" si="60"/>
        <v>0</v>
      </c>
      <c r="BZ28" s="10">
        <f t="shared" si="35"/>
        <v>0</v>
      </c>
      <c r="CA28" s="10">
        <f t="shared" si="36"/>
        <v>72253.263999999996</v>
      </c>
      <c r="CB28" s="10">
        <f t="shared" si="61"/>
        <v>1337247.0819999999</v>
      </c>
      <c r="CC28" s="10">
        <f t="shared" si="37"/>
        <v>0.98795722919572293</v>
      </c>
      <c r="CD28" s="10">
        <f t="shared" si="38"/>
        <v>1.0365822531459921</v>
      </c>
      <c r="CL28" s="13"/>
    </row>
    <row r="29" spans="1:91">
      <c r="A29" s="16">
        <f>+Chem!A28</f>
        <v>46132</v>
      </c>
      <c r="B29" s="6" t="str">
        <f>+Chem!B28</f>
        <v>MG</v>
      </c>
      <c r="C29" s="16" t="str">
        <f>+Chem!C28</f>
        <v>19/17/15,5/20</v>
      </c>
      <c r="D29" s="8">
        <f>+Chem!D28</f>
        <v>81.585999999999999</v>
      </c>
      <c r="E29" s="7">
        <f>+Chem!E28</f>
        <v>84.385999999999996</v>
      </c>
      <c r="F29" s="7">
        <f t="shared" si="39"/>
        <v>1374.44</v>
      </c>
      <c r="G29" s="105"/>
      <c r="H29" s="10">
        <f t="shared" si="0"/>
        <v>0</v>
      </c>
      <c r="I29" s="8">
        <f t="shared" si="40"/>
        <v>62544.750000000007</v>
      </c>
      <c r="J29" s="10">
        <f t="shared" si="1"/>
        <v>4.4090374975499946</v>
      </c>
      <c r="K29" s="105"/>
      <c r="L29" s="10">
        <f t="shared" si="2"/>
        <v>0</v>
      </c>
      <c r="M29" s="10">
        <f t="shared" si="41"/>
        <v>0</v>
      </c>
      <c r="N29" s="10">
        <f t="shared" si="3"/>
        <v>0</v>
      </c>
      <c r="O29" s="105"/>
      <c r="P29" s="10">
        <f t="shared" si="4"/>
        <v>0</v>
      </c>
      <c r="Q29" s="10">
        <f t="shared" si="42"/>
        <v>0</v>
      </c>
      <c r="R29" s="10">
        <f t="shared" si="5"/>
        <v>0</v>
      </c>
      <c r="S29" s="105">
        <f>108*S7</f>
        <v>27000</v>
      </c>
      <c r="T29" s="10">
        <f t="shared" si="6"/>
        <v>33.205911183485242</v>
      </c>
      <c r="U29" s="10">
        <f t="shared" si="43"/>
        <v>269965</v>
      </c>
      <c r="V29" s="10">
        <f t="shared" si="7"/>
        <v>19.030946770529649</v>
      </c>
      <c r="W29" s="105"/>
      <c r="X29" s="10">
        <f t="shared" si="8"/>
        <v>0</v>
      </c>
      <c r="Y29" s="10">
        <f t="shared" si="44"/>
        <v>0</v>
      </c>
      <c r="Z29" s="10">
        <f t="shared" si="9"/>
        <v>0</v>
      </c>
      <c r="AA29" s="105">
        <v>0</v>
      </c>
      <c r="AB29" s="10">
        <f t="shared" si="10"/>
        <v>0</v>
      </c>
      <c r="AC29" s="10">
        <f t="shared" si="45"/>
        <v>0</v>
      </c>
      <c r="AD29" s="10">
        <f t="shared" si="11"/>
        <v>0</v>
      </c>
      <c r="AE29" s="10">
        <f t="shared" si="46"/>
        <v>27000</v>
      </c>
      <c r="AF29" s="10">
        <f t="shared" si="12"/>
        <v>33.205911183485242</v>
      </c>
      <c r="AG29" s="10">
        <f t="shared" si="47"/>
        <v>332509.75</v>
      </c>
      <c r="AH29" s="10">
        <f t="shared" si="13"/>
        <v>23.439984268079641</v>
      </c>
      <c r="AI29" s="105">
        <f>216*AI7</f>
        <v>54310.824000000001</v>
      </c>
      <c r="AJ29" s="10">
        <f t="shared" si="14"/>
        <v>66.794088816514758</v>
      </c>
      <c r="AK29" s="10">
        <f t="shared" si="48"/>
        <v>1066604.2379999999</v>
      </c>
      <c r="AL29" s="10">
        <f t="shared" si="15"/>
        <v>75.18933372325796</v>
      </c>
      <c r="AM29" s="105"/>
      <c r="AN29" s="10">
        <f t="shared" si="16"/>
        <v>0</v>
      </c>
      <c r="AO29" s="10">
        <f t="shared" si="49"/>
        <v>0</v>
      </c>
      <c r="AP29" s="10">
        <f t="shared" si="17"/>
        <v>0</v>
      </c>
      <c r="AQ29" s="105"/>
      <c r="AR29" s="10">
        <f t="shared" si="18"/>
        <v>0</v>
      </c>
      <c r="AS29" s="10">
        <f t="shared" si="50"/>
        <v>0</v>
      </c>
      <c r="AT29" s="10">
        <f t="shared" si="19"/>
        <v>0</v>
      </c>
      <c r="AU29" s="105"/>
      <c r="AV29" s="10">
        <f t="shared" si="20"/>
        <v>0</v>
      </c>
      <c r="AW29" s="10">
        <f t="shared" si="51"/>
        <v>0</v>
      </c>
      <c r="AX29" s="10">
        <f t="shared" si="21"/>
        <v>0</v>
      </c>
      <c r="AY29" s="105"/>
      <c r="AZ29" s="10">
        <f t="shared" si="22"/>
        <v>0</v>
      </c>
      <c r="BA29" s="10">
        <f t="shared" si="52"/>
        <v>0</v>
      </c>
      <c r="BB29" s="10">
        <f t="shared" si="23"/>
        <v>0</v>
      </c>
      <c r="BC29" s="10">
        <f t="shared" si="53"/>
        <v>54310.824000000001</v>
      </c>
      <c r="BD29" s="10">
        <f t="shared" si="24"/>
        <v>66.794088816514758</v>
      </c>
      <c r="BE29" s="10">
        <f t="shared" si="54"/>
        <v>1066604.2379999999</v>
      </c>
      <c r="BF29" s="10">
        <f t="shared" si="25"/>
        <v>75.18933372325796</v>
      </c>
      <c r="BG29" s="105"/>
      <c r="BH29" s="10">
        <f t="shared" si="26"/>
        <v>0</v>
      </c>
      <c r="BI29" s="10">
        <f t="shared" si="55"/>
        <v>19443.918000000001</v>
      </c>
      <c r="BJ29" s="10">
        <f t="shared" si="27"/>
        <v>1.3706820086623945</v>
      </c>
      <c r="BK29" s="105"/>
      <c r="BL29" s="10">
        <f t="shared" si="28"/>
        <v>0</v>
      </c>
      <c r="BM29" s="10">
        <f t="shared" si="56"/>
        <v>0</v>
      </c>
      <c r="BN29" s="10">
        <f t="shared" si="29"/>
        <v>0</v>
      </c>
      <c r="BO29" s="105"/>
      <c r="BP29" s="15">
        <f t="shared" si="30"/>
        <v>0</v>
      </c>
      <c r="BQ29" s="10">
        <f t="shared" si="57"/>
        <v>0</v>
      </c>
      <c r="BR29" s="10">
        <f t="shared" si="31"/>
        <v>0</v>
      </c>
      <c r="BS29" s="10">
        <f t="shared" si="58"/>
        <v>0</v>
      </c>
      <c r="BT29" s="10">
        <f t="shared" si="32"/>
        <v>0</v>
      </c>
      <c r="BU29" s="10">
        <f t="shared" si="59"/>
        <v>19443.918000000001</v>
      </c>
      <c r="BV29" s="10">
        <f t="shared" si="33"/>
        <v>1.3706820086623945</v>
      </c>
      <c r="BW29" s="105"/>
      <c r="BX29" s="10">
        <f t="shared" si="34"/>
        <v>0</v>
      </c>
      <c r="BY29" s="10">
        <f t="shared" si="60"/>
        <v>0</v>
      </c>
      <c r="BZ29" s="10">
        <f t="shared" si="35"/>
        <v>0</v>
      </c>
      <c r="CA29" s="10">
        <f t="shared" si="36"/>
        <v>81310.823999999993</v>
      </c>
      <c r="CB29" s="10">
        <f t="shared" si="61"/>
        <v>1418557.906</v>
      </c>
      <c r="CC29" s="10">
        <f t="shared" si="37"/>
        <v>0.96355822055791251</v>
      </c>
      <c r="CD29" s="10">
        <f t="shared" si="38"/>
        <v>1.032098822793283</v>
      </c>
      <c r="CL29" s="13"/>
    </row>
    <row r="30" spans="1:91">
      <c r="A30" s="16">
        <f>+Chem!A29</f>
        <v>46133</v>
      </c>
      <c r="B30" s="6" t="str">
        <f>+Chem!B29</f>
        <v>MG/Facial</v>
      </c>
      <c r="C30" s="16" t="str">
        <f>+Chem!C29</f>
        <v>20/12</v>
      </c>
      <c r="D30" s="8">
        <f>+Chem!D29</f>
        <v>69.182999999999993</v>
      </c>
      <c r="E30" s="7">
        <f>+Chem!E29</f>
        <v>61.204000000000001</v>
      </c>
      <c r="F30" s="7">
        <f t="shared" si="39"/>
        <v>1435.644</v>
      </c>
      <c r="G30" s="105"/>
      <c r="H30" s="10">
        <f t="shared" si="0"/>
        <v>0</v>
      </c>
      <c r="I30" s="8">
        <f t="shared" si="40"/>
        <v>62544.750000000007</v>
      </c>
      <c r="J30" s="10">
        <f t="shared" si="1"/>
        <v>4.1950910851381824</v>
      </c>
      <c r="K30" s="105"/>
      <c r="L30" s="10">
        <f t="shared" si="2"/>
        <v>0</v>
      </c>
      <c r="M30" s="10">
        <f t="shared" si="41"/>
        <v>0</v>
      </c>
      <c r="N30" s="10">
        <f t="shared" si="3"/>
        <v>0</v>
      </c>
      <c r="O30" s="105"/>
      <c r="P30" s="10">
        <f t="shared" si="4"/>
        <v>0</v>
      </c>
      <c r="Q30" s="10">
        <f t="shared" si="42"/>
        <v>0</v>
      </c>
      <c r="R30" s="10">
        <f t="shared" si="5"/>
        <v>0</v>
      </c>
      <c r="S30" s="105">
        <f>48*S7</f>
        <v>12000</v>
      </c>
      <c r="T30" s="10">
        <f t="shared" si="6"/>
        <v>16.5871038584921</v>
      </c>
      <c r="U30" s="10">
        <f t="shared" si="43"/>
        <v>281965</v>
      </c>
      <c r="V30" s="10">
        <f t="shared" si="7"/>
        <v>18.912360475035676</v>
      </c>
      <c r="W30" s="105"/>
      <c r="X30" s="10">
        <f t="shared" si="8"/>
        <v>0</v>
      </c>
      <c r="Y30" s="10">
        <f t="shared" si="44"/>
        <v>0</v>
      </c>
      <c r="Z30" s="10">
        <f t="shared" si="9"/>
        <v>0</v>
      </c>
      <c r="AA30" s="105">
        <v>0</v>
      </c>
      <c r="AB30" s="10">
        <f t="shared" si="10"/>
        <v>0</v>
      </c>
      <c r="AC30" s="10">
        <f t="shared" si="45"/>
        <v>0</v>
      </c>
      <c r="AD30" s="10">
        <f t="shared" si="11"/>
        <v>0</v>
      </c>
      <c r="AE30" s="10">
        <f t="shared" si="46"/>
        <v>12000</v>
      </c>
      <c r="AF30" s="10">
        <f t="shared" si="12"/>
        <v>16.5871038584921</v>
      </c>
      <c r="AG30" s="10">
        <f t="shared" si="47"/>
        <v>344509.75</v>
      </c>
      <c r="AH30" s="10">
        <f t="shared" si="13"/>
        <v>23.107451560173857</v>
      </c>
      <c r="AI30" s="105">
        <f>240*AI7</f>
        <v>60345.36</v>
      </c>
      <c r="AJ30" s="10">
        <f t="shared" si="14"/>
        <v>83.4128961415079</v>
      </c>
      <c r="AK30" s="10">
        <f t="shared" si="48"/>
        <v>1126949.598</v>
      </c>
      <c r="AL30" s="10">
        <f t="shared" si="15"/>
        <v>75.588378112788973</v>
      </c>
      <c r="AM30" s="105"/>
      <c r="AN30" s="10">
        <f t="shared" si="16"/>
        <v>0</v>
      </c>
      <c r="AO30" s="10">
        <f t="shared" si="49"/>
        <v>0</v>
      </c>
      <c r="AP30" s="10">
        <f t="shared" si="17"/>
        <v>0</v>
      </c>
      <c r="AQ30" s="105"/>
      <c r="AR30" s="10">
        <f t="shared" si="18"/>
        <v>0</v>
      </c>
      <c r="AS30" s="10">
        <f t="shared" si="50"/>
        <v>0</v>
      </c>
      <c r="AT30" s="10">
        <f t="shared" si="19"/>
        <v>0</v>
      </c>
      <c r="AU30" s="105"/>
      <c r="AV30" s="10">
        <f t="shared" si="20"/>
        <v>0</v>
      </c>
      <c r="AW30" s="10">
        <f t="shared" si="51"/>
        <v>0</v>
      </c>
      <c r="AX30" s="10">
        <f t="shared" si="21"/>
        <v>0</v>
      </c>
      <c r="AY30" s="105"/>
      <c r="AZ30" s="10">
        <f t="shared" si="22"/>
        <v>0</v>
      </c>
      <c r="BA30" s="10">
        <f t="shared" si="52"/>
        <v>0</v>
      </c>
      <c r="BB30" s="10">
        <f t="shared" si="23"/>
        <v>0</v>
      </c>
      <c r="BC30" s="10">
        <f t="shared" si="53"/>
        <v>60345.36</v>
      </c>
      <c r="BD30" s="10">
        <f t="shared" si="24"/>
        <v>83.4128961415079</v>
      </c>
      <c r="BE30" s="10">
        <f t="shared" si="54"/>
        <v>1126949.598</v>
      </c>
      <c r="BF30" s="10">
        <f t="shared" si="25"/>
        <v>75.588378112788973</v>
      </c>
      <c r="BG30" s="105"/>
      <c r="BH30" s="10">
        <f t="shared" si="26"/>
        <v>0</v>
      </c>
      <c r="BI30" s="10">
        <f t="shared" si="55"/>
        <v>19443.918000000001</v>
      </c>
      <c r="BJ30" s="10">
        <f t="shared" si="27"/>
        <v>1.3041703270371667</v>
      </c>
      <c r="BK30" s="105"/>
      <c r="BL30" s="10">
        <f t="shared" si="28"/>
        <v>0</v>
      </c>
      <c r="BM30" s="10">
        <f t="shared" si="56"/>
        <v>0</v>
      </c>
      <c r="BN30" s="10">
        <f t="shared" si="29"/>
        <v>0</v>
      </c>
      <c r="BO30" s="105"/>
      <c r="BP30" s="15">
        <f t="shared" si="30"/>
        <v>0</v>
      </c>
      <c r="BQ30" s="10">
        <f t="shared" si="57"/>
        <v>0</v>
      </c>
      <c r="BR30" s="10">
        <f t="shared" si="31"/>
        <v>0</v>
      </c>
      <c r="BS30" s="10">
        <f t="shared" si="58"/>
        <v>0</v>
      </c>
      <c r="BT30" s="10">
        <f t="shared" si="32"/>
        <v>0</v>
      </c>
      <c r="BU30" s="10">
        <f t="shared" si="59"/>
        <v>19443.918000000001</v>
      </c>
      <c r="BV30" s="10">
        <f t="shared" si="33"/>
        <v>1.3041703270371667</v>
      </c>
      <c r="BW30" s="105"/>
      <c r="BX30" s="10">
        <f t="shared" si="34"/>
        <v>0</v>
      </c>
      <c r="BY30" s="10">
        <f t="shared" si="60"/>
        <v>0</v>
      </c>
      <c r="BZ30" s="10">
        <f t="shared" si="35"/>
        <v>0</v>
      </c>
      <c r="CA30" s="10">
        <f t="shared" si="36"/>
        <v>72345.36</v>
      </c>
      <c r="CB30" s="10">
        <f t="shared" si="61"/>
        <v>1490903.2660000001</v>
      </c>
      <c r="CC30" s="10">
        <f t="shared" si="37"/>
        <v>1.1820364682046924</v>
      </c>
      <c r="CD30" s="10">
        <f t="shared" si="38"/>
        <v>1.0384909253268917</v>
      </c>
    </row>
    <row r="31" spans="1:91">
      <c r="A31" s="16">
        <f>+Chem!A30</f>
        <v>46134</v>
      </c>
      <c r="B31" s="6" t="str">
        <f>+Chem!B30</f>
        <v>Facial/MG</v>
      </c>
      <c r="C31" s="16" t="str">
        <f>+Chem!C30</f>
        <v>12/20</v>
      </c>
      <c r="D31" s="8">
        <f>+Chem!D30</f>
        <v>58.465999999999994</v>
      </c>
      <c r="E31" s="7">
        <f>+Chem!E30</f>
        <v>54.311</v>
      </c>
      <c r="F31" s="7">
        <f t="shared" si="39"/>
        <v>1489.9549999999999</v>
      </c>
      <c r="G31" s="105"/>
      <c r="H31" s="10">
        <f t="shared" si="0"/>
        <v>0</v>
      </c>
      <c r="I31" s="8">
        <f t="shared" si="40"/>
        <v>62544.750000000007</v>
      </c>
      <c r="J31" s="10">
        <f t="shared" si="1"/>
        <v>4.03890412506186</v>
      </c>
      <c r="K31" s="105"/>
      <c r="L31" s="10">
        <f t="shared" si="2"/>
        <v>0</v>
      </c>
      <c r="M31" s="10">
        <f t="shared" si="41"/>
        <v>0</v>
      </c>
      <c r="N31" s="10">
        <f t="shared" si="3"/>
        <v>0</v>
      </c>
      <c r="O31" s="105"/>
      <c r="P31" s="10">
        <f t="shared" si="4"/>
        <v>0</v>
      </c>
      <c r="Q31" s="10">
        <f t="shared" si="42"/>
        <v>0</v>
      </c>
      <c r="R31" s="10">
        <f t="shared" si="5"/>
        <v>0</v>
      </c>
      <c r="S31" s="105">
        <f>35.5*S7</f>
        <v>8875</v>
      </c>
      <c r="T31" s="10">
        <f t="shared" si="6"/>
        <v>15.393510331933344</v>
      </c>
      <c r="U31" s="10">
        <f t="shared" si="43"/>
        <v>290840</v>
      </c>
      <c r="V31" s="10">
        <f t="shared" si="7"/>
        <v>18.781350564723517</v>
      </c>
      <c r="W31" s="105"/>
      <c r="X31" s="10">
        <f t="shared" si="8"/>
        <v>0</v>
      </c>
      <c r="Y31" s="10">
        <f t="shared" si="44"/>
        <v>0</v>
      </c>
      <c r="Z31" s="10">
        <f t="shared" si="9"/>
        <v>0</v>
      </c>
      <c r="AA31" s="105">
        <v>0</v>
      </c>
      <c r="AB31" s="10">
        <f t="shared" si="10"/>
        <v>0</v>
      </c>
      <c r="AC31" s="10">
        <f t="shared" si="45"/>
        <v>0</v>
      </c>
      <c r="AD31" s="10">
        <f t="shared" si="11"/>
        <v>0</v>
      </c>
      <c r="AE31" s="10">
        <f t="shared" si="46"/>
        <v>8875</v>
      </c>
      <c r="AF31" s="10">
        <f t="shared" si="12"/>
        <v>15.393510331933344</v>
      </c>
      <c r="AG31" s="10">
        <f t="shared" si="47"/>
        <v>353384.75</v>
      </c>
      <c r="AH31" s="10">
        <f t="shared" si="13"/>
        <v>22.820254689785376</v>
      </c>
      <c r="AI31" s="105">
        <f>194*AI7</f>
        <v>48779.165999999997</v>
      </c>
      <c r="AJ31" s="10">
        <f t="shared" si="14"/>
        <v>84.606489668066658</v>
      </c>
      <c r="AK31" s="10">
        <f t="shared" si="48"/>
        <v>1175728.764</v>
      </c>
      <c r="AL31" s="10">
        <f t="shared" si="15"/>
        <v>75.924130400608874</v>
      </c>
      <c r="AM31" s="105"/>
      <c r="AN31" s="10">
        <f t="shared" si="16"/>
        <v>0</v>
      </c>
      <c r="AO31" s="10">
        <f t="shared" si="49"/>
        <v>0</v>
      </c>
      <c r="AP31" s="10">
        <f t="shared" si="17"/>
        <v>0</v>
      </c>
      <c r="AQ31" s="105"/>
      <c r="AR31" s="10">
        <f t="shared" si="18"/>
        <v>0</v>
      </c>
      <c r="AS31" s="10">
        <f t="shared" si="50"/>
        <v>0</v>
      </c>
      <c r="AT31" s="10">
        <f t="shared" si="19"/>
        <v>0</v>
      </c>
      <c r="AU31" s="105"/>
      <c r="AV31" s="10">
        <f t="shared" si="20"/>
        <v>0</v>
      </c>
      <c r="AW31" s="10">
        <f t="shared" si="51"/>
        <v>0</v>
      </c>
      <c r="AX31" s="10">
        <f t="shared" si="21"/>
        <v>0</v>
      </c>
      <c r="AY31" s="105"/>
      <c r="AZ31" s="10">
        <f t="shared" si="22"/>
        <v>0</v>
      </c>
      <c r="BA31" s="10">
        <f t="shared" si="52"/>
        <v>0</v>
      </c>
      <c r="BB31" s="10">
        <f t="shared" si="23"/>
        <v>0</v>
      </c>
      <c r="BC31" s="10">
        <f t="shared" si="53"/>
        <v>48779.165999999997</v>
      </c>
      <c r="BD31" s="10">
        <f t="shared" si="24"/>
        <v>84.606489668066658</v>
      </c>
      <c r="BE31" s="10">
        <f t="shared" si="54"/>
        <v>1175728.764</v>
      </c>
      <c r="BF31" s="10">
        <f t="shared" si="25"/>
        <v>75.924130400608874</v>
      </c>
      <c r="BG31" s="105"/>
      <c r="BH31" s="10">
        <f t="shared" si="26"/>
        <v>0</v>
      </c>
      <c r="BI31" s="10">
        <f t="shared" si="55"/>
        <v>19443.918000000001</v>
      </c>
      <c r="BJ31" s="10">
        <f t="shared" si="27"/>
        <v>1.2556149096057549</v>
      </c>
      <c r="BK31" s="105"/>
      <c r="BL31" s="10">
        <f t="shared" si="28"/>
        <v>0</v>
      </c>
      <c r="BM31" s="10">
        <f t="shared" si="56"/>
        <v>0</v>
      </c>
      <c r="BN31" s="10">
        <f t="shared" si="29"/>
        <v>0</v>
      </c>
      <c r="BO31" s="105"/>
      <c r="BP31" s="15">
        <f t="shared" si="30"/>
        <v>0</v>
      </c>
      <c r="BQ31" s="10">
        <f t="shared" si="57"/>
        <v>0</v>
      </c>
      <c r="BR31" s="10">
        <f t="shared" si="31"/>
        <v>0</v>
      </c>
      <c r="BS31" s="10">
        <f t="shared" si="58"/>
        <v>0</v>
      </c>
      <c r="BT31" s="10">
        <f t="shared" si="32"/>
        <v>0</v>
      </c>
      <c r="BU31" s="10">
        <f t="shared" si="59"/>
        <v>19443.918000000001</v>
      </c>
      <c r="BV31" s="10">
        <f t="shared" si="33"/>
        <v>1.2556149096057549</v>
      </c>
      <c r="BW31" s="105"/>
      <c r="BX31" s="10">
        <f t="shared" si="34"/>
        <v>0</v>
      </c>
      <c r="BY31" s="10">
        <f t="shared" si="60"/>
        <v>0</v>
      </c>
      <c r="BZ31" s="10">
        <f t="shared" si="35"/>
        <v>0</v>
      </c>
      <c r="CA31" s="10">
        <f t="shared" si="36"/>
        <v>57654.165999999997</v>
      </c>
      <c r="CB31" s="10">
        <f t="shared" si="61"/>
        <v>1548557.432</v>
      </c>
      <c r="CC31" s="10">
        <f t="shared" si="37"/>
        <v>1.0615559647216954</v>
      </c>
      <c r="CD31" s="10">
        <f t="shared" si="38"/>
        <v>1.0393316791446723</v>
      </c>
    </row>
    <row r="32" spans="1:91">
      <c r="A32" s="16">
        <f>+Chem!A31</f>
        <v>46135</v>
      </c>
      <c r="B32" s="6" t="str">
        <f>+Chem!B31</f>
        <v>Facial/MG</v>
      </c>
      <c r="C32" s="16" t="str">
        <f>+Chem!C31</f>
        <v>12/20</v>
      </c>
      <c r="D32" s="8">
        <f>+Chem!D31</f>
        <v>68.013000000000005</v>
      </c>
      <c r="E32" s="7">
        <f>+Chem!E31</f>
        <v>62.985999999999997</v>
      </c>
      <c r="F32" s="7">
        <f t="shared" si="39"/>
        <v>1552.941</v>
      </c>
      <c r="G32" s="105"/>
      <c r="H32" s="10">
        <f t="shared" si="0"/>
        <v>0</v>
      </c>
      <c r="I32" s="8">
        <f t="shared" si="40"/>
        <v>62544.750000000007</v>
      </c>
      <c r="J32" s="10">
        <f t="shared" si="1"/>
        <v>3.8637569591393479</v>
      </c>
      <c r="K32" s="105"/>
      <c r="L32" s="10">
        <f t="shared" si="2"/>
        <v>0</v>
      </c>
      <c r="M32" s="10">
        <f t="shared" si="41"/>
        <v>0</v>
      </c>
      <c r="N32" s="10">
        <f t="shared" si="3"/>
        <v>0</v>
      </c>
      <c r="O32" s="105"/>
      <c r="P32" s="10">
        <f t="shared" si="4"/>
        <v>0</v>
      </c>
      <c r="Q32" s="10">
        <f t="shared" si="42"/>
        <v>0</v>
      </c>
      <c r="R32" s="10">
        <f t="shared" si="5"/>
        <v>0</v>
      </c>
      <c r="S32" s="105">
        <f>55.5*S7</f>
        <v>13875</v>
      </c>
      <c r="T32" s="10">
        <f t="shared" si="6"/>
        <v>19.765707348210483</v>
      </c>
      <c r="U32" s="10">
        <f t="shared" si="43"/>
        <v>304715</v>
      </c>
      <c r="V32" s="10">
        <f t="shared" si="7"/>
        <v>18.824037218218098</v>
      </c>
      <c r="W32" s="105"/>
      <c r="X32" s="10">
        <f t="shared" si="8"/>
        <v>0</v>
      </c>
      <c r="Y32" s="10">
        <f t="shared" si="44"/>
        <v>0</v>
      </c>
      <c r="Z32" s="10">
        <f t="shared" si="9"/>
        <v>0</v>
      </c>
      <c r="AA32" s="105">
        <v>0</v>
      </c>
      <c r="AB32" s="10">
        <f t="shared" si="10"/>
        <v>0</v>
      </c>
      <c r="AC32" s="10">
        <f t="shared" si="45"/>
        <v>0</v>
      </c>
      <c r="AD32" s="10">
        <f t="shared" si="11"/>
        <v>0</v>
      </c>
      <c r="AE32" s="10">
        <f t="shared" si="46"/>
        <v>13875</v>
      </c>
      <c r="AF32" s="10">
        <f t="shared" si="12"/>
        <v>19.765707348210483</v>
      </c>
      <c r="AG32" s="10">
        <f t="shared" si="47"/>
        <v>367259.75</v>
      </c>
      <c r="AH32" s="10">
        <f t="shared" si="13"/>
        <v>22.687794177357446</v>
      </c>
      <c r="AI32" s="105">
        <f>224*AI7</f>
        <v>56322.335999999996</v>
      </c>
      <c r="AJ32" s="10">
        <f t="shared" si="14"/>
        <v>80.234292651789517</v>
      </c>
      <c r="AK32" s="10">
        <f t="shared" si="48"/>
        <v>1232051.0999999999</v>
      </c>
      <c r="AL32" s="10">
        <f t="shared" si="15"/>
        <v>76.111040681116933</v>
      </c>
      <c r="AM32" s="105"/>
      <c r="AN32" s="10">
        <f t="shared" si="16"/>
        <v>0</v>
      </c>
      <c r="AO32" s="10">
        <f t="shared" si="49"/>
        <v>0</v>
      </c>
      <c r="AP32" s="10">
        <f t="shared" si="17"/>
        <v>0</v>
      </c>
      <c r="AQ32" s="105"/>
      <c r="AR32" s="10">
        <f t="shared" si="18"/>
        <v>0</v>
      </c>
      <c r="AS32" s="10">
        <f t="shared" si="50"/>
        <v>0</v>
      </c>
      <c r="AT32" s="10">
        <f t="shared" si="19"/>
        <v>0</v>
      </c>
      <c r="AU32" s="105"/>
      <c r="AV32" s="10">
        <f t="shared" si="20"/>
        <v>0</v>
      </c>
      <c r="AW32" s="10">
        <f t="shared" si="51"/>
        <v>0</v>
      </c>
      <c r="AX32" s="10">
        <f t="shared" si="21"/>
        <v>0</v>
      </c>
      <c r="AY32" s="105"/>
      <c r="AZ32" s="10">
        <f t="shared" si="22"/>
        <v>0</v>
      </c>
      <c r="BA32" s="10">
        <f t="shared" si="52"/>
        <v>0</v>
      </c>
      <c r="BB32" s="10">
        <f t="shared" si="23"/>
        <v>0</v>
      </c>
      <c r="BC32" s="10">
        <f t="shared" si="53"/>
        <v>56322.335999999996</v>
      </c>
      <c r="BD32" s="10">
        <f t="shared" si="24"/>
        <v>80.234292651789517</v>
      </c>
      <c r="BE32" s="10">
        <f t="shared" si="54"/>
        <v>1232051.0999999999</v>
      </c>
      <c r="BF32" s="10">
        <f t="shared" si="25"/>
        <v>76.111040681116933</v>
      </c>
      <c r="BG32" s="105"/>
      <c r="BH32" s="10">
        <f t="shared" si="26"/>
        <v>0</v>
      </c>
      <c r="BI32" s="10">
        <f t="shared" si="55"/>
        <v>19443.918000000001</v>
      </c>
      <c r="BJ32" s="10">
        <f t="shared" si="27"/>
        <v>1.201165141525625</v>
      </c>
      <c r="BK32" s="105"/>
      <c r="BL32" s="10">
        <f t="shared" si="28"/>
        <v>0</v>
      </c>
      <c r="BM32" s="10">
        <f t="shared" si="56"/>
        <v>0</v>
      </c>
      <c r="BN32" s="10">
        <f t="shared" si="29"/>
        <v>0</v>
      </c>
      <c r="BO32" s="105"/>
      <c r="BP32" s="15">
        <f t="shared" si="30"/>
        <v>0</v>
      </c>
      <c r="BQ32" s="10">
        <f t="shared" si="57"/>
        <v>0</v>
      </c>
      <c r="BR32" s="10">
        <f t="shared" si="31"/>
        <v>0</v>
      </c>
      <c r="BS32" s="10">
        <f t="shared" si="58"/>
        <v>0</v>
      </c>
      <c r="BT32" s="10">
        <f t="shared" si="32"/>
        <v>0</v>
      </c>
      <c r="BU32" s="10">
        <f t="shared" si="59"/>
        <v>19443.918000000001</v>
      </c>
      <c r="BV32" s="10">
        <f t="shared" si="33"/>
        <v>1.201165141525625</v>
      </c>
      <c r="BW32" s="105"/>
      <c r="BX32" s="10">
        <f t="shared" si="34"/>
        <v>0</v>
      </c>
      <c r="BY32" s="10">
        <f t="shared" si="60"/>
        <v>0</v>
      </c>
      <c r="BZ32" s="10">
        <f t="shared" si="35"/>
        <v>0</v>
      </c>
      <c r="CA32" s="10">
        <f t="shared" si="36"/>
        <v>70197.335999999996</v>
      </c>
      <c r="CB32" s="10">
        <f t="shared" si="61"/>
        <v>1618754.7679999999</v>
      </c>
      <c r="CC32" s="10">
        <f t="shared" si="37"/>
        <v>1.1144910932588195</v>
      </c>
      <c r="CD32" s="10">
        <f t="shared" si="38"/>
        <v>1.0423800826947063</v>
      </c>
    </row>
    <row r="33" spans="1:82">
      <c r="A33" s="16">
        <f>+Chem!A32</f>
        <v>46136</v>
      </c>
      <c r="B33" s="6" t="str">
        <f>+Chem!B32</f>
        <v>MG/Facial</v>
      </c>
      <c r="C33" s="16" t="str">
        <f>+Chem!C32</f>
        <v>20,5/21,5/12</v>
      </c>
      <c r="D33" s="8">
        <f>+Chem!D32</f>
        <v>74.367000000000004</v>
      </c>
      <c r="E33" s="7">
        <f>+Chem!E32</f>
        <v>77.438000000000002</v>
      </c>
      <c r="F33" s="7">
        <f t="shared" si="39"/>
        <v>1630.3790000000001</v>
      </c>
      <c r="G33" s="105"/>
      <c r="H33" s="10">
        <f t="shared" si="0"/>
        <v>0</v>
      </c>
      <c r="I33" s="8">
        <f t="shared" si="40"/>
        <v>62544.750000000007</v>
      </c>
      <c r="J33" s="10">
        <f t="shared" si="1"/>
        <v>3.6919157826779889</v>
      </c>
      <c r="K33" s="105"/>
      <c r="L33" s="10">
        <f t="shared" si="2"/>
        <v>0</v>
      </c>
      <c r="M33" s="10">
        <f t="shared" si="41"/>
        <v>0</v>
      </c>
      <c r="N33" s="10">
        <f t="shared" si="3"/>
        <v>0</v>
      </c>
      <c r="O33" s="105"/>
      <c r="P33" s="10">
        <f t="shared" si="4"/>
        <v>0</v>
      </c>
      <c r="Q33" s="10">
        <f t="shared" si="42"/>
        <v>0</v>
      </c>
      <c r="R33" s="10">
        <f t="shared" si="5"/>
        <v>0</v>
      </c>
      <c r="S33" s="105">
        <f>60*S7</f>
        <v>15000</v>
      </c>
      <c r="T33" s="10">
        <f t="shared" si="6"/>
        <v>19.908326139791487</v>
      </c>
      <c r="U33" s="10">
        <f t="shared" si="43"/>
        <v>319715</v>
      </c>
      <c r="V33" s="10">
        <f t="shared" si="7"/>
        <v>18.872261132371509</v>
      </c>
      <c r="W33" s="105"/>
      <c r="X33" s="10">
        <f t="shared" si="8"/>
        <v>0</v>
      </c>
      <c r="Y33" s="10">
        <f t="shared" si="44"/>
        <v>0</v>
      </c>
      <c r="Z33" s="10">
        <f t="shared" si="9"/>
        <v>0</v>
      </c>
      <c r="AA33" s="105">
        <v>0</v>
      </c>
      <c r="AB33" s="10">
        <f t="shared" si="10"/>
        <v>0</v>
      </c>
      <c r="AC33" s="10">
        <f t="shared" si="45"/>
        <v>0</v>
      </c>
      <c r="AD33" s="10">
        <f t="shared" si="11"/>
        <v>0</v>
      </c>
      <c r="AE33" s="10">
        <f t="shared" si="46"/>
        <v>15000</v>
      </c>
      <c r="AF33" s="10">
        <f t="shared" si="12"/>
        <v>19.908326139791487</v>
      </c>
      <c r="AG33" s="10">
        <f t="shared" si="47"/>
        <v>382259.75</v>
      </c>
      <c r="AH33" s="10">
        <f t="shared" si="13"/>
        <v>22.564176915049497</v>
      </c>
      <c r="AI33" s="105">
        <f>240*AI7</f>
        <v>60345.36</v>
      </c>
      <c r="AJ33" s="10">
        <f t="shared" si="14"/>
        <v>80.091673860208516</v>
      </c>
      <c r="AK33" s="10">
        <f t="shared" si="48"/>
        <v>1292396.46</v>
      </c>
      <c r="AL33" s="10">
        <f t="shared" si="15"/>
        <v>76.288079945177827</v>
      </c>
      <c r="AM33" s="105"/>
      <c r="AN33" s="10">
        <f t="shared" si="16"/>
        <v>0</v>
      </c>
      <c r="AO33" s="10">
        <f t="shared" si="49"/>
        <v>0</v>
      </c>
      <c r="AP33" s="10">
        <f t="shared" si="17"/>
        <v>0</v>
      </c>
      <c r="AQ33" s="105"/>
      <c r="AR33" s="10">
        <f t="shared" si="18"/>
        <v>0</v>
      </c>
      <c r="AS33" s="10">
        <f>AQ33+AS32</f>
        <v>0</v>
      </c>
      <c r="AT33" s="10">
        <f t="shared" si="19"/>
        <v>0</v>
      </c>
      <c r="AU33" s="105"/>
      <c r="AV33" s="10">
        <f t="shared" si="20"/>
        <v>0</v>
      </c>
      <c r="AW33" s="10">
        <f t="shared" si="51"/>
        <v>0</v>
      </c>
      <c r="AX33" s="10">
        <f t="shared" si="21"/>
        <v>0</v>
      </c>
      <c r="AY33" s="105"/>
      <c r="AZ33" s="10">
        <f t="shared" si="22"/>
        <v>0</v>
      </c>
      <c r="BA33" s="10">
        <f t="shared" si="52"/>
        <v>0</v>
      </c>
      <c r="BB33" s="10">
        <f t="shared" si="23"/>
        <v>0</v>
      </c>
      <c r="BC33" s="10">
        <f t="shared" si="53"/>
        <v>60345.36</v>
      </c>
      <c r="BD33" s="10">
        <f t="shared" si="24"/>
        <v>80.091673860208516</v>
      </c>
      <c r="BE33" s="10">
        <f t="shared" si="54"/>
        <v>1292396.46</v>
      </c>
      <c r="BF33" s="10">
        <f t="shared" si="25"/>
        <v>76.288079945177827</v>
      </c>
      <c r="BG33" s="105"/>
      <c r="BH33" s="10">
        <f t="shared" si="26"/>
        <v>0</v>
      </c>
      <c r="BI33" s="10">
        <f t="shared" si="55"/>
        <v>19443.918000000001</v>
      </c>
      <c r="BJ33" s="10">
        <f t="shared" si="27"/>
        <v>1.1477431397726687</v>
      </c>
      <c r="BK33" s="105"/>
      <c r="BL33" s="10">
        <f t="shared" si="28"/>
        <v>0</v>
      </c>
      <c r="BM33" s="10">
        <f t="shared" si="56"/>
        <v>0</v>
      </c>
      <c r="BN33" s="10">
        <f t="shared" si="29"/>
        <v>0</v>
      </c>
      <c r="BO33" s="105"/>
      <c r="BP33" s="15">
        <f t="shared" si="30"/>
        <v>0</v>
      </c>
      <c r="BQ33" s="10">
        <f t="shared" si="57"/>
        <v>0</v>
      </c>
      <c r="BR33" s="10">
        <f t="shared" si="31"/>
        <v>0</v>
      </c>
      <c r="BS33" s="10">
        <f t="shared" si="58"/>
        <v>0</v>
      </c>
      <c r="BT33" s="10">
        <f t="shared" si="32"/>
        <v>0</v>
      </c>
      <c r="BU33" s="10">
        <f t="shared" si="59"/>
        <v>19443.918000000001</v>
      </c>
      <c r="BV33" s="10">
        <f t="shared" si="33"/>
        <v>1.1477431397726687</v>
      </c>
      <c r="BW33" s="105"/>
      <c r="BX33" s="10">
        <f t="shared" si="34"/>
        <v>0</v>
      </c>
      <c r="BY33" s="10">
        <f t="shared" si="60"/>
        <v>0</v>
      </c>
      <c r="BZ33" s="10">
        <f t="shared" si="35"/>
        <v>0</v>
      </c>
      <c r="CA33" s="10">
        <f t="shared" si="36"/>
        <v>75345.36</v>
      </c>
      <c r="CB33" s="10">
        <f t="shared" si="61"/>
        <v>1694100.128</v>
      </c>
      <c r="CC33" s="10">
        <f t="shared" si="37"/>
        <v>0.97297657480823363</v>
      </c>
      <c r="CD33" s="10">
        <f t="shared" si="38"/>
        <v>1.0390836290212275</v>
      </c>
    </row>
    <row r="34" spans="1:82">
      <c r="A34" s="16">
        <f>+Chem!A33</f>
        <v>46137</v>
      </c>
      <c r="B34" s="6" t="str">
        <f>+Chem!B33</f>
        <v>Facial/MG</v>
      </c>
      <c r="C34" s="16" t="str">
        <f>+Chem!C33</f>
        <v>12/25/13</v>
      </c>
      <c r="D34" s="8">
        <f>+Chem!D33</f>
        <v>64.506</v>
      </c>
      <c r="E34" s="7">
        <f>+Chem!E33</f>
        <v>60.396999999999998</v>
      </c>
      <c r="F34" s="7">
        <f t="shared" si="39"/>
        <v>1690.7760000000001</v>
      </c>
      <c r="G34" s="105"/>
      <c r="H34" s="10">
        <f t="shared" si="0"/>
        <v>0</v>
      </c>
      <c r="I34" s="8">
        <f t="shared" si="40"/>
        <v>62544.750000000007</v>
      </c>
      <c r="J34" s="10">
        <f t="shared" si="1"/>
        <v>3.5641639700368009</v>
      </c>
      <c r="K34" s="105"/>
      <c r="L34" s="10">
        <f t="shared" si="2"/>
        <v>0</v>
      </c>
      <c r="M34" s="10">
        <f t="shared" si="41"/>
        <v>0</v>
      </c>
      <c r="N34" s="10">
        <f t="shared" si="3"/>
        <v>0</v>
      </c>
      <c r="O34" s="105"/>
      <c r="P34" s="10">
        <f t="shared" si="4"/>
        <v>0</v>
      </c>
      <c r="Q34" s="10">
        <f t="shared" si="42"/>
        <v>0</v>
      </c>
      <c r="R34" s="10">
        <f t="shared" si="5"/>
        <v>0</v>
      </c>
      <c r="S34" s="105">
        <f>17.6*S7</f>
        <v>4400</v>
      </c>
      <c r="T34" s="10">
        <f t="shared" si="6"/>
        <v>7.2460980420779597</v>
      </c>
      <c r="U34" s="10">
        <f t="shared" si="43"/>
        <v>324115</v>
      </c>
      <c r="V34" s="10">
        <f t="shared" si="7"/>
        <v>18.469959591308264</v>
      </c>
      <c r="W34" s="105"/>
      <c r="X34" s="10">
        <f t="shared" si="8"/>
        <v>0</v>
      </c>
      <c r="Y34" s="10">
        <f t="shared" si="44"/>
        <v>0</v>
      </c>
      <c r="Z34" s="10">
        <f t="shared" si="9"/>
        <v>0</v>
      </c>
      <c r="AA34" s="105">
        <v>0</v>
      </c>
      <c r="AB34" s="10">
        <f t="shared" si="10"/>
        <v>0</v>
      </c>
      <c r="AC34" s="10">
        <f t="shared" si="45"/>
        <v>0</v>
      </c>
      <c r="AD34" s="10">
        <f t="shared" si="11"/>
        <v>0</v>
      </c>
      <c r="AE34" s="10">
        <f t="shared" si="46"/>
        <v>4400</v>
      </c>
      <c r="AF34" s="10">
        <f t="shared" si="12"/>
        <v>7.2460980420779597</v>
      </c>
      <c r="AG34" s="10">
        <f t="shared" si="47"/>
        <v>386659.75</v>
      </c>
      <c r="AH34" s="10">
        <f t="shared" si="13"/>
        <v>22.034123561345066</v>
      </c>
      <c r="AI34" s="105">
        <f>224*AI7</f>
        <v>56322.335999999996</v>
      </c>
      <c r="AJ34" s="10">
        <f t="shared" si="14"/>
        <v>92.753901957922039</v>
      </c>
      <c r="AK34" s="10">
        <f t="shared" si="48"/>
        <v>1348718.7959999999</v>
      </c>
      <c r="AL34" s="10">
        <f t="shared" si="15"/>
        <v>76.857848794896668</v>
      </c>
      <c r="AM34" s="105"/>
      <c r="AN34" s="10">
        <f t="shared" si="16"/>
        <v>0</v>
      </c>
      <c r="AO34" s="10">
        <f t="shared" si="49"/>
        <v>0</v>
      </c>
      <c r="AP34" s="10">
        <f t="shared" si="17"/>
        <v>0</v>
      </c>
      <c r="AQ34" s="105"/>
      <c r="AR34" s="10">
        <f t="shared" si="18"/>
        <v>0</v>
      </c>
      <c r="AS34" s="10">
        <f>AQ34+AS33</f>
        <v>0</v>
      </c>
      <c r="AT34" s="10">
        <f t="shared" si="19"/>
        <v>0</v>
      </c>
      <c r="AU34" s="105"/>
      <c r="AV34" s="10">
        <f t="shared" si="20"/>
        <v>0</v>
      </c>
      <c r="AW34" s="10">
        <f t="shared" si="51"/>
        <v>0</v>
      </c>
      <c r="AX34" s="10">
        <f t="shared" si="21"/>
        <v>0</v>
      </c>
      <c r="AY34" s="105"/>
      <c r="AZ34" s="10">
        <f t="shared" si="22"/>
        <v>0</v>
      </c>
      <c r="BA34" s="10">
        <f t="shared" si="52"/>
        <v>0</v>
      </c>
      <c r="BB34" s="10">
        <f t="shared" si="23"/>
        <v>0</v>
      </c>
      <c r="BC34" s="10">
        <f t="shared" si="53"/>
        <v>56322.335999999996</v>
      </c>
      <c r="BD34" s="10">
        <f t="shared" si="24"/>
        <v>92.753901957922039</v>
      </c>
      <c r="BE34" s="10">
        <f t="shared" si="54"/>
        <v>1348718.7959999999</v>
      </c>
      <c r="BF34" s="10">
        <f t="shared" si="25"/>
        <v>76.857848794896668</v>
      </c>
      <c r="BG34" s="105"/>
      <c r="BH34" s="10">
        <f t="shared" si="26"/>
        <v>0</v>
      </c>
      <c r="BI34" s="10">
        <f t="shared" si="55"/>
        <v>19443.918000000001</v>
      </c>
      <c r="BJ34" s="10">
        <f t="shared" si="27"/>
        <v>1.1080276437582692</v>
      </c>
      <c r="BK34" s="105"/>
      <c r="BL34" s="10">
        <f t="shared" si="28"/>
        <v>0</v>
      </c>
      <c r="BM34" s="10">
        <f t="shared" si="56"/>
        <v>0</v>
      </c>
      <c r="BN34" s="10">
        <f t="shared" si="29"/>
        <v>0</v>
      </c>
      <c r="BO34" s="105"/>
      <c r="BP34" s="15">
        <f t="shared" si="30"/>
        <v>0</v>
      </c>
      <c r="BQ34" s="10">
        <f t="shared" si="57"/>
        <v>0</v>
      </c>
      <c r="BR34" s="10">
        <f t="shared" si="31"/>
        <v>0</v>
      </c>
      <c r="BS34" s="10">
        <f t="shared" si="58"/>
        <v>0</v>
      </c>
      <c r="BT34" s="10">
        <f t="shared" si="32"/>
        <v>0</v>
      </c>
      <c r="BU34" s="10">
        <f t="shared" si="59"/>
        <v>19443.918000000001</v>
      </c>
      <c r="BV34" s="10">
        <f t="shared" si="33"/>
        <v>1.1080276437582692</v>
      </c>
      <c r="BW34" s="105"/>
      <c r="BX34" s="10">
        <f t="shared" si="34"/>
        <v>0</v>
      </c>
      <c r="BY34" s="10">
        <f t="shared" si="60"/>
        <v>0</v>
      </c>
      <c r="BZ34" s="10">
        <f t="shared" si="35"/>
        <v>0</v>
      </c>
      <c r="CA34" s="10">
        <f t="shared" si="36"/>
        <v>60722.335999999996</v>
      </c>
      <c r="CB34" s="10">
        <f t="shared" si="61"/>
        <v>1754822.4639999999</v>
      </c>
      <c r="CC34" s="10">
        <f t="shared" si="37"/>
        <v>1.0053866251635015</v>
      </c>
      <c r="CD34" s="10">
        <f t="shared" si="38"/>
        <v>1.0378799225917565</v>
      </c>
    </row>
    <row r="35" spans="1:82">
      <c r="A35" s="16">
        <f>+Chem!A34</f>
        <v>46138</v>
      </c>
      <c r="B35" s="6" t="str">
        <f>+Chem!B34</f>
        <v>Facial</v>
      </c>
      <c r="C35" s="16" t="str">
        <f>+Chem!C34</f>
        <v>13/13,5</v>
      </c>
      <c r="D35" s="8">
        <f>+Chem!D34</f>
        <v>65.16</v>
      </c>
      <c r="E35" s="7">
        <f>+Chem!E34</f>
        <v>66.174999999999997</v>
      </c>
      <c r="F35" s="7">
        <f t="shared" si="39"/>
        <v>1756.951</v>
      </c>
      <c r="G35" s="105"/>
      <c r="H35" s="10">
        <f t="shared" si="0"/>
        <v>0</v>
      </c>
      <c r="I35" s="8">
        <f t="shared" si="40"/>
        <v>62544.750000000007</v>
      </c>
      <c r="J35" s="10">
        <f t="shared" si="1"/>
        <v>3.431943766734888</v>
      </c>
      <c r="K35" s="105"/>
      <c r="L35" s="10">
        <f t="shared" si="2"/>
        <v>0</v>
      </c>
      <c r="M35" s="10">
        <f t="shared" si="41"/>
        <v>0</v>
      </c>
      <c r="N35" s="10">
        <f t="shared" si="3"/>
        <v>0</v>
      </c>
      <c r="O35" s="105"/>
      <c r="P35" s="10">
        <f t="shared" si="4"/>
        <v>0</v>
      </c>
      <c r="Q35" s="10">
        <f t="shared" si="42"/>
        <v>0</v>
      </c>
      <c r="R35" s="10">
        <f t="shared" si="5"/>
        <v>0</v>
      </c>
      <c r="S35" s="105">
        <f>21*S7</f>
        <v>5250</v>
      </c>
      <c r="T35" s="10">
        <f t="shared" si="6"/>
        <v>7.7654827751829716</v>
      </c>
      <c r="U35" s="10">
        <f t="shared" si="43"/>
        <v>329365</v>
      </c>
      <c r="V35" s="10">
        <f t="shared" si="7"/>
        <v>18.072854375956997</v>
      </c>
      <c r="W35" s="105"/>
      <c r="X35" s="10">
        <f t="shared" si="8"/>
        <v>0</v>
      </c>
      <c r="Y35" s="10">
        <f t="shared" si="44"/>
        <v>0</v>
      </c>
      <c r="Z35" s="10">
        <f t="shared" si="9"/>
        <v>0</v>
      </c>
      <c r="AA35" s="105">
        <v>0</v>
      </c>
      <c r="AB35" s="10">
        <f t="shared" si="10"/>
        <v>0</v>
      </c>
      <c r="AC35" s="10">
        <f t="shared" si="45"/>
        <v>0</v>
      </c>
      <c r="AD35" s="10">
        <f t="shared" si="11"/>
        <v>0</v>
      </c>
      <c r="AE35" s="10">
        <f t="shared" si="46"/>
        <v>5250</v>
      </c>
      <c r="AF35" s="10">
        <f t="shared" si="12"/>
        <v>7.7654827751829716</v>
      </c>
      <c r="AG35" s="10">
        <f t="shared" si="47"/>
        <v>391909.75</v>
      </c>
      <c r="AH35" s="10">
        <f t="shared" si="13"/>
        <v>21.504798142691882</v>
      </c>
      <c r="AI35" s="105">
        <f>248*AI7</f>
        <v>62356.871999999996</v>
      </c>
      <c r="AJ35" s="10">
        <f t="shared" si="14"/>
        <v>92.234517224817012</v>
      </c>
      <c r="AK35" s="10">
        <f t="shared" si="48"/>
        <v>1411075.6679999998</v>
      </c>
      <c r="AL35" s="10">
        <f t="shared" si="15"/>
        <v>77.428278843290073</v>
      </c>
      <c r="AM35" s="105"/>
      <c r="AN35" s="10">
        <f t="shared" si="16"/>
        <v>0</v>
      </c>
      <c r="AO35" s="10">
        <f t="shared" si="49"/>
        <v>0</v>
      </c>
      <c r="AP35" s="10">
        <f t="shared" si="17"/>
        <v>0</v>
      </c>
      <c r="AQ35" s="105"/>
      <c r="AR35" s="10">
        <f t="shared" si="18"/>
        <v>0</v>
      </c>
      <c r="AS35" s="10">
        <f>AQ35+AS34</f>
        <v>0</v>
      </c>
      <c r="AT35" s="10">
        <f t="shared" si="19"/>
        <v>0</v>
      </c>
      <c r="AU35" s="105"/>
      <c r="AV35" s="10">
        <f t="shared" si="20"/>
        <v>0</v>
      </c>
      <c r="AW35" s="10">
        <f t="shared" si="51"/>
        <v>0</v>
      </c>
      <c r="AX35" s="10">
        <f t="shared" si="21"/>
        <v>0</v>
      </c>
      <c r="AY35" s="105"/>
      <c r="AZ35" s="10">
        <f t="shared" si="22"/>
        <v>0</v>
      </c>
      <c r="BA35" s="10">
        <f t="shared" si="52"/>
        <v>0</v>
      </c>
      <c r="BB35" s="10">
        <f t="shared" si="23"/>
        <v>0</v>
      </c>
      <c r="BC35" s="10">
        <f t="shared" si="53"/>
        <v>62356.871999999996</v>
      </c>
      <c r="BD35" s="10">
        <f t="shared" si="24"/>
        <v>92.234517224817012</v>
      </c>
      <c r="BE35" s="10">
        <f t="shared" si="54"/>
        <v>1411075.6679999998</v>
      </c>
      <c r="BF35" s="10">
        <f t="shared" si="25"/>
        <v>77.428278843290073</v>
      </c>
      <c r="BG35" s="105"/>
      <c r="BH35" s="10">
        <f t="shared" si="26"/>
        <v>0</v>
      </c>
      <c r="BI35" s="10">
        <f t="shared" si="55"/>
        <v>19443.918000000001</v>
      </c>
      <c r="BJ35" s="10">
        <f t="shared" si="27"/>
        <v>1.0669230140180317</v>
      </c>
      <c r="BK35" s="105"/>
      <c r="BL35" s="10">
        <f t="shared" si="28"/>
        <v>0</v>
      </c>
      <c r="BM35" s="10">
        <f t="shared" si="56"/>
        <v>0</v>
      </c>
      <c r="BN35" s="10">
        <f t="shared" si="29"/>
        <v>0</v>
      </c>
      <c r="BO35" s="105"/>
      <c r="BP35" s="15">
        <f t="shared" si="30"/>
        <v>0</v>
      </c>
      <c r="BQ35" s="10">
        <f t="shared" si="57"/>
        <v>0</v>
      </c>
      <c r="BR35" s="10">
        <f t="shared" si="31"/>
        <v>0</v>
      </c>
      <c r="BS35" s="10">
        <f t="shared" si="58"/>
        <v>0</v>
      </c>
      <c r="BT35" s="10">
        <f t="shared" si="32"/>
        <v>0</v>
      </c>
      <c r="BU35" s="10">
        <f t="shared" si="59"/>
        <v>19443.918000000001</v>
      </c>
      <c r="BV35" s="10">
        <f t="shared" si="33"/>
        <v>1.0669230140180317</v>
      </c>
      <c r="BW35" s="105"/>
      <c r="BX35" s="10">
        <f t="shared" si="34"/>
        <v>0</v>
      </c>
      <c r="BY35" s="10">
        <f t="shared" si="60"/>
        <v>0</v>
      </c>
      <c r="BZ35" s="10">
        <f t="shared" si="35"/>
        <v>0</v>
      </c>
      <c r="CA35" s="10">
        <f t="shared" si="36"/>
        <v>67606.872000000003</v>
      </c>
      <c r="CB35" s="10">
        <f t="shared" si="61"/>
        <v>1822429.3359999999</v>
      </c>
      <c r="CC35" s="10">
        <f t="shared" si="37"/>
        <v>1.0216376577257273</v>
      </c>
      <c r="CD35" s="10">
        <f t="shared" si="38"/>
        <v>1.0372681628571314</v>
      </c>
    </row>
    <row r="36" spans="1:82">
      <c r="A36" s="16">
        <f>+Chem!A35</f>
        <v>46139</v>
      </c>
      <c r="B36" s="6" t="str">
        <f>+Chem!B35</f>
        <v>Facial</v>
      </c>
      <c r="C36" s="16" t="str">
        <f>+Chem!C35</f>
        <v>13,5/12/10,5</v>
      </c>
      <c r="D36" s="8">
        <f>+Chem!D35</f>
        <v>58.93</v>
      </c>
      <c r="E36" s="7">
        <f>+Chem!E35</f>
        <v>55.545000000000002</v>
      </c>
      <c r="F36" s="7">
        <f t="shared" si="39"/>
        <v>1812.4960000000001</v>
      </c>
      <c r="G36" s="105"/>
      <c r="H36" s="10">
        <f t="shared" si="0"/>
        <v>0</v>
      </c>
      <c r="I36" s="8">
        <f t="shared" si="40"/>
        <v>62544.750000000007</v>
      </c>
      <c r="J36" s="10">
        <f t="shared" si="1"/>
        <v>3.3315003341144132</v>
      </c>
      <c r="K36" s="105"/>
      <c r="L36" s="10">
        <f t="shared" si="2"/>
        <v>0</v>
      </c>
      <c r="M36" s="10">
        <f t="shared" si="41"/>
        <v>0</v>
      </c>
      <c r="N36" s="10">
        <f t="shared" si="3"/>
        <v>0</v>
      </c>
      <c r="O36" s="105"/>
      <c r="P36" s="10">
        <f t="shared" si="4"/>
        <v>0</v>
      </c>
      <c r="Q36" s="10">
        <f t="shared" si="42"/>
        <v>0</v>
      </c>
      <c r="R36" s="10">
        <f t="shared" si="5"/>
        <v>0</v>
      </c>
      <c r="S36" s="105">
        <f>30.7*S7</f>
        <v>7675</v>
      </c>
      <c r="T36" s="10">
        <f t="shared" si="6"/>
        <v>13.968378720948593</v>
      </c>
      <c r="U36" s="10">
        <f t="shared" si="43"/>
        <v>337040</v>
      </c>
      <c r="V36" s="10">
        <f t="shared" si="7"/>
        <v>17.952727808647754</v>
      </c>
      <c r="W36" s="105"/>
      <c r="X36" s="10">
        <f t="shared" si="8"/>
        <v>0</v>
      </c>
      <c r="Y36" s="10">
        <f t="shared" si="44"/>
        <v>0</v>
      </c>
      <c r="Z36" s="10">
        <f t="shared" si="9"/>
        <v>0</v>
      </c>
      <c r="AA36" s="105">
        <v>0</v>
      </c>
      <c r="AB36" s="10">
        <f t="shared" si="10"/>
        <v>0</v>
      </c>
      <c r="AC36" s="10">
        <f t="shared" si="45"/>
        <v>0</v>
      </c>
      <c r="AD36" s="10">
        <f t="shared" si="11"/>
        <v>0</v>
      </c>
      <c r="AE36" s="10">
        <f t="shared" si="46"/>
        <v>7675</v>
      </c>
      <c r="AF36" s="10">
        <f t="shared" si="12"/>
        <v>13.968378720948593</v>
      </c>
      <c r="AG36" s="10">
        <f t="shared" si="47"/>
        <v>399584.75</v>
      </c>
      <c r="AH36" s="10">
        <f t="shared" si="13"/>
        <v>21.284228142762167</v>
      </c>
      <c r="AI36" s="105">
        <f>188*AI7</f>
        <v>47270.531999999999</v>
      </c>
      <c r="AJ36" s="10">
        <f t="shared" si="14"/>
        <v>86.031621279051407</v>
      </c>
      <c r="AK36" s="10">
        <f t="shared" si="48"/>
        <v>1458346.1999999997</v>
      </c>
      <c r="AL36" s="10">
        <f t="shared" si="15"/>
        <v>77.680074707381237</v>
      </c>
      <c r="AM36" s="105"/>
      <c r="AN36" s="10">
        <f t="shared" si="16"/>
        <v>0</v>
      </c>
      <c r="AO36" s="10">
        <f t="shared" si="49"/>
        <v>0</v>
      </c>
      <c r="AP36" s="10">
        <f t="shared" si="17"/>
        <v>0</v>
      </c>
      <c r="AQ36" s="105"/>
      <c r="AR36" s="10">
        <f t="shared" si="18"/>
        <v>0</v>
      </c>
      <c r="AS36" s="10">
        <f t="shared" si="50"/>
        <v>0</v>
      </c>
      <c r="AT36" s="10">
        <f t="shared" si="19"/>
        <v>0</v>
      </c>
      <c r="AU36" s="105"/>
      <c r="AV36" s="10">
        <f t="shared" si="20"/>
        <v>0</v>
      </c>
      <c r="AW36" s="10">
        <f t="shared" si="51"/>
        <v>0</v>
      </c>
      <c r="AX36" s="10">
        <f t="shared" si="21"/>
        <v>0</v>
      </c>
      <c r="AY36" s="105"/>
      <c r="AZ36" s="10">
        <f t="shared" si="22"/>
        <v>0</v>
      </c>
      <c r="BA36" s="10">
        <f t="shared" si="52"/>
        <v>0</v>
      </c>
      <c r="BB36" s="10">
        <f t="shared" si="23"/>
        <v>0</v>
      </c>
      <c r="BC36" s="10">
        <f t="shared" si="53"/>
        <v>47270.531999999999</v>
      </c>
      <c r="BD36" s="10">
        <f t="shared" si="24"/>
        <v>86.031621279051407</v>
      </c>
      <c r="BE36" s="10">
        <f t="shared" si="54"/>
        <v>1458346.1999999997</v>
      </c>
      <c r="BF36" s="10">
        <f t="shared" si="25"/>
        <v>77.680074707381237</v>
      </c>
      <c r="BG36" s="105"/>
      <c r="BH36" s="10">
        <f t="shared" si="26"/>
        <v>0</v>
      </c>
      <c r="BI36" s="10">
        <f t="shared" si="55"/>
        <v>19443.918000000001</v>
      </c>
      <c r="BJ36" s="10">
        <f t="shared" si="27"/>
        <v>1.0356971498565946</v>
      </c>
      <c r="BK36" s="105"/>
      <c r="BL36" s="10">
        <f t="shared" si="28"/>
        <v>0</v>
      </c>
      <c r="BM36" s="10">
        <f t="shared" si="56"/>
        <v>0</v>
      </c>
      <c r="BN36" s="10">
        <f t="shared" si="29"/>
        <v>0</v>
      </c>
      <c r="BO36" s="105"/>
      <c r="BP36" s="15">
        <f t="shared" si="30"/>
        <v>0</v>
      </c>
      <c r="BQ36" s="10">
        <f t="shared" si="57"/>
        <v>0</v>
      </c>
      <c r="BR36" s="10">
        <f t="shared" si="31"/>
        <v>0</v>
      </c>
      <c r="BS36" s="10">
        <f t="shared" si="58"/>
        <v>0</v>
      </c>
      <c r="BT36" s="10">
        <f t="shared" si="32"/>
        <v>0</v>
      </c>
      <c r="BU36" s="10">
        <f t="shared" si="59"/>
        <v>19443.918000000001</v>
      </c>
      <c r="BV36" s="10">
        <f t="shared" si="33"/>
        <v>1.0356971498565946</v>
      </c>
      <c r="BW36" s="105"/>
      <c r="BX36" s="10">
        <f t="shared" si="34"/>
        <v>0</v>
      </c>
      <c r="BY36" s="10">
        <f t="shared" si="60"/>
        <v>0</v>
      </c>
      <c r="BZ36" s="10">
        <f t="shared" si="35"/>
        <v>0</v>
      </c>
      <c r="CA36" s="10">
        <f t="shared" si="36"/>
        <v>54945.531999999999</v>
      </c>
      <c r="CB36" s="10">
        <f t="shared" si="61"/>
        <v>1877374.8679999998</v>
      </c>
      <c r="CC36" s="10">
        <f t="shared" si="37"/>
        <v>0.98920752542983159</v>
      </c>
      <c r="CD36" s="10">
        <f t="shared" si="38"/>
        <v>1.0357953165138019</v>
      </c>
    </row>
    <row r="37" spans="1:82">
      <c r="A37" s="16">
        <f>+Chem!A36</f>
        <v>46140</v>
      </c>
      <c r="B37" s="6" t="str">
        <f>+Chem!B36</f>
        <v>Facial/Sanitary Napkin</v>
      </c>
      <c r="C37" s="16" t="str">
        <f>+Chem!C36</f>
        <v>10,5/13</v>
      </c>
      <c r="D37" s="8">
        <f>+Chem!D36</f>
        <v>54.076999999999998</v>
      </c>
      <c r="E37" s="7">
        <f>+Chem!E36</f>
        <v>49.442999999999998</v>
      </c>
      <c r="F37" s="7">
        <f t="shared" si="39"/>
        <v>1861.9390000000001</v>
      </c>
      <c r="G37" s="105"/>
      <c r="H37" s="10">
        <f t="shared" si="0"/>
        <v>0</v>
      </c>
      <c r="I37" s="8">
        <f t="shared" si="40"/>
        <v>62544.750000000007</v>
      </c>
      <c r="J37" s="10">
        <f t="shared" si="1"/>
        <v>3.2340780095434196</v>
      </c>
      <c r="K37" s="105"/>
      <c r="L37" s="10">
        <f t="shared" si="2"/>
        <v>0</v>
      </c>
      <c r="M37" s="10">
        <f t="shared" si="41"/>
        <v>0</v>
      </c>
      <c r="N37" s="10">
        <f t="shared" si="3"/>
        <v>0</v>
      </c>
      <c r="O37" s="105"/>
      <c r="P37" s="10">
        <f t="shared" si="4"/>
        <v>0</v>
      </c>
      <c r="Q37" s="10">
        <f t="shared" si="42"/>
        <v>0</v>
      </c>
      <c r="R37" s="10">
        <f t="shared" si="5"/>
        <v>0</v>
      </c>
      <c r="S37" s="105">
        <f>101.5*S7</f>
        <v>25375</v>
      </c>
      <c r="T37" s="10">
        <f t="shared" si="6"/>
        <v>44.869068609730448</v>
      </c>
      <c r="U37" s="10">
        <f t="shared" si="43"/>
        <v>362415</v>
      </c>
      <c r="V37" s="10">
        <f t="shared" si="7"/>
        <v>18.739836386406186</v>
      </c>
      <c r="W37" s="105"/>
      <c r="X37" s="10">
        <f t="shared" si="8"/>
        <v>0</v>
      </c>
      <c r="Y37" s="10">
        <f t="shared" si="44"/>
        <v>0</v>
      </c>
      <c r="Z37" s="10">
        <f t="shared" si="9"/>
        <v>0</v>
      </c>
      <c r="AA37" s="105">
        <v>0</v>
      </c>
      <c r="AB37" s="10">
        <f t="shared" si="10"/>
        <v>0</v>
      </c>
      <c r="AC37" s="10">
        <f t="shared" si="45"/>
        <v>0</v>
      </c>
      <c r="AD37" s="10">
        <f t="shared" si="11"/>
        <v>0</v>
      </c>
      <c r="AE37" s="10">
        <f t="shared" si="46"/>
        <v>25375</v>
      </c>
      <c r="AF37" s="10">
        <f t="shared" si="12"/>
        <v>44.869068609730448</v>
      </c>
      <c r="AG37" s="10">
        <f t="shared" si="47"/>
        <v>424959.75</v>
      </c>
      <c r="AH37" s="10">
        <f t="shared" si="13"/>
        <v>21.973914395949606</v>
      </c>
      <c r="AI37" s="105">
        <f>124*AI7</f>
        <v>31178.435999999998</v>
      </c>
      <c r="AJ37" s="10">
        <f t="shared" si="14"/>
        <v>55.130931390269545</v>
      </c>
      <c r="AK37" s="10">
        <f t="shared" si="48"/>
        <v>1489524.6359999997</v>
      </c>
      <c r="AL37" s="10">
        <f t="shared" si="15"/>
        <v>77.020675115989206</v>
      </c>
      <c r="AM37" s="105"/>
      <c r="AN37" s="10">
        <f t="shared" si="16"/>
        <v>0</v>
      </c>
      <c r="AO37" s="10">
        <f t="shared" si="49"/>
        <v>0</v>
      </c>
      <c r="AP37" s="10">
        <f t="shared" si="17"/>
        <v>0</v>
      </c>
      <c r="AQ37" s="105"/>
      <c r="AR37" s="10">
        <f t="shared" si="18"/>
        <v>0</v>
      </c>
      <c r="AS37" s="10">
        <f t="shared" si="50"/>
        <v>0</v>
      </c>
      <c r="AT37" s="10">
        <f t="shared" si="19"/>
        <v>0</v>
      </c>
      <c r="AU37" s="105"/>
      <c r="AV37" s="10">
        <f t="shared" si="20"/>
        <v>0</v>
      </c>
      <c r="AW37" s="10">
        <f t="shared" si="51"/>
        <v>0</v>
      </c>
      <c r="AX37" s="10">
        <f t="shared" si="21"/>
        <v>0</v>
      </c>
      <c r="AY37" s="105"/>
      <c r="AZ37" s="10">
        <f t="shared" si="22"/>
        <v>0</v>
      </c>
      <c r="BA37" s="10">
        <f t="shared" si="52"/>
        <v>0</v>
      </c>
      <c r="BB37" s="10">
        <f t="shared" si="23"/>
        <v>0</v>
      </c>
      <c r="BC37" s="10">
        <f t="shared" si="53"/>
        <v>31178.435999999998</v>
      </c>
      <c r="BD37" s="10">
        <f t="shared" si="24"/>
        <v>55.130931390269545</v>
      </c>
      <c r="BE37" s="10">
        <f t="shared" si="54"/>
        <v>1489524.6359999997</v>
      </c>
      <c r="BF37" s="10">
        <f t="shared" si="25"/>
        <v>77.020675115989206</v>
      </c>
      <c r="BG37" s="105"/>
      <c r="BH37" s="10">
        <f t="shared" si="26"/>
        <v>0</v>
      </c>
      <c r="BI37" s="10">
        <f t="shared" si="55"/>
        <v>19443.918000000001</v>
      </c>
      <c r="BJ37" s="10">
        <f t="shared" si="27"/>
        <v>1.0054104880611956</v>
      </c>
      <c r="BK37" s="105"/>
      <c r="BL37" s="10">
        <f t="shared" si="28"/>
        <v>0</v>
      </c>
      <c r="BM37" s="10">
        <f t="shared" si="56"/>
        <v>0</v>
      </c>
      <c r="BN37" s="10">
        <f t="shared" si="29"/>
        <v>0</v>
      </c>
      <c r="BO37" s="105"/>
      <c r="BP37" s="15">
        <f t="shared" si="30"/>
        <v>0</v>
      </c>
      <c r="BQ37" s="10">
        <f t="shared" si="57"/>
        <v>0</v>
      </c>
      <c r="BR37" s="10">
        <f t="shared" si="31"/>
        <v>0</v>
      </c>
      <c r="BS37" s="10">
        <f t="shared" si="58"/>
        <v>0</v>
      </c>
      <c r="BT37" s="10">
        <f t="shared" si="32"/>
        <v>0</v>
      </c>
      <c r="BU37" s="10">
        <f t="shared" si="59"/>
        <v>19443.918000000001</v>
      </c>
      <c r="BV37" s="10">
        <f t="shared" si="33"/>
        <v>1.0054104880611956</v>
      </c>
      <c r="BW37" s="105"/>
      <c r="BX37" s="10">
        <f t="shared" si="34"/>
        <v>0</v>
      </c>
      <c r="BY37" s="10">
        <f t="shared" si="60"/>
        <v>0</v>
      </c>
      <c r="BZ37" s="10">
        <f t="shared" si="35"/>
        <v>0</v>
      </c>
      <c r="CA37" s="10">
        <f t="shared" si="36"/>
        <v>56553.436000000002</v>
      </c>
      <c r="CB37" s="10">
        <f t="shared" si="61"/>
        <v>1933928.3039999998</v>
      </c>
      <c r="CC37" s="10">
        <f t="shared" si="37"/>
        <v>1.143810772000081</v>
      </c>
      <c r="CD37" s="10">
        <f t="shared" si="38"/>
        <v>1.0386636210960722</v>
      </c>
    </row>
    <row r="38" spans="1:82">
      <c r="A38" s="16">
        <f>+Chem!A37</f>
        <v>46141</v>
      </c>
      <c r="B38" s="6" t="str">
        <f>+Chem!B37</f>
        <v>Sanitary Napkin</v>
      </c>
      <c r="C38" s="16" t="str">
        <f>+Chem!C37</f>
        <v>13</v>
      </c>
      <c r="D38" s="8">
        <f>+Chem!D37</f>
        <v>48.198</v>
      </c>
      <c r="E38" s="7">
        <f>+Chem!E37</f>
        <v>49.027999999999999</v>
      </c>
      <c r="F38" s="7">
        <f t="shared" si="39"/>
        <v>1910.9670000000001</v>
      </c>
      <c r="G38" s="105"/>
      <c r="H38" s="10">
        <f t="shared" si="0"/>
        <v>0</v>
      </c>
      <c r="I38" s="8">
        <f t="shared" si="40"/>
        <v>62544.750000000007</v>
      </c>
      <c r="J38" s="10">
        <f t="shared" si="1"/>
        <v>3.1533618097151486</v>
      </c>
      <c r="K38" s="105"/>
      <c r="L38" s="10">
        <f t="shared" si="2"/>
        <v>0</v>
      </c>
      <c r="M38" s="10">
        <f t="shared" si="41"/>
        <v>0</v>
      </c>
      <c r="N38" s="10">
        <f t="shared" si="3"/>
        <v>0</v>
      </c>
      <c r="O38" s="105"/>
      <c r="P38" s="10">
        <f t="shared" si="4"/>
        <v>0</v>
      </c>
      <c r="Q38" s="10">
        <f t="shared" si="42"/>
        <v>0</v>
      </c>
      <c r="R38" s="10">
        <f t="shared" si="5"/>
        <v>0</v>
      </c>
      <c r="S38" s="105">
        <f>68*S7</f>
        <v>17000</v>
      </c>
      <c r="T38" s="10">
        <f t="shared" si="6"/>
        <v>34.341688814362485</v>
      </c>
      <c r="U38" s="10">
        <f t="shared" si="43"/>
        <v>379415</v>
      </c>
      <c r="V38" s="10">
        <f t="shared" si="7"/>
        <v>19.129227809417625</v>
      </c>
      <c r="W38" s="105"/>
      <c r="X38" s="10">
        <f t="shared" si="8"/>
        <v>0</v>
      </c>
      <c r="Y38" s="10">
        <f t="shared" si="44"/>
        <v>0</v>
      </c>
      <c r="Z38" s="10">
        <f t="shared" si="9"/>
        <v>0</v>
      </c>
      <c r="AA38" s="105">
        <f>24*AA7</f>
        <v>5347.1039999999994</v>
      </c>
      <c r="AB38" s="10">
        <f t="shared" si="10"/>
        <v>10.801681272119581</v>
      </c>
      <c r="AC38" s="10">
        <f t="shared" si="45"/>
        <v>5347.1039999999994</v>
      </c>
      <c r="AD38" s="10">
        <f t="shared" si="11"/>
        <v>0.26958863127880606</v>
      </c>
      <c r="AE38" s="10">
        <f t="shared" si="46"/>
        <v>22347.103999999999</v>
      </c>
      <c r="AF38" s="10">
        <f t="shared" si="12"/>
        <v>45.143370086482065</v>
      </c>
      <c r="AG38" s="10">
        <f t="shared" si="47"/>
        <v>447306.85399999999</v>
      </c>
      <c r="AH38" s="10">
        <f t="shared" si="13"/>
        <v>22.552178250411579</v>
      </c>
      <c r="AI38" s="105">
        <f>108*AI7</f>
        <v>27155.412</v>
      </c>
      <c r="AJ38" s="10">
        <f t="shared" si="14"/>
        <v>54.856629913517928</v>
      </c>
      <c r="AK38" s="10">
        <f t="shared" si="48"/>
        <v>1516680.0479999997</v>
      </c>
      <c r="AL38" s="10">
        <f t="shared" si="15"/>
        <v>76.467504321627914</v>
      </c>
      <c r="AM38" s="105"/>
      <c r="AN38" s="10">
        <f t="shared" si="16"/>
        <v>0</v>
      </c>
      <c r="AO38" s="10">
        <f t="shared" si="49"/>
        <v>0</v>
      </c>
      <c r="AP38" s="10">
        <f t="shared" si="17"/>
        <v>0</v>
      </c>
      <c r="AQ38" s="105"/>
      <c r="AR38" s="10">
        <f t="shared" si="18"/>
        <v>0</v>
      </c>
      <c r="AS38" s="10">
        <f t="shared" si="50"/>
        <v>0</v>
      </c>
      <c r="AT38" s="10">
        <f t="shared" si="19"/>
        <v>0</v>
      </c>
      <c r="AU38" s="105"/>
      <c r="AV38" s="10">
        <f t="shared" si="20"/>
        <v>0</v>
      </c>
      <c r="AW38" s="10">
        <f t="shared" si="51"/>
        <v>0</v>
      </c>
      <c r="AX38" s="10">
        <f t="shared" si="21"/>
        <v>0</v>
      </c>
      <c r="AY38" s="105"/>
      <c r="AZ38" s="10">
        <f t="shared" si="22"/>
        <v>0</v>
      </c>
      <c r="BA38" s="10">
        <f t="shared" si="52"/>
        <v>0</v>
      </c>
      <c r="BB38" s="10">
        <f t="shared" si="23"/>
        <v>0</v>
      </c>
      <c r="BC38" s="10">
        <f t="shared" si="53"/>
        <v>27155.412</v>
      </c>
      <c r="BD38" s="10">
        <f t="shared" si="24"/>
        <v>54.856629913517928</v>
      </c>
      <c r="BE38" s="10">
        <f t="shared" si="54"/>
        <v>1516680.0479999997</v>
      </c>
      <c r="BF38" s="10">
        <f t="shared" si="25"/>
        <v>76.467504321627914</v>
      </c>
      <c r="BG38" s="105"/>
      <c r="BH38" s="10">
        <f t="shared" si="26"/>
        <v>0</v>
      </c>
      <c r="BI38" s="10">
        <f t="shared" si="55"/>
        <v>19443.918000000001</v>
      </c>
      <c r="BJ38" s="10">
        <f t="shared" si="27"/>
        <v>0.98031742796050747</v>
      </c>
      <c r="BK38" s="105"/>
      <c r="BL38" s="10">
        <f t="shared" si="28"/>
        <v>0</v>
      </c>
      <c r="BM38" s="10">
        <f t="shared" si="56"/>
        <v>0</v>
      </c>
      <c r="BN38" s="10">
        <f t="shared" si="29"/>
        <v>0</v>
      </c>
      <c r="BO38" s="105"/>
      <c r="BP38" s="15">
        <f t="shared" si="30"/>
        <v>0</v>
      </c>
      <c r="BQ38" s="10">
        <f t="shared" si="57"/>
        <v>0</v>
      </c>
      <c r="BR38" s="10">
        <f t="shared" si="31"/>
        <v>0</v>
      </c>
      <c r="BS38" s="10">
        <f t="shared" si="58"/>
        <v>0</v>
      </c>
      <c r="BT38" s="10">
        <f t="shared" si="32"/>
        <v>0</v>
      </c>
      <c r="BU38" s="10">
        <f t="shared" si="59"/>
        <v>19443.918000000001</v>
      </c>
      <c r="BV38" s="10">
        <f t="shared" si="33"/>
        <v>0.98031742796050747</v>
      </c>
      <c r="BW38" s="105"/>
      <c r="BX38" s="10">
        <f t="shared" si="34"/>
        <v>0</v>
      </c>
      <c r="BY38" s="10">
        <f t="shared" si="60"/>
        <v>0</v>
      </c>
      <c r="BZ38" s="10">
        <f t="shared" si="35"/>
        <v>0</v>
      </c>
      <c r="CA38" s="10">
        <f t="shared" si="36"/>
        <v>49502.516000000003</v>
      </c>
      <c r="CB38" s="10">
        <f t="shared" si="61"/>
        <v>1983430.8199999998</v>
      </c>
      <c r="CC38" s="10">
        <f t="shared" si="37"/>
        <v>1.0096784694460308</v>
      </c>
      <c r="CD38" s="10">
        <f t="shared" si="38"/>
        <v>1.0379199745469176</v>
      </c>
    </row>
    <row r="39" spans="1:82">
      <c r="A39" s="16">
        <f>+Chem!A38</f>
        <v>46142</v>
      </c>
      <c r="B39" s="6" t="str">
        <f>+Chem!B38</f>
        <v>Sanitary Napkin</v>
      </c>
      <c r="C39" s="16" t="str">
        <f>+Chem!C38</f>
        <v>13</v>
      </c>
      <c r="D39" s="8">
        <f>+Chem!D38</f>
        <v>50.679000000000002</v>
      </c>
      <c r="E39" s="7">
        <f>+Chem!E38</f>
        <v>51.228000000000002</v>
      </c>
      <c r="F39" s="7">
        <f t="shared" si="39"/>
        <v>1962.1950000000002</v>
      </c>
      <c r="G39" s="105"/>
      <c r="H39" s="10">
        <f t="shared" si="0"/>
        <v>0</v>
      </c>
      <c r="I39" s="8">
        <f t="shared" si="40"/>
        <v>62544.750000000007</v>
      </c>
      <c r="J39" s="10">
        <f t="shared" si="1"/>
        <v>3.0707747290077241</v>
      </c>
      <c r="K39" s="105"/>
      <c r="L39" s="10">
        <f t="shared" si="2"/>
        <v>0</v>
      </c>
      <c r="M39" s="10">
        <f t="shared" si="41"/>
        <v>0</v>
      </c>
      <c r="N39" s="10">
        <f t="shared" si="3"/>
        <v>0</v>
      </c>
      <c r="O39" s="105"/>
      <c r="P39" s="10">
        <f t="shared" si="4"/>
        <v>0</v>
      </c>
      <c r="Q39" s="10">
        <f t="shared" si="42"/>
        <v>0</v>
      </c>
      <c r="R39" s="10">
        <f t="shared" si="5"/>
        <v>0</v>
      </c>
      <c r="S39" s="105"/>
      <c r="T39" s="10">
        <f t="shared" si="6"/>
        <v>0</v>
      </c>
      <c r="U39" s="10">
        <f t="shared" si="43"/>
        <v>379415</v>
      </c>
      <c r="V39" s="10">
        <f t="shared" si="7"/>
        <v>18.628230088160326</v>
      </c>
      <c r="W39" s="105"/>
      <c r="X39" s="10">
        <f t="shared" si="8"/>
        <v>0</v>
      </c>
      <c r="Y39" s="10">
        <f t="shared" si="44"/>
        <v>0</v>
      </c>
      <c r="Z39" s="10">
        <f t="shared" si="9"/>
        <v>0</v>
      </c>
      <c r="AA39" s="105">
        <f>104*AA7</f>
        <v>23170.784</v>
      </c>
      <c r="AB39" s="10">
        <f t="shared" si="10"/>
        <v>43.436969147710393</v>
      </c>
      <c r="AC39" s="10">
        <f t="shared" si="45"/>
        <v>28517.887999999999</v>
      </c>
      <c r="AD39" s="10">
        <f t="shared" si="11"/>
        <v>1.4001496495720682</v>
      </c>
      <c r="AE39" s="10">
        <f t="shared" si="46"/>
        <v>23170.784</v>
      </c>
      <c r="AF39" s="10">
        <f t="shared" si="12"/>
        <v>43.436969147710393</v>
      </c>
      <c r="AG39" s="10">
        <f t="shared" si="47"/>
        <v>470477.63799999998</v>
      </c>
      <c r="AH39" s="10">
        <f t="shared" si="13"/>
        <v>23.099154466740117</v>
      </c>
      <c r="AI39" s="105">
        <f>120*AI7</f>
        <v>30172.68</v>
      </c>
      <c r="AJ39" s="10">
        <f t="shared" si="14"/>
        <v>56.563030852289607</v>
      </c>
      <c r="AK39" s="10">
        <f t="shared" si="48"/>
        <v>1546852.7279999997</v>
      </c>
      <c r="AL39" s="10">
        <f t="shared" si="15"/>
        <v>75.946202785030835</v>
      </c>
      <c r="AM39" s="105"/>
      <c r="AN39" s="10">
        <f t="shared" si="16"/>
        <v>0</v>
      </c>
      <c r="AO39" s="10">
        <f t="shared" si="49"/>
        <v>0</v>
      </c>
      <c r="AP39" s="10">
        <f t="shared" si="17"/>
        <v>0</v>
      </c>
      <c r="AQ39" s="105"/>
      <c r="AR39" s="10">
        <f t="shared" si="18"/>
        <v>0</v>
      </c>
      <c r="AS39" s="10">
        <f t="shared" si="50"/>
        <v>0</v>
      </c>
      <c r="AT39" s="10">
        <f t="shared" si="19"/>
        <v>0</v>
      </c>
      <c r="AU39" s="105"/>
      <c r="AV39" s="10">
        <f t="shared" si="20"/>
        <v>0</v>
      </c>
      <c r="AW39" s="10">
        <f t="shared" si="51"/>
        <v>0</v>
      </c>
      <c r="AX39" s="10">
        <f t="shared" si="21"/>
        <v>0</v>
      </c>
      <c r="AY39" s="105"/>
      <c r="AZ39" s="10">
        <f t="shared" si="22"/>
        <v>0</v>
      </c>
      <c r="BA39" s="10">
        <f t="shared" si="52"/>
        <v>0</v>
      </c>
      <c r="BB39" s="10">
        <f t="shared" si="23"/>
        <v>0</v>
      </c>
      <c r="BC39" s="10">
        <f t="shared" si="53"/>
        <v>30172.68</v>
      </c>
      <c r="BD39" s="10">
        <f t="shared" si="24"/>
        <v>56.563030852289607</v>
      </c>
      <c r="BE39" s="10">
        <f t="shared" si="54"/>
        <v>1546852.7279999997</v>
      </c>
      <c r="BF39" s="10">
        <f t="shared" si="25"/>
        <v>75.946202785030835</v>
      </c>
      <c r="BG39" s="105"/>
      <c r="BH39" s="10">
        <f t="shared" si="26"/>
        <v>0</v>
      </c>
      <c r="BI39" s="10">
        <f t="shared" si="55"/>
        <v>19443.918000000001</v>
      </c>
      <c r="BJ39" s="10">
        <f t="shared" si="27"/>
        <v>0.9546427482290426</v>
      </c>
      <c r="BK39" s="105"/>
      <c r="BL39" s="10">
        <f t="shared" si="28"/>
        <v>0</v>
      </c>
      <c r="BM39" s="10">
        <f t="shared" si="56"/>
        <v>0</v>
      </c>
      <c r="BN39" s="10">
        <f t="shared" si="29"/>
        <v>0</v>
      </c>
      <c r="BO39" s="105"/>
      <c r="BP39" s="15">
        <f t="shared" si="30"/>
        <v>0</v>
      </c>
      <c r="BQ39" s="10">
        <f t="shared" si="57"/>
        <v>0</v>
      </c>
      <c r="BR39" s="10">
        <f t="shared" si="31"/>
        <v>0</v>
      </c>
      <c r="BS39" s="10">
        <f t="shared" si="58"/>
        <v>0</v>
      </c>
      <c r="BT39" s="10">
        <f t="shared" si="32"/>
        <v>0</v>
      </c>
      <c r="BU39" s="10">
        <f t="shared" si="59"/>
        <v>19443.918000000001</v>
      </c>
      <c r="BV39" s="10">
        <f t="shared" si="33"/>
        <v>0.9546427482290426</v>
      </c>
      <c r="BW39" s="105"/>
      <c r="BX39" s="10">
        <f t="shared" si="34"/>
        <v>0</v>
      </c>
      <c r="BY39" s="10">
        <f t="shared" si="60"/>
        <v>0</v>
      </c>
      <c r="BZ39" s="10">
        <f t="shared" si="35"/>
        <v>0</v>
      </c>
      <c r="CA39" s="10">
        <f t="shared" si="36"/>
        <v>53343.464</v>
      </c>
      <c r="CB39" s="10">
        <f t="shared" si="61"/>
        <v>2036774.2839999998</v>
      </c>
      <c r="CC39" s="10">
        <f t="shared" si="37"/>
        <v>1.0412950730069492</v>
      </c>
      <c r="CD39" s="10">
        <f t="shared" si="38"/>
        <v>1.0380080899197071</v>
      </c>
    </row>
    <row r="40" spans="1:82">
      <c r="A40" s="16"/>
      <c r="B40" s="6"/>
      <c r="C40" s="16"/>
      <c r="D40" s="8"/>
      <c r="E40" s="7"/>
      <c r="F40" s="7"/>
      <c r="G40" s="105"/>
      <c r="H40" s="10"/>
      <c r="I40" s="8"/>
      <c r="J40" s="10"/>
      <c r="K40" s="105"/>
      <c r="L40" s="10"/>
      <c r="M40" s="10"/>
      <c r="N40" s="10"/>
      <c r="O40" s="105"/>
      <c r="P40" s="10"/>
      <c r="Q40" s="10"/>
      <c r="R40" s="10"/>
      <c r="S40" s="105"/>
      <c r="T40" s="10"/>
      <c r="U40" s="10"/>
      <c r="V40" s="10"/>
      <c r="W40" s="105"/>
      <c r="X40" s="10"/>
      <c r="Y40" s="10"/>
      <c r="Z40" s="10"/>
      <c r="AA40" s="105"/>
      <c r="AB40" s="10"/>
      <c r="AC40" s="10"/>
      <c r="AD40" s="10"/>
      <c r="AE40" s="10"/>
      <c r="AF40" s="10"/>
      <c r="AG40" s="10"/>
      <c r="AH40" s="10"/>
      <c r="AI40" s="105"/>
      <c r="AJ40" s="10"/>
      <c r="AK40" s="10"/>
      <c r="AL40" s="10"/>
      <c r="AM40" s="105"/>
      <c r="AN40" s="10"/>
      <c r="AO40" s="10"/>
      <c r="AP40" s="10"/>
      <c r="AQ40" s="105"/>
      <c r="AR40" s="10"/>
      <c r="AS40" s="10"/>
      <c r="AT40" s="10"/>
      <c r="AU40" s="105"/>
      <c r="AV40" s="10"/>
      <c r="AW40" s="10"/>
      <c r="AX40" s="10"/>
      <c r="AY40" s="105"/>
      <c r="AZ40" s="10"/>
      <c r="BA40" s="10"/>
      <c r="BB40" s="10"/>
      <c r="BC40" s="10"/>
      <c r="BD40" s="10"/>
      <c r="BE40" s="10"/>
      <c r="BF40" s="10"/>
      <c r="BG40" s="105"/>
      <c r="BH40" s="10"/>
      <c r="BI40" s="10"/>
      <c r="BJ40" s="10"/>
      <c r="BK40" s="105"/>
      <c r="BL40" s="10"/>
      <c r="BM40" s="10"/>
      <c r="BN40" s="10"/>
      <c r="BO40" s="105"/>
      <c r="BP40" s="15"/>
      <c r="BQ40" s="10"/>
      <c r="BR40" s="10"/>
      <c r="BS40" s="10"/>
      <c r="BT40" s="10"/>
      <c r="BU40" s="10"/>
      <c r="BV40" s="10"/>
      <c r="BW40" s="105"/>
      <c r="BX40" s="10"/>
      <c r="BY40" s="10"/>
      <c r="BZ40" s="10"/>
      <c r="CA40" s="10"/>
      <c r="CB40" s="10"/>
      <c r="CC40" s="10"/>
      <c r="CD40" s="10"/>
    </row>
    <row r="41" spans="1:82">
      <c r="A41" s="16"/>
      <c r="B41" s="16"/>
      <c r="C41" s="16"/>
      <c r="D41" s="8"/>
      <c r="E41" s="7"/>
      <c r="F41" s="7"/>
      <c r="G41" s="105"/>
      <c r="H41" s="10"/>
      <c r="I41" s="8"/>
      <c r="J41" s="10"/>
      <c r="K41" s="105"/>
      <c r="L41" s="10"/>
      <c r="M41" s="10"/>
      <c r="N41" s="10"/>
      <c r="O41" s="105"/>
      <c r="P41" s="10"/>
      <c r="Q41" s="10"/>
      <c r="R41" s="10"/>
      <c r="S41" s="105"/>
      <c r="T41" s="10"/>
      <c r="U41" s="10"/>
      <c r="V41" s="10"/>
      <c r="W41" s="105"/>
      <c r="X41" s="10"/>
      <c r="Y41" s="10"/>
      <c r="Z41" s="10"/>
      <c r="AA41" s="105"/>
      <c r="AB41" s="10"/>
      <c r="AC41" s="10"/>
      <c r="AD41" s="10"/>
      <c r="AE41" s="10"/>
      <c r="AF41" s="10"/>
      <c r="AG41" s="10"/>
      <c r="AH41" s="10"/>
      <c r="AI41" s="105"/>
      <c r="AJ41" s="10"/>
      <c r="AK41" s="10"/>
      <c r="AL41" s="10"/>
      <c r="AM41" s="105"/>
      <c r="AN41" s="10"/>
      <c r="AO41" s="10"/>
      <c r="AP41" s="10"/>
      <c r="AQ41" s="105"/>
      <c r="AR41" s="10"/>
      <c r="AS41" s="10"/>
      <c r="AT41" s="10"/>
      <c r="AU41" s="105"/>
      <c r="AV41" s="10"/>
      <c r="AW41" s="10"/>
      <c r="AX41" s="10"/>
      <c r="AY41" s="105"/>
      <c r="AZ41" s="10"/>
      <c r="BA41" s="10"/>
      <c r="BB41" s="10"/>
      <c r="BC41" s="10"/>
      <c r="BD41" s="10"/>
      <c r="BE41" s="10"/>
      <c r="BF41" s="10"/>
      <c r="BG41" s="105"/>
      <c r="BH41" s="10"/>
      <c r="BI41" s="10"/>
      <c r="BJ41" s="10"/>
      <c r="BK41" s="105"/>
      <c r="BL41" s="10"/>
      <c r="BM41" s="10"/>
      <c r="BN41" s="10"/>
      <c r="BO41" s="105"/>
      <c r="BP41" s="15"/>
      <c r="BQ41" s="10"/>
      <c r="BR41" s="10"/>
      <c r="BS41" s="10"/>
      <c r="BT41" s="10"/>
      <c r="BU41" s="10"/>
      <c r="BV41" s="10"/>
      <c r="BW41" s="105"/>
      <c r="BX41" s="10"/>
      <c r="BY41" s="10"/>
      <c r="BZ41" s="10"/>
      <c r="CA41" s="10"/>
      <c r="CB41" s="10"/>
      <c r="CC41" s="10"/>
      <c r="CD41" s="10"/>
    </row>
    <row r="42" spans="1:82" ht="13.5" thickBot="1">
      <c r="A42" s="11" t="s">
        <v>27</v>
      </c>
      <c r="B42" s="11"/>
      <c r="C42" s="12"/>
      <c r="D42" s="12">
        <f>SUM(D10:D41)</f>
        <v>2011.0520000000001</v>
      </c>
      <c r="E42" s="12">
        <f>SUM(E10:E41)</f>
        <v>1962.1950000000002</v>
      </c>
      <c r="F42" s="12"/>
      <c r="G42" s="12">
        <f>SUM(G10:G41)</f>
        <v>62544.750000000007</v>
      </c>
      <c r="H42" s="12">
        <f>G42/CA42*100</f>
        <v>3.0707747290077241</v>
      </c>
      <c r="I42" s="12"/>
      <c r="J42" s="12"/>
      <c r="K42" s="12">
        <f>SUM(K10:K41)</f>
        <v>0</v>
      </c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>
        <f>SUM(AA10:AA41)</f>
        <v>28517.887999999999</v>
      </c>
      <c r="AB42" s="12">
        <f>+AA42/$CA$42*100</f>
        <v>1.4001496495720682</v>
      </c>
      <c r="AC42" s="12"/>
      <c r="AD42" s="12"/>
      <c r="AE42" s="12">
        <f>SUM(AE10:AE41)</f>
        <v>470477.63799999998</v>
      </c>
      <c r="AF42" s="19">
        <f>AE42/$CA$42*100</f>
        <v>23.099154466740117</v>
      </c>
      <c r="AG42" s="12"/>
      <c r="AH42" s="12"/>
      <c r="AI42" s="12">
        <f>SUM(AI10:AI41)</f>
        <v>1546852.7279999997</v>
      </c>
      <c r="AJ42" s="12">
        <f>AI42/$CA$42*100</f>
        <v>75.946202785030835</v>
      </c>
      <c r="AK42" s="12"/>
      <c r="AL42" s="12"/>
      <c r="AM42" s="12">
        <f>SUM(AM10:AM41)</f>
        <v>0</v>
      </c>
      <c r="AN42" s="12">
        <f>AM42/$CA$42*100</f>
        <v>0</v>
      </c>
      <c r="AO42" s="12"/>
      <c r="AP42" s="12"/>
      <c r="AQ42" s="12">
        <f>SUM(AQ10:AQ41)</f>
        <v>0</v>
      </c>
      <c r="AR42" s="12">
        <f>AQ42/$CA$42*100</f>
        <v>0</v>
      </c>
      <c r="AS42" s="12"/>
      <c r="AT42" s="12"/>
      <c r="AU42" s="12">
        <f>SUM(AU10:AU41)</f>
        <v>0</v>
      </c>
      <c r="AV42" s="12">
        <f>AU42/$CA$42*100</f>
        <v>0</v>
      </c>
      <c r="AW42" s="12"/>
      <c r="AX42" s="12"/>
      <c r="AY42" s="12">
        <f>SUM(AY10:AY41)</f>
        <v>0</v>
      </c>
      <c r="AZ42" s="12">
        <f>AY42/$CA$42*100</f>
        <v>0</v>
      </c>
      <c r="BA42" s="12"/>
      <c r="BB42" s="12"/>
      <c r="BC42" s="12">
        <f>SUM(BC10:BC41)</f>
        <v>1546852.7279999997</v>
      </c>
      <c r="BD42" s="12">
        <f>BC42/$CA$42*100</f>
        <v>75.946202785030835</v>
      </c>
      <c r="BE42" s="12"/>
      <c r="BF42" s="12"/>
      <c r="BG42" s="12">
        <f>SUM(BG10:BG41)</f>
        <v>19443.918000000001</v>
      </c>
      <c r="BH42" s="12">
        <f>BG42/$CA$42*100</f>
        <v>0.9546427482290426</v>
      </c>
      <c r="BI42" s="12"/>
      <c r="BJ42" s="12"/>
      <c r="BK42" s="12">
        <f>SUM(BK10:BK41)</f>
        <v>0</v>
      </c>
      <c r="BL42" s="12">
        <f>BK42/$CA$42*100</f>
        <v>0</v>
      </c>
      <c r="BM42" s="12"/>
      <c r="BN42" s="12"/>
      <c r="BO42" s="12">
        <f>SUM(BO10:BO41)</f>
        <v>0</v>
      </c>
      <c r="BP42" s="12">
        <f>BO42/$CA$42*100</f>
        <v>0</v>
      </c>
      <c r="BQ42" s="12"/>
      <c r="BR42" s="12"/>
      <c r="BS42" s="12">
        <f>SUM(BS10:BS41)</f>
        <v>19443.918000000001</v>
      </c>
      <c r="BT42" s="21">
        <f>BS42/$CA$42*100</f>
        <v>0.9546427482290426</v>
      </c>
      <c r="BU42" s="12"/>
      <c r="BV42" s="12"/>
      <c r="BW42" s="12">
        <f>SUM(BW10:BW41)</f>
        <v>0</v>
      </c>
      <c r="BX42" s="12">
        <f>BW42/$CA$42*100</f>
        <v>0</v>
      </c>
      <c r="BY42" s="12"/>
      <c r="BZ42" s="12"/>
      <c r="CA42" s="12">
        <f>SUM(CA10:CA41)</f>
        <v>2036774.2839999998</v>
      </c>
      <c r="CB42" s="12">
        <f>CA42/$CA$42*100</f>
        <v>100</v>
      </c>
      <c r="CC42" s="12">
        <f>CA42/1000/E42</f>
        <v>1.0380080899197071</v>
      </c>
      <c r="CD42" s="12"/>
    </row>
    <row r="43" spans="1:82" ht="13.5" thickTop="1"/>
    <row r="44" spans="1:82">
      <c r="AQ44" s="13"/>
      <c r="AU44" s="13"/>
      <c r="BT44" s="13"/>
      <c r="BW44" s="13"/>
      <c r="BX44" s="13"/>
    </row>
    <row r="45" spans="1:82">
      <c r="E45" s="13"/>
      <c r="F45" s="13"/>
      <c r="G45" s="13"/>
      <c r="I45" s="13"/>
      <c r="AQ45" s="13"/>
      <c r="AU45" s="13"/>
      <c r="BW45" s="13"/>
    </row>
  </sheetData>
  <mergeCells count="25">
    <mergeCell ref="AE8:AH8"/>
    <mergeCell ref="S8:V8"/>
    <mergeCell ref="AA8:AD8"/>
    <mergeCell ref="A8:A9"/>
    <mergeCell ref="B8:B9"/>
    <mergeCell ref="C8:C9"/>
    <mergeCell ref="K8:N8"/>
    <mergeCell ref="G8:J8"/>
    <mergeCell ref="D8:D9"/>
    <mergeCell ref="E8:F8"/>
    <mergeCell ref="O8:R8"/>
    <mergeCell ref="W8:Z8"/>
    <mergeCell ref="AI8:AL8"/>
    <mergeCell ref="AM8:AP8"/>
    <mergeCell ref="CC8:CD8"/>
    <mergeCell ref="BK8:BN8"/>
    <mergeCell ref="BS8:BV8"/>
    <mergeCell ref="BW8:BZ8"/>
    <mergeCell ref="CA8:CB8"/>
    <mergeCell ref="BO8:BR8"/>
    <mergeCell ref="BG8:BJ8"/>
    <mergeCell ref="BC8:BF8"/>
    <mergeCell ref="AQ8:AT8"/>
    <mergeCell ref="AY8:BB8"/>
    <mergeCell ref="AU8:AX8"/>
  </mergeCells>
  <phoneticPr fontId="31" type="noConversion"/>
  <pageMargins left="0.19513888888888889" right="0.19513888888888889" top="0.05" bottom="0.05" header="0" footer="0"/>
  <pageSetup paperSize="9" scale="70" firstPageNumber="4294963191" orientation="landscape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W45"/>
  <sheetViews>
    <sheetView zoomScale="85" workbookViewId="0">
      <pane xSplit="5" ySplit="8" topLeftCell="AO30" activePane="bottomRight" state="frozen"/>
      <selection pane="topRight" activeCell="E1" sqref="E1"/>
      <selection pane="bottomLeft" activeCell="A9" sqref="A9"/>
      <selection pane="bottomRight" activeCell="A9" sqref="A9:C38"/>
    </sheetView>
  </sheetViews>
  <sheetFormatPr defaultColWidth="10.42578125" defaultRowHeight="15" customHeight="1"/>
  <cols>
    <col min="1" max="1" width="8.140625" style="269" customWidth="1"/>
    <col min="2" max="2" width="13.5703125" style="269" customWidth="1"/>
    <col min="3" max="3" width="13.28515625" style="270" customWidth="1"/>
    <col min="4" max="4" width="11.140625" style="270" customWidth="1"/>
    <col min="5" max="5" width="11" style="271" customWidth="1"/>
    <col min="6" max="8" width="12.42578125" style="532" hidden="1" customWidth="1"/>
    <col min="9" max="11" width="12.42578125" style="532" customWidth="1"/>
    <col min="12" max="14" width="12.42578125" style="532" hidden="1" customWidth="1"/>
    <col min="15" max="17" width="12.42578125" style="532" customWidth="1"/>
    <col min="18" max="20" width="12.42578125" style="532" hidden="1" customWidth="1"/>
    <col min="21" max="23" width="12.42578125" style="532" customWidth="1"/>
    <col min="24" max="38" width="12.42578125" style="532" hidden="1" customWidth="1"/>
    <col min="39" max="44" width="12.42578125" style="532" customWidth="1"/>
    <col min="45" max="47" width="12.42578125" style="532" hidden="1" customWidth="1"/>
    <col min="48" max="56" width="12.42578125" style="532" customWidth="1"/>
    <col min="57" max="65" width="12.42578125" style="532" hidden="1" customWidth="1"/>
    <col min="66" max="71" width="12.42578125" style="532" customWidth="1"/>
    <col min="72" max="74" width="12.42578125" style="532" hidden="1" customWidth="1"/>
    <col min="75" max="77" width="12.42578125" style="532" customWidth="1"/>
    <col min="78" max="80" width="12.42578125" style="532" hidden="1" customWidth="1"/>
    <col min="81" max="86" width="12.42578125" style="532" customWidth="1"/>
    <col min="87" max="104" width="12.42578125" style="532" hidden="1" customWidth="1"/>
    <col min="105" max="107" width="12.42578125" style="532" customWidth="1"/>
    <col min="108" max="110" width="12.42578125" style="532" hidden="1" customWidth="1"/>
    <col min="111" max="113" width="12.42578125" style="532" customWidth="1"/>
    <col min="114" max="131" width="12.42578125" style="532" hidden="1" customWidth="1"/>
    <col min="132" max="140" width="12.42578125" style="532" customWidth="1"/>
    <col min="141" max="269" width="12.42578125" style="532" hidden="1" customWidth="1"/>
    <col min="270" max="303" width="5.5703125" style="532" hidden="1" customWidth="1"/>
    <col min="304" max="304" width="8.7109375" style="532" hidden="1" customWidth="1"/>
    <col min="305" max="305" width="7.7109375" style="532" hidden="1" customWidth="1"/>
    <col min="306" max="306" width="21" style="532" bestFit="1" customWidth="1"/>
    <col min="307" max="307" width="19.85546875" style="532" bestFit="1" customWidth="1"/>
    <col min="308" max="16384" width="10.42578125" style="269"/>
  </cols>
  <sheetData>
    <row r="1" spans="1:308" ht="15" customHeight="1">
      <c r="A1" s="265"/>
      <c r="B1" s="266"/>
      <c r="C1" s="267"/>
      <c r="D1" s="267"/>
      <c r="E1" s="268"/>
    </row>
    <row r="2" spans="1:308" ht="15" customHeight="1">
      <c r="A2" s="265"/>
    </row>
    <row r="3" spans="1:308" ht="15" customHeight="1">
      <c r="A3" s="273"/>
    </row>
    <row r="4" spans="1:308" ht="15" customHeight="1">
      <c r="A4" s="517" t="s">
        <v>325</v>
      </c>
    </row>
    <row r="5" spans="1:308" ht="15" customHeight="1" thickBot="1">
      <c r="F5" s="994" t="s">
        <v>338</v>
      </c>
      <c r="G5" s="995"/>
      <c r="H5" s="995"/>
      <c r="I5" s="995"/>
      <c r="J5" s="995"/>
      <c r="K5" s="995"/>
      <c r="L5" s="995"/>
      <c r="M5" s="995"/>
      <c r="N5" s="995"/>
      <c r="O5" s="995"/>
      <c r="P5" s="995"/>
      <c r="Q5" s="995"/>
      <c r="R5" s="995"/>
      <c r="S5" s="995"/>
      <c r="T5" s="995"/>
      <c r="U5" s="995"/>
      <c r="V5" s="995"/>
      <c r="W5" s="995"/>
      <c r="X5" s="995"/>
      <c r="Y5" s="995"/>
      <c r="Z5" s="995"/>
      <c r="AA5" s="995"/>
      <c r="AB5" s="995"/>
      <c r="AC5" s="995"/>
      <c r="AD5" s="995"/>
      <c r="AE5" s="995"/>
      <c r="AF5" s="995"/>
      <c r="AG5" s="995"/>
      <c r="AH5" s="995"/>
      <c r="AI5" s="995"/>
      <c r="AJ5" s="995"/>
      <c r="AK5" s="995"/>
      <c r="AL5" s="995"/>
      <c r="AM5" s="995"/>
      <c r="AN5" s="995"/>
      <c r="AO5" s="995"/>
      <c r="AP5" s="995"/>
      <c r="AQ5" s="995"/>
      <c r="AR5" s="995"/>
      <c r="AS5" s="995"/>
      <c r="AT5" s="995"/>
      <c r="AU5" s="995"/>
      <c r="AV5" s="995"/>
      <c r="AW5" s="995"/>
      <c r="AX5" s="995"/>
      <c r="AY5" s="995"/>
      <c r="AZ5" s="995"/>
      <c r="BA5" s="995"/>
      <c r="BB5" s="995"/>
      <c r="BC5" s="995"/>
      <c r="BD5" s="995"/>
      <c r="BE5" s="995"/>
      <c r="BF5" s="995"/>
      <c r="BG5" s="995"/>
      <c r="BH5" s="995"/>
      <c r="BI5" s="995"/>
      <c r="BJ5" s="995"/>
      <c r="BK5" s="995"/>
      <c r="BL5" s="995"/>
      <c r="BM5" s="995"/>
      <c r="BN5" s="995"/>
      <c r="BO5" s="995"/>
      <c r="BP5" s="995"/>
      <c r="BQ5" s="995"/>
      <c r="BR5" s="995"/>
      <c r="BS5" s="995"/>
      <c r="BT5" s="995"/>
      <c r="BU5" s="995"/>
      <c r="BV5" s="995"/>
      <c r="BW5" s="995"/>
      <c r="BX5" s="995"/>
      <c r="BY5" s="995"/>
      <c r="BZ5" s="995"/>
      <c r="CA5" s="995"/>
      <c r="CB5" s="995"/>
      <c r="CC5" s="995"/>
      <c r="CD5" s="995"/>
      <c r="CE5" s="995"/>
      <c r="CF5" s="995"/>
      <c r="CG5" s="995"/>
      <c r="CH5" s="995"/>
      <c r="CI5" s="995"/>
      <c r="CJ5" s="995"/>
      <c r="CK5" s="995"/>
      <c r="CL5" s="995"/>
      <c r="CM5" s="995"/>
      <c r="CN5" s="995"/>
      <c r="CO5" s="995"/>
      <c r="CP5" s="995"/>
      <c r="CQ5" s="995"/>
      <c r="CR5" s="995"/>
      <c r="CS5" s="995"/>
      <c r="CT5" s="995"/>
      <c r="CU5" s="995"/>
      <c r="CV5" s="995"/>
      <c r="CW5" s="995"/>
      <c r="CX5" s="995"/>
      <c r="CY5" s="995"/>
      <c r="CZ5" s="995"/>
      <c r="DA5" s="995"/>
      <c r="DB5" s="995"/>
      <c r="DC5" s="995"/>
      <c r="DD5" s="995"/>
      <c r="DE5" s="995"/>
      <c r="DF5" s="995"/>
      <c r="DG5" s="995"/>
      <c r="DH5" s="995"/>
      <c r="DI5" s="995"/>
      <c r="DJ5" s="995"/>
      <c r="DK5" s="995"/>
      <c r="DL5" s="995"/>
      <c r="DM5" s="995"/>
      <c r="DN5" s="995"/>
      <c r="DO5" s="995"/>
      <c r="DP5" s="995"/>
      <c r="DQ5" s="995"/>
      <c r="DR5" s="995"/>
      <c r="DS5" s="995"/>
      <c r="DT5" s="995"/>
      <c r="DU5" s="995"/>
      <c r="DV5" s="995"/>
      <c r="DW5" s="995"/>
      <c r="DX5" s="995"/>
      <c r="DY5" s="995"/>
      <c r="DZ5" s="995"/>
      <c r="EA5" s="995"/>
      <c r="EB5" s="995"/>
      <c r="EC5" s="995"/>
      <c r="ED5" s="995"/>
      <c r="EE5" s="995"/>
      <c r="EF5" s="995"/>
      <c r="EG5" s="995"/>
      <c r="EH5" s="995"/>
      <c r="EI5" s="995"/>
      <c r="EJ5" s="995"/>
      <c r="EK5" s="995"/>
      <c r="EL5" s="995"/>
      <c r="EM5" s="995"/>
      <c r="EN5" s="995"/>
      <c r="EO5" s="995"/>
      <c r="EP5" s="995"/>
      <c r="EQ5" s="995"/>
      <c r="ER5" s="995"/>
      <c r="ES5" s="995"/>
      <c r="ET5" s="995"/>
      <c r="EU5" s="995"/>
      <c r="EV5" s="995"/>
      <c r="EW5" s="995"/>
      <c r="EX5" s="995"/>
      <c r="EY5" s="995"/>
      <c r="EZ5" s="995"/>
      <c r="FA5" s="995"/>
      <c r="FB5" s="995"/>
      <c r="FC5" s="995"/>
      <c r="FD5" s="995"/>
      <c r="FE5" s="995"/>
      <c r="FF5" s="995"/>
      <c r="FG5" s="995"/>
      <c r="FH5" s="995"/>
      <c r="FI5" s="995"/>
      <c r="FJ5" s="995"/>
      <c r="FK5" s="995"/>
      <c r="FL5" s="995"/>
      <c r="FM5" s="995"/>
      <c r="FN5" s="995"/>
      <c r="FO5" s="995"/>
      <c r="FP5" s="995"/>
      <c r="FQ5" s="995"/>
      <c r="FR5" s="995"/>
      <c r="FS5" s="995"/>
      <c r="FT5" s="995"/>
      <c r="FU5" s="995"/>
      <c r="FV5" s="995"/>
      <c r="FW5" s="995"/>
      <c r="FX5" s="995"/>
      <c r="FY5" s="995"/>
      <c r="FZ5" s="995"/>
      <c r="GA5" s="995"/>
      <c r="GB5" s="995"/>
      <c r="GC5" s="996"/>
      <c r="GD5" s="994" t="s">
        <v>339</v>
      </c>
      <c r="GE5" s="995"/>
      <c r="GF5" s="995"/>
      <c r="GG5" s="995"/>
      <c r="GH5" s="995"/>
      <c r="GI5" s="995"/>
      <c r="GJ5" s="995"/>
      <c r="GK5" s="995"/>
      <c r="GL5" s="995"/>
      <c r="GM5" s="995"/>
      <c r="GN5" s="995"/>
      <c r="GO5" s="995"/>
      <c r="GP5" s="995"/>
      <c r="GQ5" s="995"/>
      <c r="GR5" s="995"/>
      <c r="GS5" s="995"/>
      <c r="GT5" s="995"/>
      <c r="GU5" s="995"/>
      <c r="GV5" s="995"/>
      <c r="GW5" s="995"/>
      <c r="GX5" s="995"/>
      <c r="GY5" s="995"/>
      <c r="GZ5" s="995"/>
      <c r="HA5" s="995"/>
      <c r="HB5" s="995"/>
      <c r="HC5" s="995"/>
      <c r="HD5" s="995"/>
      <c r="HE5" s="995"/>
      <c r="HF5" s="995"/>
      <c r="HG5" s="995"/>
      <c r="HH5" s="995"/>
      <c r="HI5" s="995"/>
      <c r="HJ5" s="995"/>
      <c r="HK5" s="995"/>
      <c r="HL5" s="995"/>
      <c r="HM5" s="995"/>
      <c r="HN5" s="995"/>
      <c r="HO5" s="995"/>
      <c r="HP5" s="995"/>
      <c r="HQ5" s="995"/>
      <c r="HR5" s="995"/>
      <c r="HS5" s="995"/>
      <c r="HT5" s="995"/>
      <c r="HU5" s="995"/>
      <c r="HV5" s="995"/>
      <c r="HW5" s="995"/>
      <c r="HX5" s="995"/>
      <c r="HY5" s="995"/>
      <c r="HZ5" s="995"/>
      <c r="IA5" s="995"/>
      <c r="IB5" s="995"/>
      <c r="IC5" s="995"/>
      <c r="ID5" s="995"/>
      <c r="IE5" s="995"/>
      <c r="IF5" s="995"/>
      <c r="IG5" s="995"/>
      <c r="IH5" s="995"/>
      <c r="II5" s="995"/>
      <c r="IJ5" s="995"/>
      <c r="IK5" s="995"/>
      <c r="IL5" s="995"/>
      <c r="IM5" s="995"/>
      <c r="IN5" s="995"/>
      <c r="IO5" s="995"/>
      <c r="IP5" s="995"/>
      <c r="IQ5" s="995"/>
      <c r="IR5" s="995"/>
      <c r="IS5" s="995"/>
      <c r="IT5" s="995"/>
      <c r="IU5" s="995"/>
      <c r="IV5" s="995"/>
      <c r="IW5" s="995"/>
      <c r="IX5" s="995"/>
      <c r="IY5" s="995"/>
      <c r="IZ5" s="995"/>
      <c r="JA5" s="995"/>
      <c r="JB5" s="995"/>
      <c r="JC5" s="995"/>
      <c r="JD5" s="995"/>
      <c r="JE5" s="995"/>
      <c r="JF5" s="995"/>
      <c r="JG5" s="995"/>
      <c r="JH5" s="995"/>
      <c r="JI5" s="995"/>
      <c r="JJ5" s="995"/>
      <c r="JK5" s="995"/>
      <c r="JL5" s="995"/>
      <c r="JM5" s="995"/>
      <c r="JN5" s="995"/>
      <c r="JO5" s="995"/>
      <c r="JP5" s="995"/>
      <c r="JQ5" s="995"/>
      <c r="JR5" s="995"/>
      <c r="JS5" s="995"/>
      <c r="JT5" s="995"/>
      <c r="JU5" s="995"/>
      <c r="JV5" s="995"/>
      <c r="JW5" s="995"/>
      <c r="JX5" s="995"/>
      <c r="JY5" s="995"/>
      <c r="JZ5" s="995"/>
      <c r="KA5" s="995"/>
      <c r="KB5" s="995"/>
      <c r="KC5" s="995"/>
      <c r="KD5" s="995"/>
      <c r="KE5" s="995"/>
      <c r="KF5" s="995"/>
      <c r="KG5" s="995"/>
      <c r="KH5" s="995"/>
      <c r="KI5" s="995"/>
      <c r="KJ5" s="995"/>
      <c r="KK5" s="995"/>
      <c r="KL5" s="995"/>
      <c r="KM5" s="995"/>
      <c r="KN5" s="995"/>
      <c r="KO5" s="995"/>
      <c r="KP5" s="995"/>
      <c r="KQ5" s="995"/>
      <c r="KR5" s="995"/>
      <c r="KS5" s="996"/>
      <c r="KT5" s="977" t="s">
        <v>340</v>
      </c>
      <c r="KU5" s="977" t="s">
        <v>339</v>
      </c>
    </row>
    <row r="6" spans="1:308" ht="15" customHeight="1">
      <c r="A6" s="991" t="s">
        <v>29</v>
      </c>
      <c r="B6" s="982" t="s">
        <v>4</v>
      </c>
      <c r="C6" s="982" t="s">
        <v>5</v>
      </c>
      <c r="D6" s="988" t="s">
        <v>40</v>
      </c>
      <c r="E6" s="985" t="s">
        <v>38</v>
      </c>
      <c r="F6" s="970" t="s">
        <v>341</v>
      </c>
      <c r="G6" s="978"/>
      <c r="H6" s="971"/>
      <c r="I6" s="970" t="s">
        <v>342</v>
      </c>
      <c r="J6" s="978"/>
      <c r="K6" s="971"/>
      <c r="L6" s="970" t="s">
        <v>343</v>
      </c>
      <c r="M6" s="978"/>
      <c r="N6" s="971"/>
      <c r="O6" s="970" t="s">
        <v>344</v>
      </c>
      <c r="P6" s="978"/>
      <c r="Q6" s="971"/>
      <c r="R6" s="970" t="s">
        <v>345</v>
      </c>
      <c r="S6" s="978"/>
      <c r="T6" s="971"/>
      <c r="U6" s="970" t="s">
        <v>346</v>
      </c>
      <c r="V6" s="978"/>
      <c r="W6" s="971"/>
      <c r="X6" s="970" t="s">
        <v>347</v>
      </c>
      <c r="Y6" s="978"/>
      <c r="Z6" s="971"/>
      <c r="AA6" s="970" t="s">
        <v>348</v>
      </c>
      <c r="AB6" s="978"/>
      <c r="AC6" s="971"/>
      <c r="AD6" s="970" t="s">
        <v>349</v>
      </c>
      <c r="AE6" s="978"/>
      <c r="AF6" s="971"/>
      <c r="AG6" s="970" t="s">
        <v>350</v>
      </c>
      <c r="AH6" s="978"/>
      <c r="AI6" s="971"/>
      <c r="AJ6" s="970" t="s">
        <v>351</v>
      </c>
      <c r="AK6" s="978"/>
      <c r="AL6" s="971"/>
      <c r="AM6" s="970" t="s">
        <v>352</v>
      </c>
      <c r="AN6" s="978"/>
      <c r="AO6" s="971"/>
      <c r="AP6" s="970" t="s">
        <v>353</v>
      </c>
      <c r="AQ6" s="978"/>
      <c r="AR6" s="971"/>
      <c r="AS6" s="970" t="s">
        <v>354</v>
      </c>
      <c r="AT6" s="978"/>
      <c r="AU6" s="971"/>
      <c r="AV6" s="970" t="s">
        <v>355</v>
      </c>
      <c r="AW6" s="978"/>
      <c r="AX6" s="971"/>
      <c r="AY6" s="973" t="s">
        <v>356</v>
      </c>
      <c r="AZ6" s="974"/>
      <c r="BA6" s="974"/>
      <c r="BB6" s="973" t="s">
        <v>357</v>
      </c>
      <c r="BC6" s="974"/>
      <c r="BD6" s="975"/>
      <c r="BE6" s="973" t="s">
        <v>358</v>
      </c>
      <c r="BF6" s="974"/>
      <c r="BG6" s="974"/>
      <c r="BH6" s="973" t="s">
        <v>359</v>
      </c>
      <c r="BI6" s="974"/>
      <c r="BJ6" s="975"/>
      <c r="BK6" s="973" t="s">
        <v>360</v>
      </c>
      <c r="BL6" s="974"/>
      <c r="BM6" s="974"/>
      <c r="BN6" s="973" t="s">
        <v>361</v>
      </c>
      <c r="BO6" s="974"/>
      <c r="BP6" s="975"/>
      <c r="BQ6" s="973" t="s">
        <v>362</v>
      </c>
      <c r="BR6" s="974"/>
      <c r="BS6" s="974"/>
      <c r="BT6" s="973" t="s">
        <v>363</v>
      </c>
      <c r="BU6" s="974"/>
      <c r="BV6" s="975"/>
      <c r="BW6" s="973" t="s">
        <v>364</v>
      </c>
      <c r="BX6" s="974"/>
      <c r="BY6" s="974"/>
      <c r="BZ6" s="973" t="s">
        <v>365</v>
      </c>
      <c r="CA6" s="974"/>
      <c r="CB6" s="975"/>
      <c r="CC6" s="973" t="s">
        <v>366</v>
      </c>
      <c r="CD6" s="974"/>
      <c r="CE6" s="974"/>
      <c r="CF6" s="973" t="s">
        <v>367</v>
      </c>
      <c r="CG6" s="974"/>
      <c r="CH6" s="975"/>
      <c r="CI6" s="973" t="s">
        <v>368</v>
      </c>
      <c r="CJ6" s="974"/>
      <c r="CK6" s="974"/>
      <c r="CL6" s="973" t="s">
        <v>369</v>
      </c>
      <c r="CM6" s="974"/>
      <c r="CN6" s="975"/>
      <c r="CO6" s="973" t="s">
        <v>370</v>
      </c>
      <c r="CP6" s="974"/>
      <c r="CQ6" s="974"/>
      <c r="CR6" s="973" t="s">
        <v>371</v>
      </c>
      <c r="CS6" s="974"/>
      <c r="CT6" s="975"/>
      <c r="CU6" s="973" t="s">
        <v>372</v>
      </c>
      <c r="CV6" s="974"/>
      <c r="CW6" s="974"/>
      <c r="CX6" s="973" t="s">
        <v>373</v>
      </c>
      <c r="CY6" s="974"/>
      <c r="CZ6" s="975"/>
      <c r="DA6" s="973" t="s">
        <v>374</v>
      </c>
      <c r="DB6" s="974"/>
      <c r="DC6" s="974"/>
      <c r="DD6" s="973" t="s">
        <v>375</v>
      </c>
      <c r="DE6" s="974"/>
      <c r="DF6" s="975"/>
      <c r="DG6" s="973" t="s">
        <v>376</v>
      </c>
      <c r="DH6" s="974"/>
      <c r="DI6" s="974"/>
      <c r="DJ6" s="973" t="s">
        <v>377</v>
      </c>
      <c r="DK6" s="974"/>
      <c r="DL6" s="975"/>
      <c r="DM6" s="973" t="s">
        <v>378</v>
      </c>
      <c r="DN6" s="974"/>
      <c r="DO6" s="974"/>
      <c r="DP6" s="973" t="s">
        <v>379</v>
      </c>
      <c r="DQ6" s="974"/>
      <c r="DR6" s="975"/>
      <c r="DS6" s="973" t="s">
        <v>380</v>
      </c>
      <c r="DT6" s="974"/>
      <c r="DU6" s="974"/>
      <c r="DV6" s="973" t="s">
        <v>381</v>
      </c>
      <c r="DW6" s="974"/>
      <c r="DX6" s="975"/>
      <c r="DY6" s="973" t="s">
        <v>382</v>
      </c>
      <c r="DZ6" s="974"/>
      <c r="EA6" s="974"/>
      <c r="EB6" s="976" t="s">
        <v>466</v>
      </c>
      <c r="EC6" s="974"/>
      <c r="ED6" s="975"/>
      <c r="EE6" s="973" t="s">
        <v>467</v>
      </c>
      <c r="EF6" s="974"/>
      <c r="EG6" s="974"/>
      <c r="EH6" s="973"/>
      <c r="EI6" s="974"/>
      <c r="EJ6" s="975"/>
      <c r="EK6" s="973"/>
      <c r="EL6" s="974"/>
      <c r="EM6" s="974"/>
      <c r="EN6" s="973"/>
      <c r="EO6" s="974"/>
      <c r="EP6" s="975"/>
      <c r="EQ6" s="973"/>
      <c r="ER6" s="974"/>
      <c r="ES6" s="974"/>
      <c r="ET6" s="973"/>
      <c r="EU6" s="974"/>
      <c r="EV6" s="975"/>
      <c r="EW6" s="973"/>
      <c r="EX6" s="974"/>
      <c r="EY6" s="974"/>
      <c r="EZ6" s="973"/>
      <c r="FA6" s="974"/>
      <c r="FB6" s="975"/>
      <c r="FC6" s="973"/>
      <c r="FD6" s="974"/>
      <c r="FE6" s="974"/>
      <c r="FF6" s="973"/>
      <c r="FG6" s="974"/>
      <c r="FH6" s="975"/>
      <c r="FI6" s="973"/>
      <c r="FJ6" s="974"/>
      <c r="FK6" s="974"/>
      <c r="FL6" s="973"/>
      <c r="FM6" s="974"/>
      <c r="FN6" s="975"/>
      <c r="FO6" s="973"/>
      <c r="FP6" s="974"/>
      <c r="FQ6" s="974"/>
      <c r="FR6" s="973"/>
      <c r="FS6" s="974"/>
      <c r="FT6" s="975"/>
      <c r="FU6" s="973"/>
      <c r="FV6" s="974"/>
      <c r="FW6" s="974"/>
      <c r="FX6" s="973"/>
      <c r="FY6" s="974"/>
      <c r="FZ6" s="975"/>
      <c r="GA6" s="973"/>
      <c r="GB6" s="974"/>
      <c r="GC6" s="974"/>
      <c r="GD6" s="973" t="s">
        <v>383</v>
      </c>
      <c r="GE6" s="974"/>
      <c r="GF6" s="975"/>
      <c r="GG6" s="973" t="s">
        <v>384</v>
      </c>
      <c r="GH6" s="974"/>
      <c r="GI6" s="974"/>
      <c r="GJ6" s="973" t="s">
        <v>385</v>
      </c>
      <c r="GK6" s="974"/>
      <c r="GL6" s="975"/>
      <c r="GM6" s="973" t="s">
        <v>386</v>
      </c>
      <c r="GN6" s="974"/>
      <c r="GO6" s="974"/>
      <c r="GP6" s="973" t="s">
        <v>387</v>
      </c>
      <c r="GQ6" s="974"/>
      <c r="GR6" s="975"/>
      <c r="GS6" s="973" t="s">
        <v>388</v>
      </c>
      <c r="GT6" s="974"/>
      <c r="GU6" s="974"/>
      <c r="GV6" s="973" t="s">
        <v>389</v>
      </c>
      <c r="GW6" s="974"/>
      <c r="GX6" s="975"/>
      <c r="GY6" s="973" t="s">
        <v>390</v>
      </c>
      <c r="GZ6" s="974"/>
      <c r="HA6" s="974"/>
      <c r="HB6" s="973" t="s">
        <v>365</v>
      </c>
      <c r="HC6" s="974"/>
      <c r="HD6" s="975"/>
      <c r="HE6" s="973" t="s">
        <v>381</v>
      </c>
      <c r="HF6" s="974"/>
      <c r="HG6" s="974"/>
      <c r="HH6" s="973" t="s">
        <v>380</v>
      </c>
      <c r="HI6" s="974"/>
      <c r="HJ6" s="975"/>
      <c r="HK6" s="973" t="s">
        <v>361</v>
      </c>
      <c r="HL6" s="974"/>
      <c r="HM6" s="974"/>
      <c r="HN6" s="973" t="s">
        <v>391</v>
      </c>
      <c r="HO6" s="974"/>
      <c r="HP6" s="975"/>
      <c r="HQ6" s="973" t="s">
        <v>372</v>
      </c>
      <c r="HR6" s="974"/>
      <c r="HS6" s="974"/>
      <c r="HT6" s="973" t="s">
        <v>392</v>
      </c>
      <c r="HU6" s="974"/>
      <c r="HV6" s="975"/>
      <c r="HW6" s="973" t="s">
        <v>393</v>
      </c>
      <c r="HX6" s="974"/>
      <c r="HY6" s="974"/>
      <c r="HZ6" s="973" t="s">
        <v>394</v>
      </c>
      <c r="IA6" s="974"/>
      <c r="IB6" s="975"/>
      <c r="IC6" s="973" t="s">
        <v>395</v>
      </c>
      <c r="ID6" s="974"/>
      <c r="IE6" s="974"/>
      <c r="IF6" s="973" t="s">
        <v>396</v>
      </c>
      <c r="IG6" s="974"/>
      <c r="IH6" s="975"/>
      <c r="II6" s="972" t="s">
        <v>367</v>
      </c>
      <c r="IJ6" s="972"/>
      <c r="IK6" s="972"/>
      <c r="IL6" s="973" t="s">
        <v>370</v>
      </c>
      <c r="IM6" s="974"/>
      <c r="IN6" s="975"/>
      <c r="IO6" s="973" t="s">
        <v>371</v>
      </c>
      <c r="IP6" s="974"/>
      <c r="IQ6" s="974"/>
      <c r="IR6" s="973" t="s">
        <v>366</v>
      </c>
      <c r="IS6" s="974"/>
      <c r="IT6" s="975"/>
      <c r="IU6" s="973" t="s">
        <v>397</v>
      </c>
      <c r="IV6" s="974"/>
      <c r="IW6" s="974"/>
      <c r="IX6" s="973" t="s">
        <v>374</v>
      </c>
      <c r="IY6" s="974"/>
      <c r="IZ6" s="975"/>
      <c r="JA6" s="973" t="s">
        <v>398</v>
      </c>
      <c r="JB6" s="974"/>
      <c r="JC6" s="974"/>
      <c r="JD6" s="973" t="s">
        <v>399</v>
      </c>
      <c r="JE6" s="974"/>
      <c r="JF6" s="975"/>
      <c r="JG6" s="973" t="s">
        <v>400</v>
      </c>
      <c r="JH6" s="974"/>
      <c r="JI6" s="974"/>
      <c r="JJ6" s="973"/>
      <c r="JK6" s="974"/>
      <c r="JL6" s="975"/>
      <c r="JM6" s="973"/>
      <c r="JN6" s="974"/>
      <c r="JO6" s="974"/>
      <c r="JP6" s="973"/>
      <c r="JQ6" s="974"/>
      <c r="JR6" s="975"/>
      <c r="JS6" s="973"/>
      <c r="JT6" s="974"/>
      <c r="JU6" s="974"/>
      <c r="JV6" s="973"/>
      <c r="JW6" s="974"/>
      <c r="JX6" s="975"/>
      <c r="JY6" s="973"/>
      <c r="JZ6" s="974"/>
      <c r="KA6" s="974"/>
      <c r="KB6" s="973"/>
      <c r="KC6" s="974"/>
      <c r="KD6" s="975"/>
      <c r="KE6" s="973"/>
      <c r="KF6" s="974"/>
      <c r="KG6" s="974"/>
      <c r="KH6" s="973"/>
      <c r="KI6" s="974"/>
      <c r="KJ6" s="975"/>
      <c r="KK6" s="973"/>
      <c r="KL6" s="974"/>
      <c r="KM6" s="974"/>
      <c r="KN6" s="973"/>
      <c r="KO6" s="974"/>
      <c r="KP6" s="975"/>
      <c r="KQ6" s="972"/>
      <c r="KR6" s="972"/>
      <c r="KS6" s="972"/>
      <c r="KT6" s="977"/>
      <c r="KU6" s="977"/>
    </row>
    <row r="7" spans="1:308" ht="15" customHeight="1">
      <c r="A7" s="992"/>
      <c r="B7" s="983"/>
      <c r="C7" s="983"/>
      <c r="D7" s="989"/>
      <c r="E7" s="986"/>
      <c r="F7" s="970" t="s">
        <v>135</v>
      </c>
      <c r="G7" s="971"/>
      <c r="H7" s="533" t="s">
        <v>401</v>
      </c>
      <c r="I7" s="970" t="s">
        <v>135</v>
      </c>
      <c r="J7" s="971"/>
      <c r="K7" s="533" t="s">
        <v>401</v>
      </c>
      <c r="L7" s="970" t="s">
        <v>135</v>
      </c>
      <c r="M7" s="971"/>
      <c r="N7" s="533" t="s">
        <v>401</v>
      </c>
      <c r="O7" s="970" t="s">
        <v>135</v>
      </c>
      <c r="P7" s="971"/>
      <c r="Q7" s="533" t="s">
        <v>401</v>
      </c>
      <c r="R7" s="970" t="s">
        <v>135</v>
      </c>
      <c r="S7" s="971"/>
      <c r="T7" s="533" t="s">
        <v>401</v>
      </c>
      <c r="U7" s="970" t="s">
        <v>135</v>
      </c>
      <c r="V7" s="971"/>
      <c r="W7" s="533" t="s">
        <v>401</v>
      </c>
      <c r="X7" s="970" t="s">
        <v>135</v>
      </c>
      <c r="Y7" s="971"/>
      <c r="Z7" s="533" t="s">
        <v>401</v>
      </c>
      <c r="AA7" s="970" t="s">
        <v>135</v>
      </c>
      <c r="AB7" s="971"/>
      <c r="AC7" s="533" t="s">
        <v>401</v>
      </c>
      <c r="AD7" s="970" t="s">
        <v>135</v>
      </c>
      <c r="AE7" s="971"/>
      <c r="AF7" s="533" t="s">
        <v>401</v>
      </c>
      <c r="AG7" s="970" t="s">
        <v>135</v>
      </c>
      <c r="AH7" s="971"/>
      <c r="AI7" s="533" t="s">
        <v>401</v>
      </c>
      <c r="AJ7" s="970" t="s">
        <v>135</v>
      </c>
      <c r="AK7" s="971"/>
      <c r="AL7" s="533" t="s">
        <v>401</v>
      </c>
      <c r="AM7" s="970" t="s">
        <v>135</v>
      </c>
      <c r="AN7" s="971"/>
      <c r="AO7" s="533" t="s">
        <v>401</v>
      </c>
      <c r="AP7" s="970" t="s">
        <v>135</v>
      </c>
      <c r="AQ7" s="971"/>
      <c r="AR7" s="533" t="s">
        <v>401</v>
      </c>
      <c r="AS7" s="970" t="s">
        <v>135</v>
      </c>
      <c r="AT7" s="971"/>
      <c r="AU7" s="533" t="s">
        <v>401</v>
      </c>
      <c r="AV7" s="970" t="s">
        <v>135</v>
      </c>
      <c r="AW7" s="971"/>
      <c r="AX7" s="533" t="s">
        <v>401</v>
      </c>
      <c r="AY7" s="970" t="s">
        <v>135</v>
      </c>
      <c r="AZ7" s="971"/>
      <c r="BA7" s="533" t="s">
        <v>401</v>
      </c>
      <c r="BB7" s="970" t="s">
        <v>135</v>
      </c>
      <c r="BC7" s="971"/>
      <c r="BD7" s="533" t="s">
        <v>401</v>
      </c>
      <c r="BE7" s="970" t="s">
        <v>135</v>
      </c>
      <c r="BF7" s="971"/>
      <c r="BG7" s="533" t="s">
        <v>401</v>
      </c>
      <c r="BH7" s="970" t="s">
        <v>135</v>
      </c>
      <c r="BI7" s="971"/>
      <c r="BJ7" s="533" t="s">
        <v>401</v>
      </c>
      <c r="BK7" s="970" t="s">
        <v>135</v>
      </c>
      <c r="BL7" s="971"/>
      <c r="BM7" s="533" t="s">
        <v>401</v>
      </c>
      <c r="BN7" s="970" t="s">
        <v>135</v>
      </c>
      <c r="BO7" s="971"/>
      <c r="BP7" s="533" t="s">
        <v>401</v>
      </c>
      <c r="BQ7" s="970" t="s">
        <v>135</v>
      </c>
      <c r="BR7" s="971"/>
      <c r="BS7" s="533" t="s">
        <v>401</v>
      </c>
      <c r="BT7" s="970" t="s">
        <v>135</v>
      </c>
      <c r="BU7" s="971"/>
      <c r="BV7" s="533" t="s">
        <v>401</v>
      </c>
      <c r="BW7" s="970" t="s">
        <v>135</v>
      </c>
      <c r="BX7" s="971"/>
      <c r="BY7" s="533" t="s">
        <v>401</v>
      </c>
      <c r="BZ7" s="970" t="s">
        <v>135</v>
      </c>
      <c r="CA7" s="971"/>
      <c r="CB7" s="533" t="s">
        <v>401</v>
      </c>
      <c r="CC7" s="970" t="s">
        <v>135</v>
      </c>
      <c r="CD7" s="971"/>
      <c r="CE7" s="533" t="s">
        <v>401</v>
      </c>
      <c r="CF7" s="970" t="s">
        <v>135</v>
      </c>
      <c r="CG7" s="971"/>
      <c r="CH7" s="533" t="s">
        <v>401</v>
      </c>
      <c r="CI7" s="970" t="s">
        <v>135</v>
      </c>
      <c r="CJ7" s="971"/>
      <c r="CK7" s="533" t="s">
        <v>401</v>
      </c>
      <c r="CL7" s="970" t="s">
        <v>135</v>
      </c>
      <c r="CM7" s="971"/>
      <c r="CN7" s="533" t="s">
        <v>401</v>
      </c>
      <c r="CO7" s="970" t="s">
        <v>135</v>
      </c>
      <c r="CP7" s="971"/>
      <c r="CQ7" s="533" t="s">
        <v>401</v>
      </c>
      <c r="CR7" s="970" t="s">
        <v>135</v>
      </c>
      <c r="CS7" s="971"/>
      <c r="CT7" s="533" t="s">
        <v>401</v>
      </c>
      <c r="CU7" s="970" t="s">
        <v>135</v>
      </c>
      <c r="CV7" s="971"/>
      <c r="CW7" s="533" t="s">
        <v>401</v>
      </c>
      <c r="CX7" s="970" t="s">
        <v>135</v>
      </c>
      <c r="CY7" s="971"/>
      <c r="CZ7" s="533" t="s">
        <v>401</v>
      </c>
      <c r="DA7" s="970" t="s">
        <v>135</v>
      </c>
      <c r="DB7" s="971"/>
      <c r="DC7" s="533" t="s">
        <v>401</v>
      </c>
      <c r="DD7" s="970" t="s">
        <v>135</v>
      </c>
      <c r="DE7" s="971"/>
      <c r="DF7" s="533" t="s">
        <v>401</v>
      </c>
      <c r="DG7" s="970" t="s">
        <v>135</v>
      </c>
      <c r="DH7" s="971"/>
      <c r="DI7" s="533" t="s">
        <v>401</v>
      </c>
      <c r="DJ7" s="970" t="s">
        <v>135</v>
      </c>
      <c r="DK7" s="971"/>
      <c r="DL7" s="533" t="s">
        <v>401</v>
      </c>
      <c r="DM7" s="970" t="s">
        <v>135</v>
      </c>
      <c r="DN7" s="971"/>
      <c r="DO7" s="533" t="s">
        <v>401</v>
      </c>
      <c r="DP7" s="970" t="s">
        <v>135</v>
      </c>
      <c r="DQ7" s="971"/>
      <c r="DR7" s="533" t="s">
        <v>401</v>
      </c>
      <c r="DS7" s="970" t="s">
        <v>135</v>
      </c>
      <c r="DT7" s="971"/>
      <c r="DU7" s="533" t="s">
        <v>401</v>
      </c>
      <c r="DV7" s="970" t="s">
        <v>135</v>
      </c>
      <c r="DW7" s="971"/>
      <c r="DX7" s="533" t="s">
        <v>401</v>
      </c>
      <c r="DY7" s="970" t="s">
        <v>135</v>
      </c>
      <c r="DZ7" s="971"/>
      <c r="EA7" s="533" t="s">
        <v>401</v>
      </c>
      <c r="EB7" s="970" t="s">
        <v>135</v>
      </c>
      <c r="EC7" s="971"/>
      <c r="ED7" s="533" t="s">
        <v>401</v>
      </c>
      <c r="EE7" s="970" t="s">
        <v>135</v>
      </c>
      <c r="EF7" s="971"/>
      <c r="EG7" s="533" t="s">
        <v>401</v>
      </c>
      <c r="EH7" s="970" t="s">
        <v>135</v>
      </c>
      <c r="EI7" s="971"/>
      <c r="EJ7" s="533" t="s">
        <v>401</v>
      </c>
      <c r="EK7" s="970" t="s">
        <v>135</v>
      </c>
      <c r="EL7" s="971"/>
      <c r="EM7" s="533" t="s">
        <v>401</v>
      </c>
      <c r="EN7" s="970" t="s">
        <v>135</v>
      </c>
      <c r="EO7" s="971"/>
      <c r="EP7" s="533" t="s">
        <v>401</v>
      </c>
      <c r="EQ7" s="970" t="s">
        <v>135</v>
      </c>
      <c r="ER7" s="971"/>
      <c r="ES7" s="533" t="s">
        <v>401</v>
      </c>
      <c r="ET7" s="970" t="s">
        <v>135</v>
      </c>
      <c r="EU7" s="971"/>
      <c r="EV7" s="533" t="s">
        <v>401</v>
      </c>
      <c r="EW7" s="970" t="s">
        <v>135</v>
      </c>
      <c r="EX7" s="971"/>
      <c r="EY7" s="533" t="s">
        <v>401</v>
      </c>
      <c r="EZ7" s="970" t="s">
        <v>135</v>
      </c>
      <c r="FA7" s="971"/>
      <c r="FB7" s="533" t="s">
        <v>401</v>
      </c>
      <c r="FC7" s="970" t="s">
        <v>135</v>
      </c>
      <c r="FD7" s="971"/>
      <c r="FE7" s="533" t="s">
        <v>401</v>
      </c>
      <c r="FF7" s="970" t="s">
        <v>135</v>
      </c>
      <c r="FG7" s="971"/>
      <c r="FH7" s="533" t="s">
        <v>401</v>
      </c>
      <c r="FI7" s="970" t="s">
        <v>135</v>
      </c>
      <c r="FJ7" s="971"/>
      <c r="FK7" s="533" t="s">
        <v>401</v>
      </c>
      <c r="FL7" s="970" t="s">
        <v>135</v>
      </c>
      <c r="FM7" s="971"/>
      <c r="FN7" s="533" t="s">
        <v>401</v>
      </c>
      <c r="FO7" s="970" t="s">
        <v>135</v>
      </c>
      <c r="FP7" s="971"/>
      <c r="FQ7" s="533" t="s">
        <v>401</v>
      </c>
      <c r="FR7" s="970" t="s">
        <v>135</v>
      </c>
      <c r="FS7" s="971"/>
      <c r="FT7" s="533" t="s">
        <v>401</v>
      </c>
      <c r="FU7" s="970" t="s">
        <v>135</v>
      </c>
      <c r="FV7" s="971"/>
      <c r="FW7" s="533" t="s">
        <v>401</v>
      </c>
      <c r="FX7" s="970" t="s">
        <v>135</v>
      </c>
      <c r="FY7" s="971"/>
      <c r="FZ7" s="533" t="s">
        <v>401</v>
      </c>
      <c r="GA7" s="970" t="s">
        <v>135</v>
      </c>
      <c r="GB7" s="971"/>
      <c r="GC7" s="533" t="s">
        <v>401</v>
      </c>
      <c r="GD7" s="970" t="s">
        <v>135</v>
      </c>
      <c r="GE7" s="971"/>
      <c r="GF7" s="533" t="s">
        <v>401</v>
      </c>
      <c r="GG7" s="970" t="s">
        <v>135</v>
      </c>
      <c r="GH7" s="971"/>
      <c r="GI7" s="533" t="s">
        <v>401</v>
      </c>
      <c r="GJ7" s="970" t="s">
        <v>135</v>
      </c>
      <c r="GK7" s="971"/>
      <c r="GL7" s="533" t="s">
        <v>401</v>
      </c>
      <c r="GM7" s="970" t="s">
        <v>135</v>
      </c>
      <c r="GN7" s="971"/>
      <c r="GO7" s="533" t="s">
        <v>401</v>
      </c>
      <c r="GP7" s="970" t="s">
        <v>135</v>
      </c>
      <c r="GQ7" s="971"/>
      <c r="GR7" s="533" t="s">
        <v>401</v>
      </c>
      <c r="GS7" s="970" t="s">
        <v>135</v>
      </c>
      <c r="GT7" s="971"/>
      <c r="GU7" s="533" t="s">
        <v>401</v>
      </c>
      <c r="GV7" s="970" t="s">
        <v>135</v>
      </c>
      <c r="GW7" s="971"/>
      <c r="GX7" s="533" t="s">
        <v>401</v>
      </c>
      <c r="GY7" s="970" t="s">
        <v>135</v>
      </c>
      <c r="GZ7" s="971"/>
      <c r="HA7" s="533" t="s">
        <v>401</v>
      </c>
      <c r="HB7" s="970" t="s">
        <v>135</v>
      </c>
      <c r="HC7" s="971"/>
      <c r="HD7" s="533" t="s">
        <v>401</v>
      </c>
      <c r="HE7" s="970" t="s">
        <v>135</v>
      </c>
      <c r="HF7" s="971"/>
      <c r="HG7" s="533" t="s">
        <v>401</v>
      </c>
      <c r="HH7" s="970" t="s">
        <v>135</v>
      </c>
      <c r="HI7" s="971"/>
      <c r="HJ7" s="533" t="s">
        <v>401</v>
      </c>
      <c r="HK7" s="970" t="s">
        <v>135</v>
      </c>
      <c r="HL7" s="971"/>
      <c r="HM7" s="533" t="s">
        <v>401</v>
      </c>
      <c r="HN7" s="970" t="s">
        <v>135</v>
      </c>
      <c r="HO7" s="971"/>
      <c r="HP7" s="533" t="s">
        <v>401</v>
      </c>
      <c r="HQ7" s="970" t="s">
        <v>135</v>
      </c>
      <c r="HR7" s="971"/>
      <c r="HS7" s="533" t="s">
        <v>401</v>
      </c>
      <c r="HT7" s="970" t="s">
        <v>135</v>
      </c>
      <c r="HU7" s="971"/>
      <c r="HV7" s="533" t="s">
        <v>401</v>
      </c>
      <c r="HW7" s="970" t="s">
        <v>135</v>
      </c>
      <c r="HX7" s="971"/>
      <c r="HY7" s="533" t="s">
        <v>401</v>
      </c>
      <c r="HZ7" s="970" t="s">
        <v>135</v>
      </c>
      <c r="IA7" s="971"/>
      <c r="IB7" s="533" t="s">
        <v>401</v>
      </c>
      <c r="IC7" s="970" t="s">
        <v>135</v>
      </c>
      <c r="ID7" s="971"/>
      <c r="IE7" s="533" t="s">
        <v>401</v>
      </c>
      <c r="IF7" s="970" t="s">
        <v>135</v>
      </c>
      <c r="IG7" s="971"/>
      <c r="IH7" s="533" t="s">
        <v>401</v>
      </c>
      <c r="II7" s="972" t="s">
        <v>135</v>
      </c>
      <c r="IJ7" s="972"/>
      <c r="IK7" s="538" t="s">
        <v>401</v>
      </c>
      <c r="IL7" s="970" t="s">
        <v>135</v>
      </c>
      <c r="IM7" s="971"/>
      <c r="IN7" s="533" t="s">
        <v>401</v>
      </c>
      <c r="IO7" s="970" t="s">
        <v>135</v>
      </c>
      <c r="IP7" s="971"/>
      <c r="IQ7" s="533" t="s">
        <v>401</v>
      </c>
      <c r="IR7" s="970" t="s">
        <v>135</v>
      </c>
      <c r="IS7" s="971"/>
      <c r="IT7" s="533" t="s">
        <v>401</v>
      </c>
      <c r="IU7" s="970" t="s">
        <v>135</v>
      </c>
      <c r="IV7" s="971"/>
      <c r="IW7" s="533" t="s">
        <v>401</v>
      </c>
      <c r="IX7" s="970" t="s">
        <v>135</v>
      </c>
      <c r="IY7" s="971"/>
      <c r="IZ7" s="533" t="s">
        <v>401</v>
      </c>
      <c r="JA7" s="970" t="s">
        <v>135</v>
      </c>
      <c r="JB7" s="971"/>
      <c r="JC7" s="533" t="s">
        <v>401</v>
      </c>
      <c r="JD7" s="970" t="s">
        <v>135</v>
      </c>
      <c r="JE7" s="971"/>
      <c r="JF7" s="533" t="s">
        <v>401</v>
      </c>
      <c r="JG7" s="970" t="s">
        <v>135</v>
      </c>
      <c r="JH7" s="971"/>
      <c r="JI7" s="533" t="s">
        <v>401</v>
      </c>
      <c r="JJ7" s="970" t="s">
        <v>135</v>
      </c>
      <c r="JK7" s="971"/>
      <c r="JL7" s="533" t="s">
        <v>401</v>
      </c>
      <c r="JM7" s="970" t="s">
        <v>135</v>
      </c>
      <c r="JN7" s="971"/>
      <c r="JO7" s="533" t="s">
        <v>401</v>
      </c>
      <c r="JP7" s="970" t="s">
        <v>135</v>
      </c>
      <c r="JQ7" s="971"/>
      <c r="JR7" s="533" t="s">
        <v>401</v>
      </c>
      <c r="JS7" s="970" t="s">
        <v>135</v>
      </c>
      <c r="JT7" s="971"/>
      <c r="JU7" s="533" t="s">
        <v>401</v>
      </c>
      <c r="JV7" s="970" t="s">
        <v>135</v>
      </c>
      <c r="JW7" s="971"/>
      <c r="JX7" s="533" t="s">
        <v>401</v>
      </c>
      <c r="JY7" s="970" t="s">
        <v>135</v>
      </c>
      <c r="JZ7" s="971"/>
      <c r="KA7" s="533" t="s">
        <v>401</v>
      </c>
      <c r="KB7" s="970" t="s">
        <v>135</v>
      </c>
      <c r="KC7" s="971"/>
      <c r="KD7" s="533" t="s">
        <v>401</v>
      </c>
      <c r="KE7" s="970" t="s">
        <v>135</v>
      </c>
      <c r="KF7" s="971"/>
      <c r="KG7" s="533" t="s">
        <v>401</v>
      </c>
      <c r="KH7" s="970" t="s">
        <v>135</v>
      </c>
      <c r="KI7" s="971"/>
      <c r="KJ7" s="533" t="s">
        <v>401</v>
      </c>
      <c r="KK7" s="970" t="s">
        <v>135</v>
      </c>
      <c r="KL7" s="971"/>
      <c r="KM7" s="533" t="s">
        <v>401</v>
      </c>
      <c r="KN7" s="970" t="s">
        <v>135</v>
      </c>
      <c r="KO7" s="971"/>
      <c r="KP7" s="533" t="s">
        <v>401</v>
      </c>
      <c r="KQ7" s="972" t="s">
        <v>135</v>
      </c>
      <c r="KR7" s="972"/>
      <c r="KS7" s="538" t="s">
        <v>401</v>
      </c>
      <c r="KT7" s="977"/>
      <c r="KU7" s="977"/>
    </row>
    <row r="8" spans="1:308" ht="15" customHeight="1" thickBot="1">
      <c r="A8" s="993"/>
      <c r="B8" s="984"/>
      <c r="C8" s="984"/>
      <c r="D8" s="990"/>
      <c r="E8" s="987"/>
      <c r="F8" s="534" t="s">
        <v>136</v>
      </c>
      <c r="G8" s="534" t="s">
        <v>39</v>
      </c>
      <c r="H8" s="535"/>
      <c r="I8" s="534" t="s">
        <v>136</v>
      </c>
      <c r="J8" s="534" t="s">
        <v>39</v>
      </c>
      <c r="K8" s="535"/>
      <c r="L8" s="534" t="s">
        <v>136</v>
      </c>
      <c r="M8" s="534" t="s">
        <v>39</v>
      </c>
      <c r="N8" s="535"/>
      <c r="O8" s="534" t="s">
        <v>136</v>
      </c>
      <c r="P8" s="534" t="s">
        <v>39</v>
      </c>
      <c r="Q8" s="535"/>
      <c r="R8" s="534" t="s">
        <v>136</v>
      </c>
      <c r="S8" s="534" t="s">
        <v>39</v>
      </c>
      <c r="T8" s="535"/>
      <c r="U8" s="534" t="s">
        <v>136</v>
      </c>
      <c r="V8" s="534" t="s">
        <v>39</v>
      </c>
      <c r="W8" s="535"/>
      <c r="X8" s="534" t="s">
        <v>136</v>
      </c>
      <c r="Y8" s="534" t="s">
        <v>39</v>
      </c>
      <c r="Z8" s="535"/>
      <c r="AA8" s="534" t="s">
        <v>136</v>
      </c>
      <c r="AB8" s="534" t="s">
        <v>39</v>
      </c>
      <c r="AC8" s="535"/>
      <c r="AD8" s="534" t="s">
        <v>136</v>
      </c>
      <c r="AE8" s="534" t="s">
        <v>39</v>
      </c>
      <c r="AF8" s="535"/>
      <c r="AG8" s="534" t="s">
        <v>136</v>
      </c>
      <c r="AH8" s="534" t="s">
        <v>39</v>
      </c>
      <c r="AI8" s="535"/>
      <c r="AJ8" s="534" t="s">
        <v>136</v>
      </c>
      <c r="AK8" s="534" t="s">
        <v>39</v>
      </c>
      <c r="AL8" s="535"/>
      <c r="AM8" s="534" t="s">
        <v>136</v>
      </c>
      <c r="AN8" s="534" t="s">
        <v>39</v>
      </c>
      <c r="AO8" s="535"/>
      <c r="AP8" s="534" t="s">
        <v>136</v>
      </c>
      <c r="AQ8" s="534" t="s">
        <v>39</v>
      </c>
      <c r="AR8" s="535"/>
      <c r="AS8" s="534" t="s">
        <v>136</v>
      </c>
      <c r="AT8" s="534" t="s">
        <v>39</v>
      </c>
      <c r="AU8" s="535"/>
      <c r="AV8" s="534" t="s">
        <v>136</v>
      </c>
      <c r="AW8" s="534" t="s">
        <v>39</v>
      </c>
      <c r="AX8" s="535"/>
      <c r="AY8" s="534" t="s">
        <v>136</v>
      </c>
      <c r="AZ8" s="534" t="s">
        <v>39</v>
      </c>
      <c r="BA8" s="535"/>
      <c r="BB8" s="534" t="s">
        <v>136</v>
      </c>
      <c r="BC8" s="534" t="s">
        <v>39</v>
      </c>
      <c r="BD8" s="535"/>
      <c r="BE8" s="534" t="s">
        <v>136</v>
      </c>
      <c r="BF8" s="534" t="s">
        <v>39</v>
      </c>
      <c r="BG8" s="535"/>
      <c r="BH8" s="534" t="s">
        <v>136</v>
      </c>
      <c r="BI8" s="534" t="s">
        <v>39</v>
      </c>
      <c r="BJ8" s="535"/>
      <c r="BK8" s="534" t="s">
        <v>136</v>
      </c>
      <c r="BL8" s="534" t="s">
        <v>39</v>
      </c>
      <c r="BM8" s="535"/>
      <c r="BN8" s="534" t="s">
        <v>136</v>
      </c>
      <c r="BO8" s="534" t="s">
        <v>39</v>
      </c>
      <c r="BP8" s="535"/>
      <c r="BQ8" s="534" t="s">
        <v>136</v>
      </c>
      <c r="BR8" s="534" t="s">
        <v>39</v>
      </c>
      <c r="BS8" s="535"/>
      <c r="BT8" s="534" t="s">
        <v>136</v>
      </c>
      <c r="BU8" s="534" t="s">
        <v>39</v>
      </c>
      <c r="BV8" s="535"/>
      <c r="BW8" s="534" t="s">
        <v>136</v>
      </c>
      <c r="BX8" s="534" t="s">
        <v>39</v>
      </c>
      <c r="BY8" s="535"/>
      <c r="BZ8" s="534" t="s">
        <v>136</v>
      </c>
      <c r="CA8" s="534" t="s">
        <v>39</v>
      </c>
      <c r="CB8" s="535"/>
      <c r="CC8" s="534" t="s">
        <v>136</v>
      </c>
      <c r="CD8" s="534" t="s">
        <v>39</v>
      </c>
      <c r="CE8" s="535"/>
      <c r="CF8" s="534" t="s">
        <v>136</v>
      </c>
      <c r="CG8" s="534" t="s">
        <v>39</v>
      </c>
      <c r="CH8" s="535"/>
      <c r="CI8" s="534" t="s">
        <v>136</v>
      </c>
      <c r="CJ8" s="534" t="s">
        <v>39</v>
      </c>
      <c r="CK8" s="535"/>
      <c r="CL8" s="534" t="s">
        <v>136</v>
      </c>
      <c r="CM8" s="534" t="s">
        <v>39</v>
      </c>
      <c r="CN8" s="535"/>
      <c r="CO8" s="534" t="s">
        <v>136</v>
      </c>
      <c r="CP8" s="534" t="s">
        <v>39</v>
      </c>
      <c r="CQ8" s="535"/>
      <c r="CR8" s="534" t="s">
        <v>136</v>
      </c>
      <c r="CS8" s="534" t="s">
        <v>39</v>
      </c>
      <c r="CT8" s="535"/>
      <c r="CU8" s="534" t="s">
        <v>136</v>
      </c>
      <c r="CV8" s="534" t="s">
        <v>39</v>
      </c>
      <c r="CW8" s="535"/>
      <c r="CX8" s="534" t="s">
        <v>136</v>
      </c>
      <c r="CY8" s="534" t="s">
        <v>39</v>
      </c>
      <c r="CZ8" s="535"/>
      <c r="DA8" s="534" t="s">
        <v>136</v>
      </c>
      <c r="DB8" s="534" t="s">
        <v>39</v>
      </c>
      <c r="DC8" s="535"/>
      <c r="DD8" s="534" t="s">
        <v>136</v>
      </c>
      <c r="DE8" s="534" t="s">
        <v>39</v>
      </c>
      <c r="DF8" s="535"/>
      <c r="DG8" s="534" t="s">
        <v>136</v>
      </c>
      <c r="DH8" s="534" t="s">
        <v>39</v>
      </c>
      <c r="DI8" s="535"/>
      <c r="DJ8" s="534" t="s">
        <v>136</v>
      </c>
      <c r="DK8" s="534" t="s">
        <v>39</v>
      </c>
      <c r="DL8" s="535"/>
      <c r="DM8" s="534" t="s">
        <v>136</v>
      </c>
      <c r="DN8" s="534" t="s">
        <v>39</v>
      </c>
      <c r="DO8" s="535"/>
      <c r="DP8" s="534" t="s">
        <v>136</v>
      </c>
      <c r="DQ8" s="534" t="s">
        <v>39</v>
      </c>
      <c r="DR8" s="535"/>
      <c r="DS8" s="534" t="s">
        <v>136</v>
      </c>
      <c r="DT8" s="534" t="s">
        <v>39</v>
      </c>
      <c r="DU8" s="535"/>
      <c r="DV8" s="534" t="s">
        <v>136</v>
      </c>
      <c r="DW8" s="534" t="s">
        <v>39</v>
      </c>
      <c r="DX8" s="535"/>
      <c r="DY8" s="534" t="s">
        <v>136</v>
      </c>
      <c r="DZ8" s="534" t="s">
        <v>39</v>
      </c>
      <c r="EA8" s="535"/>
      <c r="EB8" s="534" t="s">
        <v>136</v>
      </c>
      <c r="EC8" s="534" t="s">
        <v>39</v>
      </c>
      <c r="ED8" s="533"/>
      <c r="EE8" s="534" t="s">
        <v>136</v>
      </c>
      <c r="EF8" s="534" t="s">
        <v>39</v>
      </c>
      <c r="EG8" s="535"/>
      <c r="EH8" s="534" t="s">
        <v>136</v>
      </c>
      <c r="EI8" s="534" t="s">
        <v>39</v>
      </c>
      <c r="EJ8" s="535"/>
      <c r="EK8" s="534" t="s">
        <v>136</v>
      </c>
      <c r="EL8" s="534" t="s">
        <v>39</v>
      </c>
      <c r="EM8" s="535"/>
      <c r="EN8" s="534" t="s">
        <v>136</v>
      </c>
      <c r="EO8" s="534" t="s">
        <v>39</v>
      </c>
      <c r="EP8" s="535"/>
      <c r="EQ8" s="534" t="s">
        <v>136</v>
      </c>
      <c r="ER8" s="534" t="s">
        <v>39</v>
      </c>
      <c r="ES8" s="535"/>
      <c r="ET8" s="534" t="s">
        <v>136</v>
      </c>
      <c r="EU8" s="534" t="s">
        <v>39</v>
      </c>
      <c r="EV8" s="535"/>
      <c r="EW8" s="534" t="s">
        <v>136</v>
      </c>
      <c r="EX8" s="534" t="s">
        <v>39</v>
      </c>
      <c r="EY8" s="535"/>
      <c r="EZ8" s="534" t="s">
        <v>136</v>
      </c>
      <c r="FA8" s="534" t="s">
        <v>39</v>
      </c>
      <c r="FB8" s="535"/>
      <c r="FC8" s="534" t="s">
        <v>136</v>
      </c>
      <c r="FD8" s="534" t="s">
        <v>39</v>
      </c>
      <c r="FE8" s="535"/>
      <c r="FF8" s="534" t="s">
        <v>136</v>
      </c>
      <c r="FG8" s="534" t="s">
        <v>39</v>
      </c>
      <c r="FH8" s="535"/>
      <c r="FI8" s="534" t="s">
        <v>136</v>
      </c>
      <c r="FJ8" s="534" t="s">
        <v>39</v>
      </c>
      <c r="FK8" s="535"/>
      <c r="FL8" s="534" t="s">
        <v>136</v>
      </c>
      <c r="FM8" s="534" t="s">
        <v>39</v>
      </c>
      <c r="FN8" s="535"/>
      <c r="FO8" s="534" t="s">
        <v>136</v>
      </c>
      <c r="FP8" s="534" t="s">
        <v>39</v>
      </c>
      <c r="FQ8" s="535"/>
      <c r="FR8" s="534" t="s">
        <v>136</v>
      </c>
      <c r="FS8" s="534" t="s">
        <v>39</v>
      </c>
      <c r="FT8" s="535"/>
      <c r="FU8" s="534" t="s">
        <v>136</v>
      </c>
      <c r="FV8" s="534" t="s">
        <v>39</v>
      </c>
      <c r="FW8" s="535"/>
      <c r="FX8" s="534" t="s">
        <v>136</v>
      </c>
      <c r="FY8" s="534" t="s">
        <v>39</v>
      </c>
      <c r="FZ8" s="535"/>
      <c r="GA8" s="534" t="s">
        <v>136</v>
      </c>
      <c r="GB8" s="534" t="s">
        <v>39</v>
      </c>
      <c r="GC8" s="535"/>
      <c r="GD8" s="534" t="s">
        <v>136</v>
      </c>
      <c r="GE8" s="534" t="s">
        <v>39</v>
      </c>
      <c r="GF8" s="535"/>
      <c r="GG8" s="534" t="s">
        <v>136</v>
      </c>
      <c r="GH8" s="534" t="s">
        <v>39</v>
      </c>
      <c r="GI8" s="535"/>
      <c r="GJ8" s="534" t="s">
        <v>136</v>
      </c>
      <c r="GK8" s="534" t="s">
        <v>39</v>
      </c>
      <c r="GL8" s="535"/>
      <c r="GM8" s="534" t="s">
        <v>136</v>
      </c>
      <c r="GN8" s="534" t="s">
        <v>39</v>
      </c>
      <c r="GO8" s="535"/>
      <c r="GP8" s="534" t="s">
        <v>136</v>
      </c>
      <c r="GQ8" s="534" t="s">
        <v>39</v>
      </c>
      <c r="GR8" s="535"/>
      <c r="GS8" s="534" t="s">
        <v>136</v>
      </c>
      <c r="GT8" s="534" t="s">
        <v>39</v>
      </c>
      <c r="GU8" s="535"/>
      <c r="GV8" s="534" t="s">
        <v>136</v>
      </c>
      <c r="GW8" s="534" t="s">
        <v>39</v>
      </c>
      <c r="GX8" s="535"/>
      <c r="GY8" s="534" t="s">
        <v>136</v>
      </c>
      <c r="GZ8" s="534" t="s">
        <v>39</v>
      </c>
      <c r="HA8" s="535"/>
      <c r="HB8" s="534" t="s">
        <v>136</v>
      </c>
      <c r="HC8" s="534" t="s">
        <v>39</v>
      </c>
      <c r="HD8" s="535"/>
      <c r="HE8" s="534" t="s">
        <v>136</v>
      </c>
      <c r="HF8" s="534" t="s">
        <v>39</v>
      </c>
      <c r="HG8" s="535"/>
      <c r="HH8" s="534" t="s">
        <v>136</v>
      </c>
      <c r="HI8" s="534" t="s">
        <v>39</v>
      </c>
      <c r="HJ8" s="535"/>
      <c r="HK8" s="534" t="s">
        <v>136</v>
      </c>
      <c r="HL8" s="534" t="s">
        <v>39</v>
      </c>
      <c r="HM8" s="535"/>
      <c r="HN8" s="534" t="s">
        <v>136</v>
      </c>
      <c r="HO8" s="534" t="s">
        <v>39</v>
      </c>
      <c r="HP8" s="535"/>
      <c r="HQ8" s="534" t="s">
        <v>136</v>
      </c>
      <c r="HR8" s="534" t="s">
        <v>39</v>
      </c>
      <c r="HS8" s="535"/>
      <c r="HT8" s="534" t="s">
        <v>136</v>
      </c>
      <c r="HU8" s="534" t="s">
        <v>39</v>
      </c>
      <c r="HV8" s="535"/>
      <c r="HW8" s="534" t="s">
        <v>136</v>
      </c>
      <c r="HX8" s="534" t="s">
        <v>39</v>
      </c>
      <c r="HY8" s="535"/>
      <c r="HZ8" s="534" t="s">
        <v>136</v>
      </c>
      <c r="IA8" s="534" t="s">
        <v>39</v>
      </c>
      <c r="IB8" s="535"/>
      <c r="IC8" s="534" t="s">
        <v>136</v>
      </c>
      <c r="ID8" s="534" t="s">
        <v>39</v>
      </c>
      <c r="IE8" s="535"/>
      <c r="IF8" s="534" t="s">
        <v>136</v>
      </c>
      <c r="IG8" s="534" t="s">
        <v>39</v>
      </c>
      <c r="IH8" s="535"/>
      <c r="II8" s="534" t="s">
        <v>136</v>
      </c>
      <c r="IJ8" s="534" t="s">
        <v>39</v>
      </c>
      <c r="IK8" s="535"/>
      <c r="IL8" s="534" t="s">
        <v>136</v>
      </c>
      <c r="IM8" s="534" t="s">
        <v>39</v>
      </c>
      <c r="IN8" s="535"/>
      <c r="IO8" s="534" t="s">
        <v>136</v>
      </c>
      <c r="IP8" s="534" t="s">
        <v>39</v>
      </c>
      <c r="IQ8" s="535"/>
      <c r="IR8" s="534" t="s">
        <v>136</v>
      </c>
      <c r="IS8" s="534" t="s">
        <v>39</v>
      </c>
      <c r="IT8" s="535"/>
      <c r="IU8" s="534" t="s">
        <v>136</v>
      </c>
      <c r="IV8" s="534" t="s">
        <v>39</v>
      </c>
      <c r="IW8" s="535"/>
      <c r="IX8" s="534" t="s">
        <v>136</v>
      </c>
      <c r="IY8" s="534" t="s">
        <v>39</v>
      </c>
      <c r="IZ8" s="535"/>
      <c r="JA8" s="534" t="s">
        <v>136</v>
      </c>
      <c r="JB8" s="534" t="s">
        <v>39</v>
      </c>
      <c r="JC8" s="535"/>
      <c r="JD8" s="534" t="s">
        <v>136</v>
      </c>
      <c r="JE8" s="534" t="s">
        <v>39</v>
      </c>
      <c r="JF8" s="535"/>
      <c r="JG8" s="534" t="s">
        <v>136</v>
      </c>
      <c r="JH8" s="534" t="s">
        <v>39</v>
      </c>
      <c r="JI8" s="535"/>
      <c r="JJ8" s="534" t="s">
        <v>136</v>
      </c>
      <c r="JK8" s="534" t="s">
        <v>39</v>
      </c>
      <c r="JL8" s="535" t="s">
        <v>419</v>
      </c>
      <c r="JM8" s="534" t="s">
        <v>136</v>
      </c>
      <c r="JN8" s="534" t="s">
        <v>39</v>
      </c>
      <c r="JO8" s="535" t="s">
        <v>419</v>
      </c>
      <c r="JP8" s="534" t="s">
        <v>136</v>
      </c>
      <c r="JQ8" s="534" t="s">
        <v>39</v>
      </c>
      <c r="JR8" s="535" t="s">
        <v>419</v>
      </c>
      <c r="JS8" s="534" t="s">
        <v>136</v>
      </c>
      <c r="JT8" s="534" t="s">
        <v>39</v>
      </c>
      <c r="JU8" s="535" t="s">
        <v>419</v>
      </c>
      <c r="JV8" s="534" t="s">
        <v>136</v>
      </c>
      <c r="JW8" s="534" t="s">
        <v>39</v>
      </c>
      <c r="JX8" s="535" t="s">
        <v>419</v>
      </c>
      <c r="JY8" s="534" t="s">
        <v>136</v>
      </c>
      <c r="JZ8" s="534" t="s">
        <v>39</v>
      </c>
      <c r="KA8" s="535" t="s">
        <v>419</v>
      </c>
      <c r="KB8" s="534" t="s">
        <v>136</v>
      </c>
      <c r="KC8" s="534" t="s">
        <v>39</v>
      </c>
      <c r="KD8" s="535" t="s">
        <v>419</v>
      </c>
      <c r="KE8" s="534" t="s">
        <v>136</v>
      </c>
      <c r="KF8" s="534" t="s">
        <v>39</v>
      </c>
      <c r="KG8" s="535" t="s">
        <v>419</v>
      </c>
      <c r="KH8" s="534" t="s">
        <v>136</v>
      </c>
      <c r="KI8" s="534" t="s">
        <v>39</v>
      </c>
      <c r="KJ8" s="535" t="s">
        <v>419</v>
      </c>
      <c r="KK8" s="534" t="s">
        <v>136</v>
      </c>
      <c r="KL8" s="534" t="s">
        <v>39</v>
      </c>
      <c r="KM8" s="535" t="s">
        <v>419</v>
      </c>
      <c r="KN8" s="534" t="s">
        <v>136</v>
      </c>
      <c r="KO8" s="534" t="s">
        <v>39</v>
      </c>
      <c r="KP8" s="535" t="s">
        <v>419</v>
      </c>
      <c r="KQ8" s="534" t="s">
        <v>136</v>
      </c>
      <c r="KR8" s="534" t="s">
        <v>39</v>
      </c>
      <c r="KS8" s="535" t="s">
        <v>419</v>
      </c>
      <c r="KT8" s="977"/>
      <c r="KU8" s="977"/>
    </row>
    <row r="9" spans="1:308" ht="15" customHeight="1">
      <c r="A9" s="274">
        <f>+Report1!A9</f>
        <v>46113</v>
      </c>
      <c r="B9" s="275" t="str">
        <f>+Report1!B9</f>
        <v>Toilet</v>
      </c>
      <c r="C9" s="417" t="str">
        <f>+Report1!C9</f>
        <v>14/15</v>
      </c>
      <c r="D9" s="276">
        <f>+Report1!P9</f>
        <v>66.177999999999997</v>
      </c>
      <c r="E9" s="277">
        <f>+Report1!R9</f>
        <v>63.094000000000001</v>
      </c>
      <c r="F9" s="539"/>
      <c r="G9" s="540">
        <f t="shared" ref="G9:G38" si="0">+F9/$E9</f>
        <v>0</v>
      </c>
      <c r="H9" s="541">
        <f>+F9*$H$8</f>
        <v>0</v>
      </c>
      <c r="I9" s="539">
        <v>0</v>
      </c>
      <c r="J9" s="540">
        <f t="shared" ref="J9:J38" si="1">+I9/$E9</f>
        <v>0</v>
      </c>
      <c r="K9" s="541">
        <f>+I9*$H$8</f>
        <v>0</v>
      </c>
      <c r="L9" s="539"/>
      <c r="M9" s="540">
        <f t="shared" ref="M9:M38" si="2">+L9/$E9</f>
        <v>0</v>
      </c>
      <c r="N9" s="541">
        <f>+L9*$H$8</f>
        <v>0</v>
      </c>
      <c r="O9" s="539">
        <v>9</v>
      </c>
      <c r="P9" s="540">
        <f t="shared" ref="P9:P38" si="3">+O9/$E9</f>
        <v>0.14264430849209117</v>
      </c>
      <c r="Q9" s="541">
        <f>+O9*$H$8</f>
        <v>0</v>
      </c>
      <c r="R9" s="539"/>
      <c r="S9" s="540">
        <f t="shared" ref="S9:S38" si="4">+R9/$E9</f>
        <v>0</v>
      </c>
      <c r="T9" s="541">
        <f>+R9*$H$8</f>
        <v>0</v>
      </c>
      <c r="U9" s="539">
        <v>12.812500000000028</v>
      </c>
      <c r="V9" s="540">
        <f t="shared" ref="V9:V38" si="5">+U9/$E9</f>
        <v>0.20307002250610245</v>
      </c>
      <c r="W9" s="541">
        <f>+U9*$H$8</f>
        <v>0</v>
      </c>
      <c r="X9" s="539"/>
      <c r="Y9" s="540">
        <f t="shared" ref="Y9:Y38" si="6">+X9/$E9</f>
        <v>0</v>
      </c>
      <c r="Z9" s="541">
        <f>+X9*$H$8</f>
        <v>0</v>
      </c>
      <c r="AA9" s="539"/>
      <c r="AB9" s="540">
        <f t="shared" ref="AB9:AB38" si="7">+AA9/$E9</f>
        <v>0</v>
      </c>
      <c r="AC9" s="541">
        <f>+AA9*$H$8</f>
        <v>0</v>
      </c>
      <c r="AD9" s="539"/>
      <c r="AE9" s="540">
        <f t="shared" ref="AE9:AE38" si="8">+AD9/$E9</f>
        <v>0</v>
      </c>
      <c r="AF9" s="541">
        <f>+AD9*$H$8</f>
        <v>0</v>
      </c>
      <c r="AG9" s="539"/>
      <c r="AH9" s="540">
        <f t="shared" ref="AH9:AH38" si="9">+AG9/$E9</f>
        <v>0</v>
      </c>
      <c r="AI9" s="541">
        <f>+AG9*$H$8</f>
        <v>0</v>
      </c>
      <c r="AJ9" s="539"/>
      <c r="AK9" s="540">
        <f t="shared" ref="AK9:AK38" si="10">+AJ9/$E9</f>
        <v>0</v>
      </c>
      <c r="AL9" s="541">
        <f>+AJ9*$H$8</f>
        <v>0</v>
      </c>
      <c r="AM9" s="539">
        <v>0</v>
      </c>
      <c r="AN9" s="540">
        <f t="shared" ref="AN9:AN38" si="11">+AM9/$E9</f>
        <v>0</v>
      </c>
      <c r="AO9" s="541">
        <f>+AM9*$H$8</f>
        <v>0</v>
      </c>
      <c r="AP9" s="539">
        <v>54.113924050632875</v>
      </c>
      <c r="AQ9" s="540">
        <f t="shared" ref="AQ9:AQ38" si="12">+AP9/$E9</f>
        <v>0.8576714751106741</v>
      </c>
      <c r="AR9" s="541">
        <f>+AP9*$H$8</f>
        <v>0</v>
      </c>
      <c r="AS9" s="539"/>
      <c r="AT9" s="540">
        <f t="shared" ref="AT9:AT38" si="13">+AS9/$E9</f>
        <v>0</v>
      </c>
      <c r="AU9" s="541">
        <f>+AS9*$H$8</f>
        <v>0</v>
      </c>
      <c r="AV9" s="539">
        <v>5.5500000000000043</v>
      </c>
      <c r="AW9" s="540">
        <f t="shared" ref="AW9:AW38" si="14">+AV9/$E9</f>
        <v>8.7963990236789621E-2</v>
      </c>
      <c r="AX9" s="541">
        <f>+AV9*$H$8</f>
        <v>0</v>
      </c>
      <c r="AY9" s="539">
        <v>35</v>
      </c>
      <c r="AZ9" s="540">
        <f t="shared" ref="AZ9:AZ38" si="15">+AY9/$E9</f>
        <v>0.55472786635813232</v>
      </c>
      <c r="BA9" s="541">
        <f>+AY9*$H$8</f>
        <v>0</v>
      </c>
      <c r="BB9" s="539">
        <v>0</v>
      </c>
      <c r="BC9" s="540">
        <f t="shared" ref="BC9:BC38" si="16">+BB9/$E9</f>
        <v>0</v>
      </c>
      <c r="BD9" s="541">
        <f>+BB9*$H$8</f>
        <v>0</v>
      </c>
      <c r="BE9" s="539"/>
      <c r="BF9" s="540">
        <f t="shared" ref="BF9:BF38" si="17">+BE9/$E9</f>
        <v>0</v>
      </c>
      <c r="BG9" s="541">
        <f>+BE9*$H$8</f>
        <v>0</v>
      </c>
      <c r="BH9" s="539"/>
      <c r="BI9" s="540">
        <f t="shared" ref="BI9:BI38" si="18">+BH9/$E9</f>
        <v>0</v>
      </c>
      <c r="BJ9" s="541">
        <f>+BH9*$H$8</f>
        <v>0</v>
      </c>
      <c r="BK9" s="539"/>
      <c r="BL9" s="540">
        <f t="shared" ref="BL9:BL38" si="19">+BK9/$E9</f>
        <v>0</v>
      </c>
      <c r="BM9" s="541">
        <f>+BK9*$H$8</f>
        <v>0</v>
      </c>
      <c r="BN9" s="539">
        <v>10.12345679012347</v>
      </c>
      <c r="BO9" s="540">
        <f t="shared" ref="BO9:BO38" si="20">+BN9/$E9</f>
        <v>0.16045038815296969</v>
      </c>
      <c r="BP9" s="541">
        <f>+BN9*$H$8</f>
        <v>0</v>
      </c>
      <c r="BQ9" s="539">
        <v>0</v>
      </c>
      <c r="BR9" s="540">
        <f t="shared" ref="BR9:BR38" si="21">+BQ9/$E9</f>
        <v>0</v>
      </c>
      <c r="BS9" s="541">
        <f>+BQ9*$H$8</f>
        <v>0</v>
      </c>
      <c r="BT9" s="539"/>
      <c r="BU9" s="540">
        <f t="shared" ref="BU9:BU38" si="22">+BT9/$E9</f>
        <v>0</v>
      </c>
      <c r="BV9" s="541">
        <f>+BT9*$H$8</f>
        <v>0</v>
      </c>
      <c r="BW9" s="539">
        <v>0</v>
      </c>
      <c r="BX9" s="540">
        <f t="shared" ref="BX9:BX38" si="23">+BW9/$E9</f>
        <v>0</v>
      </c>
      <c r="BY9" s="541">
        <f>+BW9*$H$8</f>
        <v>0</v>
      </c>
      <c r="BZ9" s="539"/>
      <c r="CA9" s="540">
        <f t="shared" ref="CA9:CA38" si="24">+BZ9/$E9</f>
        <v>0</v>
      </c>
      <c r="CB9" s="541">
        <f>+BZ9*$H$8</f>
        <v>0</v>
      </c>
      <c r="CC9" s="539">
        <v>0</v>
      </c>
      <c r="CD9" s="540">
        <f t="shared" ref="CD9:CD38" si="25">+CC9/$E9</f>
        <v>0</v>
      </c>
      <c r="CE9" s="541">
        <f>+CC9*$H$8</f>
        <v>0</v>
      </c>
      <c r="CF9" s="539">
        <v>2</v>
      </c>
      <c r="CG9" s="540">
        <f t="shared" ref="CG9:CG38" si="26">+CF9/$E9</f>
        <v>3.1698735220464701E-2</v>
      </c>
      <c r="CH9" s="541">
        <f>+CF9*$H$8</f>
        <v>0</v>
      </c>
      <c r="CI9" s="539"/>
      <c r="CJ9" s="540">
        <f t="shared" ref="CJ9:CJ38" si="27">+CI9/$E9</f>
        <v>0</v>
      </c>
      <c r="CK9" s="541">
        <f>+CI9*$H$8</f>
        <v>0</v>
      </c>
      <c r="CL9" s="539"/>
      <c r="CM9" s="540">
        <f t="shared" ref="CM9:CM38" si="28">+CL9/$E9</f>
        <v>0</v>
      </c>
      <c r="CN9" s="541">
        <f>+CL9*$H$8</f>
        <v>0</v>
      </c>
      <c r="CO9" s="539"/>
      <c r="CP9" s="540">
        <f t="shared" ref="CP9:CP38" si="29">+CO9/$E9</f>
        <v>0</v>
      </c>
      <c r="CQ9" s="541">
        <f>+CO9*$H$8</f>
        <v>0</v>
      </c>
      <c r="CR9" s="539"/>
      <c r="CS9" s="540">
        <f t="shared" ref="CS9:CS38" si="30">+CR9/$E9</f>
        <v>0</v>
      </c>
      <c r="CT9" s="541">
        <f>+CR9*$H$8</f>
        <v>0</v>
      </c>
      <c r="CU9" s="539"/>
      <c r="CV9" s="540">
        <f t="shared" ref="CV9:CV38" si="31">+CU9/$E9</f>
        <v>0</v>
      </c>
      <c r="CW9" s="541">
        <f>+CU9*$H$8</f>
        <v>0</v>
      </c>
      <c r="CX9" s="539"/>
      <c r="CY9" s="540">
        <f t="shared" ref="CY9:CY38" si="32">+CX9/$E9</f>
        <v>0</v>
      </c>
      <c r="CZ9" s="541">
        <f>+CX9*$H$8</f>
        <v>0</v>
      </c>
      <c r="DA9" s="539">
        <v>156.25000000000011</v>
      </c>
      <c r="DB9" s="540">
        <f t="shared" ref="DB9:DB38" si="33">+DA9/$E9</f>
        <v>2.4764636890988068</v>
      </c>
      <c r="DC9" s="541">
        <f>+DA9*$H$8</f>
        <v>0</v>
      </c>
      <c r="DD9" s="539"/>
      <c r="DE9" s="540">
        <f t="shared" ref="DE9:DE38" si="34">+DD9/$E9</f>
        <v>0</v>
      </c>
      <c r="DF9" s="541">
        <f>+DD9*$H$8</f>
        <v>0</v>
      </c>
      <c r="DG9" s="539">
        <v>0</v>
      </c>
      <c r="DH9" s="540">
        <f t="shared" ref="DH9:DH38" si="35">+DG9/$E9</f>
        <v>0</v>
      </c>
      <c r="DI9" s="541">
        <v>0</v>
      </c>
      <c r="DJ9" s="539"/>
      <c r="DK9" s="540">
        <f t="shared" ref="DK9:DK38" si="36">+DJ9/$E9</f>
        <v>0</v>
      </c>
      <c r="DL9" s="541">
        <f>+DJ9*$H$8</f>
        <v>0</v>
      </c>
      <c r="DM9" s="539"/>
      <c r="DN9" s="540">
        <f t="shared" ref="DN9:DN38" si="37">+DM9/$E9</f>
        <v>0</v>
      </c>
      <c r="DO9" s="541">
        <f>+DM9*$H$8</f>
        <v>0</v>
      </c>
      <c r="DP9" s="539"/>
      <c r="DQ9" s="540">
        <f t="shared" ref="DQ9:DQ38" si="38">+DP9/$E9</f>
        <v>0</v>
      </c>
      <c r="DR9" s="541">
        <f>+DP9*$H$8</f>
        <v>0</v>
      </c>
      <c r="DS9" s="539"/>
      <c r="DT9" s="540">
        <f t="shared" ref="DT9:DT38" si="39">+DS9/$E9</f>
        <v>0</v>
      </c>
      <c r="DU9" s="541">
        <f>+DS9*$H$8</f>
        <v>0</v>
      </c>
      <c r="DV9" s="539"/>
      <c r="DW9" s="540">
        <f t="shared" ref="DW9:DW38" si="40">+DV9/$E9</f>
        <v>0</v>
      </c>
      <c r="DX9" s="541">
        <f>+DV9*$H$8</f>
        <v>0</v>
      </c>
      <c r="DY9" s="539"/>
      <c r="DZ9" s="540">
        <f t="shared" ref="DZ9:DZ38" si="41">+DY9/$E9</f>
        <v>0</v>
      </c>
      <c r="EA9" s="541">
        <f>+DY9*$H$8</f>
        <v>0</v>
      </c>
      <c r="EB9" s="539">
        <v>14.534883720930338</v>
      </c>
      <c r="EC9" s="540">
        <f t="shared" ref="EC9:EC38" si="42">+EB9/$E9</f>
        <v>0.2303687152650068</v>
      </c>
      <c r="ED9" s="541">
        <f>+EB9*$H$8</f>
        <v>0</v>
      </c>
      <c r="EE9" s="539">
        <v>1</v>
      </c>
      <c r="EF9" s="540">
        <f t="shared" ref="EF9:EF38" si="43">+EE9/$E9</f>
        <v>1.584936761023235E-2</v>
      </c>
      <c r="EG9" s="541">
        <f>+EE9*$H$8</f>
        <v>0</v>
      </c>
      <c r="EH9" s="539"/>
      <c r="EI9" s="540">
        <f t="shared" ref="EI9:EI38" si="44">+EH9/$E9</f>
        <v>0</v>
      </c>
      <c r="EJ9" s="541">
        <f>+EH9*$H$8</f>
        <v>0</v>
      </c>
      <c r="EK9" s="539"/>
      <c r="EL9" s="540">
        <f t="shared" ref="EL9:EL38" si="45">+EK9/$E9</f>
        <v>0</v>
      </c>
      <c r="EM9" s="541">
        <f>+EK9*$H$8</f>
        <v>0</v>
      </c>
      <c r="EN9" s="539"/>
      <c r="EO9" s="540">
        <f t="shared" ref="EO9:EO38" si="46">+EN9/$E9</f>
        <v>0</v>
      </c>
      <c r="EP9" s="541">
        <f>+EN9*$H$8</f>
        <v>0</v>
      </c>
      <c r="EQ9" s="539"/>
      <c r="ER9" s="540">
        <f t="shared" ref="ER9:ER38" si="47">+EQ9/$E9</f>
        <v>0</v>
      </c>
      <c r="ES9" s="541">
        <f>+EQ9*$H$8</f>
        <v>0</v>
      </c>
      <c r="ET9" s="539"/>
      <c r="EU9" s="540">
        <f t="shared" ref="EU9:EU38" si="48">+ET9/$E9</f>
        <v>0</v>
      </c>
      <c r="EV9" s="541">
        <f>+ET9*$H$8</f>
        <v>0</v>
      </c>
      <c r="EW9" s="539"/>
      <c r="EX9" s="540">
        <f t="shared" ref="EX9:EX38" si="49">+EW9/$E9</f>
        <v>0</v>
      </c>
      <c r="EY9" s="541">
        <f>+EW9*$H$8</f>
        <v>0</v>
      </c>
      <c r="EZ9" s="539"/>
      <c r="FA9" s="540">
        <f t="shared" ref="FA9:FA38" si="50">+EZ9/$E9</f>
        <v>0</v>
      </c>
      <c r="FB9" s="541">
        <f>+EZ9*$H$8</f>
        <v>0</v>
      </c>
      <c r="FC9" s="539"/>
      <c r="FD9" s="540">
        <f t="shared" ref="FD9:FD38" si="51">+FC9/$E9</f>
        <v>0</v>
      </c>
      <c r="FE9" s="541">
        <f>+FC9*$H$8</f>
        <v>0</v>
      </c>
      <c r="FF9" s="539"/>
      <c r="FG9" s="540">
        <f t="shared" ref="FG9:FG38" si="52">+FF9/$E9</f>
        <v>0</v>
      </c>
      <c r="FH9" s="541">
        <f>+FF9*$H$8</f>
        <v>0</v>
      </c>
      <c r="FI9" s="539"/>
      <c r="FJ9" s="540">
        <f t="shared" ref="FJ9:FJ38" si="53">+FI9/$E9</f>
        <v>0</v>
      </c>
      <c r="FK9" s="541">
        <f>+FI9*$H$8</f>
        <v>0</v>
      </c>
      <c r="FL9" s="539"/>
      <c r="FM9" s="540">
        <f t="shared" ref="FM9:FM38" si="54">+FL9/$E9</f>
        <v>0</v>
      </c>
      <c r="FN9" s="541">
        <f>+FL9*$H$8</f>
        <v>0</v>
      </c>
      <c r="FO9" s="539"/>
      <c r="FP9" s="540">
        <f t="shared" ref="FP9:FP38" si="55">+FO9/$E9</f>
        <v>0</v>
      </c>
      <c r="FQ9" s="541">
        <f>+FO9*$H$8</f>
        <v>0</v>
      </c>
      <c r="FR9" s="539"/>
      <c r="FS9" s="540">
        <f t="shared" ref="FS9:FS38" si="56">+FR9/$E9</f>
        <v>0</v>
      </c>
      <c r="FT9" s="541">
        <f>+FR9*$H$8</f>
        <v>0</v>
      </c>
      <c r="FU9" s="539"/>
      <c r="FV9" s="540">
        <f t="shared" ref="FV9:FV38" si="57">+FU9/$E9</f>
        <v>0</v>
      </c>
      <c r="FW9" s="541">
        <f>+FU9*$H$8</f>
        <v>0</v>
      </c>
      <c r="FX9" s="539"/>
      <c r="FY9" s="540">
        <f t="shared" ref="FY9:FY38" si="58">+FX9/$E9</f>
        <v>0</v>
      </c>
      <c r="FZ9" s="541">
        <f>+FX9*$H$8</f>
        <v>0</v>
      </c>
      <c r="GA9" s="539"/>
      <c r="GB9" s="540">
        <f t="shared" ref="GB9:GB38" si="59">+GA9/$E9</f>
        <v>0</v>
      </c>
      <c r="GC9" s="541">
        <f>+GA9*$H$8</f>
        <v>0</v>
      </c>
      <c r="GD9" s="539"/>
      <c r="GE9" s="540">
        <f t="shared" ref="GE9:GE38" si="60">+GD9/$E9</f>
        <v>0</v>
      </c>
      <c r="GF9" s="541">
        <f>+GD9*$H$8</f>
        <v>0</v>
      </c>
      <c r="GG9" s="539"/>
      <c r="GH9" s="540">
        <f t="shared" ref="GH9:GH38" si="61">+GG9/$E9</f>
        <v>0</v>
      </c>
      <c r="GI9" s="541">
        <f>+GG9*$H$8</f>
        <v>0</v>
      </c>
      <c r="GJ9" s="539"/>
      <c r="GK9" s="540">
        <f t="shared" ref="GK9:GK38" si="62">+GJ9/$E9</f>
        <v>0</v>
      </c>
      <c r="GL9" s="541">
        <f>+GJ9*$H$8</f>
        <v>0</v>
      </c>
      <c r="GM9" s="539"/>
      <c r="GN9" s="540">
        <f t="shared" ref="GN9:GN38" si="63">+GM9/$E9</f>
        <v>0</v>
      </c>
      <c r="GO9" s="541">
        <f>+GM9*$H$8</f>
        <v>0</v>
      </c>
      <c r="GP9" s="539"/>
      <c r="GQ9" s="540">
        <f t="shared" ref="GQ9:GQ38" si="64">+GP9/$E9</f>
        <v>0</v>
      </c>
      <c r="GR9" s="541">
        <f>+GP9*$H$8</f>
        <v>0</v>
      </c>
      <c r="GS9" s="539"/>
      <c r="GT9" s="540">
        <f t="shared" ref="GT9:GT38" si="65">+GS9/$E9</f>
        <v>0</v>
      </c>
      <c r="GU9" s="541">
        <f>+GS9*$H$8</f>
        <v>0</v>
      </c>
      <c r="GV9" s="539"/>
      <c r="GW9" s="540">
        <f t="shared" ref="GW9:GW38" si="66">+GV9/$E9</f>
        <v>0</v>
      </c>
      <c r="GX9" s="541">
        <f>+GV9*$H$8</f>
        <v>0</v>
      </c>
      <c r="GY9" s="539"/>
      <c r="GZ9" s="540">
        <f t="shared" ref="GZ9:GZ38" si="67">+GY9/$E9</f>
        <v>0</v>
      </c>
      <c r="HA9" s="541">
        <f>+GY9*$H$8</f>
        <v>0</v>
      </c>
      <c r="HB9" s="539"/>
      <c r="HC9" s="540">
        <f t="shared" ref="HC9:HC38" si="68">+HB9/$E9</f>
        <v>0</v>
      </c>
      <c r="HD9" s="541">
        <f>+HB9*$H$8</f>
        <v>0</v>
      </c>
      <c r="HE9" s="539"/>
      <c r="HF9" s="540">
        <f t="shared" ref="HF9:HF38" si="69">+HE9/$E9</f>
        <v>0</v>
      </c>
      <c r="HG9" s="541">
        <f>+HE9*$H$8</f>
        <v>0</v>
      </c>
      <c r="HH9" s="539"/>
      <c r="HI9" s="540">
        <f t="shared" ref="HI9:HI38" si="70">+HH9/$E9</f>
        <v>0</v>
      </c>
      <c r="HJ9" s="541">
        <f>+HH9*$H$8</f>
        <v>0</v>
      </c>
      <c r="HK9" s="539"/>
      <c r="HL9" s="540">
        <f t="shared" ref="HL9:HL38" si="71">+HK9/$E9</f>
        <v>0</v>
      </c>
      <c r="HM9" s="541">
        <f>+HK9*$H$8</f>
        <v>0</v>
      </c>
      <c r="HN9" s="539"/>
      <c r="HO9" s="540">
        <f t="shared" ref="HO9:HO38" si="72">+HN9/$E9</f>
        <v>0</v>
      </c>
      <c r="HP9" s="541">
        <f>+HN9*$H$8</f>
        <v>0</v>
      </c>
      <c r="HQ9" s="539"/>
      <c r="HR9" s="540">
        <f t="shared" ref="HR9:HR38" si="73">+HQ9/$E9</f>
        <v>0</v>
      </c>
      <c r="HS9" s="541">
        <f>+HQ9*$H$8</f>
        <v>0</v>
      </c>
      <c r="HT9" s="539"/>
      <c r="HU9" s="540">
        <f t="shared" ref="HU9:HU38" si="74">+HT9/$E9</f>
        <v>0</v>
      </c>
      <c r="HV9" s="541">
        <f>+HT9*$H$8</f>
        <v>0</v>
      </c>
      <c r="HW9" s="539"/>
      <c r="HX9" s="540">
        <f t="shared" ref="HX9:HX38" si="75">+HW9/$E9</f>
        <v>0</v>
      </c>
      <c r="HY9" s="541">
        <f>+HW9*$H$8</f>
        <v>0</v>
      </c>
      <c r="HZ9" s="539"/>
      <c r="IA9" s="540">
        <f t="shared" ref="IA9:IA38" si="76">+HZ9/$E9</f>
        <v>0</v>
      </c>
      <c r="IB9" s="541">
        <f>+HZ9*$H$8</f>
        <v>0</v>
      </c>
      <c r="IC9" s="539"/>
      <c r="ID9" s="540">
        <f t="shared" ref="ID9:ID38" si="77">+IC9/$E9</f>
        <v>0</v>
      </c>
      <c r="IE9" s="541">
        <f>+IC9*$H$8</f>
        <v>0</v>
      </c>
      <c r="IF9" s="539"/>
      <c r="IG9" s="540">
        <f t="shared" ref="IG9:IG38" si="78">+IF9/$E9</f>
        <v>0</v>
      </c>
      <c r="IH9" s="541">
        <f>+IF9*$H$8</f>
        <v>0</v>
      </c>
      <c r="II9" s="539"/>
      <c r="IJ9" s="540">
        <f t="shared" ref="IJ9:IJ38" si="79">+II9/$E9</f>
        <v>0</v>
      </c>
      <c r="IK9" s="541">
        <f>+II9*$H$8</f>
        <v>0</v>
      </c>
      <c r="IL9" s="539"/>
      <c r="IM9" s="540">
        <f t="shared" ref="IM9:IM38" si="80">+IL9/$E9</f>
        <v>0</v>
      </c>
      <c r="IN9" s="541">
        <f>+IL9*$H$8</f>
        <v>0</v>
      </c>
      <c r="IO9" s="539"/>
      <c r="IP9" s="540">
        <f t="shared" ref="IP9:IP38" si="81">+IO9/$E9</f>
        <v>0</v>
      </c>
      <c r="IQ9" s="541">
        <f>+IO9*$H$8</f>
        <v>0</v>
      </c>
      <c r="IR9" s="539"/>
      <c r="IS9" s="540">
        <f t="shared" ref="IS9:IS38" si="82">+IR9/$E9</f>
        <v>0</v>
      </c>
      <c r="IT9" s="541">
        <f>+IR9*$H$8</f>
        <v>0</v>
      </c>
      <c r="IU9" s="539"/>
      <c r="IV9" s="540">
        <f t="shared" ref="IV9:IV38" si="83">+IU9/$E9</f>
        <v>0</v>
      </c>
      <c r="IW9" s="541">
        <f>+IU9*$H$8</f>
        <v>0</v>
      </c>
      <c r="IX9" s="539"/>
      <c r="IY9" s="540">
        <f t="shared" ref="IY9:IY38" si="84">+IX9/$E9</f>
        <v>0</v>
      </c>
      <c r="IZ9" s="541">
        <f>+IX9*$H$8</f>
        <v>0</v>
      </c>
      <c r="JA9" s="539"/>
      <c r="JB9" s="540">
        <f t="shared" ref="JB9:JB38" si="85">+JA9/$E9</f>
        <v>0</v>
      </c>
      <c r="JC9" s="541">
        <f>+JA9*$H$8</f>
        <v>0</v>
      </c>
      <c r="JD9" s="539"/>
      <c r="JE9" s="540">
        <f t="shared" ref="JE9:JE38" si="86">+JD9/$E9</f>
        <v>0</v>
      </c>
      <c r="JF9" s="541">
        <f>+JD9*$H$8</f>
        <v>0</v>
      </c>
      <c r="JG9" s="539"/>
      <c r="JH9" s="540">
        <f t="shared" ref="JH9:JH38" si="87">+JG9/$E9</f>
        <v>0</v>
      </c>
      <c r="JI9" s="541">
        <f>+JG9*$H$8</f>
        <v>0</v>
      </c>
      <c r="JJ9" s="539"/>
      <c r="JK9" s="541" t="str">
        <f t="shared" ref="JK9:JK38" si="88">IFERROR((JJ9/$L9),"0")</f>
        <v>0</v>
      </c>
      <c r="JL9" s="541" t="str">
        <f t="shared" ref="JL9:JL38" si="89">IFERROR(((JJ9*JL$8)/$L9),"0")</f>
        <v>0</v>
      </c>
      <c r="JM9" s="539"/>
      <c r="JN9" s="541" t="str">
        <f t="shared" ref="JN9:JN38" si="90">IFERROR((JM9/$L9),"0")</f>
        <v>0</v>
      </c>
      <c r="JO9" s="541" t="str">
        <f t="shared" ref="JO9:JO38" si="91">IFERROR(((JM9*JO$8)/$L9),"0")</f>
        <v>0</v>
      </c>
      <c r="JP9" s="539"/>
      <c r="JQ9" s="541" t="str">
        <f t="shared" ref="JQ9:JQ38" si="92">IFERROR((JP9/$L9),"0")</f>
        <v>0</v>
      </c>
      <c r="JR9" s="541" t="str">
        <f t="shared" ref="JR9:JR38" si="93">IFERROR(((JP9*JR$8)/$L9),"0")</f>
        <v>0</v>
      </c>
      <c r="JS9" s="539"/>
      <c r="JT9" s="541" t="str">
        <f t="shared" ref="JT9:JT38" si="94">IFERROR((JS9/$L9),"0")</f>
        <v>0</v>
      </c>
      <c r="JU9" s="541" t="str">
        <f t="shared" ref="JU9:JU38" si="95">IFERROR(((JS9*JU$8)/$L9),"0")</f>
        <v>0</v>
      </c>
      <c r="JV9" s="539"/>
      <c r="JW9" s="541" t="str">
        <f t="shared" ref="JW9:JW38" si="96">IFERROR((JV9/$L9),"0")</f>
        <v>0</v>
      </c>
      <c r="JX9" s="541" t="str">
        <f t="shared" ref="JX9:JX38" si="97">IFERROR(((JV9*JX$8)/$L9),"0")</f>
        <v>0</v>
      </c>
      <c r="JY9" s="539"/>
      <c r="JZ9" s="541" t="str">
        <f t="shared" ref="JZ9:JZ38" si="98">IFERROR((JY9/$L9),"0")</f>
        <v>0</v>
      </c>
      <c r="KA9" s="541" t="str">
        <f t="shared" ref="KA9:KA38" si="99">IFERROR(((JY9*KA$8)/$L9),"0")</f>
        <v>0</v>
      </c>
      <c r="KB9" s="539"/>
      <c r="KC9" s="541" t="str">
        <f t="shared" ref="KC9:KC38" si="100">IFERROR((KB9/$L9),"0")</f>
        <v>0</v>
      </c>
      <c r="KD9" s="541" t="str">
        <f t="shared" ref="KD9:KD38" si="101">IFERROR(((KB9*KD$8)/$L9),"0")</f>
        <v>0</v>
      </c>
      <c r="KE9" s="539"/>
      <c r="KF9" s="541" t="str">
        <f t="shared" ref="KF9:KF38" si="102">IFERROR((KE9/$L9),"0")</f>
        <v>0</v>
      </c>
      <c r="KG9" s="541" t="str">
        <f t="shared" ref="KG9:KG38" si="103">IFERROR(((KE9*KG$8)/$L9),"0")</f>
        <v>0</v>
      </c>
      <c r="KH9" s="539"/>
      <c r="KI9" s="541" t="str">
        <f t="shared" ref="KI9:KI38" si="104">IFERROR((KH9/$L9),"0")</f>
        <v>0</v>
      </c>
      <c r="KJ9" s="541" t="str">
        <f t="shared" ref="KJ9:KJ38" si="105">IFERROR(((KH9*KJ$8)/$L9),"0")</f>
        <v>0</v>
      </c>
      <c r="KK9" s="539"/>
      <c r="KL9" s="541" t="str">
        <f t="shared" ref="KL9:KL38" si="106">IFERROR((KK9/$L9),"0")</f>
        <v>0</v>
      </c>
      <c r="KM9" s="541" t="str">
        <f t="shared" ref="KM9:KM38" si="107">IFERROR(((KK9*KM$8)/$L9),"0")</f>
        <v>0</v>
      </c>
      <c r="KN9" s="539"/>
      <c r="KO9" s="541" t="str">
        <f t="shared" ref="KO9:KO38" si="108">IFERROR((KN9/$L9),"0")</f>
        <v>0</v>
      </c>
      <c r="KP9" s="541" t="str">
        <f t="shared" ref="KP9:KP38" si="109">IFERROR(((KN9*KP$8)/$L9),"0")</f>
        <v>0</v>
      </c>
      <c r="KQ9" s="539"/>
      <c r="KR9" s="541" t="str">
        <f t="shared" ref="KR9:KR38" si="110">IFERROR((KQ9/$L9),"0")</f>
        <v>0</v>
      </c>
      <c r="KS9" s="541" t="str">
        <f t="shared" ref="KS9:KS38" si="111">IFERROR(((KQ9*KS$8)/$L9),"0")</f>
        <v>0</v>
      </c>
      <c r="KT9" s="541">
        <f>H9+K9+N9+Q9+T9+W9+Z9+AC9+AF9+AI9+AL9+AO9+AR9+AU9+AX9+BA9+BD9+BG9+BJ9+BM9+BP9+BS9+BV9+BY9+CB9+CE9+CH9+CK9+CN9+CQ9+CT9+CW9+CZ9+DC9+DF9+DI9+DL9+DO9+DR9+DU9+DX9+EA9+ED9+EG9+EJ9+EM9+EP9+ES9+EV9+EY9+FB9+FE9+FH9+FK9+FN9+FQ9+FT9+FW9+FZ9+GC9</f>
        <v>0</v>
      </c>
      <c r="KU9" s="541">
        <f>GF9+GI9+GL9+GO9+GR9+GU9+GX9+HA9+HD9+HG9+HJ9+HM9+HP9+HS9+HV9+HY9+IB9+IE9+IH9+IK9+IN9+IQ9+IT9+IW9+IZ9+JC9+JF9+JI9+JL9+JO9+JR9+JU9+JX9++KA9+KD9+KG9+KJ9++KM9+KP9+KS9</f>
        <v>0</v>
      </c>
      <c r="KV9" s="272">
        <f>+F9+I9+L9+O9+R9+U9+X9+AA9+AD9+AG9+AJ9+AM9+AP9+AS9+AV9+AY9+BB9+BE9+BH9+BK9+BN9+BQ9+BT9+BW9+BZ9+CC9+CF9+CI9+CL9+CO9+CR9+CU9+CX9+DA9+DD9+DJ9+DM9+DP9+DS9+DV9+DY9+EB9+DG9+EE9</f>
        <v>300.38476456168684</v>
      </c>
    </row>
    <row r="10" spans="1:308" ht="15" customHeight="1">
      <c r="A10" s="274">
        <f>+A9+1</f>
        <v>46114</v>
      </c>
      <c r="B10" s="275" t="str">
        <f>+Report1!B10</f>
        <v>Toilet</v>
      </c>
      <c r="C10" s="417" t="str">
        <f>+Report1!C10</f>
        <v>15/12,5</v>
      </c>
      <c r="D10" s="276">
        <f>+Report1!P10</f>
        <v>68.733999999999995</v>
      </c>
      <c r="E10" s="277">
        <f>+Report1!R10</f>
        <v>64.578999999999994</v>
      </c>
      <c r="F10" s="539"/>
      <c r="G10" s="540">
        <f t="shared" si="0"/>
        <v>0</v>
      </c>
      <c r="H10" s="541">
        <f t="shared" ref="H10:H38" si="112">+F10*$H$8</f>
        <v>0</v>
      </c>
      <c r="I10" s="539">
        <v>49.062865116279227</v>
      </c>
      <c r="J10" s="540">
        <f t="shared" si="1"/>
        <v>0.75973404847209203</v>
      </c>
      <c r="K10" s="541">
        <f t="shared" ref="K10:K38" si="113">+I10*$H$8</f>
        <v>0</v>
      </c>
      <c r="L10" s="539"/>
      <c r="M10" s="540">
        <f t="shared" si="2"/>
        <v>0</v>
      </c>
      <c r="N10" s="541">
        <f t="shared" ref="N10:N38" si="114">+L10*$H$8</f>
        <v>0</v>
      </c>
      <c r="O10" s="539">
        <v>9.4947999999999979</v>
      </c>
      <c r="P10" s="540">
        <f t="shared" si="3"/>
        <v>0.14702612304309448</v>
      </c>
      <c r="Q10" s="541">
        <f t="shared" ref="Q10:Q38" si="115">+O10*$H$8</f>
        <v>0</v>
      </c>
      <c r="R10" s="539"/>
      <c r="S10" s="540">
        <f t="shared" si="4"/>
        <v>0</v>
      </c>
      <c r="T10" s="541">
        <f t="shared" ref="T10:T38" si="116">+R10*$H$8</f>
        <v>0</v>
      </c>
      <c r="U10" s="539">
        <v>13.508899999999983</v>
      </c>
      <c r="V10" s="540">
        <f t="shared" si="5"/>
        <v>0.2091841000944577</v>
      </c>
      <c r="W10" s="541">
        <f t="shared" ref="W10:W38" si="117">+U10*$H$8</f>
        <v>0</v>
      </c>
      <c r="X10" s="539"/>
      <c r="Y10" s="540">
        <f t="shared" si="6"/>
        <v>0</v>
      </c>
      <c r="Z10" s="541">
        <f t="shared" ref="Z10:Z38" si="118">+X10*$H$8</f>
        <v>0</v>
      </c>
      <c r="AA10" s="539"/>
      <c r="AB10" s="540">
        <f t="shared" si="7"/>
        <v>0</v>
      </c>
      <c r="AC10" s="541">
        <f t="shared" ref="AC10:AC38" si="119">+AA10*$H$8</f>
        <v>0</v>
      </c>
      <c r="AD10" s="539"/>
      <c r="AE10" s="540">
        <f t="shared" si="8"/>
        <v>0</v>
      </c>
      <c r="AF10" s="541">
        <f t="shared" ref="AF10:AF38" si="120">+AD10*$H$8</f>
        <v>0</v>
      </c>
      <c r="AG10" s="539"/>
      <c r="AH10" s="540">
        <f t="shared" si="9"/>
        <v>0</v>
      </c>
      <c r="AI10" s="541">
        <f t="shared" ref="AI10:AI38" si="121">+AG10*$H$8</f>
        <v>0</v>
      </c>
      <c r="AJ10" s="539"/>
      <c r="AK10" s="540">
        <f t="shared" si="10"/>
        <v>0</v>
      </c>
      <c r="AL10" s="541">
        <f t="shared" ref="AL10:AL38" si="122">+AJ10*$H$8</f>
        <v>0</v>
      </c>
      <c r="AM10" s="539">
        <v>0</v>
      </c>
      <c r="AN10" s="540">
        <f t="shared" si="11"/>
        <v>0</v>
      </c>
      <c r="AO10" s="541">
        <f t="shared" ref="AO10:AO38" si="123">+AM10*$H$8</f>
        <v>0</v>
      </c>
      <c r="AP10" s="539">
        <v>82.608645569620222</v>
      </c>
      <c r="AQ10" s="540">
        <f t="shared" si="12"/>
        <v>1.2791874381706163</v>
      </c>
      <c r="AR10" s="541">
        <f t="shared" ref="AR10:AR38" si="124">+AP10*$H$8</f>
        <v>0</v>
      </c>
      <c r="AS10" s="539"/>
      <c r="AT10" s="540">
        <f t="shared" si="13"/>
        <v>0</v>
      </c>
      <c r="AU10" s="541">
        <f t="shared" ref="AU10:AU38" si="125">+AS10*$H$8</f>
        <v>0</v>
      </c>
      <c r="AV10" s="539">
        <v>4.3955000000000268</v>
      </c>
      <c r="AW10" s="540">
        <f t="shared" si="14"/>
        <v>6.8063921708295685E-2</v>
      </c>
      <c r="AX10" s="541">
        <f t="shared" ref="AX10:AX38" si="126">+AV10*$H$8</f>
        <v>0</v>
      </c>
      <c r="AY10" s="539">
        <v>35.685466666666628</v>
      </c>
      <c r="AZ10" s="540">
        <f t="shared" si="15"/>
        <v>0.55258623804435858</v>
      </c>
      <c r="BA10" s="541">
        <f t="shared" ref="BA10:BA38" si="127">+AY10*$H$8</f>
        <v>0</v>
      </c>
      <c r="BB10" s="539">
        <v>0</v>
      </c>
      <c r="BC10" s="540">
        <f t="shared" si="16"/>
        <v>0</v>
      </c>
      <c r="BD10" s="541">
        <f t="shared" ref="BD10:BD38" si="128">+BB10*$H$8</f>
        <v>0</v>
      </c>
      <c r="BE10" s="539"/>
      <c r="BF10" s="540">
        <f t="shared" si="17"/>
        <v>0</v>
      </c>
      <c r="BG10" s="541">
        <f t="shared" ref="BG10:BG38" si="129">+BE10*$H$8</f>
        <v>0</v>
      </c>
      <c r="BH10" s="539"/>
      <c r="BI10" s="540">
        <f t="shared" si="18"/>
        <v>0</v>
      </c>
      <c r="BJ10" s="541">
        <f t="shared" ref="BJ10:BJ38" si="130">+BH10*$H$8</f>
        <v>0</v>
      </c>
      <c r="BK10" s="539"/>
      <c r="BL10" s="540">
        <f t="shared" si="19"/>
        <v>0</v>
      </c>
      <c r="BM10" s="541">
        <f t="shared" ref="BM10:BM38" si="131">+BK10*$H$8</f>
        <v>0</v>
      </c>
      <c r="BN10" s="539">
        <v>10.675350617283954</v>
      </c>
      <c r="BO10" s="540">
        <f t="shared" si="20"/>
        <v>0.1653068430493497</v>
      </c>
      <c r="BP10" s="541">
        <f t="shared" ref="BP10:BP38" si="132">+BN10*$H$8</f>
        <v>0</v>
      </c>
      <c r="BQ10" s="539">
        <v>0</v>
      </c>
      <c r="BR10" s="540">
        <f t="shared" si="21"/>
        <v>0</v>
      </c>
      <c r="BS10" s="541">
        <f t="shared" ref="BS10:BS38" si="133">+BQ10*$H$8</f>
        <v>0</v>
      </c>
      <c r="BT10" s="539"/>
      <c r="BU10" s="540">
        <f t="shared" si="22"/>
        <v>0</v>
      </c>
      <c r="BV10" s="541">
        <f t="shared" ref="BV10:BV38" si="134">+BT10*$H$8</f>
        <v>0</v>
      </c>
      <c r="BW10" s="539">
        <v>0</v>
      </c>
      <c r="BX10" s="540">
        <f t="shared" si="23"/>
        <v>0</v>
      </c>
      <c r="BY10" s="541">
        <f t="shared" ref="BY10:BY38" si="135">+BW10*$H$8</f>
        <v>0</v>
      </c>
      <c r="BZ10" s="539"/>
      <c r="CA10" s="540">
        <f t="shared" si="24"/>
        <v>0</v>
      </c>
      <c r="CB10" s="541">
        <f t="shared" ref="CB10:CB38" si="136">+BZ10*$H$8</f>
        <v>0</v>
      </c>
      <c r="CC10" s="539">
        <v>0</v>
      </c>
      <c r="CD10" s="540">
        <f t="shared" si="25"/>
        <v>0</v>
      </c>
      <c r="CE10" s="541">
        <f t="shared" ref="CE10:CE38" si="137">+CC10*$H$8</f>
        <v>0</v>
      </c>
      <c r="CF10" s="539">
        <v>1</v>
      </c>
      <c r="CG10" s="540">
        <f t="shared" si="26"/>
        <v>1.5484909955248611E-2</v>
      </c>
      <c r="CH10" s="541">
        <f t="shared" ref="CH10:CH38" si="138">+CF10*$H$8</f>
        <v>0</v>
      </c>
      <c r="CI10" s="539"/>
      <c r="CJ10" s="540">
        <f t="shared" si="27"/>
        <v>0</v>
      </c>
      <c r="CK10" s="541">
        <f t="shared" ref="CK10:CK38" si="139">+CI10*$H$8</f>
        <v>0</v>
      </c>
      <c r="CL10" s="539"/>
      <c r="CM10" s="540">
        <f t="shared" si="28"/>
        <v>0</v>
      </c>
      <c r="CN10" s="541">
        <f t="shared" ref="CN10:CN38" si="140">+CL10*$H$8</f>
        <v>0</v>
      </c>
      <c r="CO10" s="539"/>
      <c r="CP10" s="540">
        <f t="shared" si="29"/>
        <v>0</v>
      </c>
      <c r="CQ10" s="541">
        <f t="shared" ref="CQ10:CQ38" si="141">+CO10*$H$8</f>
        <v>0</v>
      </c>
      <c r="CR10" s="539"/>
      <c r="CS10" s="540">
        <f t="shared" si="30"/>
        <v>0</v>
      </c>
      <c r="CT10" s="541">
        <f t="shared" ref="CT10:CT38" si="142">+CR10*$H$8</f>
        <v>0</v>
      </c>
      <c r="CU10" s="539"/>
      <c r="CV10" s="540">
        <f t="shared" si="31"/>
        <v>0</v>
      </c>
      <c r="CW10" s="541">
        <f t="shared" ref="CW10:CW38" si="143">+CU10*$H$8</f>
        <v>0</v>
      </c>
      <c r="CX10" s="539"/>
      <c r="CY10" s="540">
        <f t="shared" si="32"/>
        <v>0</v>
      </c>
      <c r="CZ10" s="541">
        <f t="shared" ref="CZ10:CZ38" si="144">+CX10*$H$8</f>
        <v>0</v>
      </c>
      <c r="DA10" s="539">
        <v>0</v>
      </c>
      <c r="DB10" s="540">
        <f t="shared" si="33"/>
        <v>0</v>
      </c>
      <c r="DC10" s="541">
        <f t="shared" ref="DC10:DC38" si="145">+DA10*$H$8</f>
        <v>0</v>
      </c>
      <c r="DD10" s="539"/>
      <c r="DE10" s="540">
        <f t="shared" si="34"/>
        <v>0</v>
      </c>
      <c r="DF10" s="541">
        <f t="shared" ref="DF10:DF38" si="146">+DD10*$H$8</f>
        <v>0</v>
      </c>
      <c r="DG10" s="539">
        <v>0</v>
      </c>
      <c r="DH10" s="540">
        <f t="shared" si="35"/>
        <v>0</v>
      </c>
      <c r="DI10" s="541">
        <v>0</v>
      </c>
      <c r="DJ10" s="539"/>
      <c r="DK10" s="540">
        <f t="shared" si="36"/>
        <v>0</v>
      </c>
      <c r="DL10" s="541">
        <f t="shared" ref="DL10:DL38" si="147">+DJ10*$H$8</f>
        <v>0</v>
      </c>
      <c r="DM10" s="539"/>
      <c r="DN10" s="540">
        <f t="shared" si="37"/>
        <v>0</v>
      </c>
      <c r="DO10" s="541">
        <f t="shared" ref="DO10:DO38" si="148">+DM10*$H$8</f>
        <v>0</v>
      </c>
      <c r="DP10" s="539"/>
      <c r="DQ10" s="540">
        <f t="shared" si="38"/>
        <v>0</v>
      </c>
      <c r="DR10" s="541">
        <f t="shared" ref="DR10:DR38" si="149">+DP10*$H$8</f>
        <v>0</v>
      </c>
      <c r="DS10" s="539"/>
      <c r="DT10" s="540">
        <f t="shared" si="39"/>
        <v>0</v>
      </c>
      <c r="DU10" s="541">
        <f t="shared" ref="DU10:DU38" si="150">+DS10*$H$8</f>
        <v>0</v>
      </c>
      <c r="DV10" s="539"/>
      <c r="DW10" s="540">
        <f t="shared" si="40"/>
        <v>0</v>
      </c>
      <c r="DX10" s="541">
        <f t="shared" ref="DX10:DX38" si="151">+DV10*$H$8</f>
        <v>0</v>
      </c>
      <c r="DY10" s="539"/>
      <c r="DZ10" s="540">
        <f t="shared" si="41"/>
        <v>0</v>
      </c>
      <c r="EA10" s="541">
        <f t="shared" ref="EA10:EA38" si="152">+DY10*$H$8</f>
        <v>0</v>
      </c>
      <c r="EB10" s="539">
        <v>15.327627906976886</v>
      </c>
      <c r="EC10" s="540">
        <f t="shared" si="42"/>
        <v>0.23734693796709283</v>
      </c>
      <c r="ED10" s="541">
        <f t="shared" ref="ED10:ED38" si="153">+EB10*$H$8</f>
        <v>0</v>
      </c>
      <c r="EE10" s="539">
        <v>1</v>
      </c>
      <c r="EF10" s="540">
        <f t="shared" si="43"/>
        <v>1.5484909955248611E-2</v>
      </c>
      <c r="EG10" s="541">
        <f t="shared" ref="EG10:EG38" si="154">+EE10*$H$8</f>
        <v>0</v>
      </c>
      <c r="EH10" s="539"/>
      <c r="EI10" s="540">
        <f t="shared" si="44"/>
        <v>0</v>
      </c>
      <c r="EJ10" s="541">
        <f t="shared" ref="EJ10:EJ38" si="155">+EH10*$H$8</f>
        <v>0</v>
      </c>
      <c r="EK10" s="539"/>
      <c r="EL10" s="540">
        <f t="shared" si="45"/>
        <v>0</v>
      </c>
      <c r="EM10" s="541">
        <f t="shared" ref="EM10:EM38" si="156">+EK10*$H$8</f>
        <v>0</v>
      </c>
      <c r="EN10" s="539"/>
      <c r="EO10" s="540">
        <f t="shared" si="46"/>
        <v>0</v>
      </c>
      <c r="EP10" s="541">
        <f t="shared" ref="EP10:EP38" si="157">+EN10*$H$8</f>
        <v>0</v>
      </c>
      <c r="EQ10" s="539"/>
      <c r="ER10" s="540">
        <f t="shared" si="47"/>
        <v>0</v>
      </c>
      <c r="ES10" s="541">
        <f t="shared" ref="ES10:ES38" si="158">+EQ10*$H$8</f>
        <v>0</v>
      </c>
      <c r="ET10" s="539"/>
      <c r="EU10" s="540">
        <f t="shared" si="48"/>
        <v>0</v>
      </c>
      <c r="EV10" s="541">
        <f t="shared" ref="EV10:EV38" si="159">+ET10*$H$8</f>
        <v>0</v>
      </c>
      <c r="EW10" s="539"/>
      <c r="EX10" s="540">
        <f t="shared" si="49"/>
        <v>0</v>
      </c>
      <c r="EY10" s="541">
        <f t="shared" ref="EY10:EY38" si="160">+EW10*$H$8</f>
        <v>0</v>
      </c>
      <c r="EZ10" s="539"/>
      <c r="FA10" s="540">
        <f t="shared" si="50"/>
        <v>0</v>
      </c>
      <c r="FB10" s="541">
        <f t="shared" ref="FB10:FB38" si="161">+EZ10*$H$8</f>
        <v>0</v>
      </c>
      <c r="FC10" s="539"/>
      <c r="FD10" s="540">
        <f t="shared" si="51"/>
        <v>0</v>
      </c>
      <c r="FE10" s="541">
        <f t="shared" ref="FE10:FE38" si="162">+FC10*$H$8</f>
        <v>0</v>
      </c>
      <c r="FF10" s="539"/>
      <c r="FG10" s="540">
        <f t="shared" si="52"/>
        <v>0</v>
      </c>
      <c r="FH10" s="541">
        <f t="shared" ref="FH10:FH38" si="163">+FF10*$H$8</f>
        <v>0</v>
      </c>
      <c r="FI10" s="539"/>
      <c r="FJ10" s="540">
        <f t="shared" si="53"/>
        <v>0</v>
      </c>
      <c r="FK10" s="541">
        <f t="shared" ref="FK10:FK38" si="164">+FI10*$H$8</f>
        <v>0</v>
      </c>
      <c r="FL10" s="539"/>
      <c r="FM10" s="540">
        <f t="shared" si="54"/>
        <v>0</v>
      </c>
      <c r="FN10" s="541">
        <f t="shared" ref="FN10:FN38" si="165">+FL10*$H$8</f>
        <v>0</v>
      </c>
      <c r="FO10" s="539"/>
      <c r="FP10" s="540">
        <f t="shared" si="55"/>
        <v>0</v>
      </c>
      <c r="FQ10" s="541">
        <f t="shared" ref="FQ10:FQ38" si="166">+FO10*$H$8</f>
        <v>0</v>
      </c>
      <c r="FR10" s="539"/>
      <c r="FS10" s="540">
        <f t="shared" si="56"/>
        <v>0</v>
      </c>
      <c r="FT10" s="541">
        <f t="shared" ref="FT10:FT38" si="167">+FR10*$H$8</f>
        <v>0</v>
      </c>
      <c r="FU10" s="539"/>
      <c r="FV10" s="540">
        <f t="shared" si="57"/>
        <v>0</v>
      </c>
      <c r="FW10" s="541">
        <f t="shared" ref="FW10:FW38" si="168">+FU10*$H$8</f>
        <v>0</v>
      </c>
      <c r="FX10" s="539"/>
      <c r="FY10" s="540">
        <f t="shared" si="58"/>
        <v>0</v>
      </c>
      <c r="FZ10" s="541">
        <f t="shared" ref="FZ10:FZ38" si="169">+FX10*$H$8</f>
        <v>0</v>
      </c>
      <c r="GA10" s="539"/>
      <c r="GB10" s="540">
        <f t="shared" si="59"/>
        <v>0</v>
      </c>
      <c r="GC10" s="541">
        <f t="shared" ref="GC10:GC38" si="170">+GA10*$H$8</f>
        <v>0</v>
      </c>
      <c r="GD10" s="539"/>
      <c r="GE10" s="540">
        <f t="shared" si="60"/>
        <v>0</v>
      </c>
      <c r="GF10" s="541">
        <f t="shared" ref="GF10:GF38" si="171">+GD10*$H$8</f>
        <v>0</v>
      </c>
      <c r="GG10" s="539"/>
      <c r="GH10" s="540">
        <f t="shared" si="61"/>
        <v>0</v>
      </c>
      <c r="GI10" s="541">
        <f t="shared" ref="GI10:GI38" si="172">+GG10*$H$8</f>
        <v>0</v>
      </c>
      <c r="GJ10" s="539"/>
      <c r="GK10" s="540">
        <f t="shared" si="62"/>
        <v>0</v>
      </c>
      <c r="GL10" s="541">
        <f t="shared" ref="GL10:GL38" si="173">+GJ10*$H$8</f>
        <v>0</v>
      </c>
      <c r="GM10" s="539"/>
      <c r="GN10" s="540">
        <f t="shared" si="63"/>
        <v>0</v>
      </c>
      <c r="GO10" s="541">
        <f t="shared" ref="GO10:GO38" si="174">+GM10*$H$8</f>
        <v>0</v>
      </c>
      <c r="GP10" s="539"/>
      <c r="GQ10" s="540">
        <f t="shared" si="64"/>
        <v>0</v>
      </c>
      <c r="GR10" s="541">
        <f t="shared" ref="GR10:GR38" si="175">+GP10*$H$8</f>
        <v>0</v>
      </c>
      <c r="GS10" s="539"/>
      <c r="GT10" s="540">
        <f t="shared" si="65"/>
        <v>0</v>
      </c>
      <c r="GU10" s="541">
        <f t="shared" ref="GU10:GU38" si="176">+GS10*$H$8</f>
        <v>0</v>
      </c>
      <c r="GV10" s="539"/>
      <c r="GW10" s="540">
        <f t="shared" si="66"/>
        <v>0</v>
      </c>
      <c r="GX10" s="541">
        <f t="shared" ref="GX10:GX38" si="177">+GV10*$H$8</f>
        <v>0</v>
      </c>
      <c r="GY10" s="539"/>
      <c r="GZ10" s="540">
        <f t="shared" si="67"/>
        <v>0</v>
      </c>
      <c r="HA10" s="541">
        <f t="shared" ref="HA10:HA38" si="178">+GY10*$H$8</f>
        <v>0</v>
      </c>
      <c r="HB10" s="539"/>
      <c r="HC10" s="540">
        <f t="shared" si="68"/>
        <v>0</v>
      </c>
      <c r="HD10" s="541">
        <f t="shared" ref="HD10:HD38" si="179">+HB10*$H$8</f>
        <v>0</v>
      </c>
      <c r="HE10" s="539"/>
      <c r="HF10" s="540">
        <f t="shared" si="69"/>
        <v>0</v>
      </c>
      <c r="HG10" s="541">
        <f t="shared" ref="HG10:HG38" si="180">+HE10*$H$8</f>
        <v>0</v>
      </c>
      <c r="HH10" s="539"/>
      <c r="HI10" s="540">
        <f t="shared" si="70"/>
        <v>0</v>
      </c>
      <c r="HJ10" s="541">
        <f t="shared" ref="HJ10:HJ38" si="181">+HH10*$H$8</f>
        <v>0</v>
      </c>
      <c r="HK10" s="539"/>
      <c r="HL10" s="540">
        <f t="shared" si="71"/>
        <v>0</v>
      </c>
      <c r="HM10" s="541">
        <f t="shared" ref="HM10:HM38" si="182">+HK10*$H$8</f>
        <v>0</v>
      </c>
      <c r="HN10" s="539"/>
      <c r="HO10" s="540">
        <f t="shared" si="72"/>
        <v>0</v>
      </c>
      <c r="HP10" s="541">
        <f t="shared" ref="HP10:HP38" si="183">+HN10*$H$8</f>
        <v>0</v>
      </c>
      <c r="HQ10" s="539"/>
      <c r="HR10" s="540">
        <f t="shared" si="73"/>
        <v>0</v>
      </c>
      <c r="HS10" s="541">
        <f t="shared" ref="HS10:HS38" si="184">+HQ10*$H$8</f>
        <v>0</v>
      </c>
      <c r="HT10" s="539"/>
      <c r="HU10" s="540">
        <f t="shared" si="74"/>
        <v>0</v>
      </c>
      <c r="HV10" s="541">
        <f t="shared" ref="HV10:HV38" si="185">+HT10*$H$8</f>
        <v>0</v>
      </c>
      <c r="HW10" s="539"/>
      <c r="HX10" s="540">
        <f t="shared" si="75"/>
        <v>0</v>
      </c>
      <c r="HY10" s="541">
        <f t="shared" ref="HY10:HY38" si="186">+HW10*$H$8</f>
        <v>0</v>
      </c>
      <c r="HZ10" s="539"/>
      <c r="IA10" s="540">
        <f t="shared" si="76"/>
        <v>0</v>
      </c>
      <c r="IB10" s="541">
        <f t="shared" ref="IB10:IB38" si="187">+HZ10*$H$8</f>
        <v>0</v>
      </c>
      <c r="IC10" s="539"/>
      <c r="ID10" s="540">
        <f t="shared" si="77"/>
        <v>0</v>
      </c>
      <c r="IE10" s="541">
        <f t="shared" ref="IE10:IE38" si="188">+IC10*$H$8</f>
        <v>0</v>
      </c>
      <c r="IF10" s="539"/>
      <c r="IG10" s="540">
        <f t="shared" si="78"/>
        <v>0</v>
      </c>
      <c r="IH10" s="541">
        <f t="shared" ref="IH10:IH38" si="189">+IF10*$H$8</f>
        <v>0</v>
      </c>
      <c r="II10" s="539"/>
      <c r="IJ10" s="540">
        <f t="shared" si="79"/>
        <v>0</v>
      </c>
      <c r="IK10" s="541">
        <f t="shared" ref="IK10:IK38" si="190">+II10*$H$8</f>
        <v>0</v>
      </c>
      <c r="IL10" s="539"/>
      <c r="IM10" s="540">
        <f t="shared" si="80"/>
        <v>0</v>
      </c>
      <c r="IN10" s="541">
        <f t="shared" ref="IN10:IN38" si="191">+IL10*$H$8</f>
        <v>0</v>
      </c>
      <c r="IO10" s="539"/>
      <c r="IP10" s="540">
        <f t="shared" si="81"/>
        <v>0</v>
      </c>
      <c r="IQ10" s="541">
        <f t="shared" ref="IQ10:IQ38" si="192">+IO10*$H$8</f>
        <v>0</v>
      </c>
      <c r="IR10" s="539"/>
      <c r="IS10" s="540">
        <f t="shared" si="82"/>
        <v>0</v>
      </c>
      <c r="IT10" s="541">
        <f t="shared" ref="IT10:IT38" si="193">+IR10*$H$8</f>
        <v>0</v>
      </c>
      <c r="IU10" s="539"/>
      <c r="IV10" s="540">
        <f t="shared" si="83"/>
        <v>0</v>
      </c>
      <c r="IW10" s="541">
        <f t="shared" ref="IW10:IW38" si="194">+IU10*$H$8</f>
        <v>0</v>
      </c>
      <c r="IX10" s="539"/>
      <c r="IY10" s="540">
        <f t="shared" si="84"/>
        <v>0</v>
      </c>
      <c r="IZ10" s="541">
        <f t="shared" ref="IZ10:IZ38" si="195">+IX10*$H$8</f>
        <v>0</v>
      </c>
      <c r="JA10" s="539"/>
      <c r="JB10" s="540">
        <f t="shared" si="85"/>
        <v>0</v>
      </c>
      <c r="JC10" s="541">
        <f t="shared" ref="JC10:JC38" si="196">+JA10*$H$8</f>
        <v>0</v>
      </c>
      <c r="JD10" s="539"/>
      <c r="JE10" s="540">
        <f t="shared" si="86"/>
        <v>0</v>
      </c>
      <c r="JF10" s="541">
        <f t="shared" ref="JF10:JF38" si="197">+JD10*$H$8</f>
        <v>0</v>
      </c>
      <c r="JG10" s="539"/>
      <c r="JH10" s="540">
        <f t="shared" si="87"/>
        <v>0</v>
      </c>
      <c r="JI10" s="541">
        <f t="shared" ref="JI10:JI38" si="198">+JG10*$H$8</f>
        <v>0</v>
      </c>
      <c r="JJ10" s="539"/>
      <c r="JK10" s="541" t="str">
        <f t="shared" si="88"/>
        <v>0</v>
      </c>
      <c r="JL10" s="541" t="str">
        <f t="shared" si="89"/>
        <v>0</v>
      </c>
      <c r="JM10" s="539"/>
      <c r="JN10" s="541" t="str">
        <f t="shared" si="90"/>
        <v>0</v>
      </c>
      <c r="JO10" s="541" t="str">
        <f t="shared" si="91"/>
        <v>0</v>
      </c>
      <c r="JP10" s="539"/>
      <c r="JQ10" s="541" t="str">
        <f t="shared" si="92"/>
        <v>0</v>
      </c>
      <c r="JR10" s="541" t="str">
        <f t="shared" si="93"/>
        <v>0</v>
      </c>
      <c r="JS10" s="539"/>
      <c r="JT10" s="541" t="str">
        <f t="shared" si="94"/>
        <v>0</v>
      </c>
      <c r="JU10" s="541" t="str">
        <f t="shared" si="95"/>
        <v>0</v>
      </c>
      <c r="JV10" s="539"/>
      <c r="JW10" s="541" t="str">
        <f t="shared" si="96"/>
        <v>0</v>
      </c>
      <c r="JX10" s="541" t="str">
        <f t="shared" si="97"/>
        <v>0</v>
      </c>
      <c r="JY10" s="539"/>
      <c r="JZ10" s="541" t="str">
        <f t="shared" si="98"/>
        <v>0</v>
      </c>
      <c r="KA10" s="541" t="str">
        <f t="shared" si="99"/>
        <v>0</v>
      </c>
      <c r="KB10" s="539"/>
      <c r="KC10" s="541" t="str">
        <f t="shared" si="100"/>
        <v>0</v>
      </c>
      <c r="KD10" s="541" t="str">
        <f t="shared" si="101"/>
        <v>0</v>
      </c>
      <c r="KE10" s="539"/>
      <c r="KF10" s="541" t="str">
        <f t="shared" si="102"/>
        <v>0</v>
      </c>
      <c r="KG10" s="541" t="str">
        <f t="shared" si="103"/>
        <v>0</v>
      </c>
      <c r="KH10" s="539"/>
      <c r="KI10" s="541" t="str">
        <f t="shared" si="104"/>
        <v>0</v>
      </c>
      <c r="KJ10" s="541" t="str">
        <f t="shared" si="105"/>
        <v>0</v>
      </c>
      <c r="KK10" s="539"/>
      <c r="KL10" s="541" t="str">
        <f t="shared" si="106"/>
        <v>0</v>
      </c>
      <c r="KM10" s="541" t="str">
        <f t="shared" si="107"/>
        <v>0</v>
      </c>
      <c r="KN10" s="539"/>
      <c r="KO10" s="541" t="str">
        <f t="shared" si="108"/>
        <v>0</v>
      </c>
      <c r="KP10" s="541" t="str">
        <f t="shared" si="109"/>
        <v>0</v>
      </c>
      <c r="KQ10" s="539"/>
      <c r="KR10" s="541" t="str">
        <f t="shared" si="110"/>
        <v>0</v>
      </c>
      <c r="KS10" s="541" t="str">
        <f t="shared" si="111"/>
        <v>0</v>
      </c>
      <c r="KT10" s="541">
        <f>H10+K10+N10+Q10+T10+W10+Z10+AC10+AF10+AI10+AL10+AO10+AR10+AU10+AX10+BA10+BD10+BG10+BJ10+BM10+BP10+BS10+BV10+BY10+CB10+CE10+CH10+CK10+CN10+CQ10+CT10+CW10+CZ10+DC10+DF10+DI10+DL10+DO10+DR10+DU10+DX10+EA10+ED10+EG10+EJ10+EM10+EP10+ES10+EV10+EY10+FB10+FE10+FH10+FK10+FN10+FQ10+FT10+FW10+FZ10+GC10</f>
        <v>0</v>
      </c>
      <c r="KU10" s="541">
        <f>GF10+GI10+GL10+GO10+GR10+GU10+GX10+HA10+HD10+HG10+HJ10+HM10+HP10+HS10+HV10+HY10+IB10+IE10+IH10+IK10+IN10+IQ10+IT10+IW10+IZ10+JC10+JF10+JI10+JL10+JO10+JR10+JU10+JX10++KA10+KD10+KG10+KJ10++KM10+KP10+KS10</f>
        <v>0</v>
      </c>
      <c r="KV10" s="272">
        <f t="shared" ref="KV10:KV41" si="199">+F10+I10+L10+O10+R10+U10+X10+AA10+AD10+AG10+AJ10+AM10+AP10+AS10+AV10+AY10+BB10+BE10+BH10+BK10+BN10+BQ10+BT10+BW10+BZ10+CC10+CF10+CI10+CL10+CO10+CR10+CU10+CX10+DA10+DD10+DJ10+DM10+DP10+DS10+DV10+DY10+EB10+DG10+EE10</f>
        <v>222.75915587682692</v>
      </c>
    </row>
    <row r="11" spans="1:308" ht="15" customHeight="1">
      <c r="A11" s="274">
        <f t="shared" ref="A11:A38" si="200">+A10+1</f>
        <v>46115</v>
      </c>
      <c r="B11" s="275" t="str">
        <f>+Report1!B11</f>
        <v>Toilet</v>
      </c>
      <c r="C11" s="417" t="str">
        <f>+Report1!C11</f>
        <v>12,5</v>
      </c>
      <c r="D11" s="276">
        <f>+Report1!P11</f>
        <v>61.594000000000001</v>
      </c>
      <c r="E11" s="277">
        <f>+Report1!R11</f>
        <v>63.481000000000002</v>
      </c>
      <c r="F11" s="539"/>
      <c r="G11" s="540">
        <f t="shared" si="0"/>
        <v>0</v>
      </c>
      <c r="H11" s="541">
        <f t="shared" si="112"/>
        <v>0</v>
      </c>
      <c r="I11" s="539">
        <v>43.961999999999989</v>
      </c>
      <c r="J11" s="540">
        <f t="shared" si="1"/>
        <v>0.69252217198846877</v>
      </c>
      <c r="K11" s="541">
        <f t="shared" si="113"/>
        <v>0</v>
      </c>
      <c r="L11" s="539"/>
      <c r="M11" s="540">
        <f t="shared" si="2"/>
        <v>0</v>
      </c>
      <c r="N11" s="541">
        <f t="shared" si="114"/>
        <v>0</v>
      </c>
      <c r="O11" s="539">
        <v>8.5028000000000077</v>
      </c>
      <c r="P11" s="540">
        <f t="shared" si="3"/>
        <v>0.13394243947007778</v>
      </c>
      <c r="Q11" s="541">
        <f t="shared" si="115"/>
        <v>0</v>
      </c>
      <c r="R11" s="539"/>
      <c r="S11" s="540">
        <f t="shared" si="4"/>
        <v>0</v>
      </c>
      <c r="T11" s="541">
        <f t="shared" si="116"/>
        <v>0</v>
      </c>
      <c r="U11" s="539">
        <v>12.112799999999993</v>
      </c>
      <c r="V11" s="540">
        <f t="shared" si="5"/>
        <v>0.19080984861612124</v>
      </c>
      <c r="W11" s="541">
        <f t="shared" si="117"/>
        <v>0</v>
      </c>
      <c r="X11" s="539"/>
      <c r="Y11" s="540">
        <f t="shared" si="6"/>
        <v>0</v>
      </c>
      <c r="Z11" s="541">
        <f t="shared" si="118"/>
        <v>0</v>
      </c>
      <c r="AA11" s="539"/>
      <c r="AB11" s="540">
        <f t="shared" si="7"/>
        <v>0</v>
      </c>
      <c r="AC11" s="541">
        <f t="shared" si="119"/>
        <v>0</v>
      </c>
      <c r="AD11" s="539"/>
      <c r="AE11" s="540">
        <f t="shared" si="8"/>
        <v>0</v>
      </c>
      <c r="AF11" s="541">
        <f t="shared" si="120"/>
        <v>0</v>
      </c>
      <c r="AG11" s="539"/>
      <c r="AH11" s="540">
        <f t="shared" si="9"/>
        <v>0</v>
      </c>
      <c r="AI11" s="541">
        <f t="shared" si="121"/>
        <v>0</v>
      </c>
      <c r="AJ11" s="539"/>
      <c r="AK11" s="540">
        <f t="shared" si="10"/>
        <v>0</v>
      </c>
      <c r="AL11" s="541">
        <f t="shared" si="122"/>
        <v>0</v>
      </c>
      <c r="AM11" s="539">
        <v>0</v>
      </c>
      <c r="AN11" s="540">
        <f t="shared" si="11"/>
        <v>0</v>
      </c>
      <c r="AO11" s="541">
        <f t="shared" si="123"/>
        <v>0</v>
      </c>
      <c r="AP11" s="539">
        <v>74.033300000000025</v>
      </c>
      <c r="AQ11" s="540">
        <f t="shared" si="12"/>
        <v>1.1662276901750133</v>
      </c>
      <c r="AR11" s="541">
        <f t="shared" si="124"/>
        <v>0</v>
      </c>
      <c r="AS11" s="539"/>
      <c r="AT11" s="540">
        <f t="shared" si="13"/>
        <v>0</v>
      </c>
      <c r="AU11" s="541">
        <f t="shared" si="125"/>
        <v>0</v>
      </c>
      <c r="AV11" s="539">
        <v>3.9329999999999927</v>
      </c>
      <c r="AW11" s="540">
        <f t="shared" si="14"/>
        <v>6.1955545753847492E-2</v>
      </c>
      <c r="AX11" s="541">
        <f t="shared" si="126"/>
        <v>0</v>
      </c>
      <c r="AY11" s="539">
        <v>31.979199999999992</v>
      </c>
      <c r="AZ11" s="540">
        <f t="shared" si="15"/>
        <v>0.50376018021140168</v>
      </c>
      <c r="BA11" s="541">
        <f t="shared" si="127"/>
        <v>0</v>
      </c>
      <c r="BB11" s="539">
        <v>0</v>
      </c>
      <c r="BC11" s="540">
        <f t="shared" si="16"/>
        <v>0</v>
      </c>
      <c r="BD11" s="541">
        <f t="shared" si="128"/>
        <v>0</v>
      </c>
      <c r="BE11" s="539"/>
      <c r="BF11" s="540">
        <f t="shared" si="17"/>
        <v>0</v>
      </c>
      <c r="BG11" s="541">
        <f t="shared" si="129"/>
        <v>0</v>
      </c>
      <c r="BH11" s="539"/>
      <c r="BI11" s="540">
        <f t="shared" si="18"/>
        <v>0</v>
      </c>
      <c r="BJ11" s="541">
        <f t="shared" si="130"/>
        <v>0</v>
      </c>
      <c r="BK11" s="539"/>
      <c r="BL11" s="540">
        <f t="shared" si="19"/>
        <v>0</v>
      </c>
      <c r="BM11" s="541">
        <f t="shared" si="131"/>
        <v>0</v>
      </c>
      <c r="BN11" s="539">
        <v>9.5748000000000104</v>
      </c>
      <c r="BO11" s="540">
        <f t="shared" si="20"/>
        <v>0.1508293820198171</v>
      </c>
      <c r="BP11" s="541">
        <f t="shared" si="132"/>
        <v>0</v>
      </c>
      <c r="BQ11" s="539">
        <v>0</v>
      </c>
      <c r="BR11" s="540">
        <f t="shared" si="21"/>
        <v>0</v>
      </c>
      <c r="BS11" s="541">
        <f t="shared" si="133"/>
        <v>0</v>
      </c>
      <c r="BT11" s="539"/>
      <c r="BU11" s="540">
        <f t="shared" si="22"/>
        <v>0</v>
      </c>
      <c r="BV11" s="541">
        <f t="shared" si="134"/>
        <v>0</v>
      </c>
      <c r="BW11" s="539">
        <v>0</v>
      </c>
      <c r="BX11" s="540">
        <f t="shared" si="23"/>
        <v>0</v>
      </c>
      <c r="BY11" s="541">
        <f t="shared" si="135"/>
        <v>0</v>
      </c>
      <c r="BZ11" s="539"/>
      <c r="CA11" s="540">
        <f t="shared" si="24"/>
        <v>0</v>
      </c>
      <c r="CB11" s="541">
        <f t="shared" si="136"/>
        <v>0</v>
      </c>
      <c r="CC11" s="539">
        <v>0</v>
      </c>
      <c r="CD11" s="540">
        <f t="shared" si="25"/>
        <v>0</v>
      </c>
      <c r="CE11" s="541">
        <f t="shared" si="137"/>
        <v>0</v>
      </c>
      <c r="CF11" s="539">
        <v>1</v>
      </c>
      <c r="CG11" s="540">
        <f t="shared" si="26"/>
        <v>1.5752744915801579E-2</v>
      </c>
      <c r="CH11" s="541">
        <f t="shared" si="138"/>
        <v>0</v>
      </c>
      <c r="CI11" s="539"/>
      <c r="CJ11" s="540">
        <f t="shared" si="27"/>
        <v>0</v>
      </c>
      <c r="CK11" s="541">
        <f t="shared" si="139"/>
        <v>0</v>
      </c>
      <c r="CL11" s="539"/>
      <c r="CM11" s="540">
        <f t="shared" si="28"/>
        <v>0</v>
      </c>
      <c r="CN11" s="541">
        <f t="shared" si="140"/>
        <v>0</v>
      </c>
      <c r="CO11" s="539"/>
      <c r="CP11" s="540">
        <f t="shared" si="29"/>
        <v>0</v>
      </c>
      <c r="CQ11" s="541">
        <f t="shared" si="141"/>
        <v>0</v>
      </c>
      <c r="CR11" s="539"/>
      <c r="CS11" s="540">
        <f t="shared" si="30"/>
        <v>0</v>
      </c>
      <c r="CT11" s="541">
        <f t="shared" si="142"/>
        <v>0</v>
      </c>
      <c r="CU11" s="539"/>
      <c r="CV11" s="540">
        <f t="shared" si="31"/>
        <v>0</v>
      </c>
      <c r="CW11" s="541">
        <f t="shared" si="143"/>
        <v>0</v>
      </c>
      <c r="CX11" s="539"/>
      <c r="CY11" s="540">
        <f t="shared" si="32"/>
        <v>0</v>
      </c>
      <c r="CZ11" s="541">
        <f t="shared" si="144"/>
        <v>0</v>
      </c>
      <c r="DA11" s="539">
        <v>0</v>
      </c>
      <c r="DB11" s="540">
        <f t="shared" si="33"/>
        <v>0</v>
      </c>
      <c r="DC11" s="541">
        <f t="shared" si="145"/>
        <v>0</v>
      </c>
      <c r="DD11" s="539"/>
      <c r="DE11" s="540">
        <f t="shared" si="34"/>
        <v>0</v>
      </c>
      <c r="DF11" s="541">
        <f t="shared" si="146"/>
        <v>0</v>
      </c>
      <c r="DG11" s="539">
        <v>0</v>
      </c>
      <c r="DH11" s="540">
        <f t="shared" si="35"/>
        <v>0</v>
      </c>
      <c r="DI11" s="541">
        <v>0</v>
      </c>
      <c r="DJ11" s="539"/>
      <c r="DK11" s="540">
        <f t="shared" si="36"/>
        <v>0</v>
      </c>
      <c r="DL11" s="541">
        <f t="shared" si="147"/>
        <v>0</v>
      </c>
      <c r="DM11" s="539"/>
      <c r="DN11" s="540">
        <f t="shared" si="37"/>
        <v>0</v>
      </c>
      <c r="DO11" s="541">
        <f t="shared" si="148"/>
        <v>0</v>
      </c>
      <c r="DP11" s="539"/>
      <c r="DQ11" s="540">
        <f t="shared" si="38"/>
        <v>0</v>
      </c>
      <c r="DR11" s="541">
        <f t="shared" si="149"/>
        <v>0</v>
      </c>
      <c r="DS11" s="539"/>
      <c r="DT11" s="540">
        <f t="shared" si="39"/>
        <v>0</v>
      </c>
      <c r="DU11" s="541">
        <f t="shared" si="150"/>
        <v>0</v>
      </c>
      <c r="DV11" s="539"/>
      <c r="DW11" s="540">
        <f t="shared" si="40"/>
        <v>0</v>
      </c>
      <c r="DX11" s="541">
        <f t="shared" si="151"/>
        <v>0</v>
      </c>
      <c r="DY11" s="539"/>
      <c r="DZ11" s="540">
        <f t="shared" si="41"/>
        <v>0</v>
      </c>
      <c r="EA11" s="541">
        <f t="shared" si="152"/>
        <v>0</v>
      </c>
      <c r="EB11" s="539">
        <v>13.739199999999983</v>
      </c>
      <c r="EC11" s="540">
        <f t="shared" si="42"/>
        <v>0.21643011294718076</v>
      </c>
      <c r="ED11" s="541">
        <f t="shared" si="153"/>
        <v>0</v>
      </c>
      <c r="EE11" s="539">
        <v>1</v>
      </c>
      <c r="EF11" s="540">
        <f t="shared" si="43"/>
        <v>1.5752744915801579E-2</v>
      </c>
      <c r="EG11" s="541">
        <f t="shared" si="154"/>
        <v>0</v>
      </c>
      <c r="EH11" s="539"/>
      <c r="EI11" s="540">
        <f t="shared" si="44"/>
        <v>0</v>
      </c>
      <c r="EJ11" s="541">
        <f t="shared" si="155"/>
        <v>0</v>
      </c>
      <c r="EK11" s="539"/>
      <c r="EL11" s="540">
        <f t="shared" si="45"/>
        <v>0</v>
      </c>
      <c r="EM11" s="541">
        <f t="shared" si="156"/>
        <v>0</v>
      </c>
      <c r="EN11" s="539"/>
      <c r="EO11" s="540">
        <f t="shared" si="46"/>
        <v>0</v>
      </c>
      <c r="EP11" s="541">
        <f t="shared" si="157"/>
        <v>0</v>
      </c>
      <c r="EQ11" s="539"/>
      <c r="ER11" s="540">
        <f t="shared" si="47"/>
        <v>0</v>
      </c>
      <c r="ES11" s="541">
        <f t="shared" si="158"/>
        <v>0</v>
      </c>
      <c r="ET11" s="539"/>
      <c r="EU11" s="540">
        <f t="shared" si="48"/>
        <v>0</v>
      </c>
      <c r="EV11" s="541">
        <f t="shared" si="159"/>
        <v>0</v>
      </c>
      <c r="EW11" s="539"/>
      <c r="EX11" s="540">
        <f t="shared" si="49"/>
        <v>0</v>
      </c>
      <c r="EY11" s="541">
        <f t="shared" si="160"/>
        <v>0</v>
      </c>
      <c r="EZ11" s="539"/>
      <c r="FA11" s="540">
        <f t="shared" si="50"/>
        <v>0</v>
      </c>
      <c r="FB11" s="541">
        <f t="shared" si="161"/>
        <v>0</v>
      </c>
      <c r="FC11" s="539"/>
      <c r="FD11" s="540">
        <f t="shared" si="51"/>
        <v>0</v>
      </c>
      <c r="FE11" s="541">
        <f t="shared" si="162"/>
        <v>0</v>
      </c>
      <c r="FF11" s="539"/>
      <c r="FG11" s="540">
        <f t="shared" si="52"/>
        <v>0</v>
      </c>
      <c r="FH11" s="541">
        <f t="shared" si="163"/>
        <v>0</v>
      </c>
      <c r="FI11" s="539"/>
      <c r="FJ11" s="540">
        <f t="shared" si="53"/>
        <v>0</v>
      </c>
      <c r="FK11" s="541">
        <f t="shared" si="164"/>
        <v>0</v>
      </c>
      <c r="FL11" s="539"/>
      <c r="FM11" s="540">
        <f t="shared" si="54"/>
        <v>0</v>
      </c>
      <c r="FN11" s="541">
        <f t="shared" si="165"/>
        <v>0</v>
      </c>
      <c r="FO11" s="539"/>
      <c r="FP11" s="540">
        <f t="shared" si="55"/>
        <v>0</v>
      </c>
      <c r="FQ11" s="541">
        <f t="shared" si="166"/>
        <v>0</v>
      </c>
      <c r="FR11" s="539"/>
      <c r="FS11" s="540">
        <f t="shared" si="56"/>
        <v>0</v>
      </c>
      <c r="FT11" s="541">
        <f t="shared" si="167"/>
        <v>0</v>
      </c>
      <c r="FU11" s="539"/>
      <c r="FV11" s="540">
        <f t="shared" si="57"/>
        <v>0</v>
      </c>
      <c r="FW11" s="541">
        <f t="shared" si="168"/>
        <v>0</v>
      </c>
      <c r="FX11" s="539"/>
      <c r="FY11" s="540">
        <f t="shared" si="58"/>
        <v>0</v>
      </c>
      <c r="FZ11" s="541">
        <f t="shared" si="169"/>
        <v>0</v>
      </c>
      <c r="GA11" s="539"/>
      <c r="GB11" s="540">
        <f t="shared" si="59"/>
        <v>0</v>
      </c>
      <c r="GC11" s="541">
        <f t="shared" si="170"/>
        <v>0</v>
      </c>
      <c r="GD11" s="539"/>
      <c r="GE11" s="540">
        <f t="shared" si="60"/>
        <v>0</v>
      </c>
      <c r="GF11" s="541">
        <f t="shared" si="171"/>
        <v>0</v>
      </c>
      <c r="GG11" s="539"/>
      <c r="GH11" s="540">
        <f t="shared" si="61"/>
        <v>0</v>
      </c>
      <c r="GI11" s="541">
        <f t="shared" si="172"/>
        <v>0</v>
      </c>
      <c r="GJ11" s="539"/>
      <c r="GK11" s="540">
        <f t="shared" si="62"/>
        <v>0</v>
      </c>
      <c r="GL11" s="541">
        <f t="shared" si="173"/>
        <v>0</v>
      </c>
      <c r="GM11" s="539"/>
      <c r="GN11" s="540">
        <f t="shared" si="63"/>
        <v>0</v>
      </c>
      <c r="GO11" s="541">
        <f t="shared" si="174"/>
        <v>0</v>
      </c>
      <c r="GP11" s="539"/>
      <c r="GQ11" s="540">
        <f t="shared" si="64"/>
        <v>0</v>
      </c>
      <c r="GR11" s="541">
        <f t="shared" si="175"/>
        <v>0</v>
      </c>
      <c r="GS11" s="539"/>
      <c r="GT11" s="540">
        <f t="shared" si="65"/>
        <v>0</v>
      </c>
      <c r="GU11" s="541">
        <f t="shared" si="176"/>
        <v>0</v>
      </c>
      <c r="GV11" s="539"/>
      <c r="GW11" s="540">
        <f t="shared" si="66"/>
        <v>0</v>
      </c>
      <c r="GX11" s="541">
        <f t="shared" si="177"/>
        <v>0</v>
      </c>
      <c r="GY11" s="539"/>
      <c r="GZ11" s="540">
        <f t="shared" si="67"/>
        <v>0</v>
      </c>
      <c r="HA11" s="541">
        <f t="shared" si="178"/>
        <v>0</v>
      </c>
      <c r="HB11" s="539"/>
      <c r="HC11" s="540">
        <f t="shared" si="68"/>
        <v>0</v>
      </c>
      <c r="HD11" s="541">
        <f t="shared" si="179"/>
        <v>0</v>
      </c>
      <c r="HE11" s="539"/>
      <c r="HF11" s="540">
        <f t="shared" si="69"/>
        <v>0</v>
      </c>
      <c r="HG11" s="541">
        <f t="shared" si="180"/>
        <v>0</v>
      </c>
      <c r="HH11" s="539"/>
      <c r="HI11" s="540">
        <f t="shared" si="70"/>
        <v>0</v>
      </c>
      <c r="HJ11" s="541">
        <f t="shared" si="181"/>
        <v>0</v>
      </c>
      <c r="HK11" s="539"/>
      <c r="HL11" s="540">
        <f t="shared" si="71"/>
        <v>0</v>
      </c>
      <c r="HM11" s="541">
        <f t="shared" si="182"/>
        <v>0</v>
      </c>
      <c r="HN11" s="539"/>
      <c r="HO11" s="540">
        <f t="shared" si="72"/>
        <v>0</v>
      </c>
      <c r="HP11" s="541">
        <f t="shared" si="183"/>
        <v>0</v>
      </c>
      <c r="HQ11" s="539"/>
      <c r="HR11" s="540">
        <f t="shared" si="73"/>
        <v>0</v>
      </c>
      <c r="HS11" s="541">
        <f t="shared" si="184"/>
        <v>0</v>
      </c>
      <c r="HT11" s="539"/>
      <c r="HU11" s="540">
        <f t="shared" si="74"/>
        <v>0</v>
      </c>
      <c r="HV11" s="541">
        <f t="shared" si="185"/>
        <v>0</v>
      </c>
      <c r="HW11" s="539"/>
      <c r="HX11" s="540">
        <f t="shared" si="75"/>
        <v>0</v>
      </c>
      <c r="HY11" s="541">
        <f t="shared" si="186"/>
        <v>0</v>
      </c>
      <c r="HZ11" s="539"/>
      <c r="IA11" s="540">
        <f t="shared" si="76"/>
        <v>0</v>
      </c>
      <c r="IB11" s="541">
        <f t="shared" si="187"/>
        <v>0</v>
      </c>
      <c r="IC11" s="539"/>
      <c r="ID11" s="540">
        <f t="shared" si="77"/>
        <v>0</v>
      </c>
      <c r="IE11" s="541">
        <f t="shared" si="188"/>
        <v>0</v>
      </c>
      <c r="IF11" s="539"/>
      <c r="IG11" s="540">
        <f t="shared" si="78"/>
        <v>0</v>
      </c>
      <c r="IH11" s="541">
        <f t="shared" si="189"/>
        <v>0</v>
      </c>
      <c r="II11" s="539"/>
      <c r="IJ11" s="540">
        <f t="shared" si="79"/>
        <v>0</v>
      </c>
      <c r="IK11" s="541">
        <f t="shared" si="190"/>
        <v>0</v>
      </c>
      <c r="IL11" s="539"/>
      <c r="IM11" s="540">
        <f t="shared" si="80"/>
        <v>0</v>
      </c>
      <c r="IN11" s="541">
        <f t="shared" si="191"/>
        <v>0</v>
      </c>
      <c r="IO11" s="539"/>
      <c r="IP11" s="540">
        <f t="shared" si="81"/>
        <v>0</v>
      </c>
      <c r="IQ11" s="541">
        <f t="shared" si="192"/>
        <v>0</v>
      </c>
      <c r="IR11" s="539"/>
      <c r="IS11" s="540">
        <f t="shared" si="82"/>
        <v>0</v>
      </c>
      <c r="IT11" s="541">
        <f t="shared" si="193"/>
        <v>0</v>
      </c>
      <c r="IU11" s="539"/>
      <c r="IV11" s="540">
        <f t="shared" si="83"/>
        <v>0</v>
      </c>
      <c r="IW11" s="541">
        <f t="shared" si="194"/>
        <v>0</v>
      </c>
      <c r="IX11" s="539"/>
      <c r="IY11" s="540">
        <f t="shared" si="84"/>
        <v>0</v>
      </c>
      <c r="IZ11" s="541">
        <f t="shared" si="195"/>
        <v>0</v>
      </c>
      <c r="JA11" s="539"/>
      <c r="JB11" s="540">
        <f t="shared" si="85"/>
        <v>0</v>
      </c>
      <c r="JC11" s="541">
        <f t="shared" si="196"/>
        <v>0</v>
      </c>
      <c r="JD11" s="539"/>
      <c r="JE11" s="540">
        <f t="shared" si="86"/>
        <v>0</v>
      </c>
      <c r="JF11" s="541">
        <f t="shared" si="197"/>
        <v>0</v>
      </c>
      <c r="JG11" s="539"/>
      <c r="JH11" s="540">
        <f t="shared" si="87"/>
        <v>0</v>
      </c>
      <c r="JI11" s="541">
        <f t="shared" si="198"/>
        <v>0</v>
      </c>
      <c r="JJ11" s="539"/>
      <c r="JK11" s="541" t="str">
        <f t="shared" si="88"/>
        <v>0</v>
      </c>
      <c r="JL11" s="541" t="str">
        <f t="shared" si="89"/>
        <v>0</v>
      </c>
      <c r="JM11" s="539"/>
      <c r="JN11" s="541" t="str">
        <f t="shared" si="90"/>
        <v>0</v>
      </c>
      <c r="JO11" s="541" t="str">
        <f t="shared" si="91"/>
        <v>0</v>
      </c>
      <c r="JP11" s="539"/>
      <c r="JQ11" s="541" t="str">
        <f t="shared" si="92"/>
        <v>0</v>
      </c>
      <c r="JR11" s="541" t="str">
        <f t="shared" si="93"/>
        <v>0</v>
      </c>
      <c r="JS11" s="539"/>
      <c r="JT11" s="541" t="str">
        <f t="shared" si="94"/>
        <v>0</v>
      </c>
      <c r="JU11" s="541" t="str">
        <f t="shared" si="95"/>
        <v>0</v>
      </c>
      <c r="JV11" s="539"/>
      <c r="JW11" s="541" t="str">
        <f t="shared" si="96"/>
        <v>0</v>
      </c>
      <c r="JX11" s="541" t="str">
        <f t="shared" si="97"/>
        <v>0</v>
      </c>
      <c r="JY11" s="539"/>
      <c r="JZ11" s="541" t="str">
        <f t="shared" si="98"/>
        <v>0</v>
      </c>
      <c r="KA11" s="541" t="str">
        <f t="shared" si="99"/>
        <v>0</v>
      </c>
      <c r="KB11" s="539"/>
      <c r="KC11" s="541" t="str">
        <f t="shared" si="100"/>
        <v>0</v>
      </c>
      <c r="KD11" s="541" t="str">
        <f t="shared" si="101"/>
        <v>0</v>
      </c>
      <c r="KE11" s="539"/>
      <c r="KF11" s="541" t="str">
        <f t="shared" si="102"/>
        <v>0</v>
      </c>
      <c r="KG11" s="541" t="str">
        <f t="shared" si="103"/>
        <v>0</v>
      </c>
      <c r="KH11" s="539"/>
      <c r="KI11" s="541" t="str">
        <f t="shared" si="104"/>
        <v>0</v>
      </c>
      <c r="KJ11" s="541" t="str">
        <f t="shared" si="105"/>
        <v>0</v>
      </c>
      <c r="KK11" s="539"/>
      <c r="KL11" s="541" t="str">
        <f t="shared" si="106"/>
        <v>0</v>
      </c>
      <c r="KM11" s="541" t="str">
        <f t="shared" si="107"/>
        <v>0</v>
      </c>
      <c r="KN11" s="539"/>
      <c r="KO11" s="541" t="str">
        <f t="shared" si="108"/>
        <v>0</v>
      </c>
      <c r="KP11" s="541" t="str">
        <f t="shared" si="109"/>
        <v>0</v>
      </c>
      <c r="KQ11" s="539"/>
      <c r="KR11" s="541" t="str">
        <f t="shared" si="110"/>
        <v>0</v>
      </c>
      <c r="KS11" s="541" t="str">
        <f t="shared" si="111"/>
        <v>0</v>
      </c>
      <c r="KT11" s="541">
        <f t="shared" ref="KT11:KT41" si="201">H11+K11+N11+Q11+T11+W11+Z11+AC11+AF11+AI11+AL11+AO11+AR11+AU11+AX11+BA11+BD11+BG11+BJ11+BM11+BP11+BS11+BV11+BY11+CB11+CE11+CH11+CK11+CN11+CQ11+CT11+CW11+CZ11+DC11+DF11+DI11+DL11+DO11+DR11+DU11+DX11+EA11+ED11+EG11+EJ11+EM11+EP11+ES11+EV11+EY11+FB11+FE11+FH11+FK11+FN11+FQ11+FT11+FW11+FZ11+GC11</f>
        <v>0</v>
      </c>
      <c r="KU11" s="541">
        <f t="shared" ref="KU11:KU41" si="202">GF11+GI11+GL11+GO11+GR11+GU11+GX11+HA11+HD11+HG11+HJ11+HM11+HP11+HS11+HV11+HY11+IB11+IE11+IH11+IK11+IN11+IQ11+IT11+IW11+IZ11+JC11+JF11+JI11+JL11+JO11+JR11+JU11+JX11++KA11+KD11+KG11+KJ11++KM11+KP11+KS11</f>
        <v>0</v>
      </c>
      <c r="KV11" s="272">
        <f t="shared" si="199"/>
        <v>199.83709999999999</v>
      </c>
    </row>
    <row r="12" spans="1:308" ht="15" customHeight="1">
      <c r="A12" s="274">
        <f t="shared" si="200"/>
        <v>46116</v>
      </c>
      <c r="B12" s="275" t="str">
        <f>+Report1!B12</f>
        <v>Toilet</v>
      </c>
      <c r="C12" s="417" t="str">
        <f>+Report1!C12</f>
        <v>12,5/12</v>
      </c>
      <c r="D12" s="276">
        <f>+Report1!P12</f>
        <v>55.378</v>
      </c>
      <c r="E12" s="277">
        <f>+Report1!R12</f>
        <v>54.262</v>
      </c>
      <c r="F12" s="539"/>
      <c r="G12" s="540">
        <f t="shared" si="0"/>
        <v>0</v>
      </c>
      <c r="H12" s="541">
        <f t="shared" si="112"/>
        <v>0</v>
      </c>
      <c r="I12" s="539">
        <v>0</v>
      </c>
      <c r="J12" s="540">
        <f t="shared" si="1"/>
        <v>0</v>
      </c>
      <c r="K12" s="541">
        <f t="shared" si="113"/>
        <v>0</v>
      </c>
      <c r="L12" s="539"/>
      <c r="M12" s="540">
        <f t="shared" si="2"/>
        <v>0</v>
      </c>
      <c r="N12" s="541">
        <f t="shared" si="114"/>
        <v>0</v>
      </c>
      <c r="O12" s="539">
        <v>9.5235999999999876</v>
      </c>
      <c r="P12" s="540">
        <f t="shared" si="3"/>
        <v>0.17551140761490522</v>
      </c>
      <c r="Q12" s="541">
        <f t="shared" si="115"/>
        <v>0</v>
      </c>
      <c r="R12" s="539"/>
      <c r="S12" s="540">
        <f t="shared" si="4"/>
        <v>0</v>
      </c>
      <c r="T12" s="541">
        <f t="shared" si="116"/>
        <v>0</v>
      </c>
      <c r="U12" s="539">
        <v>13.565100000000029</v>
      </c>
      <c r="V12" s="540">
        <f t="shared" si="5"/>
        <v>0.24999262835870462</v>
      </c>
      <c r="W12" s="541">
        <f t="shared" si="117"/>
        <v>0</v>
      </c>
      <c r="X12" s="539"/>
      <c r="Y12" s="540">
        <f t="shared" si="6"/>
        <v>0</v>
      </c>
      <c r="Z12" s="541">
        <f t="shared" si="118"/>
        <v>0</v>
      </c>
      <c r="AA12" s="539"/>
      <c r="AB12" s="540">
        <f t="shared" si="7"/>
        <v>0</v>
      </c>
      <c r="AC12" s="541">
        <f t="shared" si="119"/>
        <v>0</v>
      </c>
      <c r="AD12" s="539"/>
      <c r="AE12" s="540">
        <f t="shared" si="8"/>
        <v>0</v>
      </c>
      <c r="AF12" s="541">
        <f t="shared" si="120"/>
        <v>0</v>
      </c>
      <c r="AG12" s="539"/>
      <c r="AH12" s="540">
        <f t="shared" si="9"/>
        <v>0</v>
      </c>
      <c r="AI12" s="541">
        <f t="shared" si="121"/>
        <v>0</v>
      </c>
      <c r="AJ12" s="539"/>
      <c r="AK12" s="540">
        <f t="shared" si="10"/>
        <v>0</v>
      </c>
      <c r="AL12" s="541">
        <f t="shared" si="122"/>
        <v>0</v>
      </c>
      <c r="AM12" s="539">
        <v>0</v>
      </c>
      <c r="AN12" s="540">
        <f t="shared" si="11"/>
        <v>0</v>
      </c>
      <c r="AO12" s="541">
        <f t="shared" si="123"/>
        <v>0</v>
      </c>
      <c r="AP12" s="539">
        <v>54.260099999999966</v>
      </c>
      <c r="AQ12" s="540">
        <f t="shared" si="12"/>
        <v>0.99996498470384365</v>
      </c>
      <c r="AR12" s="541">
        <f t="shared" si="124"/>
        <v>0</v>
      </c>
      <c r="AS12" s="539"/>
      <c r="AT12" s="540">
        <f t="shared" si="13"/>
        <v>0</v>
      </c>
      <c r="AU12" s="541">
        <f t="shared" si="125"/>
        <v>0</v>
      </c>
      <c r="AV12" s="539">
        <v>0</v>
      </c>
      <c r="AW12" s="540">
        <f t="shared" si="14"/>
        <v>0</v>
      </c>
      <c r="AX12" s="541">
        <f t="shared" si="126"/>
        <v>0</v>
      </c>
      <c r="AY12" s="539">
        <v>37.039200000000022</v>
      </c>
      <c r="AZ12" s="540">
        <f t="shared" si="15"/>
        <v>0.68259924072094691</v>
      </c>
      <c r="BA12" s="541">
        <f t="shared" si="127"/>
        <v>0</v>
      </c>
      <c r="BB12" s="539">
        <v>0</v>
      </c>
      <c r="BC12" s="540">
        <f t="shared" si="16"/>
        <v>0</v>
      </c>
      <c r="BD12" s="541">
        <f t="shared" si="128"/>
        <v>0</v>
      </c>
      <c r="BE12" s="539"/>
      <c r="BF12" s="540">
        <f t="shared" si="17"/>
        <v>0</v>
      </c>
      <c r="BG12" s="541">
        <f t="shared" si="129"/>
        <v>0</v>
      </c>
      <c r="BH12" s="539"/>
      <c r="BI12" s="540">
        <f t="shared" si="18"/>
        <v>0</v>
      </c>
      <c r="BJ12" s="541">
        <f t="shared" si="130"/>
        <v>0</v>
      </c>
      <c r="BK12" s="539"/>
      <c r="BL12" s="540">
        <f t="shared" si="19"/>
        <v>0</v>
      </c>
      <c r="BM12" s="541">
        <f t="shared" si="131"/>
        <v>0</v>
      </c>
      <c r="BN12" s="539">
        <v>18.745599999999968</v>
      </c>
      <c r="BO12" s="540">
        <f t="shared" si="20"/>
        <v>0.34546459769267568</v>
      </c>
      <c r="BP12" s="541">
        <f t="shared" si="132"/>
        <v>0</v>
      </c>
      <c r="BQ12" s="539">
        <v>14.927882820512849</v>
      </c>
      <c r="BR12" s="540">
        <f t="shared" si="21"/>
        <v>0.27510749365141074</v>
      </c>
      <c r="BS12" s="541">
        <f t="shared" si="133"/>
        <v>0</v>
      </c>
      <c r="BT12" s="539"/>
      <c r="BU12" s="540">
        <f t="shared" si="22"/>
        <v>0</v>
      </c>
      <c r="BV12" s="541">
        <f t="shared" si="134"/>
        <v>0</v>
      </c>
      <c r="BW12" s="539">
        <v>0</v>
      </c>
      <c r="BX12" s="540">
        <f t="shared" si="23"/>
        <v>0</v>
      </c>
      <c r="BY12" s="541">
        <f t="shared" si="135"/>
        <v>0</v>
      </c>
      <c r="BZ12" s="539"/>
      <c r="CA12" s="540">
        <f t="shared" si="24"/>
        <v>0</v>
      </c>
      <c r="CB12" s="541">
        <f t="shared" si="136"/>
        <v>0</v>
      </c>
      <c r="CC12" s="539">
        <v>0</v>
      </c>
      <c r="CD12" s="540">
        <f t="shared" si="25"/>
        <v>0</v>
      </c>
      <c r="CE12" s="541">
        <f t="shared" si="137"/>
        <v>0</v>
      </c>
      <c r="CF12" s="539">
        <v>0.59999999999999964</v>
      </c>
      <c r="CG12" s="540">
        <f t="shared" si="26"/>
        <v>1.1057461943901803E-2</v>
      </c>
      <c r="CH12" s="541">
        <f t="shared" si="138"/>
        <v>0</v>
      </c>
      <c r="CI12" s="539"/>
      <c r="CJ12" s="540">
        <f t="shared" si="27"/>
        <v>0</v>
      </c>
      <c r="CK12" s="541">
        <f t="shared" si="139"/>
        <v>0</v>
      </c>
      <c r="CL12" s="539"/>
      <c r="CM12" s="540">
        <f t="shared" si="28"/>
        <v>0</v>
      </c>
      <c r="CN12" s="541">
        <f t="shared" si="140"/>
        <v>0</v>
      </c>
      <c r="CO12" s="539"/>
      <c r="CP12" s="540">
        <f t="shared" si="29"/>
        <v>0</v>
      </c>
      <c r="CQ12" s="541">
        <f t="shared" si="141"/>
        <v>0</v>
      </c>
      <c r="CR12" s="539"/>
      <c r="CS12" s="540">
        <f t="shared" si="30"/>
        <v>0</v>
      </c>
      <c r="CT12" s="541">
        <f t="shared" si="142"/>
        <v>0</v>
      </c>
      <c r="CU12" s="539"/>
      <c r="CV12" s="540">
        <f t="shared" si="31"/>
        <v>0</v>
      </c>
      <c r="CW12" s="541">
        <f t="shared" si="143"/>
        <v>0</v>
      </c>
      <c r="CX12" s="539"/>
      <c r="CY12" s="540">
        <f t="shared" si="32"/>
        <v>0</v>
      </c>
      <c r="CZ12" s="541">
        <f t="shared" si="144"/>
        <v>0</v>
      </c>
      <c r="DA12" s="539">
        <v>372.06000000000017</v>
      </c>
      <c r="DB12" s="540">
        <f t="shared" si="33"/>
        <v>6.8567321514135156</v>
      </c>
      <c r="DC12" s="541">
        <f t="shared" si="145"/>
        <v>0</v>
      </c>
      <c r="DD12" s="539"/>
      <c r="DE12" s="540">
        <f t="shared" si="34"/>
        <v>0</v>
      </c>
      <c r="DF12" s="541">
        <f t="shared" si="146"/>
        <v>0</v>
      </c>
      <c r="DG12" s="539">
        <v>0</v>
      </c>
      <c r="DH12" s="540">
        <f t="shared" si="35"/>
        <v>0</v>
      </c>
      <c r="DI12" s="541">
        <v>0</v>
      </c>
      <c r="DJ12" s="539"/>
      <c r="DK12" s="540">
        <f t="shared" si="36"/>
        <v>0</v>
      </c>
      <c r="DL12" s="541">
        <f t="shared" si="147"/>
        <v>0</v>
      </c>
      <c r="DM12" s="539"/>
      <c r="DN12" s="540">
        <f t="shared" si="37"/>
        <v>0</v>
      </c>
      <c r="DO12" s="541">
        <f t="shared" si="148"/>
        <v>0</v>
      </c>
      <c r="DP12" s="539"/>
      <c r="DQ12" s="540">
        <f t="shared" si="38"/>
        <v>0</v>
      </c>
      <c r="DR12" s="541">
        <f t="shared" si="149"/>
        <v>0</v>
      </c>
      <c r="DS12" s="539"/>
      <c r="DT12" s="540">
        <f t="shared" si="39"/>
        <v>0</v>
      </c>
      <c r="DU12" s="541">
        <f t="shared" si="150"/>
        <v>0</v>
      </c>
      <c r="DV12" s="539"/>
      <c r="DW12" s="540">
        <f t="shared" si="40"/>
        <v>0</v>
      </c>
      <c r="DX12" s="541">
        <f t="shared" si="151"/>
        <v>0</v>
      </c>
      <c r="DY12" s="539"/>
      <c r="DZ12" s="540">
        <f t="shared" si="41"/>
        <v>0</v>
      </c>
      <c r="EA12" s="541">
        <f t="shared" si="152"/>
        <v>0</v>
      </c>
      <c r="EB12" s="539">
        <v>15.388399999999933</v>
      </c>
      <c r="EC12" s="540">
        <f t="shared" si="42"/>
        <v>0.28359441229589644</v>
      </c>
      <c r="ED12" s="541">
        <f t="shared" si="153"/>
        <v>0</v>
      </c>
      <c r="EE12" s="539">
        <v>1</v>
      </c>
      <c r="EF12" s="540">
        <f t="shared" si="43"/>
        <v>1.8429103239836351E-2</v>
      </c>
      <c r="EG12" s="541">
        <f t="shared" si="154"/>
        <v>0</v>
      </c>
      <c r="EH12" s="539"/>
      <c r="EI12" s="540">
        <f t="shared" si="44"/>
        <v>0</v>
      </c>
      <c r="EJ12" s="541">
        <f t="shared" si="155"/>
        <v>0</v>
      </c>
      <c r="EK12" s="539"/>
      <c r="EL12" s="540">
        <f t="shared" si="45"/>
        <v>0</v>
      </c>
      <c r="EM12" s="541">
        <f t="shared" si="156"/>
        <v>0</v>
      </c>
      <c r="EN12" s="539"/>
      <c r="EO12" s="540">
        <f t="shared" si="46"/>
        <v>0</v>
      </c>
      <c r="EP12" s="541">
        <f t="shared" si="157"/>
        <v>0</v>
      </c>
      <c r="EQ12" s="539"/>
      <c r="ER12" s="540">
        <f t="shared" si="47"/>
        <v>0</v>
      </c>
      <c r="ES12" s="541">
        <f t="shared" si="158"/>
        <v>0</v>
      </c>
      <c r="ET12" s="539"/>
      <c r="EU12" s="540">
        <f t="shared" si="48"/>
        <v>0</v>
      </c>
      <c r="EV12" s="541">
        <f t="shared" si="159"/>
        <v>0</v>
      </c>
      <c r="EW12" s="539"/>
      <c r="EX12" s="540">
        <f t="shared" si="49"/>
        <v>0</v>
      </c>
      <c r="EY12" s="541">
        <f t="shared" si="160"/>
        <v>0</v>
      </c>
      <c r="EZ12" s="539"/>
      <c r="FA12" s="540">
        <f t="shared" si="50"/>
        <v>0</v>
      </c>
      <c r="FB12" s="541">
        <f t="shared" si="161"/>
        <v>0</v>
      </c>
      <c r="FC12" s="539"/>
      <c r="FD12" s="540">
        <f t="shared" si="51"/>
        <v>0</v>
      </c>
      <c r="FE12" s="541">
        <f t="shared" si="162"/>
        <v>0</v>
      </c>
      <c r="FF12" s="539"/>
      <c r="FG12" s="540">
        <f t="shared" si="52"/>
        <v>0</v>
      </c>
      <c r="FH12" s="541">
        <f t="shared" si="163"/>
        <v>0</v>
      </c>
      <c r="FI12" s="539"/>
      <c r="FJ12" s="540">
        <f t="shared" si="53"/>
        <v>0</v>
      </c>
      <c r="FK12" s="541">
        <f t="shared" si="164"/>
        <v>0</v>
      </c>
      <c r="FL12" s="539"/>
      <c r="FM12" s="540">
        <f t="shared" si="54"/>
        <v>0</v>
      </c>
      <c r="FN12" s="541">
        <f t="shared" si="165"/>
        <v>0</v>
      </c>
      <c r="FO12" s="539"/>
      <c r="FP12" s="540">
        <f t="shared" si="55"/>
        <v>0</v>
      </c>
      <c r="FQ12" s="541">
        <f t="shared" si="166"/>
        <v>0</v>
      </c>
      <c r="FR12" s="539"/>
      <c r="FS12" s="540">
        <f t="shared" si="56"/>
        <v>0</v>
      </c>
      <c r="FT12" s="541">
        <f t="shared" si="167"/>
        <v>0</v>
      </c>
      <c r="FU12" s="539"/>
      <c r="FV12" s="540">
        <f t="shared" si="57"/>
        <v>0</v>
      </c>
      <c r="FW12" s="541">
        <f t="shared" si="168"/>
        <v>0</v>
      </c>
      <c r="FX12" s="539"/>
      <c r="FY12" s="540">
        <f t="shared" si="58"/>
        <v>0</v>
      </c>
      <c r="FZ12" s="541">
        <f t="shared" si="169"/>
        <v>0</v>
      </c>
      <c r="GA12" s="539"/>
      <c r="GB12" s="540">
        <f t="shared" si="59"/>
        <v>0</v>
      </c>
      <c r="GC12" s="541">
        <f t="shared" si="170"/>
        <v>0</v>
      </c>
      <c r="GD12" s="539"/>
      <c r="GE12" s="540">
        <f t="shared" si="60"/>
        <v>0</v>
      </c>
      <c r="GF12" s="541">
        <f t="shared" si="171"/>
        <v>0</v>
      </c>
      <c r="GG12" s="539"/>
      <c r="GH12" s="540">
        <f t="shared" si="61"/>
        <v>0</v>
      </c>
      <c r="GI12" s="541">
        <f t="shared" si="172"/>
        <v>0</v>
      </c>
      <c r="GJ12" s="539"/>
      <c r="GK12" s="540">
        <f t="shared" si="62"/>
        <v>0</v>
      </c>
      <c r="GL12" s="541">
        <f t="shared" si="173"/>
        <v>0</v>
      </c>
      <c r="GM12" s="539"/>
      <c r="GN12" s="540">
        <f t="shared" si="63"/>
        <v>0</v>
      </c>
      <c r="GO12" s="541">
        <f t="shared" si="174"/>
        <v>0</v>
      </c>
      <c r="GP12" s="539"/>
      <c r="GQ12" s="540">
        <f t="shared" si="64"/>
        <v>0</v>
      </c>
      <c r="GR12" s="541">
        <f t="shared" si="175"/>
        <v>0</v>
      </c>
      <c r="GS12" s="539"/>
      <c r="GT12" s="540">
        <f t="shared" si="65"/>
        <v>0</v>
      </c>
      <c r="GU12" s="541">
        <f t="shared" si="176"/>
        <v>0</v>
      </c>
      <c r="GV12" s="539"/>
      <c r="GW12" s="540">
        <f t="shared" si="66"/>
        <v>0</v>
      </c>
      <c r="GX12" s="541">
        <f t="shared" si="177"/>
        <v>0</v>
      </c>
      <c r="GY12" s="539"/>
      <c r="GZ12" s="540">
        <f t="shared" si="67"/>
        <v>0</v>
      </c>
      <c r="HA12" s="541">
        <f t="shared" si="178"/>
        <v>0</v>
      </c>
      <c r="HB12" s="539"/>
      <c r="HC12" s="540">
        <f t="shared" si="68"/>
        <v>0</v>
      </c>
      <c r="HD12" s="541">
        <f t="shared" si="179"/>
        <v>0</v>
      </c>
      <c r="HE12" s="539"/>
      <c r="HF12" s="540">
        <f t="shared" si="69"/>
        <v>0</v>
      </c>
      <c r="HG12" s="541">
        <f t="shared" si="180"/>
        <v>0</v>
      </c>
      <c r="HH12" s="539"/>
      <c r="HI12" s="540">
        <f t="shared" si="70"/>
        <v>0</v>
      </c>
      <c r="HJ12" s="541">
        <f t="shared" si="181"/>
        <v>0</v>
      </c>
      <c r="HK12" s="539"/>
      <c r="HL12" s="540">
        <f t="shared" si="71"/>
        <v>0</v>
      </c>
      <c r="HM12" s="541">
        <f t="shared" si="182"/>
        <v>0</v>
      </c>
      <c r="HN12" s="539"/>
      <c r="HO12" s="540">
        <f t="shared" si="72"/>
        <v>0</v>
      </c>
      <c r="HP12" s="541">
        <f t="shared" si="183"/>
        <v>0</v>
      </c>
      <c r="HQ12" s="539"/>
      <c r="HR12" s="540">
        <f t="shared" si="73"/>
        <v>0</v>
      </c>
      <c r="HS12" s="541">
        <f t="shared" si="184"/>
        <v>0</v>
      </c>
      <c r="HT12" s="539"/>
      <c r="HU12" s="540">
        <f t="shared" si="74"/>
        <v>0</v>
      </c>
      <c r="HV12" s="541">
        <f t="shared" si="185"/>
        <v>0</v>
      </c>
      <c r="HW12" s="539"/>
      <c r="HX12" s="540">
        <f t="shared" si="75"/>
        <v>0</v>
      </c>
      <c r="HY12" s="541">
        <f t="shared" si="186"/>
        <v>0</v>
      </c>
      <c r="HZ12" s="539"/>
      <c r="IA12" s="540">
        <f t="shared" si="76"/>
        <v>0</v>
      </c>
      <c r="IB12" s="541">
        <f t="shared" si="187"/>
        <v>0</v>
      </c>
      <c r="IC12" s="539"/>
      <c r="ID12" s="540">
        <f t="shared" si="77"/>
        <v>0</v>
      </c>
      <c r="IE12" s="541">
        <f t="shared" si="188"/>
        <v>0</v>
      </c>
      <c r="IF12" s="539"/>
      <c r="IG12" s="540">
        <f t="shared" si="78"/>
        <v>0</v>
      </c>
      <c r="IH12" s="541">
        <f t="shared" si="189"/>
        <v>0</v>
      </c>
      <c r="II12" s="539"/>
      <c r="IJ12" s="540">
        <f t="shared" si="79"/>
        <v>0</v>
      </c>
      <c r="IK12" s="541">
        <f t="shared" si="190"/>
        <v>0</v>
      </c>
      <c r="IL12" s="539"/>
      <c r="IM12" s="540">
        <f t="shared" si="80"/>
        <v>0</v>
      </c>
      <c r="IN12" s="541">
        <f t="shared" si="191"/>
        <v>0</v>
      </c>
      <c r="IO12" s="539"/>
      <c r="IP12" s="540">
        <f t="shared" si="81"/>
        <v>0</v>
      </c>
      <c r="IQ12" s="541">
        <f t="shared" si="192"/>
        <v>0</v>
      </c>
      <c r="IR12" s="539"/>
      <c r="IS12" s="540">
        <f t="shared" si="82"/>
        <v>0</v>
      </c>
      <c r="IT12" s="541">
        <f t="shared" si="193"/>
        <v>0</v>
      </c>
      <c r="IU12" s="539"/>
      <c r="IV12" s="540">
        <f t="shared" si="83"/>
        <v>0</v>
      </c>
      <c r="IW12" s="541">
        <f t="shared" si="194"/>
        <v>0</v>
      </c>
      <c r="IX12" s="539"/>
      <c r="IY12" s="540">
        <f t="shared" si="84"/>
        <v>0</v>
      </c>
      <c r="IZ12" s="541">
        <f t="shared" si="195"/>
        <v>0</v>
      </c>
      <c r="JA12" s="539"/>
      <c r="JB12" s="540">
        <f t="shared" si="85"/>
        <v>0</v>
      </c>
      <c r="JC12" s="541">
        <f t="shared" si="196"/>
        <v>0</v>
      </c>
      <c r="JD12" s="539"/>
      <c r="JE12" s="540">
        <f t="shared" si="86"/>
        <v>0</v>
      </c>
      <c r="JF12" s="541">
        <f t="shared" si="197"/>
        <v>0</v>
      </c>
      <c r="JG12" s="539"/>
      <c r="JH12" s="540">
        <f t="shared" si="87"/>
        <v>0</v>
      </c>
      <c r="JI12" s="541">
        <f t="shared" si="198"/>
        <v>0</v>
      </c>
      <c r="JJ12" s="539"/>
      <c r="JK12" s="541" t="str">
        <f t="shared" si="88"/>
        <v>0</v>
      </c>
      <c r="JL12" s="541" t="str">
        <f t="shared" si="89"/>
        <v>0</v>
      </c>
      <c r="JM12" s="539"/>
      <c r="JN12" s="541" t="str">
        <f t="shared" si="90"/>
        <v>0</v>
      </c>
      <c r="JO12" s="541" t="str">
        <f t="shared" si="91"/>
        <v>0</v>
      </c>
      <c r="JP12" s="539"/>
      <c r="JQ12" s="541" t="str">
        <f t="shared" si="92"/>
        <v>0</v>
      </c>
      <c r="JR12" s="541" t="str">
        <f t="shared" si="93"/>
        <v>0</v>
      </c>
      <c r="JS12" s="539"/>
      <c r="JT12" s="541" t="str">
        <f t="shared" si="94"/>
        <v>0</v>
      </c>
      <c r="JU12" s="541" t="str">
        <f t="shared" si="95"/>
        <v>0</v>
      </c>
      <c r="JV12" s="539"/>
      <c r="JW12" s="541" t="str">
        <f t="shared" si="96"/>
        <v>0</v>
      </c>
      <c r="JX12" s="541" t="str">
        <f t="shared" si="97"/>
        <v>0</v>
      </c>
      <c r="JY12" s="539"/>
      <c r="JZ12" s="541" t="str">
        <f t="shared" si="98"/>
        <v>0</v>
      </c>
      <c r="KA12" s="541" t="str">
        <f t="shared" si="99"/>
        <v>0</v>
      </c>
      <c r="KB12" s="539"/>
      <c r="KC12" s="541" t="str">
        <f t="shared" si="100"/>
        <v>0</v>
      </c>
      <c r="KD12" s="541" t="str">
        <f t="shared" si="101"/>
        <v>0</v>
      </c>
      <c r="KE12" s="539"/>
      <c r="KF12" s="541" t="str">
        <f t="shared" si="102"/>
        <v>0</v>
      </c>
      <c r="KG12" s="541" t="str">
        <f t="shared" si="103"/>
        <v>0</v>
      </c>
      <c r="KH12" s="539"/>
      <c r="KI12" s="541" t="str">
        <f t="shared" si="104"/>
        <v>0</v>
      </c>
      <c r="KJ12" s="541" t="str">
        <f t="shared" si="105"/>
        <v>0</v>
      </c>
      <c r="KK12" s="539"/>
      <c r="KL12" s="541" t="str">
        <f t="shared" si="106"/>
        <v>0</v>
      </c>
      <c r="KM12" s="541" t="str">
        <f t="shared" si="107"/>
        <v>0</v>
      </c>
      <c r="KN12" s="539"/>
      <c r="KO12" s="541" t="str">
        <f t="shared" si="108"/>
        <v>0</v>
      </c>
      <c r="KP12" s="541" t="str">
        <f t="shared" si="109"/>
        <v>0</v>
      </c>
      <c r="KQ12" s="539"/>
      <c r="KR12" s="541" t="str">
        <f t="shared" si="110"/>
        <v>0</v>
      </c>
      <c r="KS12" s="541" t="str">
        <f t="shared" si="111"/>
        <v>0</v>
      </c>
      <c r="KT12" s="541">
        <f t="shared" si="201"/>
        <v>0</v>
      </c>
      <c r="KU12" s="541">
        <f t="shared" si="202"/>
        <v>0</v>
      </c>
      <c r="KV12" s="272">
        <f t="shared" si="199"/>
        <v>537.10988282051289</v>
      </c>
    </row>
    <row r="13" spans="1:308" ht="15" customHeight="1">
      <c r="A13" s="274">
        <f t="shared" si="200"/>
        <v>46117</v>
      </c>
      <c r="B13" s="275" t="str">
        <f>+Report1!B13</f>
        <v>Toilet/Facial</v>
      </c>
      <c r="C13" s="417" t="str">
        <f>+Report1!C13</f>
        <v>12/14/12</v>
      </c>
      <c r="D13" s="276">
        <f>+Report1!P13</f>
        <v>49.277000000000001</v>
      </c>
      <c r="E13" s="277">
        <f>+Report1!R13</f>
        <v>47.134</v>
      </c>
      <c r="F13" s="539"/>
      <c r="G13" s="540">
        <f t="shared" si="0"/>
        <v>0</v>
      </c>
      <c r="H13" s="541">
        <f t="shared" si="112"/>
        <v>0</v>
      </c>
      <c r="I13" s="539">
        <v>267.4402511627909</v>
      </c>
      <c r="J13" s="540">
        <f t="shared" si="1"/>
        <v>5.6740410566213537</v>
      </c>
      <c r="K13" s="541">
        <f t="shared" si="113"/>
        <v>0</v>
      </c>
      <c r="L13" s="539"/>
      <c r="M13" s="540">
        <f t="shared" si="2"/>
        <v>0</v>
      </c>
      <c r="N13" s="541">
        <f t="shared" si="114"/>
        <v>0</v>
      </c>
      <c r="O13" s="539">
        <v>8.4796000000000049</v>
      </c>
      <c r="P13" s="540">
        <f t="shared" si="3"/>
        <v>0.17990410319514585</v>
      </c>
      <c r="Q13" s="541">
        <f t="shared" si="115"/>
        <v>0</v>
      </c>
      <c r="R13" s="539"/>
      <c r="S13" s="540">
        <f t="shared" si="4"/>
        <v>0</v>
      </c>
      <c r="T13" s="541">
        <f t="shared" si="116"/>
        <v>0</v>
      </c>
      <c r="U13" s="539">
        <v>12.061299999999989</v>
      </c>
      <c r="V13" s="540">
        <f t="shared" si="5"/>
        <v>0.25589383459922749</v>
      </c>
      <c r="W13" s="541">
        <f t="shared" si="117"/>
        <v>0</v>
      </c>
      <c r="X13" s="539"/>
      <c r="Y13" s="540">
        <f t="shared" si="6"/>
        <v>0</v>
      </c>
      <c r="Z13" s="541">
        <f t="shared" si="118"/>
        <v>0</v>
      </c>
      <c r="AA13" s="539"/>
      <c r="AB13" s="540">
        <f t="shared" si="7"/>
        <v>0</v>
      </c>
      <c r="AC13" s="541">
        <f t="shared" si="119"/>
        <v>0</v>
      </c>
      <c r="AD13" s="539"/>
      <c r="AE13" s="540">
        <f t="shared" si="8"/>
        <v>0</v>
      </c>
      <c r="AF13" s="541">
        <f t="shared" si="120"/>
        <v>0</v>
      </c>
      <c r="AG13" s="539"/>
      <c r="AH13" s="540">
        <f t="shared" si="9"/>
        <v>0</v>
      </c>
      <c r="AI13" s="541">
        <f t="shared" si="121"/>
        <v>0</v>
      </c>
      <c r="AJ13" s="539"/>
      <c r="AK13" s="540">
        <f t="shared" si="10"/>
        <v>0</v>
      </c>
      <c r="AL13" s="541">
        <f t="shared" si="122"/>
        <v>0</v>
      </c>
      <c r="AM13" s="539">
        <v>0</v>
      </c>
      <c r="AN13" s="540">
        <f t="shared" si="11"/>
        <v>0</v>
      </c>
      <c r="AO13" s="541">
        <f t="shared" si="123"/>
        <v>0</v>
      </c>
      <c r="AP13" s="539">
        <v>48.278399999999976</v>
      </c>
      <c r="AQ13" s="540">
        <f t="shared" si="12"/>
        <v>1.0242797131582293</v>
      </c>
      <c r="AR13" s="541">
        <f t="shared" si="124"/>
        <v>0</v>
      </c>
      <c r="AS13" s="539"/>
      <c r="AT13" s="540">
        <f t="shared" si="13"/>
        <v>0</v>
      </c>
      <c r="AU13" s="541">
        <f t="shared" si="125"/>
        <v>0</v>
      </c>
      <c r="AV13" s="539">
        <v>0</v>
      </c>
      <c r="AW13" s="540">
        <f t="shared" si="14"/>
        <v>0</v>
      </c>
      <c r="AX13" s="541">
        <f t="shared" si="126"/>
        <v>0</v>
      </c>
      <c r="AY13" s="539">
        <v>32.963599999999985</v>
      </c>
      <c r="AZ13" s="540">
        <f t="shared" si="15"/>
        <v>0.69935927356048677</v>
      </c>
      <c r="BA13" s="541">
        <f t="shared" si="127"/>
        <v>0</v>
      </c>
      <c r="BB13" s="539">
        <v>0</v>
      </c>
      <c r="BC13" s="540">
        <f t="shared" si="16"/>
        <v>0</v>
      </c>
      <c r="BD13" s="541">
        <f t="shared" si="128"/>
        <v>0</v>
      </c>
      <c r="BE13" s="539"/>
      <c r="BF13" s="540">
        <f t="shared" si="17"/>
        <v>0</v>
      </c>
      <c r="BG13" s="541">
        <f t="shared" si="129"/>
        <v>0</v>
      </c>
      <c r="BH13" s="539"/>
      <c r="BI13" s="540">
        <f t="shared" si="18"/>
        <v>0</v>
      </c>
      <c r="BJ13" s="541">
        <f t="shared" si="130"/>
        <v>0</v>
      </c>
      <c r="BK13" s="539"/>
      <c r="BL13" s="540">
        <f t="shared" si="19"/>
        <v>0</v>
      </c>
      <c r="BM13" s="541">
        <f t="shared" si="131"/>
        <v>0</v>
      </c>
      <c r="BN13" s="539">
        <v>16.685200000000009</v>
      </c>
      <c r="BO13" s="540">
        <f t="shared" si="20"/>
        <v>0.35399499299868481</v>
      </c>
      <c r="BP13" s="541">
        <f t="shared" si="132"/>
        <v>0</v>
      </c>
      <c r="BQ13" s="539">
        <v>13.279110000000003</v>
      </c>
      <c r="BR13" s="540">
        <f t="shared" si="21"/>
        <v>0.28173102219204826</v>
      </c>
      <c r="BS13" s="541">
        <f t="shared" si="133"/>
        <v>0</v>
      </c>
      <c r="BT13" s="539"/>
      <c r="BU13" s="540">
        <f t="shared" si="22"/>
        <v>0</v>
      </c>
      <c r="BV13" s="541">
        <f t="shared" si="134"/>
        <v>0</v>
      </c>
      <c r="BW13" s="539">
        <v>0</v>
      </c>
      <c r="BX13" s="540">
        <f t="shared" si="23"/>
        <v>0</v>
      </c>
      <c r="BY13" s="541">
        <f t="shared" si="135"/>
        <v>0</v>
      </c>
      <c r="BZ13" s="539"/>
      <c r="CA13" s="540">
        <f t="shared" si="24"/>
        <v>0</v>
      </c>
      <c r="CB13" s="541">
        <f t="shared" si="136"/>
        <v>0</v>
      </c>
      <c r="CC13" s="539">
        <v>0</v>
      </c>
      <c r="CD13" s="540">
        <f t="shared" si="25"/>
        <v>0</v>
      </c>
      <c r="CE13" s="541">
        <f t="shared" si="137"/>
        <v>0</v>
      </c>
      <c r="CF13" s="539">
        <v>0.59999999999999964</v>
      </c>
      <c r="CG13" s="540">
        <f t="shared" si="26"/>
        <v>1.2729664361183002E-2</v>
      </c>
      <c r="CH13" s="541">
        <f t="shared" si="138"/>
        <v>0</v>
      </c>
      <c r="CI13" s="539"/>
      <c r="CJ13" s="540">
        <f t="shared" si="27"/>
        <v>0</v>
      </c>
      <c r="CK13" s="541">
        <f t="shared" si="139"/>
        <v>0</v>
      </c>
      <c r="CL13" s="539"/>
      <c r="CM13" s="540">
        <f t="shared" si="28"/>
        <v>0</v>
      </c>
      <c r="CN13" s="541">
        <f t="shared" si="140"/>
        <v>0</v>
      </c>
      <c r="CO13" s="539"/>
      <c r="CP13" s="540">
        <f t="shared" si="29"/>
        <v>0</v>
      </c>
      <c r="CQ13" s="541">
        <f t="shared" si="141"/>
        <v>0</v>
      </c>
      <c r="CR13" s="539"/>
      <c r="CS13" s="540">
        <f t="shared" si="30"/>
        <v>0</v>
      </c>
      <c r="CT13" s="541">
        <f t="shared" si="142"/>
        <v>0</v>
      </c>
      <c r="CU13" s="539"/>
      <c r="CV13" s="540">
        <f t="shared" si="31"/>
        <v>0</v>
      </c>
      <c r="CW13" s="541">
        <f t="shared" si="143"/>
        <v>0</v>
      </c>
      <c r="CX13" s="539"/>
      <c r="CY13" s="540">
        <f t="shared" si="32"/>
        <v>0</v>
      </c>
      <c r="CZ13" s="541">
        <f t="shared" si="144"/>
        <v>0</v>
      </c>
      <c r="DA13" s="539">
        <v>331.06799999999998</v>
      </c>
      <c r="DB13" s="540">
        <f t="shared" si="33"/>
        <v>7.0239742012135613</v>
      </c>
      <c r="DC13" s="541">
        <f t="shared" si="145"/>
        <v>0</v>
      </c>
      <c r="DD13" s="539"/>
      <c r="DE13" s="540">
        <f t="shared" si="34"/>
        <v>0</v>
      </c>
      <c r="DF13" s="541">
        <f t="shared" si="146"/>
        <v>0</v>
      </c>
      <c r="DG13" s="539">
        <v>0</v>
      </c>
      <c r="DH13" s="540">
        <f t="shared" si="35"/>
        <v>0</v>
      </c>
      <c r="DI13" s="541">
        <v>0</v>
      </c>
      <c r="DJ13" s="539"/>
      <c r="DK13" s="540">
        <f t="shared" si="36"/>
        <v>0</v>
      </c>
      <c r="DL13" s="541">
        <f t="shared" si="147"/>
        <v>0</v>
      </c>
      <c r="DM13" s="539"/>
      <c r="DN13" s="540">
        <f t="shared" si="37"/>
        <v>0</v>
      </c>
      <c r="DO13" s="541">
        <f t="shared" si="148"/>
        <v>0</v>
      </c>
      <c r="DP13" s="539"/>
      <c r="DQ13" s="540">
        <f t="shared" si="38"/>
        <v>0</v>
      </c>
      <c r="DR13" s="541">
        <f t="shared" si="149"/>
        <v>0</v>
      </c>
      <c r="DS13" s="539"/>
      <c r="DT13" s="540">
        <f t="shared" si="39"/>
        <v>0</v>
      </c>
      <c r="DU13" s="541">
        <f t="shared" si="150"/>
        <v>0</v>
      </c>
      <c r="DV13" s="539"/>
      <c r="DW13" s="540">
        <f t="shared" si="40"/>
        <v>0</v>
      </c>
      <c r="DX13" s="541">
        <f t="shared" si="151"/>
        <v>0</v>
      </c>
      <c r="DY13" s="539"/>
      <c r="DZ13" s="540">
        <f t="shared" si="41"/>
        <v>0</v>
      </c>
      <c r="EA13" s="541">
        <f t="shared" si="152"/>
        <v>0</v>
      </c>
      <c r="EB13" s="539">
        <v>13.689600000000041</v>
      </c>
      <c r="EC13" s="540">
        <f t="shared" si="42"/>
        <v>0.29044002206475245</v>
      </c>
      <c r="ED13" s="541">
        <f t="shared" si="153"/>
        <v>0</v>
      </c>
      <c r="EE13" s="539">
        <v>1</v>
      </c>
      <c r="EF13" s="540">
        <f t="shared" si="43"/>
        <v>2.1216107268638349E-2</v>
      </c>
      <c r="EG13" s="541">
        <f t="shared" si="154"/>
        <v>0</v>
      </c>
      <c r="EH13" s="539"/>
      <c r="EI13" s="540">
        <f t="shared" si="44"/>
        <v>0</v>
      </c>
      <c r="EJ13" s="541">
        <f t="shared" si="155"/>
        <v>0</v>
      </c>
      <c r="EK13" s="539"/>
      <c r="EL13" s="540">
        <f t="shared" si="45"/>
        <v>0</v>
      </c>
      <c r="EM13" s="541">
        <f t="shared" si="156"/>
        <v>0</v>
      </c>
      <c r="EN13" s="539"/>
      <c r="EO13" s="540">
        <f t="shared" si="46"/>
        <v>0</v>
      </c>
      <c r="EP13" s="541">
        <f t="shared" si="157"/>
        <v>0</v>
      </c>
      <c r="EQ13" s="539"/>
      <c r="ER13" s="540">
        <f t="shared" si="47"/>
        <v>0</v>
      </c>
      <c r="ES13" s="541">
        <f t="shared" si="158"/>
        <v>0</v>
      </c>
      <c r="ET13" s="539"/>
      <c r="EU13" s="540">
        <f t="shared" si="48"/>
        <v>0</v>
      </c>
      <c r="EV13" s="541">
        <f t="shared" si="159"/>
        <v>0</v>
      </c>
      <c r="EW13" s="539"/>
      <c r="EX13" s="540">
        <f t="shared" si="49"/>
        <v>0</v>
      </c>
      <c r="EY13" s="541">
        <f t="shared" si="160"/>
        <v>0</v>
      </c>
      <c r="EZ13" s="539"/>
      <c r="FA13" s="540">
        <f t="shared" si="50"/>
        <v>0</v>
      </c>
      <c r="FB13" s="541">
        <f t="shared" si="161"/>
        <v>0</v>
      </c>
      <c r="FC13" s="539"/>
      <c r="FD13" s="540">
        <f t="shared" si="51"/>
        <v>0</v>
      </c>
      <c r="FE13" s="541">
        <f t="shared" si="162"/>
        <v>0</v>
      </c>
      <c r="FF13" s="539"/>
      <c r="FG13" s="540">
        <f t="shared" si="52"/>
        <v>0</v>
      </c>
      <c r="FH13" s="541">
        <f t="shared" si="163"/>
        <v>0</v>
      </c>
      <c r="FI13" s="539"/>
      <c r="FJ13" s="540">
        <f t="shared" si="53"/>
        <v>0</v>
      </c>
      <c r="FK13" s="541">
        <f t="shared" si="164"/>
        <v>0</v>
      </c>
      <c r="FL13" s="539"/>
      <c r="FM13" s="540">
        <f t="shared" si="54"/>
        <v>0</v>
      </c>
      <c r="FN13" s="541">
        <f t="shared" si="165"/>
        <v>0</v>
      </c>
      <c r="FO13" s="539"/>
      <c r="FP13" s="540">
        <f t="shared" si="55"/>
        <v>0</v>
      </c>
      <c r="FQ13" s="541">
        <f t="shared" si="166"/>
        <v>0</v>
      </c>
      <c r="FR13" s="539"/>
      <c r="FS13" s="540">
        <f t="shared" si="56"/>
        <v>0</v>
      </c>
      <c r="FT13" s="541">
        <f t="shared" si="167"/>
        <v>0</v>
      </c>
      <c r="FU13" s="539"/>
      <c r="FV13" s="540">
        <f t="shared" si="57"/>
        <v>0</v>
      </c>
      <c r="FW13" s="541">
        <f t="shared" si="168"/>
        <v>0</v>
      </c>
      <c r="FX13" s="539"/>
      <c r="FY13" s="540">
        <f t="shared" si="58"/>
        <v>0</v>
      </c>
      <c r="FZ13" s="541">
        <f t="shared" si="169"/>
        <v>0</v>
      </c>
      <c r="GA13" s="539"/>
      <c r="GB13" s="540">
        <f t="shared" si="59"/>
        <v>0</v>
      </c>
      <c r="GC13" s="541">
        <f t="shared" si="170"/>
        <v>0</v>
      </c>
      <c r="GD13" s="539"/>
      <c r="GE13" s="540">
        <f t="shared" si="60"/>
        <v>0</v>
      </c>
      <c r="GF13" s="541">
        <f t="shared" si="171"/>
        <v>0</v>
      </c>
      <c r="GG13" s="539"/>
      <c r="GH13" s="540">
        <f t="shared" si="61"/>
        <v>0</v>
      </c>
      <c r="GI13" s="541">
        <f t="shared" si="172"/>
        <v>0</v>
      </c>
      <c r="GJ13" s="539"/>
      <c r="GK13" s="540">
        <f t="shared" si="62"/>
        <v>0</v>
      </c>
      <c r="GL13" s="541">
        <f t="shared" si="173"/>
        <v>0</v>
      </c>
      <c r="GM13" s="539"/>
      <c r="GN13" s="540">
        <f t="shared" si="63"/>
        <v>0</v>
      </c>
      <c r="GO13" s="541">
        <f t="shared" si="174"/>
        <v>0</v>
      </c>
      <c r="GP13" s="539"/>
      <c r="GQ13" s="540">
        <f t="shared" si="64"/>
        <v>0</v>
      </c>
      <c r="GR13" s="541">
        <f t="shared" si="175"/>
        <v>0</v>
      </c>
      <c r="GS13" s="539"/>
      <c r="GT13" s="540">
        <f t="shared" si="65"/>
        <v>0</v>
      </c>
      <c r="GU13" s="541">
        <f t="shared" si="176"/>
        <v>0</v>
      </c>
      <c r="GV13" s="539"/>
      <c r="GW13" s="540">
        <f t="shared" si="66"/>
        <v>0</v>
      </c>
      <c r="GX13" s="541">
        <f t="shared" si="177"/>
        <v>0</v>
      </c>
      <c r="GY13" s="539"/>
      <c r="GZ13" s="540">
        <f t="shared" si="67"/>
        <v>0</v>
      </c>
      <c r="HA13" s="541">
        <f t="shared" si="178"/>
        <v>0</v>
      </c>
      <c r="HB13" s="539"/>
      <c r="HC13" s="540">
        <f t="shared" si="68"/>
        <v>0</v>
      </c>
      <c r="HD13" s="541">
        <f t="shared" si="179"/>
        <v>0</v>
      </c>
      <c r="HE13" s="539"/>
      <c r="HF13" s="540">
        <f t="shared" si="69"/>
        <v>0</v>
      </c>
      <c r="HG13" s="541">
        <f t="shared" si="180"/>
        <v>0</v>
      </c>
      <c r="HH13" s="539"/>
      <c r="HI13" s="540">
        <f t="shared" si="70"/>
        <v>0</v>
      </c>
      <c r="HJ13" s="541">
        <f t="shared" si="181"/>
        <v>0</v>
      </c>
      <c r="HK13" s="539"/>
      <c r="HL13" s="540">
        <f t="shared" si="71"/>
        <v>0</v>
      </c>
      <c r="HM13" s="541">
        <f t="shared" si="182"/>
        <v>0</v>
      </c>
      <c r="HN13" s="539"/>
      <c r="HO13" s="540">
        <f t="shared" si="72"/>
        <v>0</v>
      </c>
      <c r="HP13" s="541">
        <f t="shared" si="183"/>
        <v>0</v>
      </c>
      <c r="HQ13" s="539"/>
      <c r="HR13" s="540">
        <f t="shared" si="73"/>
        <v>0</v>
      </c>
      <c r="HS13" s="541">
        <f t="shared" si="184"/>
        <v>0</v>
      </c>
      <c r="HT13" s="539"/>
      <c r="HU13" s="540">
        <f t="shared" si="74"/>
        <v>0</v>
      </c>
      <c r="HV13" s="541">
        <f t="shared" si="185"/>
        <v>0</v>
      </c>
      <c r="HW13" s="539"/>
      <c r="HX13" s="540">
        <f t="shared" si="75"/>
        <v>0</v>
      </c>
      <c r="HY13" s="541">
        <f t="shared" si="186"/>
        <v>0</v>
      </c>
      <c r="HZ13" s="539"/>
      <c r="IA13" s="540">
        <f t="shared" si="76"/>
        <v>0</v>
      </c>
      <c r="IB13" s="541">
        <f t="shared" si="187"/>
        <v>0</v>
      </c>
      <c r="IC13" s="539"/>
      <c r="ID13" s="540">
        <f t="shared" si="77"/>
        <v>0</v>
      </c>
      <c r="IE13" s="541">
        <f t="shared" si="188"/>
        <v>0</v>
      </c>
      <c r="IF13" s="539"/>
      <c r="IG13" s="540">
        <f t="shared" si="78"/>
        <v>0</v>
      </c>
      <c r="IH13" s="541">
        <f t="shared" si="189"/>
        <v>0</v>
      </c>
      <c r="II13" s="539"/>
      <c r="IJ13" s="540">
        <f t="shared" si="79"/>
        <v>0</v>
      </c>
      <c r="IK13" s="541">
        <f t="shared" si="190"/>
        <v>0</v>
      </c>
      <c r="IL13" s="539"/>
      <c r="IM13" s="540">
        <f t="shared" si="80"/>
        <v>0</v>
      </c>
      <c r="IN13" s="541">
        <f t="shared" si="191"/>
        <v>0</v>
      </c>
      <c r="IO13" s="539"/>
      <c r="IP13" s="540">
        <f t="shared" si="81"/>
        <v>0</v>
      </c>
      <c r="IQ13" s="541">
        <f t="shared" si="192"/>
        <v>0</v>
      </c>
      <c r="IR13" s="539"/>
      <c r="IS13" s="540">
        <f t="shared" si="82"/>
        <v>0</v>
      </c>
      <c r="IT13" s="541">
        <f t="shared" si="193"/>
        <v>0</v>
      </c>
      <c r="IU13" s="539"/>
      <c r="IV13" s="540">
        <f t="shared" si="83"/>
        <v>0</v>
      </c>
      <c r="IW13" s="541">
        <f t="shared" si="194"/>
        <v>0</v>
      </c>
      <c r="IX13" s="539"/>
      <c r="IY13" s="540">
        <f t="shared" si="84"/>
        <v>0</v>
      </c>
      <c r="IZ13" s="541">
        <f t="shared" si="195"/>
        <v>0</v>
      </c>
      <c r="JA13" s="539"/>
      <c r="JB13" s="540">
        <f t="shared" si="85"/>
        <v>0</v>
      </c>
      <c r="JC13" s="541">
        <f t="shared" si="196"/>
        <v>0</v>
      </c>
      <c r="JD13" s="539"/>
      <c r="JE13" s="540">
        <f t="shared" si="86"/>
        <v>0</v>
      </c>
      <c r="JF13" s="541">
        <f t="shared" si="197"/>
        <v>0</v>
      </c>
      <c r="JG13" s="539"/>
      <c r="JH13" s="540">
        <f t="shared" si="87"/>
        <v>0</v>
      </c>
      <c r="JI13" s="541">
        <f t="shared" si="198"/>
        <v>0</v>
      </c>
      <c r="JJ13" s="539"/>
      <c r="JK13" s="541" t="str">
        <f t="shared" si="88"/>
        <v>0</v>
      </c>
      <c r="JL13" s="541" t="str">
        <f t="shared" si="89"/>
        <v>0</v>
      </c>
      <c r="JM13" s="539"/>
      <c r="JN13" s="541" t="str">
        <f t="shared" si="90"/>
        <v>0</v>
      </c>
      <c r="JO13" s="541" t="str">
        <f t="shared" si="91"/>
        <v>0</v>
      </c>
      <c r="JP13" s="539"/>
      <c r="JQ13" s="541" t="str">
        <f t="shared" si="92"/>
        <v>0</v>
      </c>
      <c r="JR13" s="541" t="str">
        <f t="shared" si="93"/>
        <v>0</v>
      </c>
      <c r="JS13" s="539"/>
      <c r="JT13" s="541" t="str">
        <f t="shared" si="94"/>
        <v>0</v>
      </c>
      <c r="JU13" s="541" t="str">
        <f t="shared" si="95"/>
        <v>0</v>
      </c>
      <c r="JV13" s="539"/>
      <c r="JW13" s="541" t="str">
        <f t="shared" si="96"/>
        <v>0</v>
      </c>
      <c r="JX13" s="541" t="str">
        <f t="shared" si="97"/>
        <v>0</v>
      </c>
      <c r="JY13" s="539"/>
      <c r="JZ13" s="541" t="str">
        <f t="shared" si="98"/>
        <v>0</v>
      </c>
      <c r="KA13" s="541" t="str">
        <f t="shared" si="99"/>
        <v>0</v>
      </c>
      <c r="KB13" s="539"/>
      <c r="KC13" s="541" t="str">
        <f t="shared" si="100"/>
        <v>0</v>
      </c>
      <c r="KD13" s="541" t="str">
        <f t="shared" si="101"/>
        <v>0</v>
      </c>
      <c r="KE13" s="539"/>
      <c r="KF13" s="541" t="str">
        <f t="shared" si="102"/>
        <v>0</v>
      </c>
      <c r="KG13" s="541" t="str">
        <f t="shared" si="103"/>
        <v>0</v>
      </c>
      <c r="KH13" s="539"/>
      <c r="KI13" s="541" t="str">
        <f t="shared" si="104"/>
        <v>0</v>
      </c>
      <c r="KJ13" s="541" t="str">
        <f t="shared" si="105"/>
        <v>0</v>
      </c>
      <c r="KK13" s="539"/>
      <c r="KL13" s="541" t="str">
        <f t="shared" si="106"/>
        <v>0</v>
      </c>
      <c r="KM13" s="541" t="str">
        <f t="shared" si="107"/>
        <v>0</v>
      </c>
      <c r="KN13" s="539"/>
      <c r="KO13" s="541" t="str">
        <f t="shared" si="108"/>
        <v>0</v>
      </c>
      <c r="KP13" s="541" t="str">
        <f t="shared" si="109"/>
        <v>0</v>
      </c>
      <c r="KQ13" s="539"/>
      <c r="KR13" s="541" t="str">
        <f t="shared" si="110"/>
        <v>0</v>
      </c>
      <c r="KS13" s="541" t="str">
        <f t="shared" si="111"/>
        <v>0</v>
      </c>
      <c r="KT13" s="541">
        <f t="shared" si="201"/>
        <v>0</v>
      </c>
      <c r="KU13" s="541">
        <f t="shared" si="202"/>
        <v>0</v>
      </c>
      <c r="KV13" s="272">
        <f t="shared" si="199"/>
        <v>745.54506116279083</v>
      </c>
    </row>
    <row r="14" spans="1:308" ht="15" customHeight="1">
      <c r="A14" s="274">
        <f t="shared" si="200"/>
        <v>46118</v>
      </c>
      <c r="B14" s="275" t="str">
        <f>+Report1!B14</f>
        <v>Facial</v>
      </c>
      <c r="C14" s="417" t="str">
        <f>+Report1!C14</f>
        <v>12/13</v>
      </c>
      <c r="D14" s="276">
        <f>+Report1!P14</f>
        <v>60.231999999999999</v>
      </c>
      <c r="E14" s="277">
        <f>+Report1!R14</f>
        <v>58.991999999999997</v>
      </c>
      <c r="F14" s="539"/>
      <c r="G14" s="540">
        <f t="shared" si="0"/>
        <v>0</v>
      </c>
      <c r="H14" s="541">
        <f t="shared" si="112"/>
        <v>0</v>
      </c>
      <c r="I14" s="539">
        <v>267.44186046511641</v>
      </c>
      <c r="J14" s="540">
        <f t="shared" si="1"/>
        <v>4.5335276048466984</v>
      </c>
      <c r="K14" s="541">
        <f t="shared" si="113"/>
        <v>0</v>
      </c>
      <c r="L14" s="539"/>
      <c r="M14" s="540">
        <f t="shared" si="2"/>
        <v>0</v>
      </c>
      <c r="N14" s="541">
        <f t="shared" si="114"/>
        <v>0</v>
      </c>
      <c r="O14" s="539">
        <v>8.9992000000000161</v>
      </c>
      <c r="P14" s="540">
        <f t="shared" si="3"/>
        <v>0.15254949823704936</v>
      </c>
      <c r="Q14" s="541">
        <f t="shared" si="115"/>
        <v>0</v>
      </c>
      <c r="R14" s="539"/>
      <c r="S14" s="540">
        <f t="shared" si="4"/>
        <v>0</v>
      </c>
      <c r="T14" s="541">
        <f t="shared" si="116"/>
        <v>0</v>
      </c>
      <c r="U14" s="539">
        <v>12.814400000000006</v>
      </c>
      <c r="V14" s="540">
        <f t="shared" si="5"/>
        <v>0.21722267426091685</v>
      </c>
      <c r="W14" s="541">
        <f t="shared" si="117"/>
        <v>0</v>
      </c>
      <c r="X14" s="539"/>
      <c r="Y14" s="540">
        <f t="shared" si="6"/>
        <v>0</v>
      </c>
      <c r="Z14" s="541">
        <f t="shared" si="118"/>
        <v>0</v>
      </c>
      <c r="AA14" s="539"/>
      <c r="AB14" s="540">
        <f t="shared" si="7"/>
        <v>0</v>
      </c>
      <c r="AC14" s="541">
        <f t="shared" si="119"/>
        <v>0</v>
      </c>
      <c r="AD14" s="539"/>
      <c r="AE14" s="540">
        <f t="shared" si="8"/>
        <v>0</v>
      </c>
      <c r="AF14" s="541">
        <f t="shared" si="120"/>
        <v>0</v>
      </c>
      <c r="AG14" s="539"/>
      <c r="AH14" s="540">
        <f t="shared" si="9"/>
        <v>0</v>
      </c>
      <c r="AI14" s="541">
        <f t="shared" si="121"/>
        <v>0</v>
      </c>
      <c r="AJ14" s="539"/>
      <c r="AK14" s="540">
        <f t="shared" si="10"/>
        <v>0</v>
      </c>
      <c r="AL14" s="541">
        <f t="shared" si="122"/>
        <v>0</v>
      </c>
      <c r="AM14" s="539">
        <v>0</v>
      </c>
      <c r="AN14" s="540">
        <f t="shared" si="11"/>
        <v>0</v>
      </c>
      <c r="AO14" s="541">
        <f t="shared" si="123"/>
        <v>0</v>
      </c>
      <c r="AP14" s="539">
        <v>65.503098734177286</v>
      </c>
      <c r="AQ14" s="540">
        <f t="shared" si="12"/>
        <v>1.1103725714364201</v>
      </c>
      <c r="AR14" s="541">
        <f t="shared" si="124"/>
        <v>0</v>
      </c>
      <c r="AS14" s="539"/>
      <c r="AT14" s="540">
        <f t="shared" si="13"/>
        <v>0</v>
      </c>
      <c r="AU14" s="541">
        <f t="shared" si="125"/>
        <v>0</v>
      </c>
      <c r="AV14" s="539">
        <v>13.871499999999941</v>
      </c>
      <c r="AW14" s="540">
        <f t="shared" si="14"/>
        <v>0.23514205315974948</v>
      </c>
      <c r="AX14" s="541">
        <f t="shared" si="126"/>
        <v>0</v>
      </c>
      <c r="AY14" s="539">
        <v>58.332533333333345</v>
      </c>
      <c r="AZ14" s="540">
        <f t="shared" si="15"/>
        <v>0.98882108308471228</v>
      </c>
      <c r="BA14" s="541">
        <f t="shared" si="127"/>
        <v>0</v>
      </c>
      <c r="BB14" s="539">
        <v>0</v>
      </c>
      <c r="BC14" s="540">
        <f t="shared" si="16"/>
        <v>0</v>
      </c>
      <c r="BD14" s="541">
        <f t="shared" si="128"/>
        <v>0</v>
      </c>
      <c r="BE14" s="539"/>
      <c r="BF14" s="540">
        <f t="shared" si="17"/>
        <v>0</v>
      </c>
      <c r="BG14" s="541">
        <f t="shared" si="129"/>
        <v>0</v>
      </c>
      <c r="BH14" s="539"/>
      <c r="BI14" s="540">
        <f t="shared" si="18"/>
        <v>0</v>
      </c>
      <c r="BJ14" s="541">
        <f t="shared" si="130"/>
        <v>0</v>
      </c>
      <c r="BK14" s="539"/>
      <c r="BL14" s="540">
        <f t="shared" si="19"/>
        <v>0</v>
      </c>
      <c r="BM14" s="541">
        <f t="shared" si="131"/>
        <v>0</v>
      </c>
      <c r="BN14" s="539">
        <v>10.121518518518528</v>
      </c>
      <c r="BO14" s="540">
        <f t="shared" si="20"/>
        <v>0.17157442565972553</v>
      </c>
      <c r="BP14" s="541">
        <f t="shared" si="132"/>
        <v>0</v>
      </c>
      <c r="BQ14" s="539">
        <v>0</v>
      </c>
      <c r="BR14" s="540">
        <f t="shared" si="21"/>
        <v>0</v>
      </c>
      <c r="BS14" s="541">
        <f t="shared" si="133"/>
        <v>0</v>
      </c>
      <c r="BT14" s="539"/>
      <c r="BU14" s="540">
        <f t="shared" si="22"/>
        <v>0</v>
      </c>
      <c r="BV14" s="541">
        <f t="shared" si="134"/>
        <v>0</v>
      </c>
      <c r="BW14" s="539">
        <v>0</v>
      </c>
      <c r="BX14" s="540">
        <f t="shared" si="23"/>
        <v>0</v>
      </c>
      <c r="BY14" s="541">
        <f t="shared" si="135"/>
        <v>0</v>
      </c>
      <c r="BZ14" s="539"/>
      <c r="CA14" s="540">
        <f t="shared" si="24"/>
        <v>0</v>
      </c>
      <c r="CB14" s="541">
        <f t="shared" si="136"/>
        <v>0</v>
      </c>
      <c r="CC14" s="539">
        <v>0</v>
      </c>
      <c r="CD14" s="540">
        <f t="shared" si="25"/>
        <v>0</v>
      </c>
      <c r="CE14" s="541">
        <f t="shared" si="137"/>
        <v>0</v>
      </c>
      <c r="CF14" s="539">
        <v>0.10000000000000142</v>
      </c>
      <c r="CG14" s="540">
        <f t="shared" si="26"/>
        <v>1.6951451044209627E-3</v>
      </c>
      <c r="CH14" s="541">
        <f t="shared" si="138"/>
        <v>0</v>
      </c>
      <c r="CI14" s="539"/>
      <c r="CJ14" s="540">
        <f t="shared" si="27"/>
        <v>0</v>
      </c>
      <c r="CK14" s="541">
        <f t="shared" si="139"/>
        <v>0</v>
      </c>
      <c r="CL14" s="539"/>
      <c r="CM14" s="540">
        <f t="shared" si="28"/>
        <v>0</v>
      </c>
      <c r="CN14" s="541">
        <f t="shared" si="140"/>
        <v>0</v>
      </c>
      <c r="CO14" s="539"/>
      <c r="CP14" s="540">
        <f t="shared" si="29"/>
        <v>0</v>
      </c>
      <c r="CQ14" s="541">
        <f t="shared" si="141"/>
        <v>0</v>
      </c>
      <c r="CR14" s="539"/>
      <c r="CS14" s="540">
        <f t="shared" si="30"/>
        <v>0</v>
      </c>
      <c r="CT14" s="541">
        <f t="shared" si="142"/>
        <v>0</v>
      </c>
      <c r="CU14" s="539"/>
      <c r="CV14" s="540">
        <f t="shared" si="31"/>
        <v>0</v>
      </c>
      <c r="CW14" s="541">
        <f t="shared" si="143"/>
        <v>0</v>
      </c>
      <c r="CX14" s="539"/>
      <c r="CY14" s="540">
        <f t="shared" si="32"/>
        <v>0</v>
      </c>
      <c r="CZ14" s="541">
        <f t="shared" si="144"/>
        <v>0</v>
      </c>
      <c r="DA14" s="539">
        <v>0</v>
      </c>
      <c r="DB14" s="540">
        <f t="shared" si="33"/>
        <v>0</v>
      </c>
      <c r="DC14" s="541">
        <f t="shared" si="145"/>
        <v>0</v>
      </c>
      <c r="DD14" s="539"/>
      <c r="DE14" s="540">
        <f t="shared" si="34"/>
        <v>0</v>
      </c>
      <c r="DF14" s="541">
        <f t="shared" si="146"/>
        <v>0</v>
      </c>
      <c r="DG14" s="539">
        <v>0</v>
      </c>
      <c r="DH14" s="540">
        <f t="shared" si="35"/>
        <v>0</v>
      </c>
      <c r="DI14" s="541">
        <f t="shared" ref="DI14:DI38" si="203">+DG14*$H$8</f>
        <v>0</v>
      </c>
      <c r="DJ14" s="539"/>
      <c r="DK14" s="540">
        <f t="shared" si="36"/>
        <v>0</v>
      </c>
      <c r="DL14" s="541">
        <f t="shared" si="147"/>
        <v>0</v>
      </c>
      <c r="DM14" s="539"/>
      <c r="DN14" s="540">
        <f t="shared" si="37"/>
        <v>0</v>
      </c>
      <c r="DO14" s="541">
        <f t="shared" si="148"/>
        <v>0</v>
      </c>
      <c r="DP14" s="539"/>
      <c r="DQ14" s="540">
        <f t="shared" si="38"/>
        <v>0</v>
      </c>
      <c r="DR14" s="541">
        <f t="shared" si="149"/>
        <v>0</v>
      </c>
      <c r="DS14" s="539"/>
      <c r="DT14" s="540">
        <f t="shared" si="39"/>
        <v>0</v>
      </c>
      <c r="DU14" s="541">
        <f t="shared" si="150"/>
        <v>0</v>
      </c>
      <c r="DV14" s="539"/>
      <c r="DW14" s="540">
        <f t="shared" si="40"/>
        <v>0</v>
      </c>
      <c r="DX14" s="541">
        <f t="shared" si="151"/>
        <v>0</v>
      </c>
      <c r="DY14" s="539"/>
      <c r="DZ14" s="540">
        <f t="shared" si="41"/>
        <v>0</v>
      </c>
      <c r="EA14" s="541">
        <f t="shared" si="152"/>
        <v>0</v>
      </c>
      <c r="EB14" s="539">
        <v>14.529590697674394</v>
      </c>
      <c r="EC14" s="540">
        <f t="shared" si="42"/>
        <v>0.24629764540402757</v>
      </c>
      <c r="ED14" s="541">
        <f t="shared" si="153"/>
        <v>0</v>
      </c>
      <c r="EE14" s="539">
        <v>1</v>
      </c>
      <c r="EF14" s="540">
        <f t="shared" si="43"/>
        <v>1.6951451044209385E-2</v>
      </c>
      <c r="EG14" s="541">
        <f t="shared" si="154"/>
        <v>0</v>
      </c>
      <c r="EH14" s="539"/>
      <c r="EI14" s="540">
        <f t="shared" si="44"/>
        <v>0</v>
      </c>
      <c r="EJ14" s="541">
        <f t="shared" si="155"/>
        <v>0</v>
      </c>
      <c r="EK14" s="539"/>
      <c r="EL14" s="540">
        <f t="shared" si="45"/>
        <v>0</v>
      </c>
      <c r="EM14" s="541">
        <f t="shared" si="156"/>
        <v>0</v>
      </c>
      <c r="EN14" s="539"/>
      <c r="EO14" s="540">
        <f t="shared" si="46"/>
        <v>0</v>
      </c>
      <c r="EP14" s="541">
        <f t="shared" si="157"/>
        <v>0</v>
      </c>
      <c r="EQ14" s="539"/>
      <c r="ER14" s="540">
        <f t="shared" si="47"/>
        <v>0</v>
      </c>
      <c r="ES14" s="541">
        <f t="shared" si="158"/>
        <v>0</v>
      </c>
      <c r="ET14" s="539"/>
      <c r="EU14" s="540">
        <f t="shared" si="48"/>
        <v>0</v>
      </c>
      <c r="EV14" s="541">
        <f t="shared" si="159"/>
        <v>0</v>
      </c>
      <c r="EW14" s="539"/>
      <c r="EX14" s="540">
        <f t="shared" si="49"/>
        <v>0</v>
      </c>
      <c r="EY14" s="541">
        <f t="shared" si="160"/>
        <v>0</v>
      </c>
      <c r="EZ14" s="539"/>
      <c r="FA14" s="540">
        <f t="shared" si="50"/>
        <v>0</v>
      </c>
      <c r="FB14" s="541">
        <f t="shared" si="161"/>
        <v>0</v>
      </c>
      <c r="FC14" s="539"/>
      <c r="FD14" s="540">
        <f t="shared" si="51"/>
        <v>0</v>
      </c>
      <c r="FE14" s="541">
        <f t="shared" si="162"/>
        <v>0</v>
      </c>
      <c r="FF14" s="539"/>
      <c r="FG14" s="540">
        <f t="shared" si="52"/>
        <v>0</v>
      </c>
      <c r="FH14" s="541">
        <f t="shared" si="163"/>
        <v>0</v>
      </c>
      <c r="FI14" s="539"/>
      <c r="FJ14" s="540">
        <f t="shared" si="53"/>
        <v>0</v>
      </c>
      <c r="FK14" s="541">
        <f t="shared" si="164"/>
        <v>0</v>
      </c>
      <c r="FL14" s="539"/>
      <c r="FM14" s="540">
        <f t="shared" si="54"/>
        <v>0</v>
      </c>
      <c r="FN14" s="541">
        <f t="shared" si="165"/>
        <v>0</v>
      </c>
      <c r="FO14" s="539"/>
      <c r="FP14" s="540">
        <f t="shared" si="55"/>
        <v>0</v>
      </c>
      <c r="FQ14" s="541">
        <f t="shared" si="166"/>
        <v>0</v>
      </c>
      <c r="FR14" s="539"/>
      <c r="FS14" s="540">
        <f t="shared" si="56"/>
        <v>0</v>
      </c>
      <c r="FT14" s="541">
        <f t="shared" si="167"/>
        <v>0</v>
      </c>
      <c r="FU14" s="539"/>
      <c r="FV14" s="540">
        <f t="shared" si="57"/>
        <v>0</v>
      </c>
      <c r="FW14" s="541">
        <f t="shared" si="168"/>
        <v>0</v>
      </c>
      <c r="FX14" s="539"/>
      <c r="FY14" s="540">
        <f t="shared" si="58"/>
        <v>0</v>
      </c>
      <c r="FZ14" s="541">
        <f t="shared" si="169"/>
        <v>0</v>
      </c>
      <c r="GA14" s="539"/>
      <c r="GB14" s="540">
        <f t="shared" si="59"/>
        <v>0</v>
      </c>
      <c r="GC14" s="541">
        <f t="shared" si="170"/>
        <v>0</v>
      </c>
      <c r="GD14" s="539"/>
      <c r="GE14" s="540">
        <f t="shared" si="60"/>
        <v>0</v>
      </c>
      <c r="GF14" s="541">
        <f t="shared" si="171"/>
        <v>0</v>
      </c>
      <c r="GG14" s="539"/>
      <c r="GH14" s="540">
        <f t="shared" si="61"/>
        <v>0</v>
      </c>
      <c r="GI14" s="541">
        <f t="shared" si="172"/>
        <v>0</v>
      </c>
      <c r="GJ14" s="539"/>
      <c r="GK14" s="540">
        <f t="shared" si="62"/>
        <v>0</v>
      </c>
      <c r="GL14" s="541">
        <f t="shared" si="173"/>
        <v>0</v>
      </c>
      <c r="GM14" s="539"/>
      <c r="GN14" s="540">
        <f t="shared" si="63"/>
        <v>0</v>
      </c>
      <c r="GO14" s="541">
        <f t="shared" si="174"/>
        <v>0</v>
      </c>
      <c r="GP14" s="539"/>
      <c r="GQ14" s="540">
        <f t="shared" si="64"/>
        <v>0</v>
      </c>
      <c r="GR14" s="541">
        <f t="shared" si="175"/>
        <v>0</v>
      </c>
      <c r="GS14" s="539"/>
      <c r="GT14" s="540">
        <f t="shared" si="65"/>
        <v>0</v>
      </c>
      <c r="GU14" s="541">
        <f t="shared" si="176"/>
        <v>0</v>
      </c>
      <c r="GV14" s="539"/>
      <c r="GW14" s="540">
        <f t="shared" si="66"/>
        <v>0</v>
      </c>
      <c r="GX14" s="541">
        <f t="shared" si="177"/>
        <v>0</v>
      </c>
      <c r="GY14" s="539"/>
      <c r="GZ14" s="540">
        <f t="shared" si="67"/>
        <v>0</v>
      </c>
      <c r="HA14" s="541">
        <f t="shared" si="178"/>
        <v>0</v>
      </c>
      <c r="HB14" s="539"/>
      <c r="HC14" s="540">
        <f t="shared" si="68"/>
        <v>0</v>
      </c>
      <c r="HD14" s="541">
        <f t="shared" si="179"/>
        <v>0</v>
      </c>
      <c r="HE14" s="539"/>
      <c r="HF14" s="540">
        <f t="shared" si="69"/>
        <v>0</v>
      </c>
      <c r="HG14" s="541">
        <f t="shared" si="180"/>
        <v>0</v>
      </c>
      <c r="HH14" s="539"/>
      <c r="HI14" s="540">
        <f t="shared" si="70"/>
        <v>0</v>
      </c>
      <c r="HJ14" s="541">
        <f t="shared" si="181"/>
        <v>0</v>
      </c>
      <c r="HK14" s="539"/>
      <c r="HL14" s="540">
        <f t="shared" si="71"/>
        <v>0</v>
      </c>
      <c r="HM14" s="541">
        <f t="shared" si="182"/>
        <v>0</v>
      </c>
      <c r="HN14" s="539"/>
      <c r="HO14" s="540">
        <f t="shared" si="72"/>
        <v>0</v>
      </c>
      <c r="HP14" s="541">
        <f t="shared" si="183"/>
        <v>0</v>
      </c>
      <c r="HQ14" s="539"/>
      <c r="HR14" s="540">
        <f t="shared" si="73"/>
        <v>0</v>
      </c>
      <c r="HS14" s="541">
        <f t="shared" si="184"/>
        <v>0</v>
      </c>
      <c r="HT14" s="539"/>
      <c r="HU14" s="540">
        <f t="shared" si="74"/>
        <v>0</v>
      </c>
      <c r="HV14" s="541">
        <f t="shared" si="185"/>
        <v>0</v>
      </c>
      <c r="HW14" s="539"/>
      <c r="HX14" s="540">
        <f t="shared" si="75"/>
        <v>0</v>
      </c>
      <c r="HY14" s="541">
        <f t="shared" si="186"/>
        <v>0</v>
      </c>
      <c r="HZ14" s="539"/>
      <c r="IA14" s="540">
        <f t="shared" si="76"/>
        <v>0</v>
      </c>
      <c r="IB14" s="541">
        <f t="shared" si="187"/>
        <v>0</v>
      </c>
      <c r="IC14" s="539"/>
      <c r="ID14" s="540">
        <f t="shared" si="77"/>
        <v>0</v>
      </c>
      <c r="IE14" s="541">
        <f t="shared" si="188"/>
        <v>0</v>
      </c>
      <c r="IF14" s="539"/>
      <c r="IG14" s="540">
        <f t="shared" si="78"/>
        <v>0</v>
      </c>
      <c r="IH14" s="541">
        <f t="shared" si="189"/>
        <v>0</v>
      </c>
      <c r="II14" s="539"/>
      <c r="IJ14" s="540">
        <f t="shared" si="79"/>
        <v>0</v>
      </c>
      <c r="IK14" s="541">
        <f t="shared" si="190"/>
        <v>0</v>
      </c>
      <c r="IL14" s="539"/>
      <c r="IM14" s="540">
        <f t="shared" si="80"/>
        <v>0</v>
      </c>
      <c r="IN14" s="541">
        <f t="shared" si="191"/>
        <v>0</v>
      </c>
      <c r="IO14" s="539"/>
      <c r="IP14" s="540">
        <f t="shared" si="81"/>
        <v>0</v>
      </c>
      <c r="IQ14" s="541">
        <f t="shared" si="192"/>
        <v>0</v>
      </c>
      <c r="IR14" s="539"/>
      <c r="IS14" s="540">
        <f t="shared" si="82"/>
        <v>0</v>
      </c>
      <c r="IT14" s="541">
        <f t="shared" si="193"/>
        <v>0</v>
      </c>
      <c r="IU14" s="539"/>
      <c r="IV14" s="540">
        <f t="shared" si="83"/>
        <v>0</v>
      </c>
      <c r="IW14" s="541">
        <f t="shared" si="194"/>
        <v>0</v>
      </c>
      <c r="IX14" s="539"/>
      <c r="IY14" s="540">
        <f t="shared" si="84"/>
        <v>0</v>
      </c>
      <c r="IZ14" s="541">
        <f t="shared" si="195"/>
        <v>0</v>
      </c>
      <c r="JA14" s="539"/>
      <c r="JB14" s="540">
        <f t="shared" si="85"/>
        <v>0</v>
      </c>
      <c r="JC14" s="541">
        <f t="shared" si="196"/>
        <v>0</v>
      </c>
      <c r="JD14" s="539"/>
      <c r="JE14" s="540">
        <f t="shared" si="86"/>
        <v>0</v>
      </c>
      <c r="JF14" s="541">
        <f t="shared" si="197"/>
        <v>0</v>
      </c>
      <c r="JG14" s="539"/>
      <c r="JH14" s="540">
        <f t="shared" si="87"/>
        <v>0</v>
      </c>
      <c r="JI14" s="541">
        <f t="shared" si="198"/>
        <v>0</v>
      </c>
      <c r="JJ14" s="539"/>
      <c r="JK14" s="541" t="str">
        <f t="shared" si="88"/>
        <v>0</v>
      </c>
      <c r="JL14" s="541" t="str">
        <f t="shared" si="89"/>
        <v>0</v>
      </c>
      <c r="JM14" s="539"/>
      <c r="JN14" s="541" t="str">
        <f t="shared" si="90"/>
        <v>0</v>
      </c>
      <c r="JO14" s="541" t="str">
        <f t="shared" si="91"/>
        <v>0</v>
      </c>
      <c r="JP14" s="539"/>
      <c r="JQ14" s="541" t="str">
        <f t="shared" si="92"/>
        <v>0</v>
      </c>
      <c r="JR14" s="541" t="str">
        <f t="shared" si="93"/>
        <v>0</v>
      </c>
      <c r="JS14" s="539"/>
      <c r="JT14" s="541" t="str">
        <f t="shared" si="94"/>
        <v>0</v>
      </c>
      <c r="JU14" s="541" t="str">
        <f t="shared" si="95"/>
        <v>0</v>
      </c>
      <c r="JV14" s="539"/>
      <c r="JW14" s="541" t="str">
        <f t="shared" si="96"/>
        <v>0</v>
      </c>
      <c r="JX14" s="541" t="str">
        <f t="shared" si="97"/>
        <v>0</v>
      </c>
      <c r="JY14" s="539"/>
      <c r="JZ14" s="541" t="str">
        <f t="shared" si="98"/>
        <v>0</v>
      </c>
      <c r="KA14" s="541" t="str">
        <f t="shared" si="99"/>
        <v>0</v>
      </c>
      <c r="KB14" s="539"/>
      <c r="KC14" s="541" t="str">
        <f t="shared" si="100"/>
        <v>0</v>
      </c>
      <c r="KD14" s="541" t="str">
        <f t="shared" si="101"/>
        <v>0</v>
      </c>
      <c r="KE14" s="539"/>
      <c r="KF14" s="541" t="str">
        <f t="shared" si="102"/>
        <v>0</v>
      </c>
      <c r="KG14" s="541" t="str">
        <f t="shared" si="103"/>
        <v>0</v>
      </c>
      <c r="KH14" s="539"/>
      <c r="KI14" s="541" t="str">
        <f t="shared" si="104"/>
        <v>0</v>
      </c>
      <c r="KJ14" s="541" t="str">
        <f t="shared" si="105"/>
        <v>0</v>
      </c>
      <c r="KK14" s="539"/>
      <c r="KL14" s="541" t="str">
        <f t="shared" si="106"/>
        <v>0</v>
      </c>
      <c r="KM14" s="541" t="str">
        <f t="shared" si="107"/>
        <v>0</v>
      </c>
      <c r="KN14" s="539"/>
      <c r="KO14" s="541" t="str">
        <f t="shared" si="108"/>
        <v>0</v>
      </c>
      <c r="KP14" s="541" t="str">
        <f t="shared" si="109"/>
        <v>0</v>
      </c>
      <c r="KQ14" s="539"/>
      <c r="KR14" s="541" t="str">
        <f t="shared" si="110"/>
        <v>0</v>
      </c>
      <c r="KS14" s="541" t="str">
        <f t="shared" si="111"/>
        <v>0</v>
      </c>
      <c r="KT14" s="541">
        <f t="shared" si="201"/>
        <v>0</v>
      </c>
      <c r="KU14" s="541">
        <f t="shared" si="202"/>
        <v>0</v>
      </c>
      <c r="KV14" s="272">
        <f t="shared" si="199"/>
        <v>452.71370174881997</v>
      </c>
    </row>
    <row r="15" spans="1:308" ht="15" customHeight="1">
      <c r="A15" s="274">
        <f t="shared" si="200"/>
        <v>46119</v>
      </c>
      <c r="B15" s="275" t="str">
        <f>+Report1!B15</f>
        <v>Facial</v>
      </c>
      <c r="C15" s="417" t="str">
        <f>+Report1!C15</f>
        <v>13,5/12,5</v>
      </c>
      <c r="D15" s="276">
        <f>+Report1!P15</f>
        <v>61.576999999999998</v>
      </c>
      <c r="E15" s="277">
        <f>+Report1!R15</f>
        <v>60.41</v>
      </c>
      <c r="F15" s="539"/>
      <c r="G15" s="540">
        <f t="shared" si="0"/>
        <v>0</v>
      </c>
      <c r="H15" s="541">
        <f t="shared" si="112"/>
        <v>0</v>
      </c>
      <c r="I15" s="539">
        <v>244.18604651162786</v>
      </c>
      <c r="J15" s="540">
        <f t="shared" si="1"/>
        <v>4.0421461101080594</v>
      </c>
      <c r="K15" s="541">
        <f t="shared" si="113"/>
        <v>0</v>
      </c>
      <c r="L15" s="539"/>
      <c r="M15" s="540">
        <f t="shared" si="2"/>
        <v>0</v>
      </c>
      <c r="N15" s="541">
        <f t="shared" si="114"/>
        <v>0</v>
      </c>
      <c r="O15" s="539">
        <v>9</v>
      </c>
      <c r="P15" s="540">
        <f t="shared" si="3"/>
        <v>0.14898195662969707</v>
      </c>
      <c r="Q15" s="541">
        <f t="shared" si="115"/>
        <v>0</v>
      </c>
      <c r="R15" s="539"/>
      <c r="S15" s="540">
        <f t="shared" si="4"/>
        <v>0</v>
      </c>
      <c r="T15" s="541">
        <f t="shared" si="116"/>
        <v>0</v>
      </c>
      <c r="U15" s="539">
        <v>12.8125</v>
      </c>
      <c r="V15" s="540">
        <f t="shared" si="5"/>
        <v>0.21209236881311042</v>
      </c>
      <c r="W15" s="541">
        <f t="shared" si="117"/>
        <v>0</v>
      </c>
      <c r="X15" s="539"/>
      <c r="Y15" s="540">
        <f t="shared" si="6"/>
        <v>0</v>
      </c>
      <c r="Z15" s="541">
        <f t="shared" si="118"/>
        <v>0</v>
      </c>
      <c r="AA15" s="539"/>
      <c r="AB15" s="540">
        <f t="shared" si="7"/>
        <v>0</v>
      </c>
      <c r="AC15" s="541">
        <f t="shared" si="119"/>
        <v>0</v>
      </c>
      <c r="AD15" s="539"/>
      <c r="AE15" s="540">
        <f t="shared" si="8"/>
        <v>0</v>
      </c>
      <c r="AF15" s="541">
        <f t="shared" si="120"/>
        <v>0</v>
      </c>
      <c r="AG15" s="539"/>
      <c r="AH15" s="540">
        <f t="shared" si="9"/>
        <v>0</v>
      </c>
      <c r="AI15" s="541">
        <f t="shared" si="121"/>
        <v>0</v>
      </c>
      <c r="AJ15" s="539"/>
      <c r="AK15" s="540">
        <f t="shared" si="10"/>
        <v>0</v>
      </c>
      <c r="AL15" s="541">
        <f t="shared" si="122"/>
        <v>0</v>
      </c>
      <c r="AM15" s="539">
        <v>0</v>
      </c>
      <c r="AN15" s="540">
        <f t="shared" si="11"/>
        <v>0</v>
      </c>
      <c r="AO15" s="541">
        <f t="shared" si="123"/>
        <v>0</v>
      </c>
      <c r="AP15" s="539">
        <v>48.417721518987321</v>
      </c>
      <c r="AQ15" s="540">
        <f t="shared" si="12"/>
        <v>0.80148520971672443</v>
      </c>
      <c r="AR15" s="541">
        <f t="shared" si="124"/>
        <v>0</v>
      </c>
      <c r="AS15" s="539"/>
      <c r="AT15" s="540">
        <f t="shared" si="13"/>
        <v>0</v>
      </c>
      <c r="AU15" s="541">
        <f t="shared" si="125"/>
        <v>0</v>
      </c>
      <c r="AV15" s="539">
        <v>5.5499999999999829</v>
      </c>
      <c r="AW15" s="540">
        <f t="shared" si="14"/>
        <v>9.187220658831291E-2</v>
      </c>
      <c r="AX15" s="541">
        <f t="shared" si="126"/>
        <v>0</v>
      </c>
      <c r="AY15" s="539">
        <v>42</v>
      </c>
      <c r="AZ15" s="540">
        <f t="shared" si="15"/>
        <v>0.69524913093858631</v>
      </c>
      <c r="BA15" s="541">
        <f t="shared" si="127"/>
        <v>0</v>
      </c>
      <c r="BB15" s="539">
        <v>0</v>
      </c>
      <c r="BC15" s="540">
        <f t="shared" si="16"/>
        <v>0</v>
      </c>
      <c r="BD15" s="541">
        <f t="shared" si="128"/>
        <v>0</v>
      </c>
      <c r="BE15" s="539"/>
      <c r="BF15" s="540">
        <f t="shared" si="17"/>
        <v>0</v>
      </c>
      <c r="BG15" s="541">
        <f t="shared" si="129"/>
        <v>0</v>
      </c>
      <c r="BH15" s="539"/>
      <c r="BI15" s="540">
        <f t="shared" si="18"/>
        <v>0</v>
      </c>
      <c r="BJ15" s="541">
        <f t="shared" si="130"/>
        <v>0</v>
      </c>
      <c r="BK15" s="539"/>
      <c r="BL15" s="540">
        <f t="shared" si="19"/>
        <v>0</v>
      </c>
      <c r="BM15" s="541">
        <f t="shared" si="131"/>
        <v>0</v>
      </c>
      <c r="BN15" s="539">
        <v>12.654320987654316</v>
      </c>
      <c r="BO15" s="540">
        <f t="shared" si="20"/>
        <v>0.20947394450677564</v>
      </c>
      <c r="BP15" s="541">
        <f t="shared" si="132"/>
        <v>0</v>
      </c>
      <c r="BQ15" s="539">
        <v>17.94685333333328</v>
      </c>
      <c r="BR15" s="540">
        <f t="shared" si="21"/>
        <v>0.29708414721624371</v>
      </c>
      <c r="BS15" s="541">
        <f t="shared" si="133"/>
        <v>0</v>
      </c>
      <c r="BT15" s="539"/>
      <c r="BU15" s="540">
        <f t="shared" si="22"/>
        <v>0</v>
      </c>
      <c r="BV15" s="541">
        <f t="shared" si="134"/>
        <v>0</v>
      </c>
      <c r="BW15" s="539">
        <v>0</v>
      </c>
      <c r="BX15" s="540">
        <f t="shared" si="23"/>
        <v>0</v>
      </c>
      <c r="BY15" s="541">
        <f t="shared" si="135"/>
        <v>0</v>
      </c>
      <c r="BZ15" s="539"/>
      <c r="CA15" s="540">
        <f t="shared" si="24"/>
        <v>0</v>
      </c>
      <c r="CB15" s="541">
        <f t="shared" si="136"/>
        <v>0</v>
      </c>
      <c r="CC15" s="539">
        <v>0</v>
      </c>
      <c r="CD15" s="540">
        <f t="shared" si="25"/>
        <v>0</v>
      </c>
      <c r="CE15" s="541">
        <f t="shared" si="137"/>
        <v>0</v>
      </c>
      <c r="CF15" s="539">
        <v>9.9999999999999645E-2</v>
      </c>
      <c r="CG15" s="540">
        <f t="shared" si="26"/>
        <v>1.6553550736632949E-3</v>
      </c>
      <c r="CH15" s="541">
        <f t="shared" si="138"/>
        <v>0</v>
      </c>
      <c r="CI15" s="539"/>
      <c r="CJ15" s="540">
        <f t="shared" si="27"/>
        <v>0</v>
      </c>
      <c r="CK15" s="541">
        <f t="shared" si="139"/>
        <v>0</v>
      </c>
      <c r="CL15" s="539"/>
      <c r="CM15" s="540">
        <f t="shared" si="28"/>
        <v>0</v>
      </c>
      <c r="CN15" s="541">
        <f t="shared" si="140"/>
        <v>0</v>
      </c>
      <c r="CO15" s="539"/>
      <c r="CP15" s="540">
        <f t="shared" si="29"/>
        <v>0</v>
      </c>
      <c r="CQ15" s="541">
        <f t="shared" si="141"/>
        <v>0</v>
      </c>
      <c r="CR15" s="539"/>
      <c r="CS15" s="540">
        <f t="shared" si="30"/>
        <v>0</v>
      </c>
      <c r="CT15" s="541">
        <f t="shared" si="142"/>
        <v>0</v>
      </c>
      <c r="CU15" s="539"/>
      <c r="CV15" s="540">
        <f t="shared" si="31"/>
        <v>0</v>
      </c>
      <c r="CW15" s="541">
        <f t="shared" si="143"/>
        <v>0</v>
      </c>
      <c r="CX15" s="539"/>
      <c r="CY15" s="540">
        <f t="shared" si="32"/>
        <v>0</v>
      </c>
      <c r="CZ15" s="541">
        <f t="shared" si="144"/>
        <v>0</v>
      </c>
      <c r="DA15" s="539">
        <v>0</v>
      </c>
      <c r="DB15" s="540">
        <f t="shared" si="33"/>
        <v>0</v>
      </c>
      <c r="DC15" s="541">
        <f t="shared" si="145"/>
        <v>0</v>
      </c>
      <c r="DD15" s="539"/>
      <c r="DE15" s="540">
        <f t="shared" si="34"/>
        <v>0</v>
      </c>
      <c r="DF15" s="541">
        <f t="shared" si="146"/>
        <v>0</v>
      </c>
      <c r="DG15" s="539">
        <v>0</v>
      </c>
      <c r="DH15" s="540">
        <f t="shared" si="35"/>
        <v>0</v>
      </c>
      <c r="DI15" s="541">
        <f t="shared" si="203"/>
        <v>0</v>
      </c>
      <c r="DJ15" s="539"/>
      <c r="DK15" s="540">
        <f t="shared" si="36"/>
        <v>0</v>
      </c>
      <c r="DL15" s="541">
        <f t="shared" si="147"/>
        <v>0</v>
      </c>
      <c r="DM15" s="539"/>
      <c r="DN15" s="540">
        <f t="shared" si="37"/>
        <v>0</v>
      </c>
      <c r="DO15" s="541">
        <f t="shared" si="148"/>
        <v>0</v>
      </c>
      <c r="DP15" s="539"/>
      <c r="DQ15" s="540">
        <f t="shared" si="38"/>
        <v>0</v>
      </c>
      <c r="DR15" s="541">
        <f t="shared" si="149"/>
        <v>0</v>
      </c>
      <c r="DS15" s="539"/>
      <c r="DT15" s="540">
        <f t="shared" si="39"/>
        <v>0</v>
      </c>
      <c r="DU15" s="541">
        <f t="shared" si="150"/>
        <v>0</v>
      </c>
      <c r="DV15" s="539"/>
      <c r="DW15" s="540">
        <f t="shared" si="40"/>
        <v>0</v>
      </c>
      <c r="DX15" s="541">
        <f t="shared" si="151"/>
        <v>0</v>
      </c>
      <c r="DY15" s="539"/>
      <c r="DZ15" s="540">
        <f t="shared" si="41"/>
        <v>0</v>
      </c>
      <c r="EA15" s="541">
        <f t="shared" si="152"/>
        <v>0</v>
      </c>
      <c r="EB15" s="539">
        <v>14.534883720930225</v>
      </c>
      <c r="EC15" s="540">
        <f t="shared" si="42"/>
        <v>0.24060393512547965</v>
      </c>
      <c r="ED15" s="541">
        <f t="shared" si="153"/>
        <v>0</v>
      </c>
      <c r="EE15" s="539">
        <v>2</v>
      </c>
      <c r="EF15" s="540">
        <f t="shared" si="43"/>
        <v>3.3107101473266017E-2</v>
      </c>
      <c r="EG15" s="541">
        <f t="shared" si="154"/>
        <v>0</v>
      </c>
      <c r="EH15" s="539"/>
      <c r="EI15" s="540">
        <f t="shared" si="44"/>
        <v>0</v>
      </c>
      <c r="EJ15" s="541">
        <f t="shared" si="155"/>
        <v>0</v>
      </c>
      <c r="EK15" s="539"/>
      <c r="EL15" s="540">
        <f t="shared" si="45"/>
        <v>0</v>
      </c>
      <c r="EM15" s="541">
        <f t="shared" si="156"/>
        <v>0</v>
      </c>
      <c r="EN15" s="539"/>
      <c r="EO15" s="540">
        <f t="shared" si="46"/>
        <v>0</v>
      </c>
      <c r="EP15" s="541">
        <f t="shared" si="157"/>
        <v>0</v>
      </c>
      <c r="EQ15" s="539"/>
      <c r="ER15" s="540">
        <f t="shared" si="47"/>
        <v>0</v>
      </c>
      <c r="ES15" s="541">
        <f t="shared" si="158"/>
        <v>0</v>
      </c>
      <c r="ET15" s="539"/>
      <c r="EU15" s="540">
        <f t="shared" si="48"/>
        <v>0</v>
      </c>
      <c r="EV15" s="541">
        <f t="shared" si="159"/>
        <v>0</v>
      </c>
      <c r="EW15" s="539"/>
      <c r="EX15" s="540">
        <f t="shared" si="49"/>
        <v>0</v>
      </c>
      <c r="EY15" s="541">
        <f t="shared" si="160"/>
        <v>0</v>
      </c>
      <c r="EZ15" s="539"/>
      <c r="FA15" s="540">
        <f t="shared" si="50"/>
        <v>0</v>
      </c>
      <c r="FB15" s="541">
        <f t="shared" si="161"/>
        <v>0</v>
      </c>
      <c r="FC15" s="539"/>
      <c r="FD15" s="540">
        <f t="shared" si="51"/>
        <v>0</v>
      </c>
      <c r="FE15" s="541">
        <f t="shared" si="162"/>
        <v>0</v>
      </c>
      <c r="FF15" s="539"/>
      <c r="FG15" s="540">
        <f t="shared" si="52"/>
        <v>0</v>
      </c>
      <c r="FH15" s="541">
        <f t="shared" si="163"/>
        <v>0</v>
      </c>
      <c r="FI15" s="539"/>
      <c r="FJ15" s="540">
        <f t="shared" si="53"/>
        <v>0</v>
      </c>
      <c r="FK15" s="541">
        <f t="shared" si="164"/>
        <v>0</v>
      </c>
      <c r="FL15" s="539"/>
      <c r="FM15" s="540">
        <f t="shared" si="54"/>
        <v>0</v>
      </c>
      <c r="FN15" s="541">
        <f t="shared" si="165"/>
        <v>0</v>
      </c>
      <c r="FO15" s="539"/>
      <c r="FP15" s="540">
        <f t="shared" si="55"/>
        <v>0</v>
      </c>
      <c r="FQ15" s="541">
        <f t="shared" si="166"/>
        <v>0</v>
      </c>
      <c r="FR15" s="539"/>
      <c r="FS15" s="540">
        <f t="shared" si="56"/>
        <v>0</v>
      </c>
      <c r="FT15" s="541">
        <f t="shared" si="167"/>
        <v>0</v>
      </c>
      <c r="FU15" s="539"/>
      <c r="FV15" s="540">
        <f t="shared" si="57"/>
        <v>0</v>
      </c>
      <c r="FW15" s="541">
        <f t="shared" si="168"/>
        <v>0</v>
      </c>
      <c r="FX15" s="539"/>
      <c r="FY15" s="540">
        <f t="shared" si="58"/>
        <v>0</v>
      </c>
      <c r="FZ15" s="541">
        <f t="shared" si="169"/>
        <v>0</v>
      </c>
      <c r="GA15" s="539"/>
      <c r="GB15" s="540">
        <f t="shared" si="59"/>
        <v>0</v>
      </c>
      <c r="GC15" s="541">
        <f t="shared" si="170"/>
        <v>0</v>
      </c>
      <c r="GD15" s="539"/>
      <c r="GE15" s="540">
        <f t="shared" si="60"/>
        <v>0</v>
      </c>
      <c r="GF15" s="541">
        <f t="shared" si="171"/>
        <v>0</v>
      </c>
      <c r="GG15" s="539"/>
      <c r="GH15" s="540">
        <f t="shared" si="61"/>
        <v>0</v>
      </c>
      <c r="GI15" s="541">
        <f t="shared" si="172"/>
        <v>0</v>
      </c>
      <c r="GJ15" s="539"/>
      <c r="GK15" s="540">
        <f t="shared" si="62"/>
        <v>0</v>
      </c>
      <c r="GL15" s="541">
        <f t="shared" si="173"/>
        <v>0</v>
      </c>
      <c r="GM15" s="539"/>
      <c r="GN15" s="540">
        <f t="shared" si="63"/>
        <v>0</v>
      </c>
      <c r="GO15" s="541">
        <f t="shared" si="174"/>
        <v>0</v>
      </c>
      <c r="GP15" s="539"/>
      <c r="GQ15" s="540">
        <f t="shared" si="64"/>
        <v>0</v>
      </c>
      <c r="GR15" s="541">
        <f t="shared" si="175"/>
        <v>0</v>
      </c>
      <c r="GS15" s="539"/>
      <c r="GT15" s="540">
        <f t="shared" si="65"/>
        <v>0</v>
      </c>
      <c r="GU15" s="541">
        <f t="shared" si="176"/>
        <v>0</v>
      </c>
      <c r="GV15" s="539"/>
      <c r="GW15" s="540">
        <f t="shared" si="66"/>
        <v>0</v>
      </c>
      <c r="GX15" s="541">
        <f t="shared" si="177"/>
        <v>0</v>
      </c>
      <c r="GY15" s="539"/>
      <c r="GZ15" s="540">
        <f t="shared" si="67"/>
        <v>0</v>
      </c>
      <c r="HA15" s="541">
        <f t="shared" si="178"/>
        <v>0</v>
      </c>
      <c r="HB15" s="539"/>
      <c r="HC15" s="540">
        <f t="shared" si="68"/>
        <v>0</v>
      </c>
      <c r="HD15" s="541">
        <f t="shared" si="179"/>
        <v>0</v>
      </c>
      <c r="HE15" s="539"/>
      <c r="HF15" s="540">
        <f t="shared" si="69"/>
        <v>0</v>
      </c>
      <c r="HG15" s="541">
        <f t="shared" si="180"/>
        <v>0</v>
      </c>
      <c r="HH15" s="539"/>
      <c r="HI15" s="540">
        <f t="shared" si="70"/>
        <v>0</v>
      </c>
      <c r="HJ15" s="541">
        <f t="shared" si="181"/>
        <v>0</v>
      </c>
      <c r="HK15" s="539"/>
      <c r="HL15" s="540">
        <f t="shared" si="71"/>
        <v>0</v>
      </c>
      <c r="HM15" s="541">
        <f t="shared" si="182"/>
        <v>0</v>
      </c>
      <c r="HN15" s="539"/>
      <c r="HO15" s="540">
        <f t="shared" si="72"/>
        <v>0</v>
      </c>
      <c r="HP15" s="541">
        <f t="shared" si="183"/>
        <v>0</v>
      </c>
      <c r="HQ15" s="539"/>
      <c r="HR15" s="540">
        <f t="shared" si="73"/>
        <v>0</v>
      </c>
      <c r="HS15" s="541">
        <f t="shared" si="184"/>
        <v>0</v>
      </c>
      <c r="HT15" s="539"/>
      <c r="HU15" s="540">
        <f t="shared" si="74"/>
        <v>0</v>
      </c>
      <c r="HV15" s="541">
        <f t="shared" si="185"/>
        <v>0</v>
      </c>
      <c r="HW15" s="539"/>
      <c r="HX15" s="540">
        <f t="shared" si="75"/>
        <v>0</v>
      </c>
      <c r="HY15" s="541">
        <f t="shared" si="186"/>
        <v>0</v>
      </c>
      <c r="HZ15" s="539"/>
      <c r="IA15" s="540">
        <f t="shared" si="76"/>
        <v>0</v>
      </c>
      <c r="IB15" s="541">
        <f t="shared" si="187"/>
        <v>0</v>
      </c>
      <c r="IC15" s="539"/>
      <c r="ID15" s="540">
        <f t="shared" si="77"/>
        <v>0</v>
      </c>
      <c r="IE15" s="541">
        <f t="shared" si="188"/>
        <v>0</v>
      </c>
      <c r="IF15" s="539"/>
      <c r="IG15" s="540">
        <f t="shared" si="78"/>
        <v>0</v>
      </c>
      <c r="IH15" s="541">
        <f t="shared" si="189"/>
        <v>0</v>
      </c>
      <c r="II15" s="539"/>
      <c r="IJ15" s="540">
        <f t="shared" si="79"/>
        <v>0</v>
      </c>
      <c r="IK15" s="541">
        <f t="shared" si="190"/>
        <v>0</v>
      </c>
      <c r="IL15" s="539"/>
      <c r="IM15" s="540">
        <f t="shared" si="80"/>
        <v>0</v>
      </c>
      <c r="IN15" s="541">
        <f t="shared" si="191"/>
        <v>0</v>
      </c>
      <c r="IO15" s="539"/>
      <c r="IP15" s="540">
        <f t="shared" si="81"/>
        <v>0</v>
      </c>
      <c r="IQ15" s="541">
        <f t="shared" si="192"/>
        <v>0</v>
      </c>
      <c r="IR15" s="539"/>
      <c r="IS15" s="540">
        <f t="shared" si="82"/>
        <v>0</v>
      </c>
      <c r="IT15" s="541">
        <f t="shared" si="193"/>
        <v>0</v>
      </c>
      <c r="IU15" s="539"/>
      <c r="IV15" s="540">
        <f t="shared" si="83"/>
        <v>0</v>
      </c>
      <c r="IW15" s="541">
        <f t="shared" si="194"/>
        <v>0</v>
      </c>
      <c r="IX15" s="539"/>
      <c r="IY15" s="540">
        <f t="shared" si="84"/>
        <v>0</v>
      </c>
      <c r="IZ15" s="541">
        <f t="shared" si="195"/>
        <v>0</v>
      </c>
      <c r="JA15" s="539"/>
      <c r="JB15" s="540">
        <f t="shared" si="85"/>
        <v>0</v>
      </c>
      <c r="JC15" s="541">
        <f t="shared" si="196"/>
        <v>0</v>
      </c>
      <c r="JD15" s="539"/>
      <c r="JE15" s="540">
        <f t="shared" si="86"/>
        <v>0</v>
      </c>
      <c r="JF15" s="541">
        <f t="shared" si="197"/>
        <v>0</v>
      </c>
      <c r="JG15" s="539"/>
      <c r="JH15" s="540">
        <f t="shared" si="87"/>
        <v>0</v>
      </c>
      <c r="JI15" s="541">
        <f t="shared" si="198"/>
        <v>0</v>
      </c>
      <c r="JJ15" s="539"/>
      <c r="JK15" s="541" t="str">
        <f t="shared" si="88"/>
        <v>0</v>
      </c>
      <c r="JL15" s="541" t="str">
        <f t="shared" si="89"/>
        <v>0</v>
      </c>
      <c r="JM15" s="539"/>
      <c r="JN15" s="541" t="str">
        <f t="shared" si="90"/>
        <v>0</v>
      </c>
      <c r="JO15" s="541" t="str">
        <f t="shared" si="91"/>
        <v>0</v>
      </c>
      <c r="JP15" s="539"/>
      <c r="JQ15" s="541" t="str">
        <f t="shared" si="92"/>
        <v>0</v>
      </c>
      <c r="JR15" s="541" t="str">
        <f t="shared" si="93"/>
        <v>0</v>
      </c>
      <c r="JS15" s="539"/>
      <c r="JT15" s="541" t="str">
        <f t="shared" si="94"/>
        <v>0</v>
      </c>
      <c r="JU15" s="541" t="str">
        <f t="shared" si="95"/>
        <v>0</v>
      </c>
      <c r="JV15" s="539"/>
      <c r="JW15" s="541" t="str">
        <f t="shared" si="96"/>
        <v>0</v>
      </c>
      <c r="JX15" s="541" t="str">
        <f t="shared" si="97"/>
        <v>0</v>
      </c>
      <c r="JY15" s="539"/>
      <c r="JZ15" s="541" t="str">
        <f t="shared" si="98"/>
        <v>0</v>
      </c>
      <c r="KA15" s="541" t="str">
        <f t="shared" si="99"/>
        <v>0</v>
      </c>
      <c r="KB15" s="539"/>
      <c r="KC15" s="541" t="str">
        <f t="shared" si="100"/>
        <v>0</v>
      </c>
      <c r="KD15" s="541" t="str">
        <f t="shared" si="101"/>
        <v>0</v>
      </c>
      <c r="KE15" s="539"/>
      <c r="KF15" s="541" t="str">
        <f t="shared" si="102"/>
        <v>0</v>
      </c>
      <c r="KG15" s="541" t="str">
        <f t="shared" si="103"/>
        <v>0</v>
      </c>
      <c r="KH15" s="539"/>
      <c r="KI15" s="541" t="str">
        <f t="shared" si="104"/>
        <v>0</v>
      </c>
      <c r="KJ15" s="541" t="str">
        <f t="shared" si="105"/>
        <v>0</v>
      </c>
      <c r="KK15" s="539"/>
      <c r="KL15" s="541" t="str">
        <f t="shared" si="106"/>
        <v>0</v>
      </c>
      <c r="KM15" s="541" t="str">
        <f t="shared" si="107"/>
        <v>0</v>
      </c>
      <c r="KN15" s="539"/>
      <c r="KO15" s="541" t="str">
        <f t="shared" si="108"/>
        <v>0</v>
      </c>
      <c r="KP15" s="541" t="str">
        <f t="shared" si="109"/>
        <v>0</v>
      </c>
      <c r="KQ15" s="539"/>
      <c r="KR15" s="541" t="str">
        <f t="shared" si="110"/>
        <v>0</v>
      </c>
      <c r="KS15" s="541" t="str">
        <f t="shared" si="111"/>
        <v>0</v>
      </c>
      <c r="KT15" s="541">
        <f t="shared" si="201"/>
        <v>0</v>
      </c>
      <c r="KU15" s="541">
        <f t="shared" si="202"/>
        <v>0</v>
      </c>
      <c r="KV15" s="272">
        <f t="shared" si="199"/>
        <v>409.20232607253308</v>
      </c>
    </row>
    <row r="16" spans="1:308" ht="15" customHeight="1">
      <c r="A16" s="274">
        <f t="shared" si="200"/>
        <v>46120</v>
      </c>
      <c r="B16" s="275" t="str">
        <f>+Report1!B16</f>
        <v>Facial</v>
      </c>
      <c r="C16" s="417" t="str">
        <f>+Report1!C16</f>
        <v>12,5/13</v>
      </c>
      <c r="D16" s="276">
        <f>+Report1!P16</f>
        <v>62.326000000000008</v>
      </c>
      <c r="E16" s="277">
        <f>+Report1!R16</f>
        <v>59.228999999999999</v>
      </c>
      <c r="F16" s="539"/>
      <c r="G16" s="540">
        <f t="shared" si="0"/>
        <v>0</v>
      </c>
      <c r="H16" s="541">
        <f t="shared" si="112"/>
        <v>0</v>
      </c>
      <c r="I16" s="539">
        <v>313.95348837209303</v>
      </c>
      <c r="J16" s="540">
        <f t="shared" si="1"/>
        <v>5.3006717718025467</v>
      </c>
      <c r="K16" s="541">
        <f t="shared" si="113"/>
        <v>0</v>
      </c>
      <c r="L16" s="539"/>
      <c r="M16" s="540">
        <f t="shared" si="2"/>
        <v>0</v>
      </c>
      <c r="N16" s="541">
        <f t="shared" si="114"/>
        <v>0</v>
      </c>
      <c r="O16" s="539">
        <v>8.9999999999999858</v>
      </c>
      <c r="P16" s="540">
        <f t="shared" si="3"/>
        <v>0.15195259079167275</v>
      </c>
      <c r="Q16" s="541">
        <f t="shared" si="115"/>
        <v>0</v>
      </c>
      <c r="R16" s="539"/>
      <c r="S16" s="540">
        <f t="shared" si="4"/>
        <v>0</v>
      </c>
      <c r="T16" s="541">
        <f t="shared" si="116"/>
        <v>0</v>
      </c>
      <c r="U16" s="539">
        <v>10.249999999999986</v>
      </c>
      <c r="V16" s="540">
        <f t="shared" si="5"/>
        <v>0.17305711729051623</v>
      </c>
      <c r="W16" s="541">
        <f t="shared" si="117"/>
        <v>0</v>
      </c>
      <c r="X16" s="539"/>
      <c r="Y16" s="540">
        <f t="shared" si="6"/>
        <v>0</v>
      </c>
      <c r="Z16" s="541">
        <f t="shared" si="118"/>
        <v>0</v>
      </c>
      <c r="AA16" s="539"/>
      <c r="AB16" s="540">
        <f t="shared" si="7"/>
        <v>0</v>
      </c>
      <c r="AC16" s="541">
        <f t="shared" si="119"/>
        <v>0</v>
      </c>
      <c r="AD16" s="539"/>
      <c r="AE16" s="540">
        <f t="shared" si="8"/>
        <v>0</v>
      </c>
      <c r="AF16" s="541">
        <f t="shared" si="120"/>
        <v>0</v>
      </c>
      <c r="AG16" s="539"/>
      <c r="AH16" s="540">
        <f t="shared" si="9"/>
        <v>0</v>
      </c>
      <c r="AI16" s="541">
        <f t="shared" si="121"/>
        <v>0</v>
      </c>
      <c r="AJ16" s="539"/>
      <c r="AK16" s="540">
        <f t="shared" si="10"/>
        <v>0</v>
      </c>
      <c r="AL16" s="541">
        <f t="shared" si="122"/>
        <v>0</v>
      </c>
      <c r="AM16" s="539">
        <v>0</v>
      </c>
      <c r="AN16" s="540">
        <f t="shared" si="11"/>
        <v>0</v>
      </c>
      <c r="AO16" s="541">
        <f t="shared" si="123"/>
        <v>0</v>
      </c>
      <c r="AP16" s="539">
        <v>74.050632911392427</v>
      </c>
      <c r="AQ16" s="540">
        <f t="shared" si="12"/>
        <v>1.2502428356276896</v>
      </c>
      <c r="AR16" s="541">
        <f t="shared" si="124"/>
        <v>0</v>
      </c>
      <c r="AS16" s="539"/>
      <c r="AT16" s="540">
        <f t="shared" si="13"/>
        <v>0</v>
      </c>
      <c r="AU16" s="541">
        <f t="shared" si="125"/>
        <v>0</v>
      </c>
      <c r="AV16" s="539">
        <v>5.5500000000000114</v>
      </c>
      <c r="AW16" s="540">
        <f t="shared" si="14"/>
        <v>9.3704097654865204E-2</v>
      </c>
      <c r="AX16" s="541">
        <f t="shared" si="126"/>
        <v>0</v>
      </c>
      <c r="AY16" s="539">
        <v>35</v>
      </c>
      <c r="AZ16" s="540">
        <f t="shared" si="15"/>
        <v>0.59092674196761719</v>
      </c>
      <c r="BA16" s="541">
        <f t="shared" si="127"/>
        <v>0</v>
      </c>
      <c r="BB16" s="539">
        <v>0</v>
      </c>
      <c r="BC16" s="540">
        <f t="shared" si="16"/>
        <v>0</v>
      </c>
      <c r="BD16" s="541">
        <f t="shared" si="128"/>
        <v>0</v>
      </c>
      <c r="BE16" s="539"/>
      <c r="BF16" s="540">
        <f t="shared" si="17"/>
        <v>0</v>
      </c>
      <c r="BG16" s="541">
        <f t="shared" si="129"/>
        <v>0</v>
      </c>
      <c r="BH16" s="539"/>
      <c r="BI16" s="540">
        <f t="shared" si="18"/>
        <v>0</v>
      </c>
      <c r="BJ16" s="541">
        <f t="shared" si="130"/>
        <v>0</v>
      </c>
      <c r="BK16" s="539"/>
      <c r="BL16" s="540">
        <f t="shared" si="19"/>
        <v>0</v>
      </c>
      <c r="BM16" s="541">
        <f t="shared" si="131"/>
        <v>0</v>
      </c>
      <c r="BN16" s="539">
        <v>7.592592592592581</v>
      </c>
      <c r="BO16" s="540">
        <f t="shared" si="20"/>
        <v>0.12819045725223424</v>
      </c>
      <c r="BP16" s="541">
        <f t="shared" si="132"/>
        <v>0</v>
      </c>
      <c r="BQ16" s="539">
        <v>0</v>
      </c>
      <c r="BR16" s="540">
        <f t="shared" si="21"/>
        <v>0</v>
      </c>
      <c r="BS16" s="541">
        <f t="shared" si="133"/>
        <v>0</v>
      </c>
      <c r="BT16" s="539"/>
      <c r="BU16" s="540">
        <f t="shared" si="22"/>
        <v>0</v>
      </c>
      <c r="BV16" s="541">
        <f t="shared" si="134"/>
        <v>0</v>
      </c>
      <c r="BW16" s="539">
        <v>0</v>
      </c>
      <c r="BX16" s="540">
        <f t="shared" si="23"/>
        <v>0</v>
      </c>
      <c r="BY16" s="541">
        <f t="shared" si="135"/>
        <v>0</v>
      </c>
      <c r="BZ16" s="539"/>
      <c r="CA16" s="540">
        <f t="shared" si="24"/>
        <v>0</v>
      </c>
      <c r="CB16" s="541">
        <f t="shared" si="136"/>
        <v>0</v>
      </c>
      <c r="CC16" s="539">
        <v>0</v>
      </c>
      <c r="CD16" s="540">
        <f t="shared" si="25"/>
        <v>0</v>
      </c>
      <c r="CE16" s="541">
        <f t="shared" si="137"/>
        <v>0</v>
      </c>
      <c r="CF16" s="539">
        <v>9.9999999999999645E-2</v>
      </c>
      <c r="CG16" s="540">
        <f t="shared" si="26"/>
        <v>1.6883621199074719E-3</v>
      </c>
      <c r="CH16" s="541">
        <f t="shared" si="138"/>
        <v>0</v>
      </c>
      <c r="CI16" s="539"/>
      <c r="CJ16" s="540">
        <f t="shared" si="27"/>
        <v>0</v>
      </c>
      <c r="CK16" s="541">
        <f t="shared" si="139"/>
        <v>0</v>
      </c>
      <c r="CL16" s="539"/>
      <c r="CM16" s="540">
        <f t="shared" si="28"/>
        <v>0</v>
      </c>
      <c r="CN16" s="541">
        <f t="shared" si="140"/>
        <v>0</v>
      </c>
      <c r="CO16" s="539"/>
      <c r="CP16" s="540">
        <f t="shared" si="29"/>
        <v>0</v>
      </c>
      <c r="CQ16" s="541">
        <f t="shared" si="141"/>
        <v>0</v>
      </c>
      <c r="CR16" s="539"/>
      <c r="CS16" s="540">
        <f t="shared" si="30"/>
        <v>0</v>
      </c>
      <c r="CT16" s="541">
        <f t="shared" si="142"/>
        <v>0</v>
      </c>
      <c r="CU16" s="539"/>
      <c r="CV16" s="540">
        <f t="shared" si="31"/>
        <v>0</v>
      </c>
      <c r="CW16" s="541">
        <f t="shared" si="143"/>
        <v>0</v>
      </c>
      <c r="CX16" s="539"/>
      <c r="CY16" s="540">
        <f t="shared" si="32"/>
        <v>0</v>
      </c>
      <c r="CZ16" s="541">
        <f t="shared" si="144"/>
        <v>0</v>
      </c>
      <c r="DA16" s="539">
        <v>0</v>
      </c>
      <c r="DB16" s="540">
        <f t="shared" si="33"/>
        <v>0</v>
      </c>
      <c r="DC16" s="541">
        <f t="shared" si="145"/>
        <v>0</v>
      </c>
      <c r="DD16" s="539"/>
      <c r="DE16" s="540">
        <f t="shared" si="34"/>
        <v>0</v>
      </c>
      <c r="DF16" s="541">
        <f t="shared" si="146"/>
        <v>0</v>
      </c>
      <c r="DG16" s="539">
        <v>0</v>
      </c>
      <c r="DH16" s="540">
        <f t="shared" si="35"/>
        <v>0</v>
      </c>
      <c r="DI16" s="541">
        <f t="shared" si="203"/>
        <v>0</v>
      </c>
      <c r="DJ16" s="539"/>
      <c r="DK16" s="540">
        <f t="shared" si="36"/>
        <v>0</v>
      </c>
      <c r="DL16" s="541">
        <f t="shared" si="147"/>
        <v>0</v>
      </c>
      <c r="DM16" s="539"/>
      <c r="DN16" s="540">
        <f t="shared" si="37"/>
        <v>0</v>
      </c>
      <c r="DO16" s="541">
        <f t="shared" si="148"/>
        <v>0</v>
      </c>
      <c r="DP16" s="539"/>
      <c r="DQ16" s="540">
        <f t="shared" si="38"/>
        <v>0</v>
      </c>
      <c r="DR16" s="541">
        <f t="shared" si="149"/>
        <v>0</v>
      </c>
      <c r="DS16" s="539"/>
      <c r="DT16" s="540">
        <f t="shared" si="39"/>
        <v>0</v>
      </c>
      <c r="DU16" s="541">
        <f t="shared" si="150"/>
        <v>0</v>
      </c>
      <c r="DV16" s="539"/>
      <c r="DW16" s="540">
        <f t="shared" si="40"/>
        <v>0</v>
      </c>
      <c r="DX16" s="541">
        <f t="shared" si="151"/>
        <v>0</v>
      </c>
      <c r="DY16" s="539"/>
      <c r="DZ16" s="540">
        <f t="shared" si="41"/>
        <v>0</v>
      </c>
      <c r="EA16" s="541">
        <f t="shared" si="152"/>
        <v>0</v>
      </c>
      <c r="EB16" s="539">
        <v>14.534883720930225</v>
      </c>
      <c r="EC16" s="540">
        <f t="shared" si="42"/>
        <v>0.24540147091678444</v>
      </c>
      <c r="ED16" s="541">
        <f t="shared" si="153"/>
        <v>0</v>
      </c>
      <c r="EE16" s="539">
        <v>1</v>
      </c>
      <c r="EF16" s="540">
        <f t="shared" si="43"/>
        <v>1.6883621199074779E-2</v>
      </c>
      <c r="EG16" s="541">
        <f t="shared" si="154"/>
        <v>0</v>
      </c>
      <c r="EH16" s="539"/>
      <c r="EI16" s="540">
        <f t="shared" si="44"/>
        <v>0</v>
      </c>
      <c r="EJ16" s="541">
        <f t="shared" si="155"/>
        <v>0</v>
      </c>
      <c r="EK16" s="539"/>
      <c r="EL16" s="540">
        <f t="shared" si="45"/>
        <v>0</v>
      </c>
      <c r="EM16" s="541">
        <f t="shared" si="156"/>
        <v>0</v>
      </c>
      <c r="EN16" s="539"/>
      <c r="EO16" s="540">
        <f t="shared" si="46"/>
        <v>0</v>
      </c>
      <c r="EP16" s="541">
        <f t="shared" si="157"/>
        <v>0</v>
      </c>
      <c r="EQ16" s="539"/>
      <c r="ER16" s="540">
        <f t="shared" si="47"/>
        <v>0</v>
      </c>
      <c r="ES16" s="541">
        <f t="shared" si="158"/>
        <v>0</v>
      </c>
      <c r="ET16" s="539"/>
      <c r="EU16" s="540">
        <f t="shared" si="48"/>
        <v>0</v>
      </c>
      <c r="EV16" s="541">
        <f t="shared" si="159"/>
        <v>0</v>
      </c>
      <c r="EW16" s="539"/>
      <c r="EX16" s="540">
        <f t="shared" si="49"/>
        <v>0</v>
      </c>
      <c r="EY16" s="541">
        <f t="shared" si="160"/>
        <v>0</v>
      </c>
      <c r="EZ16" s="539"/>
      <c r="FA16" s="540">
        <f t="shared" si="50"/>
        <v>0</v>
      </c>
      <c r="FB16" s="541">
        <f t="shared" si="161"/>
        <v>0</v>
      </c>
      <c r="FC16" s="539"/>
      <c r="FD16" s="540">
        <f t="shared" si="51"/>
        <v>0</v>
      </c>
      <c r="FE16" s="541">
        <f t="shared" si="162"/>
        <v>0</v>
      </c>
      <c r="FF16" s="539"/>
      <c r="FG16" s="540">
        <f t="shared" si="52"/>
        <v>0</v>
      </c>
      <c r="FH16" s="541">
        <f t="shared" si="163"/>
        <v>0</v>
      </c>
      <c r="FI16" s="539"/>
      <c r="FJ16" s="540">
        <f t="shared" si="53"/>
        <v>0</v>
      </c>
      <c r="FK16" s="541">
        <f t="shared" si="164"/>
        <v>0</v>
      </c>
      <c r="FL16" s="539"/>
      <c r="FM16" s="540">
        <f t="shared" si="54"/>
        <v>0</v>
      </c>
      <c r="FN16" s="541">
        <f t="shared" si="165"/>
        <v>0</v>
      </c>
      <c r="FO16" s="539"/>
      <c r="FP16" s="540">
        <f t="shared" si="55"/>
        <v>0</v>
      </c>
      <c r="FQ16" s="541">
        <f t="shared" si="166"/>
        <v>0</v>
      </c>
      <c r="FR16" s="539"/>
      <c r="FS16" s="540">
        <f t="shared" si="56"/>
        <v>0</v>
      </c>
      <c r="FT16" s="541">
        <f t="shared" si="167"/>
        <v>0</v>
      </c>
      <c r="FU16" s="539"/>
      <c r="FV16" s="540">
        <f t="shared" si="57"/>
        <v>0</v>
      </c>
      <c r="FW16" s="541">
        <f t="shared" si="168"/>
        <v>0</v>
      </c>
      <c r="FX16" s="539"/>
      <c r="FY16" s="540">
        <f t="shared" si="58"/>
        <v>0</v>
      </c>
      <c r="FZ16" s="541">
        <f t="shared" si="169"/>
        <v>0</v>
      </c>
      <c r="GA16" s="539"/>
      <c r="GB16" s="540">
        <f t="shared" si="59"/>
        <v>0</v>
      </c>
      <c r="GC16" s="541">
        <f t="shared" si="170"/>
        <v>0</v>
      </c>
      <c r="GD16" s="539"/>
      <c r="GE16" s="540">
        <f t="shared" si="60"/>
        <v>0</v>
      </c>
      <c r="GF16" s="541">
        <f t="shared" si="171"/>
        <v>0</v>
      </c>
      <c r="GG16" s="539"/>
      <c r="GH16" s="540">
        <f t="shared" si="61"/>
        <v>0</v>
      </c>
      <c r="GI16" s="541">
        <f t="shared" si="172"/>
        <v>0</v>
      </c>
      <c r="GJ16" s="539"/>
      <c r="GK16" s="540">
        <f t="shared" si="62"/>
        <v>0</v>
      </c>
      <c r="GL16" s="541">
        <f t="shared" si="173"/>
        <v>0</v>
      </c>
      <c r="GM16" s="539"/>
      <c r="GN16" s="540">
        <f t="shared" si="63"/>
        <v>0</v>
      </c>
      <c r="GO16" s="541">
        <f t="shared" si="174"/>
        <v>0</v>
      </c>
      <c r="GP16" s="539"/>
      <c r="GQ16" s="540">
        <f t="shared" si="64"/>
        <v>0</v>
      </c>
      <c r="GR16" s="541">
        <f t="shared" si="175"/>
        <v>0</v>
      </c>
      <c r="GS16" s="539"/>
      <c r="GT16" s="540">
        <f t="shared" si="65"/>
        <v>0</v>
      </c>
      <c r="GU16" s="541">
        <f t="shared" si="176"/>
        <v>0</v>
      </c>
      <c r="GV16" s="539"/>
      <c r="GW16" s="540">
        <f t="shared" si="66"/>
        <v>0</v>
      </c>
      <c r="GX16" s="541">
        <f t="shared" si="177"/>
        <v>0</v>
      </c>
      <c r="GY16" s="539"/>
      <c r="GZ16" s="540">
        <f t="shared" si="67"/>
        <v>0</v>
      </c>
      <c r="HA16" s="541">
        <f t="shared" si="178"/>
        <v>0</v>
      </c>
      <c r="HB16" s="539"/>
      <c r="HC16" s="540">
        <f t="shared" si="68"/>
        <v>0</v>
      </c>
      <c r="HD16" s="541">
        <f t="shared" si="179"/>
        <v>0</v>
      </c>
      <c r="HE16" s="539"/>
      <c r="HF16" s="540">
        <f t="shared" si="69"/>
        <v>0</v>
      </c>
      <c r="HG16" s="541">
        <f t="shared" si="180"/>
        <v>0</v>
      </c>
      <c r="HH16" s="539"/>
      <c r="HI16" s="540">
        <f t="shared" si="70"/>
        <v>0</v>
      </c>
      <c r="HJ16" s="541">
        <f t="shared" si="181"/>
        <v>0</v>
      </c>
      <c r="HK16" s="539"/>
      <c r="HL16" s="540">
        <f t="shared" si="71"/>
        <v>0</v>
      </c>
      <c r="HM16" s="541">
        <f t="shared" si="182"/>
        <v>0</v>
      </c>
      <c r="HN16" s="539"/>
      <c r="HO16" s="540">
        <f t="shared" si="72"/>
        <v>0</v>
      </c>
      <c r="HP16" s="541">
        <f t="shared" si="183"/>
        <v>0</v>
      </c>
      <c r="HQ16" s="539"/>
      <c r="HR16" s="540">
        <f t="shared" si="73"/>
        <v>0</v>
      </c>
      <c r="HS16" s="541">
        <f t="shared" si="184"/>
        <v>0</v>
      </c>
      <c r="HT16" s="539"/>
      <c r="HU16" s="540">
        <f t="shared" si="74"/>
        <v>0</v>
      </c>
      <c r="HV16" s="541">
        <f t="shared" si="185"/>
        <v>0</v>
      </c>
      <c r="HW16" s="539"/>
      <c r="HX16" s="540">
        <f t="shared" si="75"/>
        <v>0</v>
      </c>
      <c r="HY16" s="541">
        <f t="shared" si="186"/>
        <v>0</v>
      </c>
      <c r="HZ16" s="539"/>
      <c r="IA16" s="540">
        <f t="shared" si="76"/>
        <v>0</v>
      </c>
      <c r="IB16" s="541">
        <f t="shared" si="187"/>
        <v>0</v>
      </c>
      <c r="IC16" s="539"/>
      <c r="ID16" s="540">
        <f t="shared" si="77"/>
        <v>0</v>
      </c>
      <c r="IE16" s="541">
        <f t="shared" si="188"/>
        <v>0</v>
      </c>
      <c r="IF16" s="539"/>
      <c r="IG16" s="540">
        <f t="shared" si="78"/>
        <v>0</v>
      </c>
      <c r="IH16" s="541">
        <f t="shared" si="189"/>
        <v>0</v>
      </c>
      <c r="II16" s="539"/>
      <c r="IJ16" s="540">
        <f t="shared" si="79"/>
        <v>0</v>
      </c>
      <c r="IK16" s="541">
        <f t="shared" si="190"/>
        <v>0</v>
      </c>
      <c r="IL16" s="539"/>
      <c r="IM16" s="540">
        <f t="shared" si="80"/>
        <v>0</v>
      </c>
      <c r="IN16" s="541">
        <f t="shared" si="191"/>
        <v>0</v>
      </c>
      <c r="IO16" s="539"/>
      <c r="IP16" s="540">
        <f t="shared" si="81"/>
        <v>0</v>
      </c>
      <c r="IQ16" s="541">
        <f t="shared" si="192"/>
        <v>0</v>
      </c>
      <c r="IR16" s="539"/>
      <c r="IS16" s="540">
        <f t="shared" si="82"/>
        <v>0</v>
      </c>
      <c r="IT16" s="541">
        <f t="shared" si="193"/>
        <v>0</v>
      </c>
      <c r="IU16" s="539"/>
      <c r="IV16" s="540">
        <f t="shared" si="83"/>
        <v>0</v>
      </c>
      <c r="IW16" s="541">
        <f t="shared" si="194"/>
        <v>0</v>
      </c>
      <c r="IX16" s="539"/>
      <c r="IY16" s="540">
        <f t="shared" si="84"/>
        <v>0</v>
      </c>
      <c r="IZ16" s="541">
        <f t="shared" si="195"/>
        <v>0</v>
      </c>
      <c r="JA16" s="539"/>
      <c r="JB16" s="540">
        <f t="shared" si="85"/>
        <v>0</v>
      </c>
      <c r="JC16" s="541">
        <f t="shared" si="196"/>
        <v>0</v>
      </c>
      <c r="JD16" s="539"/>
      <c r="JE16" s="540">
        <f t="shared" si="86"/>
        <v>0</v>
      </c>
      <c r="JF16" s="541">
        <f t="shared" si="197"/>
        <v>0</v>
      </c>
      <c r="JG16" s="539"/>
      <c r="JH16" s="540">
        <f t="shared" si="87"/>
        <v>0</v>
      </c>
      <c r="JI16" s="541">
        <f t="shared" si="198"/>
        <v>0</v>
      </c>
      <c r="JJ16" s="539"/>
      <c r="JK16" s="541" t="str">
        <f t="shared" si="88"/>
        <v>0</v>
      </c>
      <c r="JL16" s="541" t="str">
        <f t="shared" si="89"/>
        <v>0</v>
      </c>
      <c r="JM16" s="539"/>
      <c r="JN16" s="541" t="str">
        <f t="shared" si="90"/>
        <v>0</v>
      </c>
      <c r="JO16" s="541" t="str">
        <f t="shared" si="91"/>
        <v>0</v>
      </c>
      <c r="JP16" s="539"/>
      <c r="JQ16" s="541" t="str">
        <f t="shared" si="92"/>
        <v>0</v>
      </c>
      <c r="JR16" s="541" t="str">
        <f t="shared" si="93"/>
        <v>0</v>
      </c>
      <c r="JS16" s="539"/>
      <c r="JT16" s="541" t="str">
        <f t="shared" si="94"/>
        <v>0</v>
      </c>
      <c r="JU16" s="541" t="str">
        <f t="shared" si="95"/>
        <v>0</v>
      </c>
      <c r="JV16" s="539"/>
      <c r="JW16" s="541" t="str">
        <f t="shared" si="96"/>
        <v>0</v>
      </c>
      <c r="JX16" s="541" t="str">
        <f t="shared" si="97"/>
        <v>0</v>
      </c>
      <c r="JY16" s="539"/>
      <c r="JZ16" s="541" t="str">
        <f t="shared" si="98"/>
        <v>0</v>
      </c>
      <c r="KA16" s="541" t="str">
        <f t="shared" si="99"/>
        <v>0</v>
      </c>
      <c r="KB16" s="539"/>
      <c r="KC16" s="541" t="str">
        <f t="shared" si="100"/>
        <v>0</v>
      </c>
      <c r="KD16" s="541" t="str">
        <f t="shared" si="101"/>
        <v>0</v>
      </c>
      <c r="KE16" s="539"/>
      <c r="KF16" s="541" t="str">
        <f t="shared" si="102"/>
        <v>0</v>
      </c>
      <c r="KG16" s="541" t="str">
        <f t="shared" si="103"/>
        <v>0</v>
      </c>
      <c r="KH16" s="539"/>
      <c r="KI16" s="541" t="str">
        <f t="shared" si="104"/>
        <v>0</v>
      </c>
      <c r="KJ16" s="541" t="str">
        <f t="shared" si="105"/>
        <v>0</v>
      </c>
      <c r="KK16" s="539"/>
      <c r="KL16" s="541" t="str">
        <f t="shared" si="106"/>
        <v>0</v>
      </c>
      <c r="KM16" s="541" t="str">
        <f t="shared" si="107"/>
        <v>0</v>
      </c>
      <c r="KN16" s="539"/>
      <c r="KO16" s="541" t="str">
        <f t="shared" si="108"/>
        <v>0</v>
      </c>
      <c r="KP16" s="541" t="str">
        <f t="shared" si="109"/>
        <v>0</v>
      </c>
      <c r="KQ16" s="539"/>
      <c r="KR16" s="541" t="str">
        <f t="shared" si="110"/>
        <v>0</v>
      </c>
      <c r="KS16" s="541" t="str">
        <f t="shared" si="111"/>
        <v>0</v>
      </c>
      <c r="KT16" s="541">
        <f t="shared" si="201"/>
        <v>0</v>
      </c>
      <c r="KU16" s="541">
        <f t="shared" si="202"/>
        <v>0</v>
      </c>
      <c r="KV16" s="272">
        <f t="shared" si="199"/>
        <v>471.03159759700827</v>
      </c>
    </row>
    <row r="17" spans="1:309" ht="15" customHeight="1">
      <c r="A17" s="274">
        <f t="shared" si="200"/>
        <v>46121</v>
      </c>
      <c r="B17" s="275" t="str">
        <f>+Report1!B17</f>
        <v>Facial</v>
      </c>
      <c r="C17" s="417" t="str">
        <f>+Report1!C17</f>
        <v>13</v>
      </c>
      <c r="D17" s="276">
        <f>+Report1!P17</f>
        <v>62.637000000000008</v>
      </c>
      <c r="E17" s="277">
        <f>+Report1!R17</f>
        <v>61.509</v>
      </c>
      <c r="F17" s="539"/>
      <c r="G17" s="540">
        <f t="shared" si="0"/>
        <v>0</v>
      </c>
      <c r="H17" s="541">
        <f t="shared" si="112"/>
        <v>0</v>
      </c>
      <c r="I17" s="539">
        <v>348.83720930232562</v>
      </c>
      <c r="J17" s="540">
        <f t="shared" si="1"/>
        <v>5.6713197955148944</v>
      </c>
      <c r="K17" s="541">
        <f t="shared" si="113"/>
        <v>0</v>
      </c>
      <c r="L17" s="539"/>
      <c r="M17" s="540">
        <f t="shared" si="2"/>
        <v>0</v>
      </c>
      <c r="N17" s="541">
        <f t="shared" si="114"/>
        <v>0</v>
      </c>
      <c r="O17" s="539">
        <v>9</v>
      </c>
      <c r="P17" s="540">
        <f t="shared" si="3"/>
        <v>0.14632005072428425</v>
      </c>
      <c r="Q17" s="541">
        <f t="shared" si="115"/>
        <v>0</v>
      </c>
      <c r="R17" s="539"/>
      <c r="S17" s="540">
        <f t="shared" si="4"/>
        <v>0</v>
      </c>
      <c r="T17" s="541">
        <f t="shared" si="116"/>
        <v>0</v>
      </c>
      <c r="U17" s="539">
        <v>10.250000000000014</v>
      </c>
      <c r="V17" s="540">
        <f t="shared" si="5"/>
        <v>0.16664227999154618</v>
      </c>
      <c r="W17" s="541">
        <f t="shared" si="117"/>
        <v>0</v>
      </c>
      <c r="X17" s="539"/>
      <c r="Y17" s="540">
        <f t="shared" si="6"/>
        <v>0</v>
      </c>
      <c r="Z17" s="541">
        <f t="shared" si="118"/>
        <v>0</v>
      </c>
      <c r="AA17" s="539"/>
      <c r="AB17" s="540">
        <f t="shared" si="7"/>
        <v>0</v>
      </c>
      <c r="AC17" s="541">
        <f t="shared" si="119"/>
        <v>0</v>
      </c>
      <c r="AD17" s="539"/>
      <c r="AE17" s="540">
        <f t="shared" si="8"/>
        <v>0</v>
      </c>
      <c r="AF17" s="541">
        <f t="shared" si="120"/>
        <v>0</v>
      </c>
      <c r="AG17" s="539"/>
      <c r="AH17" s="540">
        <f t="shared" si="9"/>
        <v>0</v>
      </c>
      <c r="AI17" s="541">
        <f t="shared" si="121"/>
        <v>0</v>
      </c>
      <c r="AJ17" s="539"/>
      <c r="AK17" s="540">
        <f t="shared" si="10"/>
        <v>0</v>
      </c>
      <c r="AL17" s="541">
        <f t="shared" si="122"/>
        <v>0</v>
      </c>
      <c r="AM17" s="539">
        <v>0</v>
      </c>
      <c r="AN17" s="540">
        <f t="shared" si="11"/>
        <v>0</v>
      </c>
      <c r="AO17" s="541">
        <f t="shared" si="123"/>
        <v>0</v>
      </c>
      <c r="AP17" s="539">
        <v>65.506329113924039</v>
      </c>
      <c r="AQ17" s="540">
        <f t="shared" si="12"/>
        <v>1.0649877109678916</v>
      </c>
      <c r="AR17" s="541">
        <f t="shared" si="124"/>
        <v>0</v>
      </c>
      <c r="AS17" s="539"/>
      <c r="AT17" s="540">
        <f t="shared" si="13"/>
        <v>0</v>
      </c>
      <c r="AU17" s="541">
        <f t="shared" si="125"/>
        <v>0</v>
      </c>
      <c r="AV17" s="539">
        <v>5.5500000000000114</v>
      </c>
      <c r="AW17" s="540">
        <f t="shared" si="14"/>
        <v>9.0230697946642138E-2</v>
      </c>
      <c r="AX17" s="541">
        <f t="shared" si="126"/>
        <v>0</v>
      </c>
      <c r="AY17" s="539">
        <v>37.333333333333314</v>
      </c>
      <c r="AZ17" s="540">
        <f t="shared" si="15"/>
        <v>0.60695724744888246</v>
      </c>
      <c r="BA17" s="541">
        <f t="shared" si="127"/>
        <v>0</v>
      </c>
      <c r="BB17" s="539">
        <v>0</v>
      </c>
      <c r="BC17" s="540">
        <f t="shared" si="16"/>
        <v>0</v>
      </c>
      <c r="BD17" s="541">
        <f t="shared" si="128"/>
        <v>0</v>
      </c>
      <c r="BE17" s="539"/>
      <c r="BF17" s="540">
        <f t="shared" si="17"/>
        <v>0</v>
      </c>
      <c r="BG17" s="541">
        <f t="shared" si="129"/>
        <v>0</v>
      </c>
      <c r="BH17" s="539"/>
      <c r="BI17" s="540">
        <f t="shared" si="18"/>
        <v>0</v>
      </c>
      <c r="BJ17" s="541">
        <f t="shared" si="130"/>
        <v>0</v>
      </c>
      <c r="BK17" s="539"/>
      <c r="BL17" s="540">
        <f t="shared" si="19"/>
        <v>0</v>
      </c>
      <c r="BM17" s="541">
        <f t="shared" si="131"/>
        <v>0</v>
      </c>
      <c r="BN17" s="539">
        <v>12.65432098765433</v>
      </c>
      <c r="BO17" s="540">
        <f t="shared" si="20"/>
        <v>0.20573120986610627</v>
      </c>
      <c r="BP17" s="541">
        <f t="shared" si="132"/>
        <v>0</v>
      </c>
      <c r="BQ17" s="539">
        <v>0</v>
      </c>
      <c r="BR17" s="540">
        <f t="shared" si="21"/>
        <v>0</v>
      </c>
      <c r="BS17" s="541">
        <f t="shared" si="133"/>
        <v>0</v>
      </c>
      <c r="BT17" s="539"/>
      <c r="BU17" s="540">
        <f t="shared" si="22"/>
        <v>0</v>
      </c>
      <c r="BV17" s="541">
        <f t="shared" si="134"/>
        <v>0</v>
      </c>
      <c r="BW17" s="539">
        <v>0</v>
      </c>
      <c r="BX17" s="540">
        <f t="shared" si="23"/>
        <v>0</v>
      </c>
      <c r="BY17" s="541">
        <f t="shared" si="135"/>
        <v>0</v>
      </c>
      <c r="BZ17" s="539"/>
      <c r="CA17" s="540">
        <f t="shared" si="24"/>
        <v>0</v>
      </c>
      <c r="CB17" s="541">
        <f t="shared" si="136"/>
        <v>0</v>
      </c>
      <c r="CC17" s="539">
        <v>0</v>
      </c>
      <c r="CD17" s="540">
        <f t="shared" si="25"/>
        <v>0</v>
      </c>
      <c r="CE17" s="541">
        <f t="shared" si="137"/>
        <v>0</v>
      </c>
      <c r="CF17" s="539">
        <v>9.9999999999999645E-2</v>
      </c>
      <c r="CG17" s="540">
        <f t="shared" si="26"/>
        <v>1.6257783413809303E-3</v>
      </c>
      <c r="CH17" s="541">
        <f t="shared" si="138"/>
        <v>0</v>
      </c>
      <c r="CI17" s="539"/>
      <c r="CJ17" s="540">
        <f t="shared" si="27"/>
        <v>0</v>
      </c>
      <c r="CK17" s="541">
        <f t="shared" si="139"/>
        <v>0</v>
      </c>
      <c r="CL17" s="539"/>
      <c r="CM17" s="540">
        <f t="shared" si="28"/>
        <v>0</v>
      </c>
      <c r="CN17" s="541">
        <f t="shared" si="140"/>
        <v>0</v>
      </c>
      <c r="CO17" s="539"/>
      <c r="CP17" s="540">
        <f t="shared" si="29"/>
        <v>0</v>
      </c>
      <c r="CQ17" s="541">
        <f t="shared" si="141"/>
        <v>0</v>
      </c>
      <c r="CR17" s="539"/>
      <c r="CS17" s="540">
        <f t="shared" si="30"/>
        <v>0</v>
      </c>
      <c r="CT17" s="541">
        <f t="shared" si="142"/>
        <v>0</v>
      </c>
      <c r="CU17" s="539"/>
      <c r="CV17" s="540">
        <f t="shared" si="31"/>
        <v>0</v>
      </c>
      <c r="CW17" s="541">
        <f t="shared" si="143"/>
        <v>0</v>
      </c>
      <c r="CX17" s="539"/>
      <c r="CY17" s="540">
        <f t="shared" si="32"/>
        <v>0</v>
      </c>
      <c r="CZ17" s="541">
        <f t="shared" si="144"/>
        <v>0</v>
      </c>
      <c r="DA17" s="539">
        <v>0</v>
      </c>
      <c r="DB17" s="540">
        <f t="shared" si="33"/>
        <v>0</v>
      </c>
      <c r="DC17" s="541">
        <f t="shared" si="145"/>
        <v>0</v>
      </c>
      <c r="DD17" s="539"/>
      <c r="DE17" s="540">
        <f t="shared" si="34"/>
        <v>0</v>
      </c>
      <c r="DF17" s="541">
        <f t="shared" si="146"/>
        <v>0</v>
      </c>
      <c r="DG17" s="539">
        <v>0</v>
      </c>
      <c r="DH17" s="540">
        <f t="shared" si="35"/>
        <v>0</v>
      </c>
      <c r="DI17" s="541">
        <f t="shared" si="203"/>
        <v>0</v>
      </c>
      <c r="DJ17" s="539"/>
      <c r="DK17" s="540">
        <f t="shared" si="36"/>
        <v>0</v>
      </c>
      <c r="DL17" s="541">
        <f t="shared" si="147"/>
        <v>0</v>
      </c>
      <c r="DM17" s="539"/>
      <c r="DN17" s="540">
        <f t="shared" si="37"/>
        <v>0</v>
      </c>
      <c r="DO17" s="541">
        <f t="shared" si="148"/>
        <v>0</v>
      </c>
      <c r="DP17" s="539"/>
      <c r="DQ17" s="540">
        <f t="shared" si="38"/>
        <v>0</v>
      </c>
      <c r="DR17" s="541">
        <f t="shared" si="149"/>
        <v>0</v>
      </c>
      <c r="DS17" s="539"/>
      <c r="DT17" s="540">
        <f t="shared" si="39"/>
        <v>0</v>
      </c>
      <c r="DU17" s="541">
        <f t="shared" si="150"/>
        <v>0</v>
      </c>
      <c r="DV17" s="539"/>
      <c r="DW17" s="540">
        <f t="shared" si="40"/>
        <v>0</v>
      </c>
      <c r="DX17" s="541">
        <f t="shared" si="151"/>
        <v>0</v>
      </c>
      <c r="DY17" s="539"/>
      <c r="DZ17" s="540">
        <f t="shared" si="41"/>
        <v>0</v>
      </c>
      <c r="EA17" s="541">
        <f t="shared" si="152"/>
        <v>0</v>
      </c>
      <c r="EB17" s="539">
        <v>14.534883720930225</v>
      </c>
      <c r="EC17" s="540">
        <f t="shared" si="42"/>
        <v>0.23630499147978709</v>
      </c>
      <c r="ED17" s="541">
        <f t="shared" si="153"/>
        <v>0</v>
      </c>
      <c r="EE17" s="539">
        <v>1</v>
      </c>
      <c r="EF17" s="540">
        <f t="shared" si="43"/>
        <v>1.625778341380936E-2</v>
      </c>
      <c r="EG17" s="541">
        <f t="shared" si="154"/>
        <v>0</v>
      </c>
      <c r="EH17" s="539"/>
      <c r="EI17" s="540">
        <f t="shared" si="44"/>
        <v>0</v>
      </c>
      <c r="EJ17" s="541">
        <f t="shared" si="155"/>
        <v>0</v>
      </c>
      <c r="EK17" s="539"/>
      <c r="EL17" s="540">
        <f t="shared" si="45"/>
        <v>0</v>
      </c>
      <c r="EM17" s="541">
        <f t="shared" si="156"/>
        <v>0</v>
      </c>
      <c r="EN17" s="539"/>
      <c r="EO17" s="540">
        <f t="shared" si="46"/>
        <v>0</v>
      </c>
      <c r="EP17" s="541">
        <f t="shared" si="157"/>
        <v>0</v>
      </c>
      <c r="EQ17" s="539"/>
      <c r="ER17" s="540">
        <f t="shared" si="47"/>
        <v>0</v>
      </c>
      <c r="ES17" s="541">
        <f t="shared" si="158"/>
        <v>0</v>
      </c>
      <c r="ET17" s="539"/>
      <c r="EU17" s="540">
        <f t="shared" si="48"/>
        <v>0</v>
      </c>
      <c r="EV17" s="541">
        <f t="shared" si="159"/>
        <v>0</v>
      </c>
      <c r="EW17" s="539"/>
      <c r="EX17" s="540">
        <f t="shared" si="49"/>
        <v>0</v>
      </c>
      <c r="EY17" s="541">
        <f t="shared" si="160"/>
        <v>0</v>
      </c>
      <c r="EZ17" s="539"/>
      <c r="FA17" s="540">
        <f t="shared" si="50"/>
        <v>0</v>
      </c>
      <c r="FB17" s="541">
        <f t="shared" si="161"/>
        <v>0</v>
      </c>
      <c r="FC17" s="539"/>
      <c r="FD17" s="540">
        <f t="shared" si="51"/>
        <v>0</v>
      </c>
      <c r="FE17" s="541">
        <f t="shared" si="162"/>
        <v>0</v>
      </c>
      <c r="FF17" s="539"/>
      <c r="FG17" s="540">
        <f t="shared" si="52"/>
        <v>0</v>
      </c>
      <c r="FH17" s="541">
        <f t="shared" si="163"/>
        <v>0</v>
      </c>
      <c r="FI17" s="539"/>
      <c r="FJ17" s="540">
        <f t="shared" si="53"/>
        <v>0</v>
      </c>
      <c r="FK17" s="541">
        <f t="shared" si="164"/>
        <v>0</v>
      </c>
      <c r="FL17" s="539"/>
      <c r="FM17" s="540">
        <f t="shared" si="54"/>
        <v>0</v>
      </c>
      <c r="FN17" s="541">
        <f t="shared" si="165"/>
        <v>0</v>
      </c>
      <c r="FO17" s="539"/>
      <c r="FP17" s="540">
        <f t="shared" si="55"/>
        <v>0</v>
      </c>
      <c r="FQ17" s="541">
        <f t="shared" si="166"/>
        <v>0</v>
      </c>
      <c r="FR17" s="539"/>
      <c r="FS17" s="540">
        <f t="shared" si="56"/>
        <v>0</v>
      </c>
      <c r="FT17" s="541">
        <f t="shared" si="167"/>
        <v>0</v>
      </c>
      <c r="FU17" s="539"/>
      <c r="FV17" s="540">
        <f t="shared" si="57"/>
        <v>0</v>
      </c>
      <c r="FW17" s="541">
        <f t="shared" si="168"/>
        <v>0</v>
      </c>
      <c r="FX17" s="539"/>
      <c r="FY17" s="540">
        <f t="shared" si="58"/>
        <v>0</v>
      </c>
      <c r="FZ17" s="541">
        <f t="shared" si="169"/>
        <v>0</v>
      </c>
      <c r="GA17" s="539"/>
      <c r="GB17" s="540">
        <f t="shared" si="59"/>
        <v>0</v>
      </c>
      <c r="GC17" s="541">
        <f t="shared" si="170"/>
        <v>0</v>
      </c>
      <c r="GD17" s="539"/>
      <c r="GE17" s="540">
        <f t="shared" si="60"/>
        <v>0</v>
      </c>
      <c r="GF17" s="541">
        <f t="shared" si="171"/>
        <v>0</v>
      </c>
      <c r="GG17" s="539"/>
      <c r="GH17" s="540">
        <f t="shared" si="61"/>
        <v>0</v>
      </c>
      <c r="GI17" s="541">
        <f t="shared" si="172"/>
        <v>0</v>
      </c>
      <c r="GJ17" s="539"/>
      <c r="GK17" s="540">
        <f t="shared" si="62"/>
        <v>0</v>
      </c>
      <c r="GL17" s="541">
        <f t="shared" si="173"/>
        <v>0</v>
      </c>
      <c r="GM17" s="539"/>
      <c r="GN17" s="540">
        <f t="shared" si="63"/>
        <v>0</v>
      </c>
      <c r="GO17" s="541">
        <f t="shared" si="174"/>
        <v>0</v>
      </c>
      <c r="GP17" s="539"/>
      <c r="GQ17" s="540">
        <f t="shared" si="64"/>
        <v>0</v>
      </c>
      <c r="GR17" s="541">
        <f t="shared" si="175"/>
        <v>0</v>
      </c>
      <c r="GS17" s="539"/>
      <c r="GT17" s="540">
        <f t="shared" si="65"/>
        <v>0</v>
      </c>
      <c r="GU17" s="541">
        <f t="shared" si="176"/>
        <v>0</v>
      </c>
      <c r="GV17" s="539"/>
      <c r="GW17" s="540">
        <f t="shared" si="66"/>
        <v>0</v>
      </c>
      <c r="GX17" s="541">
        <f t="shared" si="177"/>
        <v>0</v>
      </c>
      <c r="GY17" s="539"/>
      <c r="GZ17" s="540">
        <f t="shared" si="67"/>
        <v>0</v>
      </c>
      <c r="HA17" s="541">
        <f t="shared" si="178"/>
        <v>0</v>
      </c>
      <c r="HB17" s="539"/>
      <c r="HC17" s="540">
        <f t="shared" si="68"/>
        <v>0</v>
      </c>
      <c r="HD17" s="541">
        <f t="shared" si="179"/>
        <v>0</v>
      </c>
      <c r="HE17" s="539"/>
      <c r="HF17" s="540">
        <f t="shared" si="69"/>
        <v>0</v>
      </c>
      <c r="HG17" s="541">
        <f t="shared" si="180"/>
        <v>0</v>
      </c>
      <c r="HH17" s="539"/>
      <c r="HI17" s="540">
        <f t="shared" si="70"/>
        <v>0</v>
      </c>
      <c r="HJ17" s="541">
        <f t="shared" si="181"/>
        <v>0</v>
      </c>
      <c r="HK17" s="539"/>
      <c r="HL17" s="540">
        <f t="shared" si="71"/>
        <v>0</v>
      </c>
      <c r="HM17" s="541">
        <f t="shared" si="182"/>
        <v>0</v>
      </c>
      <c r="HN17" s="539"/>
      <c r="HO17" s="540">
        <f t="shared" si="72"/>
        <v>0</v>
      </c>
      <c r="HP17" s="541">
        <f t="shared" si="183"/>
        <v>0</v>
      </c>
      <c r="HQ17" s="539"/>
      <c r="HR17" s="540">
        <f t="shared" si="73"/>
        <v>0</v>
      </c>
      <c r="HS17" s="541">
        <f t="shared" si="184"/>
        <v>0</v>
      </c>
      <c r="HT17" s="539"/>
      <c r="HU17" s="540">
        <f t="shared" si="74"/>
        <v>0</v>
      </c>
      <c r="HV17" s="541">
        <f t="shared" si="185"/>
        <v>0</v>
      </c>
      <c r="HW17" s="539"/>
      <c r="HX17" s="540">
        <f t="shared" si="75"/>
        <v>0</v>
      </c>
      <c r="HY17" s="541">
        <f t="shared" si="186"/>
        <v>0</v>
      </c>
      <c r="HZ17" s="539"/>
      <c r="IA17" s="540">
        <f t="shared" si="76"/>
        <v>0</v>
      </c>
      <c r="IB17" s="541">
        <f t="shared" si="187"/>
        <v>0</v>
      </c>
      <c r="IC17" s="539"/>
      <c r="ID17" s="540">
        <f t="shared" si="77"/>
        <v>0</v>
      </c>
      <c r="IE17" s="541">
        <f t="shared" si="188"/>
        <v>0</v>
      </c>
      <c r="IF17" s="539"/>
      <c r="IG17" s="540">
        <f t="shared" si="78"/>
        <v>0</v>
      </c>
      <c r="IH17" s="541">
        <f t="shared" si="189"/>
        <v>0</v>
      </c>
      <c r="II17" s="539"/>
      <c r="IJ17" s="540">
        <f t="shared" si="79"/>
        <v>0</v>
      </c>
      <c r="IK17" s="541">
        <f t="shared" si="190"/>
        <v>0</v>
      </c>
      <c r="IL17" s="539"/>
      <c r="IM17" s="540">
        <f t="shared" si="80"/>
        <v>0</v>
      </c>
      <c r="IN17" s="541">
        <f t="shared" si="191"/>
        <v>0</v>
      </c>
      <c r="IO17" s="539"/>
      <c r="IP17" s="540">
        <f t="shared" si="81"/>
        <v>0</v>
      </c>
      <c r="IQ17" s="541">
        <f t="shared" si="192"/>
        <v>0</v>
      </c>
      <c r="IR17" s="539"/>
      <c r="IS17" s="540">
        <f t="shared" si="82"/>
        <v>0</v>
      </c>
      <c r="IT17" s="541">
        <f t="shared" si="193"/>
        <v>0</v>
      </c>
      <c r="IU17" s="539"/>
      <c r="IV17" s="540">
        <f t="shared" si="83"/>
        <v>0</v>
      </c>
      <c r="IW17" s="541">
        <f t="shared" si="194"/>
        <v>0</v>
      </c>
      <c r="IX17" s="539"/>
      <c r="IY17" s="540">
        <f t="shared" si="84"/>
        <v>0</v>
      </c>
      <c r="IZ17" s="541">
        <f t="shared" si="195"/>
        <v>0</v>
      </c>
      <c r="JA17" s="539"/>
      <c r="JB17" s="540">
        <f t="shared" si="85"/>
        <v>0</v>
      </c>
      <c r="JC17" s="541">
        <f t="shared" si="196"/>
        <v>0</v>
      </c>
      <c r="JD17" s="539"/>
      <c r="JE17" s="540">
        <f t="shared" si="86"/>
        <v>0</v>
      </c>
      <c r="JF17" s="541">
        <f t="shared" si="197"/>
        <v>0</v>
      </c>
      <c r="JG17" s="539"/>
      <c r="JH17" s="540">
        <f t="shared" si="87"/>
        <v>0</v>
      </c>
      <c r="JI17" s="541">
        <f t="shared" si="198"/>
        <v>0</v>
      </c>
      <c r="JJ17" s="539"/>
      <c r="JK17" s="541" t="str">
        <f t="shared" si="88"/>
        <v>0</v>
      </c>
      <c r="JL17" s="541" t="str">
        <f t="shared" si="89"/>
        <v>0</v>
      </c>
      <c r="JM17" s="539"/>
      <c r="JN17" s="541" t="str">
        <f t="shared" si="90"/>
        <v>0</v>
      </c>
      <c r="JO17" s="541" t="str">
        <f t="shared" si="91"/>
        <v>0</v>
      </c>
      <c r="JP17" s="539"/>
      <c r="JQ17" s="541" t="str">
        <f t="shared" si="92"/>
        <v>0</v>
      </c>
      <c r="JR17" s="541" t="str">
        <f t="shared" si="93"/>
        <v>0</v>
      </c>
      <c r="JS17" s="539"/>
      <c r="JT17" s="541" t="str">
        <f t="shared" si="94"/>
        <v>0</v>
      </c>
      <c r="JU17" s="541" t="str">
        <f t="shared" si="95"/>
        <v>0</v>
      </c>
      <c r="JV17" s="539"/>
      <c r="JW17" s="541" t="str">
        <f t="shared" si="96"/>
        <v>0</v>
      </c>
      <c r="JX17" s="541" t="str">
        <f t="shared" si="97"/>
        <v>0</v>
      </c>
      <c r="JY17" s="539"/>
      <c r="JZ17" s="541" t="str">
        <f t="shared" si="98"/>
        <v>0</v>
      </c>
      <c r="KA17" s="541" t="str">
        <f t="shared" si="99"/>
        <v>0</v>
      </c>
      <c r="KB17" s="539"/>
      <c r="KC17" s="541" t="str">
        <f t="shared" si="100"/>
        <v>0</v>
      </c>
      <c r="KD17" s="541" t="str">
        <f t="shared" si="101"/>
        <v>0</v>
      </c>
      <c r="KE17" s="539"/>
      <c r="KF17" s="541" t="str">
        <f t="shared" si="102"/>
        <v>0</v>
      </c>
      <c r="KG17" s="541" t="str">
        <f t="shared" si="103"/>
        <v>0</v>
      </c>
      <c r="KH17" s="539"/>
      <c r="KI17" s="541" t="str">
        <f t="shared" si="104"/>
        <v>0</v>
      </c>
      <c r="KJ17" s="541" t="str">
        <f t="shared" si="105"/>
        <v>0</v>
      </c>
      <c r="KK17" s="539"/>
      <c r="KL17" s="541" t="str">
        <f t="shared" si="106"/>
        <v>0</v>
      </c>
      <c r="KM17" s="541" t="str">
        <f t="shared" si="107"/>
        <v>0</v>
      </c>
      <c r="KN17" s="539"/>
      <c r="KO17" s="541" t="str">
        <f t="shared" si="108"/>
        <v>0</v>
      </c>
      <c r="KP17" s="541" t="str">
        <f t="shared" si="109"/>
        <v>0</v>
      </c>
      <c r="KQ17" s="539"/>
      <c r="KR17" s="541" t="str">
        <f t="shared" si="110"/>
        <v>0</v>
      </c>
      <c r="KS17" s="541" t="str">
        <f t="shared" si="111"/>
        <v>0</v>
      </c>
      <c r="KT17" s="541">
        <f t="shared" si="201"/>
        <v>0</v>
      </c>
      <c r="KU17" s="541">
        <f t="shared" si="202"/>
        <v>0</v>
      </c>
      <c r="KV17" s="272">
        <f t="shared" si="199"/>
        <v>504.76607645816756</v>
      </c>
    </row>
    <row r="18" spans="1:309" ht="15" customHeight="1">
      <c r="A18" s="274">
        <f t="shared" si="200"/>
        <v>46122</v>
      </c>
      <c r="B18" s="275" t="str">
        <f>+Report1!B18</f>
        <v>Facial/MG</v>
      </c>
      <c r="C18" s="417" t="str">
        <f>+Report1!C18</f>
        <v>13/14/17</v>
      </c>
      <c r="D18" s="276">
        <f>+Report1!P18</f>
        <v>77.078000000000003</v>
      </c>
      <c r="E18" s="277">
        <f>+Report1!R18</f>
        <v>65.072000000000003</v>
      </c>
      <c r="F18" s="539"/>
      <c r="G18" s="540">
        <f t="shared" si="0"/>
        <v>0</v>
      </c>
      <c r="H18" s="541">
        <f t="shared" si="112"/>
        <v>0</v>
      </c>
      <c r="I18" s="539">
        <v>662.79069767441842</v>
      </c>
      <c r="J18" s="540">
        <f t="shared" si="1"/>
        <v>10.185497566916929</v>
      </c>
      <c r="K18" s="541">
        <f t="shared" si="113"/>
        <v>0</v>
      </c>
      <c r="L18" s="539"/>
      <c r="M18" s="540">
        <f t="shared" si="2"/>
        <v>0</v>
      </c>
      <c r="N18" s="541">
        <f t="shared" si="114"/>
        <v>0</v>
      </c>
      <c r="O18" s="539">
        <v>9</v>
      </c>
      <c r="P18" s="540">
        <f t="shared" si="3"/>
        <v>0.13830833538234572</v>
      </c>
      <c r="Q18" s="541">
        <f t="shared" si="115"/>
        <v>0</v>
      </c>
      <c r="R18" s="539"/>
      <c r="S18" s="540">
        <f t="shared" si="4"/>
        <v>0</v>
      </c>
      <c r="T18" s="541">
        <f t="shared" si="116"/>
        <v>0</v>
      </c>
      <c r="U18" s="539">
        <v>10.25</v>
      </c>
      <c r="V18" s="540">
        <f t="shared" si="5"/>
        <v>0.15751782640767151</v>
      </c>
      <c r="W18" s="541">
        <f t="shared" si="117"/>
        <v>0</v>
      </c>
      <c r="X18" s="539"/>
      <c r="Y18" s="540">
        <f t="shared" si="6"/>
        <v>0</v>
      </c>
      <c r="Z18" s="541">
        <f t="shared" si="118"/>
        <v>0</v>
      </c>
      <c r="AA18" s="539"/>
      <c r="AB18" s="540">
        <f t="shared" si="7"/>
        <v>0</v>
      </c>
      <c r="AC18" s="541">
        <f t="shared" si="119"/>
        <v>0</v>
      </c>
      <c r="AD18" s="539"/>
      <c r="AE18" s="540">
        <f t="shared" si="8"/>
        <v>0</v>
      </c>
      <c r="AF18" s="541">
        <f t="shared" si="120"/>
        <v>0</v>
      </c>
      <c r="AG18" s="539"/>
      <c r="AH18" s="540">
        <f t="shared" si="9"/>
        <v>0</v>
      </c>
      <c r="AI18" s="541">
        <f t="shared" si="121"/>
        <v>0</v>
      </c>
      <c r="AJ18" s="539"/>
      <c r="AK18" s="540">
        <f t="shared" si="10"/>
        <v>0</v>
      </c>
      <c r="AL18" s="541">
        <f t="shared" si="122"/>
        <v>0</v>
      </c>
      <c r="AM18" s="539">
        <v>0</v>
      </c>
      <c r="AN18" s="540">
        <f t="shared" si="11"/>
        <v>0</v>
      </c>
      <c r="AO18" s="541">
        <f t="shared" si="123"/>
        <v>0</v>
      </c>
      <c r="AP18" s="539">
        <v>2.8481012658227769</v>
      </c>
      <c r="AQ18" s="540">
        <f t="shared" si="12"/>
        <v>4.3768460564033329E-2</v>
      </c>
      <c r="AR18" s="541">
        <f t="shared" si="124"/>
        <v>0</v>
      </c>
      <c r="AS18" s="539"/>
      <c r="AT18" s="540">
        <f t="shared" si="13"/>
        <v>0</v>
      </c>
      <c r="AU18" s="541">
        <f t="shared" si="125"/>
        <v>0</v>
      </c>
      <c r="AV18" s="539">
        <v>8.3249999999999602</v>
      </c>
      <c r="AW18" s="540">
        <f t="shared" si="14"/>
        <v>0.12793521022866916</v>
      </c>
      <c r="AX18" s="541">
        <f t="shared" si="126"/>
        <v>0</v>
      </c>
      <c r="AY18" s="539">
        <v>9.3333333333333144</v>
      </c>
      <c r="AZ18" s="540">
        <f t="shared" si="15"/>
        <v>0.14343086632243229</v>
      </c>
      <c r="BA18" s="541">
        <f t="shared" si="127"/>
        <v>0</v>
      </c>
      <c r="BB18" s="539">
        <v>70</v>
      </c>
      <c r="BC18" s="540">
        <f t="shared" si="16"/>
        <v>1.0757314974182444</v>
      </c>
      <c r="BD18" s="541">
        <f t="shared" si="128"/>
        <v>0</v>
      </c>
      <c r="BE18" s="539"/>
      <c r="BF18" s="540">
        <f t="shared" si="17"/>
        <v>0</v>
      </c>
      <c r="BG18" s="541">
        <f t="shared" si="129"/>
        <v>0</v>
      </c>
      <c r="BH18" s="539"/>
      <c r="BI18" s="540">
        <f t="shared" si="18"/>
        <v>0</v>
      </c>
      <c r="BJ18" s="541">
        <f t="shared" si="130"/>
        <v>0</v>
      </c>
      <c r="BK18" s="539"/>
      <c r="BL18" s="540">
        <f t="shared" si="19"/>
        <v>0</v>
      </c>
      <c r="BM18" s="541">
        <f t="shared" si="131"/>
        <v>0</v>
      </c>
      <c r="BN18" s="539">
        <v>22.777777777777786</v>
      </c>
      <c r="BO18" s="540">
        <f t="shared" si="20"/>
        <v>0.3500396142392701</v>
      </c>
      <c r="BP18" s="541">
        <f t="shared" si="132"/>
        <v>0</v>
      </c>
      <c r="BQ18" s="539">
        <v>0</v>
      </c>
      <c r="BR18" s="540">
        <f t="shared" si="21"/>
        <v>0</v>
      </c>
      <c r="BS18" s="541">
        <f t="shared" si="133"/>
        <v>0</v>
      </c>
      <c r="BT18" s="539"/>
      <c r="BU18" s="540">
        <f t="shared" si="22"/>
        <v>0</v>
      </c>
      <c r="BV18" s="541">
        <f t="shared" si="134"/>
        <v>0</v>
      </c>
      <c r="BW18" s="539">
        <v>0</v>
      </c>
      <c r="BX18" s="540">
        <f t="shared" si="23"/>
        <v>0</v>
      </c>
      <c r="BY18" s="541">
        <f t="shared" si="135"/>
        <v>0</v>
      </c>
      <c r="BZ18" s="539"/>
      <c r="CA18" s="540">
        <f t="shared" si="24"/>
        <v>0</v>
      </c>
      <c r="CB18" s="541">
        <f t="shared" si="136"/>
        <v>0</v>
      </c>
      <c r="CC18" s="539">
        <v>12.5</v>
      </c>
      <c r="CD18" s="540">
        <f t="shared" si="25"/>
        <v>0.19209491025325792</v>
      </c>
      <c r="CE18" s="541">
        <f t="shared" si="137"/>
        <v>0</v>
      </c>
      <c r="CF18" s="539">
        <v>0.1</v>
      </c>
      <c r="CG18" s="540">
        <f t="shared" si="26"/>
        <v>1.5367592820260635E-3</v>
      </c>
      <c r="CH18" s="541">
        <f t="shared" si="138"/>
        <v>0</v>
      </c>
      <c r="CI18" s="539"/>
      <c r="CJ18" s="540">
        <f t="shared" si="27"/>
        <v>0</v>
      </c>
      <c r="CK18" s="541">
        <f t="shared" si="139"/>
        <v>0</v>
      </c>
      <c r="CL18" s="539"/>
      <c r="CM18" s="540">
        <f t="shared" si="28"/>
        <v>0</v>
      </c>
      <c r="CN18" s="541">
        <f t="shared" si="140"/>
        <v>0</v>
      </c>
      <c r="CO18" s="539"/>
      <c r="CP18" s="540">
        <f t="shared" si="29"/>
        <v>0</v>
      </c>
      <c r="CQ18" s="541">
        <f t="shared" si="141"/>
        <v>0</v>
      </c>
      <c r="CR18" s="539"/>
      <c r="CS18" s="540">
        <f t="shared" si="30"/>
        <v>0</v>
      </c>
      <c r="CT18" s="541">
        <f t="shared" si="142"/>
        <v>0</v>
      </c>
      <c r="CU18" s="539"/>
      <c r="CV18" s="540">
        <f t="shared" si="31"/>
        <v>0</v>
      </c>
      <c r="CW18" s="541">
        <f t="shared" si="143"/>
        <v>0</v>
      </c>
      <c r="CX18" s="539"/>
      <c r="CY18" s="540">
        <f t="shared" si="32"/>
        <v>0</v>
      </c>
      <c r="CZ18" s="541">
        <f t="shared" si="144"/>
        <v>0</v>
      </c>
      <c r="DA18" s="539">
        <v>0</v>
      </c>
      <c r="DB18" s="540">
        <f t="shared" si="33"/>
        <v>0</v>
      </c>
      <c r="DC18" s="541">
        <f t="shared" si="145"/>
        <v>0</v>
      </c>
      <c r="DD18" s="539"/>
      <c r="DE18" s="540">
        <f t="shared" si="34"/>
        <v>0</v>
      </c>
      <c r="DF18" s="541">
        <f t="shared" si="146"/>
        <v>0</v>
      </c>
      <c r="DG18" s="539">
        <v>0</v>
      </c>
      <c r="DH18" s="540">
        <f t="shared" si="35"/>
        <v>0</v>
      </c>
      <c r="DI18" s="541">
        <f t="shared" si="203"/>
        <v>0</v>
      </c>
      <c r="DJ18" s="539"/>
      <c r="DK18" s="540">
        <f t="shared" si="36"/>
        <v>0</v>
      </c>
      <c r="DL18" s="541">
        <f t="shared" si="147"/>
        <v>0</v>
      </c>
      <c r="DM18" s="539"/>
      <c r="DN18" s="540">
        <f t="shared" si="37"/>
        <v>0</v>
      </c>
      <c r="DO18" s="541">
        <f t="shared" si="148"/>
        <v>0</v>
      </c>
      <c r="DP18" s="539"/>
      <c r="DQ18" s="540">
        <f t="shared" si="38"/>
        <v>0</v>
      </c>
      <c r="DR18" s="541">
        <f t="shared" si="149"/>
        <v>0</v>
      </c>
      <c r="DS18" s="539"/>
      <c r="DT18" s="540">
        <f t="shared" si="39"/>
        <v>0</v>
      </c>
      <c r="DU18" s="541">
        <f t="shared" si="150"/>
        <v>0</v>
      </c>
      <c r="DV18" s="539"/>
      <c r="DW18" s="540">
        <f t="shared" si="40"/>
        <v>0</v>
      </c>
      <c r="DX18" s="541">
        <f t="shared" si="151"/>
        <v>0</v>
      </c>
      <c r="DY18" s="539"/>
      <c r="DZ18" s="540">
        <f t="shared" si="41"/>
        <v>0</v>
      </c>
      <c r="EA18" s="541">
        <f t="shared" si="152"/>
        <v>0</v>
      </c>
      <c r="EB18" s="539">
        <v>14.534883720930225</v>
      </c>
      <c r="EC18" s="540">
        <f t="shared" si="42"/>
        <v>0.22336617471309048</v>
      </c>
      <c r="ED18" s="541">
        <f t="shared" si="153"/>
        <v>0</v>
      </c>
      <c r="EE18" s="539">
        <v>1</v>
      </c>
      <c r="EF18" s="540">
        <f t="shared" si="43"/>
        <v>1.5367592820260633E-2</v>
      </c>
      <c r="EG18" s="541">
        <f t="shared" si="154"/>
        <v>0</v>
      </c>
      <c r="EH18" s="539"/>
      <c r="EI18" s="540">
        <f t="shared" si="44"/>
        <v>0</v>
      </c>
      <c r="EJ18" s="541">
        <f t="shared" si="155"/>
        <v>0</v>
      </c>
      <c r="EK18" s="539"/>
      <c r="EL18" s="540">
        <f t="shared" si="45"/>
        <v>0</v>
      </c>
      <c r="EM18" s="541">
        <f t="shared" si="156"/>
        <v>0</v>
      </c>
      <c r="EN18" s="539"/>
      <c r="EO18" s="540">
        <f t="shared" si="46"/>
        <v>0</v>
      </c>
      <c r="EP18" s="541">
        <f t="shared" si="157"/>
        <v>0</v>
      </c>
      <c r="EQ18" s="539"/>
      <c r="ER18" s="540">
        <f t="shared" si="47"/>
        <v>0</v>
      </c>
      <c r="ES18" s="541">
        <f t="shared" si="158"/>
        <v>0</v>
      </c>
      <c r="ET18" s="539"/>
      <c r="EU18" s="540">
        <f t="shared" si="48"/>
        <v>0</v>
      </c>
      <c r="EV18" s="541">
        <f t="shared" si="159"/>
        <v>0</v>
      </c>
      <c r="EW18" s="539"/>
      <c r="EX18" s="540">
        <f t="shared" si="49"/>
        <v>0</v>
      </c>
      <c r="EY18" s="541">
        <f t="shared" si="160"/>
        <v>0</v>
      </c>
      <c r="EZ18" s="539"/>
      <c r="FA18" s="540">
        <f t="shared" si="50"/>
        <v>0</v>
      </c>
      <c r="FB18" s="541">
        <f t="shared" si="161"/>
        <v>0</v>
      </c>
      <c r="FC18" s="539"/>
      <c r="FD18" s="540">
        <f t="shared" si="51"/>
        <v>0</v>
      </c>
      <c r="FE18" s="541">
        <f t="shared" si="162"/>
        <v>0</v>
      </c>
      <c r="FF18" s="539"/>
      <c r="FG18" s="540">
        <f t="shared" si="52"/>
        <v>0</v>
      </c>
      <c r="FH18" s="541">
        <f t="shared" si="163"/>
        <v>0</v>
      </c>
      <c r="FI18" s="539"/>
      <c r="FJ18" s="540">
        <f t="shared" si="53"/>
        <v>0</v>
      </c>
      <c r="FK18" s="541">
        <f t="shared" si="164"/>
        <v>0</v>
      </c>
      <c r="FL18" s="539"/>
      <c r="FM18" s="540">
        <f t="shared" si="54"/>
        <v>0</v>
      </c>
      <c r="FN18" s="541">
        <f t="shared" si="165"/>
        <v>0</v>
      </c>
      <c r="FO18" s="539"/>
      <c r="FP18" s="540">
        <f t="shared" si="55"/>
        <v>0</v>
      </c>
      <c r="FQ18" s="541">
        <f t="shared" si="166"/>
        <v>0</v>
      </c>
      <c r="FR18" s="539"/>
      <c r="FS18" s="540">
        <f t="shared" si="56"/>
        <v>0</v>
      </c>
      <c r="FT18" s="541">
        <f t="shared" si="167"/>
        <v>0</v>
      </c>
      <c r="FU18" s="539"/>
      <c r="FV18" s="540">
        <f t="shared" si="57"/>
        <v>0</v>
      </c>
      <c r="FW18" s="541">
        <f t="shared" si="168"/>
        <v>0</v>
      </c>
      <c r="FX18" s="539"/>
      <c r="FY18" s="540">
        <f t="shared" si="58"/>
        <v>0</v>
      </c>
      <c r="FZ18" s="541">
        <f t="shared" si="169"/>
        <v>0</v>
      </c>
      <c r="GA18" s="539"/>
      <c r="GB18" s="540">
        <f t="shared" si="59"/>
        <v>0</v>
      </c>
      <c r="GC18" s="541">
        <f t="shared" si="170"/>
        <v>0</v>
      </c>
      <c r="GD18" s="539"/>
      <c r="GE18" s="540">
        <f t="shared" si="60"/>
        <v>0</v>
      </c>
      <c r="GF18" s="541">
        <f t="shared" si="171"/>
        <v>0</v>
      </c>
      <c r="GG18" s="539"/>
      <c r="GH18" s="540">
        <f t="shared" si="61"/>
        <v>0</v>
      </c>
      <c r="GI18" s="541">
        <f t="shared" si="172"/>
        <v>0</v>
      </c>
      <c r="GJ18" s="539"/>
      <c r="GK18" s="540">
        <f t="shared" si="62"/>
        <v>0</v>
      </c>
      <c r="GL18" s="541">
        <f t="shared" si="173"/>
        <v>0</v>
      </c>
      <c r="GM18" s="539"/>
      <c r="GN18" s="540">
        <f t="shared" si="63"/>
        <v>0</v>
      </c>
      <c r="GO18" s="541">
        <f t="shared" si="174"/>
        <v>0</v>
      </c>
      <c r="GP18" s="539"/>
      <c r="GQ18" s="540">
        <f t="shared" si="64"/>
        <v>0</v>
      </c>
      <c r="GR18" s="541">
        <f t="shared" si="175"/>
        <v>0</v>
      </c>
      <c r="GS18" s="539"/>
      <c r="GT18" s="540">
        <f t="shared" si="65"/>
        <v>0</v>
      </c>
      <c r="GU18" s="541">
        <f t="shared" si="176"/>
        <v>0</v>
      </c>
      <c r="GV18" s="539"/>
      <c r="GW18" s="540">
        <f t="shared" si="66"/>
        <v>0</v>
      </c>
      <c r="GX18" s="541">
        <f t="shared" si="177"/>
        <v>0</v>
      </c>
      <c r="GY18" s="539"/>
      <c r="GZ18" s="540">
        <f t="shared" si="67"/>
        <v>0</v>
      </c>
      <c r="HA18" s="541">
        <f t="shared" si="178"/>
        <v>0</v>
      </c>
      <c r="HB18" s="539"/>
      <c r="HC18" s="540">
        <f t="shared" si="68"/>
        <v>0</v>
      </c>
      <c r="HD18" s="541">
        <f t="shared" si="179"/>
        <v>0</v>
      </c>
      <c r="HE18" s="539"/>
      <c r="HF18" s="540">
        <f t="shared" si="69"/>
        <v>0</v>
      </c>
      <c r="HG18" s="541">
        <f t="shared" si="180"/>
        <v>0</v>
      </c>
      <c r="HH18" s="539"/>
      <c r="HI18" s="540">
        <f t="shared" si="70"/>
        <v>0</v>
      </c>
      <c r="HJ18" s="541">
        <f t="shared" si="181"/>
        <v>0</v>
      </c>
      <c r="HK18" s="539"/>
      <c r="HL18" s="540">
        <f t="shared" si="71"/>
        <v>0</v>
      </c>
      <c r="HM18" s="541">
        <f t="shared" si="182"/>
        <v>0</v>
      </c>
      <c r="HN18" s="539"/>
      <c r="HO18" s="540">
        <f t="shared" si="72"/>
        <v>0</v>
      </c>
      <c r="HP18" s="541">
        <f t="shared" si="183"/>
        <v>0</v>
      </c>
      <c r="HQ18" s="539"/>
      <c r="HR18" s="540">
        <f t="shared" si="73"/>
        <v>0</v>
      </c>
      <c r="HS18" s="541">
        <f t="shared" si="184"/>
        <v>0</v>
      </c>
      <c r="HT18" s="539"/>
      <c r="HU18" s="540">
        <f t="shared" si="74"/>
        <v>0</v>
      </c>
      <c r="HV18" s="541">
        <f t="shared" si="185"/>
        <v>0</v>
      </c>
      <c r="HW18" s="539"/>
      <c r="HX18" s="540">
        <f t="shared" si="75"/>
        <v>0</v>
      </c>
      <c r="HY18" s="541">
        <f t="shared" si="186"/>
        <v>0</v>
      </c>
      <c r="HZ18" s="539"/>
      <c r="IA18" s="540">
        <f t="shared" si="76"/>
        <v>0</v>
      </c>
      <c r="IB18" s="541">
        <f t="shared" si="187"/>
        <v>0</v>
      </c>
      <c r="IC18" s="539"/>
      <c r="ID18" s="540">
        <f t="shared" si="77"/>
        <v>0</v>
      </c>
      <c r="IE18" s="541">
        <f t="shared" si="188"/>
        <v>0</v>
      </c>
      <c r="IF18" s="539"/>
      <c r="IG18" s="540">
        <f t="shared" si="78"/>
        <v>0</v>
      </c>
      <c r="IH18" s="541">
        <f t="shared" si="189"/>
        <v>0</v>
      </c>
      <c r="II18" s="539"/>
      <c r="IJ18" s="540">
        <f t="shared" si="79"/>
        <v>0</v>
      </c>
      <c r="IK18" s="541">
        <f t="shared" si="190"/>
        <v>0</v>
      </c>
      <c r="IL18" s="539"/>
      <c r="IM18" s="540">
        <f t="shared" si="80"/>
        <v>0</v>
      </c>
      <c r="IN18" s="541">
        <f t="shared" si="191"/>
        <v>0</v>
      </c>
      <c r="IO18" s="539"/>
      <c r="IP18" s="540">
        <f t="shared" si="81"/>
        <v>0</v>
      </c>
      <c r="IQ18" s="541">
        <f t="shared" si="192"/>
        <v>0</v>
      </c>
      <c r="IR18" s="539"/>
      <c r="IS18" s="540">
        <f t="shared" si="82"/>
        <v>0</v>
      </c>
      <c r="IT18" s="541">
        <f t="shared" si="193"/>
        <v>0</v>
      </c>
      <c r="IU18" s="539"/>
      <c r="IV18" s="540">
        <f t="shared" si="83"/>
        <v>0</v>
      </c>
      <c r="IW18" s="541">
        <f t="shared" si="194"/>
        <v>0</v>
      </c>
      <c r="IX18" s="539"/>
      <c r="IY18" s="540">
        <f t="shared" si="84"/>
        <v>0</v>
      </c>
      <c r="IZ18" s="541">
        <f t="shared" si="195"/>
        <v>0</v>
      </c>
      <c r="JA18" s="539"/>
      <c r="JB18" s="540">
        <f t="shared" si="85"/>
        <v>0</v>
      </c>
      <c r="JC18" s="541">
        <f t="shared" si="196"/>
        <v>0</v>
      </c>
      <c r="JD18" s="539"/>
      <c r="JE18" s="540">
        <f t="shared" si="86"/>
        <v>0</v>
      </c>
      <c r="JF18" s="541">
        <f t="shared" si="197"/>
        <v>0</v>
      </c>
      <c r="JG18" s="539"/>
      <c r="JH18" s="540">
        <f t="shared" si="87"/>
        <v>0</v>
      </c>
      <c r="JI18" s="541">
        <f t="shared" si="198"/>
        <v>0</v>
      </c>
      <c r="JJ18" s="539"/>
      <c r="JK18" s="541" t="str">
        <f t="shared" si="88"/>
        <v>0</v>
      </c>
      <c r="JL18" s="541" t="str">
        <f t="shared" si="89"/>
        <v>0</v>
      </c>
      <c r="JM18" s="539"/>
      <c r="JN18" s="541" t="str">
        <f t="shared" si="90"/>
        <v>0</v>
      </c>
      <c r="JO18" s="541" t="str">
        <f t="shared" si="91"/>
        <v>0</v>
      </c>
      <c r="JP18" s="539"/>
      <c r="JQ18" s="541" t="str">
        <f t="shared" si="92"/>
        <v>0</v>
      </c>
      <c r="JR18" s="541" t="str">
        <f t="shared" si="93"/>
        <v>0</v>
      </c>
      <c r="JS18" s="539"/>
      <c r="JT18" s="541" t="str">
        <f t="shared" si="94"/>
        <v>0</v>
      </c>
      <c r="JU18" s="541" t="str">
        <f t="shared" si="95"/>
        <v>0</v>
      </c>
      <c r="JV18" s="539"/>
      <c r="JW18" s="541" t="str">
        <f t="shared" si="96"/>
        <v>0</v>
      </c>
      <c r="JX18" s="541" t="str">
        <f t="shared" si="97"/>
        <v>0</v>
      </c>
      <c r="JY18" s="539"/>
      <c r="JZ18" s="541" t="str">
        <f t="shared" si="98"/>
        <v>0</v>
      </c>
      <c r="KA18" s="541" t="str">
        <f t="shared" si="99"/>
        <v>0</v>
      </c>
      <c r="KB18" s="539"/>
      <c r="KC18" s="541" t="str">
        <f t="shared" si="100"/>
        <v>0</v>
      </c>
      <c r="KD18" s="541" t="str">
        <f t="shared" si="101"/>
        <v>0</v>
      </c>
      <c r="KE18" s="539"/>
      <c r="KF18" s="541" t="str">
        <f t="shared" si="102"/>
        <v>0</v>
      </c>
      <c r="KG18" s="541" t="str">
        <f t="shared" si="103"/>
        <v>0</v>
      </c>
      <c r="KH18" s="539"/>
      <c r="KI18" s="541" t="str">
        <f t="shared" si="104"/>
        <v>0</v>
      </c>
      <c r="KJ18" s="541" t="str">
        <f t="shared" si="105"/>
        <v>0</v>
      </c>
      <c r="KK18" s="539"/>
      <c r="KL18" s="541" t="str">
        <f t="shared" si="106"/>
        <v>0</v>
      </c>
      <c r="KM18" s="541" t="str">
        <f t="shared" si="107"/>
        <v>0</v>
      </c>
      <c r="KN18" s="539"/>
      <c r="KO18" s="541" t="str">
        <f t="shared" si="108"/>
        <v>0</v>
      </c>
      <c r="KP18" s="541" t="str">
        <f t="shared" si="109"/>
        <v>0</v>
      </c>
      <c r="KQ18" s="539"/>
      <c r="KR18" s="541" t="str">
        <f t="shared" si="110"/>
        <v>0</v>
      </c>
      <c r="KS18" s="541" t="str">
        <f t="shared" si="111"/>
        <v>0</v>
      </c>
      <c r="KT18" s="541">
        <f t="shared" si="201"/>
        <v>0</v>
      </c>
      <c r="KU18" s="541">
        <f t="shared" si="202"/>
        <v>0</v>
      </c>
      <c r="KV18" s="272">
        <f t="shared" si="199"/>
        <v>823.45979377228264</v>
      </c>
    </row>
    <row r="19" spans="1:309" ht="15" customHeight="1">
      <c r="A19" s="274">
        <f t="shared" si="200"/>
        <v>46123</v>
      </c>
      <c r="B19" s="275" t="str">
        <f>+Report1!B19</f>
        <v>MG</v>
      </c>
      <c r="C19" s="417" t="str">
        <f>+Report1!C19</f>
        <v>17</v>
      </c>
      <c r="D19" s="276">
        <f>+Report1!P19</f>
        <v>82.43</v>
      </c>
      <c r="E19" s="277">
        <f>+Report1!R19</f>
        <v>80.748000000000005</v>
      </c>
      <c r="F19" s="539"/>
      <c r="G19" s="540">
        <f t="shared" si="0"/>
        <v>0</v>
      </c>
      <c r="H19" s="541">
        <f t="shared" si="112"/>
        <v>0</v>
      </c>
      <c r="I19" s="539">
        <v>767.44186046511618</v>
      </c>
      <c r="J19" s="540">
        <f t="shared" si="1"/>
        <v>9.5041593657442434</v>
      </c>
      <c r="K19" s="541">
        <f t="shared" si="113"/>
        <v>0</v>
      </c>
      <c r="L19" s="539"/>
      <c r="M19" s="540">
        <f t="shared" si="2"/>
        <v>0</v>
      </c>
      <c r="N19" s="541">
        <f t="shared" si="114"/>
        <v>0</v>
      </c>
      <c r="O19" s="539">
        <v>9.0000000000000036</v>
      </c>
      <c r="P19" s="540">
        <f t="shared" si="3"/>
        <v>0.11145786892554618</v>
      </c>
      <c r="Q19" s="541">
        <f t="shared" si="115"/>
        <v>0</v>
      </c>
      <c r="R19" s="539"/>
      <c r="S19" s="540">
        <f t="shared" si="4"/>
        <v>0</v>
      </c>
      <c r="T19" s="541">
        <f t="shared" si="116"/>
        <v>0</v>
      </c>
      <c r="U19" s="539">
        <v>7.6875</v>
      </c>
      <c r="V19" s="540">
        <f t="shared" si="5"/>
        <v>9.5203596373903993E-2</v>
      </c>
      <c r="W19" s="541">
        <f t="shared" si="117"/>
        <v>0</v>
      </c>
      <c r="X19" s="539"/>
      <c r="Y19" s="540">
        <f t="shared" si="6"/>
        <v>0</v>
      </c>
      <c r="Z19" s="541">
        <f t="shared" si="118"/>
        <v>0</v>
      </c>
      <c r="AA19" s="539"/>
      <c r="AB19" s="540">
        <f t="shared" si="7"/>
        <v>0</v>
      </c>
      <c r="AC19" s="541">
        <f t="shared" si="119"/>
        <v>0</v>
      </c>
      <c r="AD19" s="539"/>
      <c r="AE19" s="540">
        <f t="shared" si="8"/>
        <v>0</v>
      </c>
      <c r="AF19" s="541">
        <f t="shared" si="120"/>
        <v>0</v>
      </c>
      <c r="AG19" s="539"/>
      <c r="AH19" s="540">
        <f t="shared" si="9"/>
        <v>0</v>
      </c>
      <c r="AI19" s="541">
        <f t="shared" si="121"/>
        <v>0</v>
      </c>
      <c r="AJ19" s="539"/>
      <c r="AK19" s="540">
        <f t="shared" si="10"/>
        <v>0</v>
      </c>
      <c r="AL19" s="541">
        <f t="shared" si="122"/>
        <v>0</v>
      </c>
      <c r="AM19" s="539">
        <v>0</v>
      </c>
      <c r="AN19" s="540">
        <f t="shared" si="11"/>
        <v>0</v>
      </c>
      <c r="AO19" s="541">
        <f t="shared" si="123"/>
        <v>0</v>
      </c>
      <c r="AP19" s="539">
        <v>0</v>
      </c>
      <c r="AQ19" s="540">
        <f t="shared" si="12"/>
        <v>0</v>
      </c>
      <c r="AR19" s="541">
        <f t="shared" si="124"/>
        <v>0</v>
      </c>
      <c r="AS19" s="539"/>
      <c r="AT19" s="540">
        <f t="shared" si="13"/>
        <v>0</v>
      </c>
      <c r="AU19" s="541">
        <f t="shared" si="125"/>
        <v>0</v>
      </c>
      <c r="AV19" s="539">
        <v>8.3250000000000028</v>
      </c>
      <c r="AW19" s="540">
        <f t="shared" si="14"/>
        <v>0.10309852875613021</v>
      </c>
      <c r="AX19" s="541">
        <f t="shared" si="126"/>
        <v>0</v>
      </c>
      <c r="AY19" s="539">
        <v>0</v>
      </c>
      <c r="AZ19" s="540">
        <f t="shared" si="15"/>
        <v>0</v>
      </c>
      <c r="BA19" s="541">
        <f t="shared" si="127"/>
        <v>0</v>
      </c>
      <c r="BB19" s="539">
        <v>64.166666666666657</v>
      </c>
      <c r="BC19" s="540">
        <f t="shared" si="16"/>
        <v>0.79465332474694916</v>
      </c>
      <c r="BD19" s="541">
        <f t="shared" si="128"/>
        <v>0</v>
      </c>
      <c r="BE19" s="539"/>
      <c r="BF19" s="540">
        <f t="shared" si="17"/>
        <v>0</v>
      </c>
      <c r="BG19" s="541">
        <f t="shared" si="129"/>
        <v>0</v>
      </c>
      <c r="BH19" s="539"/>
      <c r="BI19" s="540">
        <f t="shared" si="18"/>
        <v>0</v>
      </c>
      <c r="BJ19" s="541">
        <f t="shared" si="130"/>
        <v>0</v>
      </c>
      <c r="BK19" s="539"/>
      <c r="BL19" s="540">
        <f t="shared" si="19"/>
        <v>0</v>
      </c>
      <c r="BM19" s="541">
        <f t="shared" si="131"/>
        <v>0</v>
      </c>
      <c r="BN19" s="539">
        <v>18.981481481481481</v>
      </c>
      <c r="BO19" s="540">
        <f t="shared" si="20"/>
        <v>0.23507060833062712</v>
      </c>
      <c r="BP19" s="541">
        <f t="shared" si="132"/>
        <v>0</v>
      </c>
      <c r="BQ19" s="539">
        <v>0</v>
      </c>
      <c r="BR19" s="540">
        <f t="shared" si="21"/>
        <v>0</v>
      </c>
      <c r="BS19" s="541">
        <f t="shared" si="133"/>
        <v>0</v>
      </c>
      <c r="BT19" s="539"/>
      <c r="BU19" s="540">
        <f t="shared" si="22"/>
        <v>0</v>
      </c>
      <c r="BV19" s="541">
        <f t="shared" si="134"/>
        <v>0</v>
      </c>
      <c r="BW19" s="539">
        <v>0.33999999999999986</v>
      </c>
      <c r="BX19" s="540">
        <f t="shared" si="23"/>
        <v>4.2106306038539633E-3</v>
      </c>
      <c r="BY19" s="541">
        <f t="shared" si="135"/>
        <v>0</v>
      </c>
      <c r="BZ19" s="539"/>
      <c r="CA19" s="540">
        <f t="shared" si="24"/>
        <v>0</v>
      </c>
      <c r="CB19" s="541">
        <f t="shared" si="136"/>
        <v>0</v>
      </c>
      <c r="CC19" s="539">
        <v>9.375</v>
      </c>
      <c r="CD19" s="540">
        <f t="shared" si="25"/>
        <v>0.11610194679744389</v>
      </c>
      <c r="CE19" s="541">
        <f t="shared" si="137"/>
        <v>0</v>
      </c>
      <c r="CF19" s="539">
        <v>0.10000000000000053</v>
      </c>
      <c r="CG19" s="540">
        <f t="shared" si="26"/>
        <v>1.2384207658394082E-3</v>
      </c>
      <c r="CH19" s="541">
        <f t="shared" si="138"/>
        <v>0</v>
      </c>
      <c r="CI19" s="539"/>
      <c r="CJ19" s="540">
        <f t="shared" si="27"/>
        <v>0</v>
      </c>
      <c r="CK19" s="541">
        <f t="shared" si="139"/>
        <v>0</v>
      </c>
      <c r="CL19" s="539"/>
      <c r="CM19" s="540">
        <f t="shared" si="28"/>
        <v>0</v>
      </c>
      <c r="CN19" s="541">
        <f t="shared" si="140"/>
        <v>0</v>
      </c>
      <c r="CO19" s="539"/>
      <c r="CP19" s="540">
        <f t="shared" si="29"/>
        <v>0</v>
      </c>
      <c r="CQ19" s="541">
        <f t="shared" si="141"/>
        <v>0</v>
      </c>
      <c r="CR19" s="539"/>
      <c r="CS19" s="540">
        <f t="shared" si="30"/>
        <v>0</v>
      </c>
      <c r="CT19" s="541">
        <f t="shared" si="142"/>
        <v>0</v>
      </c>
      <c r="CU19" s="539"/>
      <c r="CV19" s="540">
        <f t="shared" si="31"/>
        <v>0</v>
      </c>
      <c r="CW19" s="541">
        <f t="shared" si="143"/>
        <v>0</v>
      </c>
      <c r="CX19" s="539"/>
      <c r="CY19" s="540">
        <f t="shared" si="32"/>
        <v>0</v>
      </c>
      <c r="CZ19" s="541">
        <f t="shared" si="144"/>
        <v>0</v>
      </c>
      <c r="DA19" s="539">
        <v>0</v>
      </c>
      <c r="DB19" s="540">
        <f t="shared" si="33"/>
        <v>0</v>
      </c>
      <c r="DC19" s="541">
        <f t="shared" si="145"/>
        <v>0</v>
      </c>
      <c r="DD19" s="539"/>
      <c r="DE19" s="540">
        <f t="shared" si="34"/>
        <v>0</v>
      </c>
      <c r="DF19" s="541">
        <f t="shared" si="146"/>
        <v>0</v>
      </c>
      <c r="DG19" s="539">
        <v>1.1129999999999987</v>
      </c>
      <c r="DH19" s="540">
        <f t="shared" si="35"/>
        <v>1.3783623123792523E-2</v>
      </c>
      <c r="DI19" s="541">
        <f t="shared" si="203"/>
        <v>0</v>
      </c>
      <c r="DJ19" s="539"/>
      <c r="DK19" s="540">
        <f t="shared" si="36"/>
        <v>0</v>
      </c>
      <c r="DL19" s="541">
        <f t="shared" si="147"/>
        <v>0</v>
      </c>
      <c r="DM19" s="539"/>
      <c r="DN19" s="540">
        <f t="shared" si="37"/>
        <v>0</v>
      </c>
      <c r="DO19" s="541">
        <f t="shared" si="148"/>
        <v>0</v>
      </c>
      <c r="DP19" s="539"/>
      <c r="DQ19" s="540">
        <f t="shared" si="38"/>
        <v>0</v>
      </c>
      <c r="DR19" s="541">
        <f t="shared" si="149"/>
        <v>0</v>
      </c>
      <c r="DS19" s="539"/>
      <c r="DT19" s="540">
        <f t="shared" si="39"/>
        <v>0</v>
      </c>
      <c r="DU19" s="541">
        <f t="shared" si="150"/>
        <v>0</v>
      </c>
      <c r="DV19" s="539"/>
      <c r="DW19" s="540">
        <f t="shared" si="40"/>
        <v>0</v>
      </c>
      <c r="DX19" s="541">
        <f t="shared" si="151"/>
        <v>0</v>
      </c>
      <c r="DY19" s="539"/>
      <c r="DZ19" s="540">
        <f t="shared" si="41"/>
        <v>0</v>
      </c>
      <c r="EA19" s="541">
        <f t="shared" si="152"/>
        <v>0</v>
      </c>
      <c r="EB19" s="539">
        <v>7.2674418604651123</v>
      </c>
      <c r="EC19" s="540">
        <f t="shared" si="42"/>
        <v>9.0001509145305289E-2</v>
      </c>
      <c r="ED19" s="541">
        <f t="shared" si="153"/>
        <v>0</v>
      </c>
      <c r="EE19" s="539">
        <v>1.5</v>
      </c>
      <c r="EF19" s="540">
        <f t="shared" si="43"/>
        <v>1.8576311487591021E-2</v>
      </c>
      <c r="EG19" s="541">
        <f t="shared" si="154"/>
        <v>0</v>
      </c>
      <c r="EH19" s="539"/>
      <c r="EI19" s="540">
        <f t="shared" si="44"/>
        <v>0</v>
      </c>
      <c r="EJ19" s="541">
        <f t="shared" si="155"/>
        <v>0</v>
      </c>
      <c r="EK19" s="539"/>
      <c r="EL19" s="540">
        <f t="shared" si="45"/>
        <v>0</v>
      </c>
      <c r="EM19" s="541">
        <f t="shared" si="156"/>
        <v>0</v>
      </c>
      <c r="EN19" s="539"/>
      <c r="EO19" s="540">
        <f t="shared" si="46"/>
        <v>0</v>
      </c>
      <c r="EP19" s="541">
        <f t="shared" si="157"/>
        <v>0</v>
      </c>
      <c r="EQ19" s="539"/>
      <c r="ER19" s="540">
        <f t="shared" si="47"/>
        <v>0</v>
      </c>
      <c r="ES19" s="541">
        <f t="shared" si="158"/>
        <v>0</v>
      </c>
      <c r="ET19" s="539"/>
      <c r="EU19" s="540">
        <f t="shared" si="48"/>
        <v>0</v>
      </c>
      <c r="EV19" s="541">
        <f t="shared" si="159"/>
        <v>0</v>
      </c>
      <c r="EW19" s="539"/>
      <c r="EX19" s="540">
        <f t="shared" si="49"/>
        <v>0</v>
      </c>
      <c r="EY19" s="541">
        <f t="shared" si="160"/>
        <v>0</v>
      </c>
      <c r="EZ19" s="539"/>
      <c r="FA19" s="540">
        <f t="shared" si="50"/>
        <v>0</v>
      </c>
      <c r="FB19" s="541">
        <f t="shared" si="161"/>
        <v>0</v>
      </c>
      <c r="FC19" s="539"/>
      <c r="FD19" s="540">
        <f t="shared" si="51"/>
        <v>0</v>
      </c>
      <c r="FE19" s="541">
        <f t="shared" si="162"/>
        <v>0</v>
      </c>
      <c r="FF19" s="539"/>
      <c r="FG19" s="540">
        <f t="shared" si="52"/>
        <v>0</v>
      </c>
      <c r="FH19" s="541">
        <f t="shared" si="163"/>
        <v>0</v>
      </c>
      <c r="FI19" s="539"/>
      <c r="FJ19" s="540">
        <f t="shared" si="53"/>
        <v>0</v>
      </c>
      <c r="FK19" s="541">
        <f t="shared" si="164"/>
        <v>0</v>
      </c>
      <c r="FL19" s="539"/>
      <c r="FM19" s="540">
        <f t="shared" si="54"/>
        <v>0</v>
      </c>
      <c r="FN19" s="541">
        <f t="shared" si="165"/>
        <v>0</v>
      </c>
      <c r="FO19" s="539"/>
      <c r="FP19" s="540">
        <f t="shared" si="55"/>
        <v>0</v>
      </c>
      <c r="FQ19" s="541">
        <f t="shared" si="166"/>
        <v>0</v>
      </c>
      <c r="FR19" s="539"/>
      <c r="FS19" s="540">
        <f t="shared" si="56"/>
        <v>0</v>
      </c>
      <c r="FT19" s="541">
        <f t="shared" si="167"/>
        <v>0</v>
      </c>
      <c r="FU19" s="539"/>
      <c r="FV19" s="540">
        <f t="shared" si="57"/>
        <v>0</v>
      </c>
      <c r="FW19" s="541">
        <f t="shared" si="168"/>
        <v>0</v>
      </c>
      <c r="FX19" s="539"/>
      <c r="FY19" s="540">
        <f t="shared" si="58"/>
        <v>0</v>
      </c>
      <c r="FZ19" s="541">
        <f t="shared" si="169"/>
        <v>0</v>
      </c>
      <c r="GA19" s="539"/>
      <c r="GB19" s="540">
        <f t="shared" si="59"/>
        <v>0</v>
      </c>
      <c r="GC19" s="541">
        <f t="shared" si="170"/>
        <v>0</v>
      </c>
      <c r="GD19" s="539"/>
      <c r="GE19" s="540">
        <f t="shared" si="60"/>
        <v>0</v>
      </c>
      <c r="GF19" s="541">
        <f t="shared" si="171"/>
        <v>0</v>
      </c>
      <c r="GG19" s="539"/>
      <c r="GH19" s="540">
        <f t="shared" si="61"/>
        <v>0</v>
      </c>
      <c r="GI19" s="541">
        <f t="shared" si="172"/>
        <v>0</v>
      </c>
      <c r="GJ19" s="539"/>
      <c r="GK19" s="540">
        <f t="shared" si="62"/>
        <v>0</v>
      </c>
      <c r="GL19" s="541">
        <f t="shared" si="173"/>
        <v>0</v>
      </c>
      <c r="GM19" s="539"/>
      <c r="GN19" s="540">
        <f t="shared" si="63"/>
        <v>0</v>
      </c>
      <c r="GO19" s="541">
        <f t="shared" si="174"/>
        <v>0</v>
      </c>
      <c r="GP19" s="539"/>
      <c r="GQ19" s="540">
        <f t="shared" si="64"/>
        <v>0</v>
      </c>
      <c r="GR19" s="541">
        <f t="shared" si="175"/>
        <v>0</v>
      </c>
      <c r="GS19" s="539"/>
      <c r="GT19" s="540">
        <f t="shared" si="65"/>
        <v>0</v>
      </c>
      <c r="GU19" s="541">
        <f t="shared" si="176"/>
        <v>0</v>
      </c>
      <c r="GV19" s="539"/>
      <c r="GW19" s="540">
        <f t="shared" si="66"/>
        <v>0</v>
      </c>
      <c r="GX19" s="541">
        <f t="shared" si="177"/>
        <v>0</v>
      </c>
      <c r="GY19" s="539"/>
      <c r="GZ19" s="540">
        <f t="shared" si="67"/>
        <v>0</v>
      </c>
      <c r="HA19" s="541">
        <f t="shared" si="178"/>
        <v>0</v>
      </c>
      <c r="HB19" s="539"/>
      <c r="HC19" s="540">
        <f t="shared" si="68"/>
        <v>0</v>
      </c>
      <c r="HD19" s="541">
        <f t="shared" si="179"/>
        <v>0</v>
      </c>
      <c r="HE19" s="539"/>
      <c r="HF19" s="540">
        <f t="shared" si="69"/>
        <v>0</v>
      </c>
      <c r="HG19" s="541">
        <f t="shared" si="180"/>
        <v>0</v>
      </c>
      <c r="HH19" s="539"/>
      <c r="HI19" s="540">
        <f t="shared" si="70"/>
        <v>0</v>
      </c>
      <c r="HJ19" s="541">
        <f t="shared" si="181"/>
        <v>0</v>
      </c>
      <c r="HK19" s="539"/>
      <c r="HL19" s="540">
        <f t="shared" si="71"/>
        <v>0</v>
      </c>
      <c r="HM19" s="541">
        <f t="shared" si="182"/>
        <v>0</v>
      </c>
      <c r="HN19" s="539"/>
      <c r="HO19" s="540">
        <f t="shared" si="72"/>
        <v>0</v>
      </c>
      <c r="HP19" s="541">
        <f t="shared" si="183"/>
        <v>0</v>
      </c>
      <c r="HQ19" s="539"/>
      <c r="HR19" s="540">
        <f t="shared" si="73"/>
        <v>0</v>
      </c>
      <c r="HS19" s="541">
        <f t="shared" si="184"/>
        <v>0</v>
      </c>
      <c r="HT19" s="539"/>
      <c r="HU19" s="540">
        <f t="shared" si="74"/>
        <v>0</v>
      </c>
      <c r="HV19" s="541">
        <f t="shared" si="185"/>
        <v>0</v>
      </c>
      <c r="HW19" s="539"/>
      <c r="HX19" s="540">
        <f t="shared" si="75"/>
        <v>0</v>
      </c>
      <c r="HY19" s="541">
        <f t="shared" si="186"/>
        <v>0</v>
      </c>
      <c r="HZ19" s="539"/>
      <c r="IA19" s="540">
        <f t="shared" si="76"/>
        <v>0</v>
      </c>
      <c r="IB19" s="541">
        <f t="shared" si="187"/>
        <v>0</v>
      </c>
      <c r="IC19" s="539"/>
      <c r="ID19" s="540">
        <f t="shared" si="77"/>
        <v>0</v>
      </c>
      <c r="IE19" s="541">
        <f t="shared" si="188"/>
        <v>0</v>
      </c>
      <c r="IF19" s="539"/>
      <c r="IG19" s="540">
        <f t="shared" si="78"/>
        <v>0</v>
      </c>
      <c r="IH19" s="541">
        <f t="shared" si="189"/>
        <v>0</v>
      </c>
      <c r="II19" s="539"/>
      <c r="IJ19" s="540">
        <f t="shared" si="79"/>
        <v>0</v>
      </c>
      <c r="IK19" s="541">
        <f t="shared" si="190"/>
        <v>0</v>
      </c>
      <c r="IL19" s="539"/>
      <c r="IM19" s="540">
        <f t="shared" si="80"/>
        <v>0</v>
      </c>
      <c r="IN19" s="541">
        <f t="shared" si="191"/>
        <v>0</v>
      </c>
      <c r="IO19" s="539"/>
      <c r="IP19" s="540">
        <f t="shared" si="81"/>
        <v>0</v>
      </c>
      <c r="IQ19" s="541">
        <f t="shared" si="192"/>
        <v>0</v>
      </c>
      <c r="IR19" s="539"/>
      <c r="IS19" s="540">
        <f t="shared" si="82"/>
        <v>0</v>
      </c>
      <c r="IT19" s="541">
        <f t="shared" si="193"/>
        <v>0</v>
      </c>
      <c r="IU19" s="539"/>
      <c r="IV19" s="540">
        <f t="shared" si="83"/>
        <v>0</v>
      </c>
      <c r="IW19" s="541">
        <f t="shared" si="194"/>
        <v>0</v>
      </c>
      <c r="IX19" s="539"/>
      <c r="IY19" s="540">
        <f t="shared" si="84"/>
        <v>0</v>
      </c>
      <c r="IZ19" s="541">
        <f t="shared" si="195"/>
        <v>0</v>
      </c>
      <c r="JA19" s="539"/>
      <c r="JB19" s="540">
        <f t="shared" si="85"/>
        <v>0</v>
      </c>
      <c r="JC19" s="541">
        <f t="shared" si="196"/>
        <v>0</v>
      </c>
      <c r="JD19" s="539"/>
      <c r="JE19" s="540">
        <f t="shared" si="86"/>
        <v>0</v>
      </c>
      <c r="JF19" s="541">
        <f t="shared" si="197"/>
        <v>0</v>
      </c>
      <c r="JG19" s="539"/>
      <c r="JH19" s="540">
        <f t="shared" si="87"/>
        <v>0</v>
      </c>
      <c r="JI19" s="541">
        <f t="shared" si="198"/>
        <v>0</v>
      </c>
      <c r="JJ19" s="539"/>
      <c r="JK19" s="541" t="str">
        <f t="shared" si="88"/>
        <v>0</v>
      </c>
      <c r="JL19" s="541" t="str">
        <f t="shared" si="89"/>
        <v>0</v>
      </c>
      <c r="JM19" s="539"/>
      <c r="JN19" s="541" t="str">
        <f t="shared" si="90"/>
        <v>0</v>
      </c>
      <c r="JO19" s="541" t="str">
        <f t="shared" si="91"/>
        <v>0</v>
      </c>
      <c r="JP19" s="539"/>
      <c r="JQ19" s="541" t="str">
        <f t="shared" si="92"/>
        <v>0</v>
      </c>
      <c r="JR19" s="541" t="str">
        <f t="shared" si="93"/>
        <v>0</v>
      </c>
      <c r="JS19" s="539"/>
      <c r="JT19" s="541" t="str">
        <f t="shared" si="94"/>
        <v>0</v>
      </c>
      <c r="JU19" s="541" t="str">
        <f t="shared" si="95"/>
        <v>0</v>
      </c>
      <c r="JV19" s="539"/>
      <c r="JW19" s="541" t="str">
        <f t="shared" si="96"/>
        <v>0</v>
      </c>
      <c r="JX19" s="541" t="str">
        <f t="shared" si="97"/>
        <v>0</v>
      </c>
      <c r="JY19" s="539"/>
      <c r="JZ19" s="541" t="str">
        <f t="shared" si="98"/>
        <v>0</v>
      </c>
      <c r="KA19" s="541" t="str">
        <f t="shared" si="99"/>
        <v>0</v>
      </c>
      <c r="KB19" s="539"/>
      <c r="KC19" s="541" t="str">
        <f t="shared" si="100"/>
        <v>0</v>
      </c>
      <c r="KD19" s="541" t="str">
        <f t="shared" si="101"/>
        <v>0</v>
      </c>
      <c r="KE19" s="539"/>
      <c r="KF19" s="541" t="str">
        <f t="shared" si="102"/>
        <v>0</v>
      </c>
      <c r="KG19" s="541" t="str">
        <f t="shared" si="103"/>
        <v>0</v>
      </c>
      <c r="KH19" s="539"/>
      <c r="KI19" s="541" t="str">
        <f t="shared" si="104"/>
        <v>0</v>
      </c>
      <c r="KJ19" s="541" t="str">
        <f t="shared" si="105"/>
        <v>0</v>
      </c>
      <c r="KK19" s="539"/>
      <c r="KL19" s="541" t="str">
        <f t="shared" si="106"/>
        <v>0</v>
      </c>
      <c r="KM19" s="541" t="str">
        <f t="shared" si="107"/>
        <v>0</v>
      </c>
      <c r="KN19" s="539"/>
      <c r="KO19" s="541" t="str">
        <f t="shared" si="108"/>
        <v>0</v>
      </c>
      <c r="KP19" s="541" t="str">
        <f t="shared" si="109"/>
        <v>0</v>
      </c>
      <c r="KQ19" s="539"/>
      <c r="KR19" s="541" t="str">
        <f t="shared" si="110"/>
        <v>0</v>
      </c>
      <c r="KS19" s="541" t="str">
        <f t="shared" si="111"/>
        <v>0</v>
      </c>
      <c r="KT19" s="541">
        <f t="shared" si="201"/>
        <v>0</v>
      </c>
      <c r="KU19" s="541">
        <f t="shared" si="202"/>
        <v>0</v>
      </c>
      <c r="KV19" s="272">
        <f t="shared" si="199"/>
        <v>895.29795047372943</v>
      </c>
    </row>
    <row r="20" spans="1:309" ht="15" customHeight="1">
      <c r="A20" s="274">
        <f t="shared" si="200"/>
        <v>46124</v>
      </c>
      <c r="B20" s="275" t="str">
        <f>+Report1!B20</f>
        <v>MG</v>
      </c>
      <c r="C20" s="417" t="str">
        <f>+Report1!C20</f>
        <v>17/16</v>
      </c>
      <c r="D20" s="276">
        <f>+Report1!P20</f>
        <v>82.275000000000006</v>
      </c>
      <c r="E20" s="277">
        <f>+Report1!R20</f>
        <v>89.156000000000006</v>
      </c>
      <c r="F20" s="539"/>
      <c r="G20" s="540">
        <f t="shared" si="0"/>
        <v>0</v>
      </c>
      <c r="H20" s="541">
        <f t="shared" si="112"/>
        <v>0</v>
      </c>
      <c r="I20" s="539">
        <v>767.44186046511618</v>
      </c>
      <c r="J20" s="540">
        <f t="shared" si="1"/>
        <v>8.6078543279769857</v>
      </c>
      <c r="K20" s="541">
        <f t="shared" si="113"/>
        <v>0</v>
      </c>
      <c r="L20" s="539"/>
      <c r="M20" s="540">
        <f t="shared" si="2"/>
        <v>0</v>
      </c>
      <c r="N20" s="541">
        <f t="shared" si="114"/>
        <v>0</v>
      </c>
      <c r="O20" s="539">
        <v>9.0000000000000036</v>
      </c>
      <c r="P20" s="540">
        <f t="shared" si="3"/>
        <v>0.10094665530082107</v>
      </c>
      <c r="Q20" s="541">
        <f t="shared" si="115"/>
        <v>0</v>
      </c>
      <c r="R20" s="539"/>
      <c r="S20" s="540">
        <f t="shared" si="4"/>
        <v>0</v>
      </c>
      <c r="T20" s="541">
        <f t="shared" si="116"/>
        <v>0</v>
      </c>
      <c r="U20" s="539">
        <v>7.6875</v>
      </c>
      <c r="V20" s="540">
        <f t="shared" si="5"/>
        <v>8.62252680694513E-2</v>
      </c>
      <c r="W20" s="541">
        <f t="shared" si="117"/>
        <v>0</v>
      </c>
      <c r="X20" s="539"/>
      <c r="Y20" s="540">
        <f t="shared" si="6"/>
        <v>0</v>
      </c>
      <c r="Z20" s="541">
        <f t="shared" si="118"/>
        <v>0</v>
      </c>
      <c r="AA20" s="539"/>
      <c r="AB20" s="540">
        <f t="shared" si="7"/>
        <v>0</v>
      </c>
      <c r="AC20" s="541">
        <f t="shared" si="119"/>
        <v>0</v>
      </c>
      <c r="AD20" s="539"/>
      <c r="AE20" s="540">
        <f t="shared" si="8"/>
        <v>0</v>
      </c>
      <c r="AF20" s="541">
        <f t="shared" si="120"/>
        <v>0</v>
      </c>
      <c r="AG20" s="539"/>
      <c r="AH20" s="540">
        <f t="shared" si="9"/>
        <v>0</v>
      </c>
      <c r="AI20" s="541">
        <f t="shared" si="121"/>
        <v>0</v>
      </c>
      <c r="AJ20" s="539"/>
      <c r="AK20" s="540">
        <f t="shared" si="10"/>
        <v>0</v>
      </c>
      <c r="AL20" s="541">
        <f t="shared" si="122"/>
        <v>0</v>
      </c>
      <c r="AM20" s="539">
        <v>0</v>
      </c>
      <c r="AN20" s="540">
        <f t="shared" si="11"/>
        <v>0</v>
      </c>
      <c r="AO20" s="541">
        <f t="shared" si="123"/>
        <v>0</v>
      </c>
      <c r="AP20" s="539">
        <v>0</v>
      </c>
      <c r="AQ20" s="540">
        <f t="shared" si="12"/>
        <v>0</v>
      </c>
      <c r="AR20" s="541">
        <f t="shared" si="124"/>
        <v>0</v>
      </c>
      <c r="AS20" s="539"/>
      <c r="AT20" s="540">
        <f t="shared" si="13"/>
        <v>0</v>
      </c>
      <c r="AU20" s="541">
        <f t="shared" si="125"/>
        <v>0</v>
      </c>
      <c r="AV20" s="539">
        <v>8.3250000000000028</v>
      </c>
      <c r="AW20" s="540">
        <f t="shared" si="14"/>
        <v>9.3375656153259476E-2</v>
      </c>
      <c r="AX20" s="541">
        <f t="shared" si="126"/>
        <v>0</v>
      </c>
      <c r="AY20" s="539">
        <v>0</v>
      </c>
      <c r="AZ20" s="540">
        <f t="shared" si="15"/>
        <v>0</v>
      </c>
      <c r="BA20" s="541">
        <f t="shared" si="127"/>
        <v>0</v>
      </c>
      <c r="BB20" s="539">
        <v>64.166666666666657</v>
      </c>
      <c r="BC20" s="540">
        <f t="shared" si="16"/>
        <v>0.71971226464474236</v>
      </c>
      <c r="BD20" s="541">
        <f t="shared" si="128"/>
        <v>0</v>
      </c>
      <c r="BE20" s="539"/>
      <c r="BF20" s="540">
        <f t="shared" si="17"/>
        <v>0</v>
      </c>
      <c r="BG20" s="541">
        <f t="shared" si="129"/>
        <v>0</v>
      </c>
      <c r="BH20" s="539"/>
      <c r="BI20" s="540">
        <f t="shared" si="18"/>
        <v>0</v>
      </c>
      <c r="BJ20" s="541">
        <f t="shared" si="130"/>
        <v>0</v>
      </c>
      <c r="BK20" s="539"/>
      <c r="BL20" s="540">
        <f t="shared" si="19"/>
        <v>0</v>
      </c>
      <c r="BM20" s="541">
        <f t="shared" si="131"/>
        <v>0</v>
      </c>
      <c r="BN20" s="539">
        <v>18.981481481481481</v>
      </c>
      <c r="BO20" s="540">
        <f t="shared" si="20"/>
        <v>0.21290189646778096</v>
      </c>
      <c r="BP20" s="541">
        <f t="shared" si="132"/>
        <v>0</v>
      </c>
      <c r="BQ20" s="539">
        <v>0</v>
      </c>
      <c r="BR20" s="540">
        <f t="shared" si="21"/>
        <v>0</v>
      </c>
      <c r="BS20" s="541">
        <f t="shared" si="133"/>
        <v>0</v>
      </c>
      <c r="BT20" s="539"/>
      <c r="BU20" s="540">
        <f t="shared" si="22"/>
        <v>0</v>
      </c>
      <c r="BV20" s="541">
        <f t="shared" si="134"/>
        <v>0</v>
      </c>
      <c r="BW20" s="539">
        <v>0.33999999999999986</v>
      </c>
      <c r="BX20" s="540">
        <f t="shared" si="23"/>
        <v>3.8135403113643482E-3</v>
      </c>
      <c r="BY20" s="541">
        <f t="shared" si="135"/>
        <v>0</v>
      </c>
      <c r="BZ20" s="539"/>
      <c r="CA20" s="540">
        <f t="shared" si="24"/>
        <v>0</v>
      </c>
      <c r="CB20" s="541">
        <f t="shared" si="136"/>
        <v>0</v>
      </c>
      <c r="CC20" s="539">
        <v>9.375</v>
      </c>
      <c r="CD20" s="540">
        <f t="shared" si="25"/>
        <v>0.10515276593835524</v>
      </c>
      <c r="CE20" s="541">
        <f t="shared" si="137"/>
        <v>0</v>
      </c>
      <c r="CF20" s="539">
        <v>0.10000000000000053</v>
      </c>
      <c r="CG20" s="540">
        <f t="shared" si="26"/>
        <v>1.1216295033424617E-3</v>
      </c>
      <c r="CH20" s="541">
        <f t="shared" si="138"/>
        <v>0</v>
      </c>
      <c r="CI20" s="539"/>
      <c r="CJ20" s="540">
        <f t="shared" si="27"/>
        <v>0</v>
      </c>
      <c r="CK20" s="541">
        <f t="shared" si="139"/>
        <v>0</v>
      </c>
      <c r="CL20" s="539"/>
      <c r="CM20" s="540">
        <f t="shared" si="28"/>
        <v>0</v>
      </c>
      <c r="CN20" s="541">
        <f t="shared" si="140"/>
        <v>0</v>
      </c>
      <c r="CO20" s="539"/>
      <c r="CP20" s="540">
        <f t="shared" si="29"/>
        <v>0</v>
      </c>
      <c r="CQ20" s="541">
        <f t="shared" si="141"/>
        <v>0</v>
      </c>
      <c r="CR20" s="539"/>
      <c r="CS20" s="540">
        <f t="shared" si="30"/>
        <v>0</v>
      </c>
      <c r="CT20" s="541">
        <f t="shared" si="142"/>
        <v>0</v>
      </c>
      <c r="CU20" s="539"/>
      <c r="CV20" s="540">
        <f t="shared" si="31"/>
        <v>0</v>
      </c>
      <c r="CW20" s="541">
        <f t="shared" si="143"/>
        <v>0</v>
      </c>
      <c r="CX20" s="539"/>
      <c r="CY20" s="540">
        <f t="shared" si="32"/>
        <v>0</v>
      </c>
      <c r="CZ20" s="541">
        <f t="shared" si="144"/>
        <v>0</v>
      </c>
      <c r="DA20" s="539">
        <v>0</v>
      </c>
      <c r="DB20" s="540">
        <f t="shared" si="33"/>
        <v>0</v>
      </c>
      <c r="DC20" s="541">
        <f t="shared" si="145"/>
        <v>0</v>
      </c>
      <c r="DD20" s="539"/>
      <c r="DE20" s="540">
        <f t="shared" si="34"/>
        <v>0</v>
      </c>
      <c r="DF20" s="541">
        <f t="shared" si="146"/>
        <v>0</v>
      </c>
      <c r="DG20" s="539">
        <v>1.1129999999999987</v>
      </c>
      <c r="DH20" s="540">
        <f t="shared" si="35"/>
        <v>1.2483736372201518E-2</v>
      </c>
      <c r="DI20" s="541">
        <f t="shared" si="203"/>
        <v>0</v>
      </c>
      <c r="DJ20" s="539"/>
      <c r="DK20" s="540">
        <f t="shared" si="36"/>
        <v>0</v>
      </c>
      <c r="DL20" s="541">
        <f t="shared" si="147"/>
        <v>0</v>
      </c>
      <c r="DM20" s="539"/>
      <c r="DN20" s="540">
        <f t="shared" si="37"/>
        <v>0</v>
      </c>
      <c r="DO20" s="541">
        <f t="shared" si="148"/>
        <v>0</v>
      </c>
      <c r="DP20" s="539"/>
      <c r="DQ20" s="540">
        <f t="shared" si="38"/>
        <v>0</v>
      </c>
      <c r="DR20" s="541">
        <f t="shared" si="149"/>
        <v>0</v>
      </c>
      <c r="DS20" s="539"/>
      <c r="DT20" s="540">
        <f t="shared" si="39"/>
        <v>0</v>
      </c>
      <c r="DU20" s="541">
        <f t="shared" si="150"/>
        <v>0</v>
      </c>
      <c r="DV20" s="539"/>
      <c r="DW20" s="540">
        <f t="shared" si="40"/>
        <v>0</v>
      </c>
      <c r="DX20" s="541">
        <f t="shared" si="151"/>
        <v>0</v>
      </c>
      <c r="DY20" s="539"/>
      <c r="DZ20" s="540">
        <f t="shared" si="41"/>
        <v>0</v>
      </c>
      <c r="EA20" s="541">
        <f t="shared" si="152"/>
        <v>0</v>
      </c>
      <c r="EB20" s="539">
        <v>7.2674418604651123</v>
      </c>
      <c r="EC20" s="540">
        <f t="shared" si="42"/>
        <v>8.1513772045236577E-2</v>
      </c>
      <c r="ED20" s="541">
        <f t="shared" si="153"/>
        <v>0</v>
      </c>
      <c r="EE20" s="539">
        <v>1.5</v>
      </c>
      <c r="EF20" s="540">
        <f t="shared" si="43"/>
        <v>1.6824442550136837E-2</v>
      </c>
      <c r="EG20" s="541">
        <f t="shared" si="154"/>
        <v>0</v>
      </c>
      <c r="EH20" s="539"/>
      <c r="EI20" s="540">
        <f t="shared" si="44"/>
        <v>0</v>
      </c>
      <c r="EJ20" s="541">
        <f t="shared" si="155"/>
        <v>0</v>
      </c>
      <c r="EK20" s="539"/>
      <c r="EL20" s="540">
        <f t="shared" si="45"/>
        <v>0</v>
      </c>
      <c r="EM20" s="541">
        <f t="shared" si="156"/>
        <v>0</v>
      </c>
      <c r="EN20" s="539"/>
      <c r="EO20" s="540">
        <f t="shared" si="46"/>
        <v>0</v>
      </c>
      <c r="EP20" s="541">
        <f t="shared" si="157"/>
        <v>0</v>
      </c>
      <c r="EQ20" s="539"/>
      <c r="ER20" s="540">
        <f t="shared" si="47"/>
        <v>0</v>
      </c>
      <c r="ES20" s="541">
        <f t="shared" si="158"/>
        <v>0</v>
      </c>
      <c r="ET20" s="539"/>
      <c r="EU20" s="540">
        <f t="shared" si="48"/>
        <v>0</v>
      </c>
      <c r="EV20" s="541">
        <f t="shared" si="159"/>
        <v>0</v>
      </c>
      <c r="EW20" s="539"/>
      <c r="EX20" s="540">
        <f t="shared" si="49"/>
        <v>0</v>
      </c>
      <c r="EY20" s="541">
        <f t="shared" si="160"/>
        <v>0</v>
      </c>
      <c r="EZ20" s="539"/>
      <c r="FA20" s="540">
        <f t="shared" si="50"/>
        <v>0</v>
      </c>
      <c r="FB20" s="541">
        <f t="shared" si="161"/>
        <v>0</v>
      </c>
      <c r="FC20" s="539"/>
      <c r="FD20" s="540">
        <f t="shared" si="51"/>
        <v>0</v>
      </c>
      <c r="FE20" s="541">
        <f t="shared" si="162"/>
        <v>0</v>
      </c>
      <c r="FF20" s="539"/>
      <c r="FG20" s="540">
        <f t="shared" si="52"/>
        <v>0</v>
      </c>
      <c r="FH20" s="541">
        <f t="shared" si="163"/>
        <v>0</v>
      </c>
      <c r="FI20" s="539"/>
      <c r="FJ20" s="540">
        <f t="shared" si="53"/>
        <v>0</v>
      </c>
      <c r="FK20" s="541">
        <f t="shared" si="164"/>
        <v>0</v>
      </c>
      <c r="FL20" s="539"/>
      <c r="FM20" s="540">
        <f t="shared" si="54"/>
        <v>0</v>
      </c>
      <c r="FN20" s="541">
        <f t="shared" si="165"/>
        <v>0</v>
      </c>
      <c r="FO20" s="539"/>
      <c r="FP20" s="540">
        <f t="shared" si="55"/>
        <v>0</v>
      </c>
      <c r="FQ20" s="541">
        <f t="shared" si="166"/>
        <v>0</v>
      </c>
      <c r="FR20" s="539"/>
      <c r="FS20" s="540">
        <f t="shared" si="56"/>
        <v>0</v>
      </c>
      <c r="FT20" s="541">
        <f t="shared" si="167"/>
        <v>0</v>
      </c>
      <c r="FU20" s="539"/>
      <c r="FV20" s="540">
        <f t="shared" si="57"/>
        <v>0</v>
      </c>
      <c r="FW20" s="541">
        <f t="shared" si="168"/>
        <v>0</v>
      </c>
      <c r="FX20" s="539"/>
      <c r="FY20" s="540">
        <f t="shared" si="58"/>
        <v>0</v>
      </c>
      <c r="FZ20" s="541">
        <f t="shared" si="169"/>
        <v>0</v>
      </c>
      <c r="GA20" s="539"/>
      <c r="GB20" s="540">
        <f t="shared" si="59"/>
        <v>0</v>
      </c>
      <c r="GC20" s="541">
        <f t="shared" si="170"/>
        <v>0</v>
      </c>
      <c r="GD20" s="539"/>
      <c r="GE20" s="540">
        <f t="shared" si="60"/>
        <v>0</v>
      </c>
      <c r="GF20" s="541">
        <f t="shared" si="171"/>
        <v>0</v>
      </c>
      <c r="GG20" s="539"/>
      <c r="GH20" s="540">
        <f t="shared" si="61"/>
        <v>0</v>
      </c>
      <c r="GI20" s="541">
        <f t="shared" si="172"/>
        <v>0</v>
      </c>
      <c r="GJ20" s="539"/>
      <c r="GK20" s="540">
        <f t="shared" si="62"/>
        <v>0</v>
      </c>
      <c r="GL20" s="541">
        <f t="shared" si="173"/>
        <v>0</v>
      </c>
      <c r="GM20" s="539"/>
      <c r="GN20" s="540">
        <f t="shared" si="63"/>
        <v>0</v>
      </c>
      <c r="GO20" s="541">
        <f t="shared" si="174"/>
        <v>0</v>
      </c>
      <c r="GP20" s="539"/>
      <c r="GQ20" s="540">
        <f t="shared" si="64"/>
        <v>0</v>
      </c>
      <c r="GR20" s="541">
        <f t="shared" si="175"/>
        <v>0</v>
      </c>
      <c r="GS20" s="539"/>
      <c r="GT20" s="540">
        <f t="shared" si="65"/>
        <v>0</v>
      </c>
      <c r="GU20" s="541">
        <f t="shared" si="176"/>
        <v>0</v>
      </c>
      <c r="GV20" s="539"/>
      <c r="GW20" s="540">
        <f t="shared" si="66"/>
        <v>0</v>
      </c>
      <c r="GX20" s="541">
        <f t="shared" si="177"/>
        <v>0</v>
      </c>
      <c r="GY20" s="539"/>
      <c r="GZ20" s="540">
        <f t="shared" si="67"/>
        <v>0</v>
      </c>
      <c r="HA20" s="541">
        <f t="shared" si="178"/>
        <v>0</v>
      </c>
      <c r="HB20" s="539"/>
      <c r="HC20" s="540">
        <f t="shared" si="68"/>
        <v>0</v>
      </c>
      <c r="HD20" s="541">
        <f t="shared" si="179"/>
        <v>0</v>
      </c>
      <c r="HE20" s="539"/>
      <c r="HF20" s="540">
        <f t="shared" si="69"/>
        <v>0</v>
      </c>
      <c r="HG20" s="541">
        <f t="shared" si="180"/>
        <v>0</v>
      </c>
      <c r="HH20" s="539"/>
      <c r="HI20" s="540">
        <f t="shared" si="70"/>
        <v>0</v>
      </c>
      <c r="HJ20" s="541">
        <f t="shared" si="181"/>
        <v>0</v>
      </c>
      <c r="HK20" s="539"/>
      <c r="HL20" s="540">
        <f t="shared" si="71"/>
        <v>0</v>
      </c>
      <c r="HM20" s="541">
        <f t="shared" si="182"/>
        <v>0</v>
      </c>
      <c r="HN20" s="539"/>
      <c r="HO20" s="540">
        <f t="shared" si="72"/>
        <v>0</v>
      </c>
      <c r="HP20" s="541">
        <f t="shared" si="183"/>
        <v>0</v>
      </c>
      <c r="HQ20" s="539"/>
      <c r="HR20" s="540">
        <f t="shared" si="73"/>
        <v>0</v>
      </c>
      <c r="HS20" s="541">
        <f t="shared" si="184"/>
        <v>0</v>
      </c>
      <c r="HT20" s="539"/>
      <c r="HU20" s="540">
        <f t="shared" si="74"/>
        <v>0</v>
      </c>
      <c r="HV20" s="541">
        <f t="shared" si="185"/>
        <v>0</v>
      </c>
      <c r="HW20" s="539"/>
      <c r="HX20" s="540">
        <f t="shared" si="75"/>
        <v>0</v>
      </c>
      <c r="HY20" s="541">
        <f t="shared" si="186"/>
        <v>0</v>
      </c>
      <c r="HZ20" s="539"/>
      <c r="IA20" s="540">
        <f t="shared" si="76"/>
        <v>0</v>
      </c>
      <c r="IB20" s="541">
        <f t="shared" si="187"/>
        <v>0</v>
      </c>
      <c r="IC20" s="539"/>
      <c r="ID20" s="540">
        <f t="shared" si="77"/>
        <v>0</v>
      </c>
      <c r="IE20" s="541">
        <f t="shared" si="188"/>
        <v>0</v>
      </c>
      <c r="IF20" s="539"/>
      <c r="IG20" s="540">
        <f t="shared" si="78"/>
        <v>0</v>
      </c>
      <c r="IH20" s="541">
        <f t="shared" si="189"/>
        <v>0</v>
      </c>
      <c r="II20" s="539"/>
      <c r="IJ20" s="540">
        <f t="shared" si="79"/>
        <v>0</v>
      </c>
      <c r="IK20" s="541">
        <f t="shared" si="190"/>
        <v>0</v>
      </c>
      <c r="IL20" s="539"/>
      <c r="IM20" s="540">
        <f t="shared" si="80"/>
        <v>0</v>
      </c>
      <c r="IN20" s="541">
        <f t="shared" si="191"/>
        <v>0</v>
      </c>
      <c r="IO20" s="539"/>
      <c r="IP20" s="540">
        <f t="shared" si="81"/>
        <v>0</v>
      </c>
      <c r="IQ20" s="541">
        <f t="shared" si="192"/>
        <v>0</v>
      </c>
      <c r="IR20" s="539"/>
      <c r="IS20" s="540">
        <f t="shared" si="82"/>
        <v>0</v>
      </c>
      <c r="IT20" s="541">
        <f t="shared" si="193"/>
        <v>0</v>
      </c>
      <c r="IU20" s="539"/>
      <c r="IV20" s="540">
        <f t="shared" si="83"/>
        <v>0</v>
      </c>
      <c r="IW20" s="541">
        <f t="shared" si="194"/>
        <v>0</v>
      </c>
      <c r="IX20" s="539"/>
      <c r="IY20" s="540">
        <f t="shared" si="84"/>
        <v>0</v>
      </c>
      <c r="IZ20" s="541">
        <f t="shared" si="195"/>
        <v>0</v>
      </c>
      <c r="JA20" s="539"/>
      <c r="JB20" s="540">
        <f t="shared" si="85"/>
        <v>0</v>
      </c>
      <c r="JC20" s="541">
        <f t="shared" si="196"/>
        <v>0</v>
      </c>
      <c r="JD20" s="539"/>
      <c r="JE20" s="540">
        <f t="shared" si="86"/>
        <v>0</v>
      </c>
      <c r="JF20" s="541">
        <f t="shared" si="197"/>
        <v>0</v>
      </c>
      <c r="JG20" s="539"/>
      <c r="JH20" s="540">
        <f t="shared" si="87"/>
        <v>0</v>
      </c>
      <c r="JI20" s="541">
        <f t="shared" si="198"/>
        <v>0</v>
      </c>
      <c r="JJ20" s="539"/>
      <c r="JK20" s="541" t="str">
        <f t="shared" si="88"/>
        <v>0</v>
      </c>
      <c r="JL20" s="541" t="str">
        <f t="shared" si="89"/>
        <v>0</v>
      </c>
      <c r="JM20" s="539"/>
      <c r="JN20" s="541" t="str">
        <f t="shared" si="90"/>
        <v>0</v>
      </c>
      <c r="JO20" s="541" t="str">
        <f t="shared" si="91"/>
        <v>0</v>
      </c>
      <c r="JP20" s="539"/>
      <c r="JQ20" s="541" t="str">
        <f t="shared" si="92"/>
        <v>0</v>
      </c>
      <c r="JR20" s="541" t="str">
        <f t="shared" si="93"/>
        <v>0</v>
      </c>
      <c r="JS20" s="539"/>
      <c r="JT20" s="541" t="str">
        <f t="shared" si="94"/>
        <v>0</v>
      </c>
      <c r="JU20" s="541" t="str">
        <f t="shared" si="95"/>
        <v>0</v>
      </c>
      <c r="JV20" s="539"/>
      <c r="JW20" s="541" t="str">
        <f t="shared" si="96"/>
        <v>0</v>
      </c>
      <c r="JX20" s="541" t="str">
        <f t="shared" si="97"/>
        <v>0</v>
      </c>
      <c r="JY20" s="539"/>
      <c r="JZ20" s="541" t="str">
        <f t="shared" si="98"/>
        <v>0</v>
      </c>
      <c r="KA20" s="541" t="str">
        <f t="shared" si="99"/>
        <v>0</v>
      </c>
      <c r="KB20" s="539"/>
      <c r="KC20" s="541" t="str">
        <f t="shared" si="100"/>
        <v>0</v>
      </c>
      <c r="KD20" s="541" t="str">
        <f t="shared" si="101"/>
        <v>0</v>
      </c>
      <c r="KE20" s="539"/>
      <c r="KF20" s="541" t="str">
        <f t="shared" si="102"/>
        <v>0</v>
      </c>
      <c r="KG20" s="541" t="str">
        <f t="shared" si="103"/>
        <v>0</v>
      </c>
      <c r="KH20" s="539"/>
      <c r="KI20" s="541" t="str">
        <f t="shared" si="104"/>
        <v>0</v>
      </c>
      <c r="KJ20" s="541" t="str">
        <f t="shared" si="105"/>
        <v>0</v>
      </c>
      <c r="KK20" s="539"/>
      <c r="KL20" s="541" t="str">
        <f t="shared" si="106"/>
        <v>0</v>
      </c>
      <c r="KM20" s="541" t="str">
        <f t="shared" si="107"/>
        <v>0</v>
      </c>
      <c r="KN20" s="539"/>
      <c r="KO20" s="541" t="str">
        <f t="shared" si="108"/>
        <v>0</v>
      </c>
      <c r="KP20" s="541" t="str">
        <f t="shared" si="109"/>
        <v>0</v>
      </c>
      <c r="KQ20" s="539"/>
      <c r="KR20" s="541" t="str">
        <f t="shared" si="110"/>
        <v>0</v>
      </c>
      <c r="KS20" s="541" t="str">
        <f t="shared" si="111"/>
        <v>0</v>
      </c>
      <c r="KT20" s="541">
        <f t="shared" si="201"/>
        <v>0</v>
      </c>
      <c r="KU20" s="541">
        <f t="shared" si="202"/>
        <v>0</v>
      </c>
      <c r="KV20" s="272">
        <f t="shared" si="199"/>
        <v>895.29795047372943</v>
      </c>
    </row>
    <row r="21" spans="1:309" ht="15" customHeight="1">
      <c r="A21" s="274">
        <f t="shared" si="200"/>
        <v>46125</v>
      </c>
      <c r="B21" s="275" t="str">
        <f>+Report1!B21</f>
        <v>MG</v>
      </c>
      <c r="C21" s="417" t="str">
        <f>+Report1!C21</f>
        <v>16</v>
      </c>
      <c r="D21" s="276">
        <f>+Report1!P21</f>
        <v>57.341000000000001</v>
      </c>
      <c r="E21" s="277">
        <f>+Report1!R21</f>
        <v>55.878</v>
      </c>
      <c r="F21" s="539"/>
      <c r="G21" s="540">
        <f t="shared" si="0"/>
        <v>0</v>
      </c>
      <c r="H21" s="541">
        <f t="shared" si="112"/>
        <v>0</v>
      </c>
      <c r="I21" s="539">
        <v>534.88372093023281</v>
      </c>
      <c r="J21" s="540">
        <f t="shared" si="1"/>
        <v>9.5723490627837933</v>
      </c>
      <c r="K21" s="541">
        <f t="shared" si="113"/>
        <v>0</v>
      </c>
      <c r="L21" s="539"/>
      <c r="M21" s="540">
        <f t="shared" si="2"/>
        <v>0</v>
      </c>
      <c r="N21" s="541">
        <f t="shared" si="114"/>
        <v>0</v>
      </c>
      <c r="O21" s="539">
        <v>9</v>
      </c>
      <c r="P21" s="540">
        <f t="shared" si="3"/>
        <v>0.16106517770857939</v>
      </c>
      <c r="Q21" s="541">
        <f t="shared" si="115"/>
        <v>0</v>
      </c>
      <c r="R21" s="539"/>
      <c r="S21" s="540">
        <f t="shared" si="4"/>
        <v>0</v>
      </c>
      <c r="T21" s="541">
        <f t="shared" si="116"/>
        <v>0</v>
      </c>
      <c r="U21" s="539">
        <v>7.6874999999999964</v>
      </c>
      <c r="V21" s="540">
        <f t="shared" si="5"/>
        <v>0.13757650595941151</v>
      </c>
      <c r="W21" s="541">
        <f t="shared" si="117"/>
        <v>0</v>
      </c>
      <c r="X21" s="539"/>
      <c r="Y21" s="540">
        <f t="shared" si="6"/>
        <v>0</v>
      </c>
      <c r="Z21" s="541">
        <f t="shared" si="118"/>
        <v>0</v>
      </c>
      <c r="AA21" s="539"/>
      <c r="AB21" s="540">
        <f t="shared" si="7"/>
        <v>0</v>
      </c>
      <c r="AC21" s="541">
        <f t="shared" si="119"/>
        <v>0</v>
      </c>
      <c r="AD21" s="539"/>
      <c r="AE21" s="540">
        <f t="shared" si="8"/>
        <v>0</v>
      </c>
      <c r="AF21" s="541">
        <f t="shared" si="120"/>
        <v>0</v>
      </c>
      <c r="AG21" s="539"/>
      <c r="AH21" s="540">
        <f t="shared" si="9"/>
        <v>0</v>
      </c>
      <c r="AI21" s="541">
        <f t="shared" si="121"/>
        <v>0</v>
      </c>
      <c r="AJ21" s="539"/>
      <c r="AK21" s="540">
        <f t="shared" si="10"/>
        <v>0</v>
      </c>
      <c r="AL21" s="541">
        <f t="shared" si="122"/>
        <v>0</v>
      </c>
      <c r="AM21" s="539">
        <v>0</v>
      </c>
      <c r="AN21" s="540">
        <f t="shared" si="11"/>
        <v>0</v>
      </c>
      <c r="AO21" s="541">
        <f t="shared" si="123"/>
        <v>0</v>
      </c>
      <c r="AP21" s="539">
        <v>0</v>
      </c>
      <c r="AQ21" s="540">
        <f t="shared" si="12"/>
        <v>0</v>
      </c>
      <c r="AR21" s="541">
        <f t="shared" si="124"/>
        <v>0</v>
      </c>
      <c r="AS21" s="539"/>
      <c r="AT21" s="540">
        <f t="shared" si="13"/>
        <v>0</v>
      </c>
      <c r="AU21" s="541">
        <f t="shared" si="125"/>
        <v>0</v>
      </c>
      <c r="AV21" s="539">
        <v>5.5500000000000114</v>
      </c>
      <c r="AW21" s="540">
        <f t="shared" si="14"/>
        <v>9.9323526253624173E-2</v>
      </c>
      <c r="AX21" s="541">
        <f t="shared" si="126"/>
        <v>0</v>
      </c>
      <c r="AY21" s="539">
        <v>0</v>
      </c>
      <c r="AZ21" s="540">
        <f t="shared" si="15"/>
        <v>0</v>
      </c>
      <c r="BA21" s="541">
        <f t="shared" si="127"/>
        <v>0</v>
      </c>
      <c r="BB21" s="539">
        <v>51.333333333333314</v>
      </c>
      <c r="BC21" s="540">
        <f t="shared" si="16"/>
        <v>0.91866805063411927</v>
      </c>
      <c r="BD21" s="541">
        <f t="shared" si="128"/>
        <v>0</v>
      </c>
      <c r="BE21" s="539"/>
      <c r="BF21" s="540">
        <f t="shared" si="17"/>
        <v>0</v>
      </c>
      <c r="BG21" s="541">
        <f t="shared" si="129"/>
        <v>0</v>
      </c>
      <c r="BH21" s="539"/>
      <c r="BI21" s="540">
        <f t="shared" si="18"/>
        <v>0</v>
      </c>
      <c r="BJ21" s="541">
        <f t="shared" si="130"/>
        <v>0</v>
      </c>
      <c r="BK21" s="539"/>
      <c r="BL21" s="540">
        <f t="shared" si="19"/>
        <v>0</v>
      </c>
      <c r="BM21" s="541">
        <f t="shared" si="131"/>
        <v>0</v>
      </c>
      <c r="BN21" s="539">
        <v>15.185185185185183</v>
      </c>
      <c r="BO21" s="540">
        <f t="shared" si="20"/>
        <v>0.27175606115439321</v>
      </c>
      <c r="BP21" s="541">
        <f t="shared" si="132"/>
        <v>0</v>
      </c>
      <c r="BQ21" s="539">
        <v>0</v>
      </c>
      <c r="BR21" s="540">
        <f t="shared" si="21"/>
        <v>0</v>
      </c>
      <c r="BS21" s="541">
        <f t="shared" si="133"/>
        <v>0</v>
      </c>
      <c r="BT21" s="539"/>
      <c r="BU21" s="540">
        <f t="shared" si="22"/>
        <v>0</v>
      </c>
      <c r="BV21" s="541">
        <f t="shared" si="134"/>
        <v>0</v>
      </c>
      <c r="BW21" s="539">
        <v>0.67999999999999972</v>
      </c>
      <c r="BX21" s="540">
        <f t="shared" si="23"/>
        <v>1.2169368982425995E-2</v>
      </c>
      <c r="BY21" s="541">
        <f t="shared" si="135"/>
        <v>0</v>
      </c>
      <c r="BZ21" s="539"/>
      <c r="CA21" s="540">
        <f t="shared" si="24"/>
        <v>0</v>
      </c>
      <c r="CB21" s="541">
        <f t="shared" si="136"/>
        <v>0</v>
      </c>
      <c r="CC21" s="539">
        <v>6.25</v>
      </c>
      <c r="CD21" s="540">
        <f t="shared" si="25"/>
        <v>0.11185081785318014</v>
      </c>
      <c r="CE21" s="541">
        <f t="shared" si="137"/>
        <v>0</v>
      </c>
      <c r="CF21" s="539">
        <v>9.9999999999999645E-2</v>
      </c>
      <c r="CG21" s="540">
        <f t="shared" si="26"/>
        <v>1.7896130856508759E-3</v>
      </c>
      <c r="CH21" s="541">
        <f t="shared" si="138"/>
        <v>0</v>
      </c>
      <c r="CI21" s="539"/>
      <c r="CJ21" s="540">
        <f t="shared" si="27"/>
        <v>0</v>
      </c>
      <c r="CK21" s="541">
        <f t="shared" si="139"/>
        <v>0</v>
      </c>
      <c r="CL21" s="539"/>
      <c r="CM21" s="540">
        <f t="shared" si="28"/>
        <v>0</v>
      </c>
      <c r="CN21" s="541">
        <f t="shared" si="140"/>
        <v>0</v>
      </c>
      <c r="CO21" s="539"/>
      <c r="CP21" s="540">
        <f t="shared" si="29"/>
        <v>0</v>
      </c>
      <c r="CQ21" s="541">
        <f t="shared" si="141"/>
        <v>0</v>
      </c>
      <c r="CR21" s="539"/>
      <c r="CS21" s="540">
        <f t="shared" si="30"/>
        <v>0</v>
      </c>
      <c r="CT21" s="541">
        <f t="shared" si="142"/>
        <v>0</v>
      </c>
      <c r="CU21" s="539"/>
      <c r="CV21" s="540">
        <f t="shared" si="31"/>
        <v>0</v>
      </c>
      <c r="CW21" s="541">
        <f t="shared" si="143"/>
        <v>0</v>
      </c>
      <c r="CX21" s="539"/>
      <c r="CY21" s="540">
        <f t="shared" si="32"/>
        <v>0</v>
      </c>
      <c r="CZ21" s="541">
        <f t="shared" si="144"/>
        <v>0</v>
      </c>
      <c r="DA21" s="539">
        <v>0</v>
      </c>
      <c r="DB21" s="540">
        <f t="shared" si="33"/>
        <v>0</v>
      </c>
      <c r="DC21" s="541">
        <f t="shared" si="145"/>
        <v>0</v>
      </c>
      <c r="DD21" s="539"/>
      <c r="DE21" s="540">
        <f t="shared" si="34"/>
        <v>0</v>
      </c>
      <c r="DF21" s="541">
        <f t="shared" si="146"/>
        <v>0</v>
      </c>
      <c r="DG21" s="539">
        <v>2.2250000000000014</v>
      </c>
      <c r="DH21" s="540">
        <f t="shared" si="35"/>
        <v>3.9818891155732158E-2</v>
      </c>
      <c r="DI21" s="541">
        <f t="shared" si="203"/>
        <v>0</v>
      </c>
      <c r="DJ21" s="539"/>
      <c r="DK21" s="540">
        <f t="shared" si="36"/>
        <v>0</v>
      </c>
      <c r="DL21" s="541">
        <f t="shared" si="147"/>
        <v>0</v>
      </c>
      <c r="DM21" s="539"/>
      <c r="DN21" s="540">
        <f t="shared" si="37"/>
        <v>0</v>
      </c>
      <c r="DO21" s="541">
        <f t="shared" si="148"/>
        <v>0</v>
      </c>
      <c r="DP21" s="539"/>
      <c r="DQ21" s="540">
        <f t="shared" si="38"/>
        <v>0</v>
      </c>
      <c r="DR21" s="541">
        <f t="shared" si="149"/>
        <v>0</v>
      </c>
      <c r="DS21" s="539"/>
      <c r="DT21" s="540">
        <f t="shared" si="39"/>
        <v>0</v>
      </c>
      <c r="DU21" s="541">
        <f t="shared" si="150"/>
        <v>0</v>
      </c>
      <c r="DV21" s="539"/>
      <c r="DW21" s="540">
        <f t="shared" si="40"/>
        <v>0</v>
      </c>
      <c r="DX21" s="541">
        <f t="shared" si="151"/>
        <v>0</v>
      </c>
      <c r="DY21" s="539"/>
      <c r="DZ21" s="540">
        <f t="shared" si="41"/>
        <v>0</v>
      </c>
      <c r="EA21" s="541">
        <f t="shared" si="152"/>
        <v>0</v>
      </c>
      <c r="EB21" s="539">
        <v>14.534883720930225</v>
      </c>
      <c r="EC21" s="540">
        <f t="shared" si="42"/>
        <v>0.26011818105390716</v>
      </c>
      <c r="ED21" s="541">
        <f t="shared" si="153"/>
        <v>0</v>
      </c>
      <c r="EE21" s="539">
        <v>1</v>
      </c>
      <c r="EF21" s="540">
        <f t="shared" si="43"/>
        <v>1.7896130856508822E-2</v>
      </c>
      <c r="EG21" s="541">
        <f t="shared" si="154"/>
        <v>0</v>
      </c>
      <c r="EH21" s="539"/>
      <c r="EI21" s="540">
        <f t="shared" si="44"/>
        <v>0</v>
      </c>
      <c r="EJ21" s="541">
        <f t="shared" si="155"/>
        <v>0</v>
      </c>
      <c r="EK21" s="539"/>
      <c r="EL21" s="540">
        <f t="shared" si="45"/>
        <v>0</v>
      </c>
      <c r="EM21" s="541">
        <f t="shared" si="156"/>
        <v>0</v>
      </c>
      <c r="EN21" s="539"/>
      <c r="EO21" s="540">
        <f t="shared" si="46"/>
        <v>0</v>
      </c>
      <c r="EP21" s="541">
        <f t="shared" si="157"/>
        <v>0</v>
      </c>
      <c r="EQ21" s="539"/>
      <c r="ER21" s="540">
        <f t="shared" si="47"/>
        <v>0</v>
      </c>
      <c r="ES21" s="541">
        <f t="shared" si="158"/>
        <v>0</v>
      </c>
      <c r="ET21" s="539"/>
      <c r="EU21" s="540">
        <f t="shared" si="48"/>
        <v>0</v>
      </c>
      <c r="EV21" s="541">
        <f t="shared" si="159"/>
        <v>0</v>
      </c>
      <c r="EW21" s="539"/>
      <c r="EX21" s="540">
        <f t="shared" si="49"/>
        <v>0</v>
      </c>
      <c r="EY21" s="541">
        <f t="shared" si="160"/>
        <v>0</v>
      </c>
      <c r="EZ21" s="539"/>
      <c r="FA21" s="540">
        <f t="shared" si="50"/>
        <v>0</v>
      </c>
      <c r="FB21" s="541">
        <f t="shared" si="161"/>
        <v>0</v>
      </c>
      <c r="FC21" s="539"/>
      <c r="FD21" s="540">
        <f t="shared" si="51"/>
        <v>0</v>
      </c>
      <c r="FE21" s="541">
        <f t="shared" si="162"/>
        <v>0</v>
      </c>
      <c r="FF21" s="539"/>
      <c r="FG21" s="540">
        <f t="shared" si="52"/>
        <v>0</v>
      </c>
      <c r="FH21" s="541">
        <f t="shared" si="163"/>
        <v>0</v>
      </c>
      <c r="FI21" s="539"/>
      <c r="FJ21" s="540">
        <f t="shared" si="53"/>
        <v>0</v>
      </c>
      <c r="FK21" s="541">
        <f t="shared" si="164"/>
        <v>0</v>
      </c>
      <c r="FL21" s="539"/>
      <c r="FM21" s="540">
        <f t="shared" si="54"/>
        <v>0</v>
      </c>
      <c r="FN21" s="541">
        <f t="shared" si="165"/>
        <v>0</v>
      </c>
      <c r="FO21" s="539"/>
      <c r="FP21" s="540">
        <f t="shared" si="55"/>
        <v>0</v>
      </c>
      <c r="FQ21" s="541">
        <f t="shared" si="166"/>
        <v>0</v>
      </c>
      <c r="FR21" s="539"/>
      <c r="FS21" s="540">
        <f t="shared" si="56"/>
        <v>0</v>
      </c>
      <c r="FT21" s="541">
        <f t="shared" si="167"/>
        <v>0</v>
      </c>
      <c r="FU21" s="539"/>
      <c r="FV21" s="540">
        <f t="shared" si="57"/>
        <v>0</v>
      </c>
      <c r="FW21" s="541">
        <f t="shared" si="168"/>
        <v>0</v>
      </c>
      <c r="FX21" s="539"/>
      <c r="FY21" s="540">
        <f t="shared" si="58"/>
        <v>0</v>
      </c>
      <c r="FZ21" s="541">
        <f t="shared" si="169"/>
        <v>0</v>
      </c>
      <c r="GA21" s="539"/>
      <c r="GB21" s="540">
        <f t="shared" si="59"/>
        <v>0</v>
      </c>
      <c r="GC21" s="541">
        <f t="shared" si="170"/>
        <v>0</v>
      </c>
      <c r="GD21" s="539"/>
      <c r="GE21" s="540">
        <f t="shared" si="60"/>
        <v>0</v>
      </c>
      <c r="GF21" s="541">
        <f t="shared" si="171"/>
        <v>0</v>
      </c>
      <c r="GG21" s="539"/>
      <c r="GH21" s="540">
        <f t="shared" si="61"/>
        <v>0</v>
      </c>
      <c r="GI21" s="541">
        <f t="shared" si="172"/>
        <v>0</v>
      </c>
      <c r="GJ21" s="539"/>
      <c r="GK21" s="540">
        <f t="shared" si="62"/>
        <v>0</v>
      </c>
      <c r="GL21" s="541">
        <f t="shared" si="173"/>
        <v>0</v>
      </c>
      <c r="GM21" s="539"/>
      <c r="GN21" s="540">
        <f t="shared" si="63"/>
        <v>0</v>
      </c>
      <c r="GO21" s="541">
        <f t="shared" si="174"/>
        <v>0</v>
      </c>
      <c r="GP21" s="539"/>
      <c r="GQ21" s="540">
        <f t="shared" si="64"/>
        <v>0</v>
      </c>
      <c r="GR21" s="541">
        <f t="shared" si="175"/>
        <v>0</v>
      </c>
      <c r="GS21" s="539"/>
      <c r="GT21" s="540">
        <f t="shared" si="65"/>
        <v>0</v>
      </c>
      <c r="GU21" s="541">
        <f t="shared" si="176"/>
        <v>0</v>
      </c>
      <c r="GV21" s="539"/>
      <c r="GW21" s="540">
        <f t="shared" si="66"/>
        <v>0</v>
      </c>
      <c r="GX21" s="541">
        <f t="shared" si="177"/>
        <v>0</v>
      </c>
      <c r="GY21" s="539"/>
      <c r="GZ21" s="540">
        <f t="shared" si="67"/>
        <v>0</v>
      </c>
      <c r="HA21" s="541">
        <f t="shared" si="178"/>
        <v>0</v>
      </c>
      <c r="HB21" s="539"/>
      <c r="HC21" s="540">
        <f t="shared" si="68"/>
        <v>0</v>
      </c>
      <c r="HD21" s="541">
        <f t="shared" si="179"/>
        <v>0</v>
      </c>
      <c r="HE21" s="539"/>
      <c r="HF21" s="540">
        <f t="shared" si="69"/>
        <v>0</v>
      </c>
      <c r="HG21" s="541">
        <f t="shared" si="180"/>
        <v>0</v>
      </c>
      <c r="HH21" s="539"/>
      <c r="HI21" s="540">
        <f t="shared" si="70"/>
        <v>0</v>
      </c>
      <c r="HJ21" s="541">
        <f t="shared" si="181"/>
        <v>0</v>
      </c>
      <c r="HK21" s="539"/>
      <c r="HL21" s="540">
        <f t="shared" si="71"/>
        <v>0</v>
      </c>
      <c r="HM21" s="541">
        <f t="shared" si="182"/>
        <v>0</v>
      </c>
      <c r="HN21" s="539"/>
      <c r="HO21" s="540">
        <f t="shared" si="72"/>
        <v>0</v>
      </c>
      <c r="HP21" s="541">
        <f t="shared" si="183"/>
        <v>0</v>
      </c>
      <c r="HQ21" s="539"/>
      <c r="HR21" s="540">
        <f t="shared" si="73"/>
        <v>0</v>
      </c>
      <c r="HS21" s="541">
        <f t="shared" si="184"/>
        <v>0</v>
      </c>
      <c r="HT21" s="539"/>
      <c r="HU21" s="540">
        <f t="shared" si="74"/>
        <v>0</v>
      </c>
      <c r="HV21" s="541">
        <f t="shared" si="185"/>
        <v>0</v>
      </c>
      <c r="HW21" s="539"/>
      <c r="HX21" s="540">
        <f t="shared" si="75"/>
        <v>0</v>
      </c>
      <c r="HY21" s="541">
        <f t="shared" si="186"/>
        <v>0</v>
      </c>
      <c r="HZ21" s="539"/>
      <c r="IA21" s="540">
        <f t="shared" si="76"/>
        <v>0</v>
      </c>
      <c r="IB21" s="541">
        <f t="shared" si="187"/>
        <v>0</v>
      </c>
      <c r="IC21" s="539"/>
      <c r="ID21" s="540">
        <f t="shared" si="77"/>
        <v>0</v>
      </c>
      <c r="IE21" s="541">
        <f t="shared" si="188"/>
        <v>0</v>
      </c>
      <c r="IF21" s="539"/>
      <c r="IG21" s="540">
        <f t="shared" si="78"/>
        <v>0</v>
      </c>
      <c r="IH21" s="541">
        <f t="shared" si="189"/>
        <v>0</v>
      </c>
      <c r="II21" s="539"/>
      <c r="IJ21" s="540">
        <f t="shared" si="79"/>
        <v>0</v>
      </c>
      <c r="IK21" s="541">
        <f t="shared" si="190"/>
        <v>0</v>
      </c>
      <c r="IL21" s="539"/>
      <c r="IM21" s="540">
        <f t="shared" si="80"/>
        <v>0</v>
      </c>
      <c r="IN21" s="541">
        <f t="shared" si="191"/>
        <v>0</v>
      </c>
      <c r="IO21" s="539"/>
      <c r="IP21" s="540">
        <f t="shared" si="81"/>
        <v>0</v>
      </c>
      <c r="IQ21" s="541">
        <f t="shared" si="192"/>
        <v>0</v>
      </c>
      <c r="IR21" s="539"/>
      <c r="IS21" s="540">
        <f t="shared" si="82"/>
        <v>0</v>
      </c>
      <c r="IT21" s="541">
        <f t="shared" si="193"/>
        <v>0</v>
      </c>
      <c r="IU21" s="539"/>
      <c r="IV21" s="540">
        <f t="shared" si="83"/>
        <v>0</v>
      </c>
      <c r="IW21" s="541">
        <f t="shared" si="194"/>
        <v>0</v>
      </c>
      <c r="IX21" s="539"/>
      <c r="IY21" s="540">
        <f t="shared" si="84"/>
        <v>0</v>
      </c>
      <c r="IZ21" s="541">
        <f t="shared" si="195"/>
        <v>0</v>
      </c>
      <c r="JA21" s="539"/>
      <c r="JB21" s="540">
        <f t="shared" si="85"/>
        <v>0</v>
      </c>
      <c r="JC21" s="541">
        <f t="shared" si="196"/>
        <v>0</v>
      </c>
      <c r="JD21" s="539"/>
      <c r="JE21" s="540">
        <f t="shared" si="86"/>
        <v>0</v>
      </c>
      <c r="JF21" s="541">
        <f t="shared" si="197"/>
        <v>0</v>
      </c>
      <c r="JG21" s="539"/>
      <c r="JH21" s="540">
        <f t="shared" si="87"/>
        <v>0</v>
      </c>
      <c r="JI21" s="541">
        <f t="shared" si="198"/>
        <v>0</v>
      </c>
      <c r="JJ21" s="539"/>
      <c r="JK21" s="541" t="str">
        <f t="shared" si="88"/>
        <v>0</v>
      </c>
      <c r="JL21" s="541" t="str">
        <f t="shared" si="89"/>
        <v>0</v>
      </c>
      <c r="JM21" s="539"/>
      <c r="JN21" s="541" t="str">
        <f t="shared" si="90"/>
        <v>0</v>
      </c>
      <c r="JO21" s="541" t="str">
        <f t="shared" si="91"/>
        <v>0</v>
      </c>
      <c r="JP21" s="539"/>
      <c r="JQ21" s="541" t="str">
        <f t="shared" si="92"/>
        <v>0</v>
      </c>
      <c r="JR21" s="541" t="str">
        <f t="shared" si="93"/>
        <v>0</v>
      </c>
      <c r="JS21" s="539"/>
      <c r="JT21" s="541" t="str">
        <f t="shared" si="94"/>
        <v>0</v>
      </c>
      <c r="JU21" s="541" t="str">
        <f t="shared" si="95"/>
        <v>0</v>
      </c>
      <c r="JV21" s="539"/>
      <c r="JW21" s="541" t="str">
        <f t="shared" si="96"/>
        <v>0</v>
      </c>
      <c r="JX21" s="541" t="str">
        <f t="shared" si="97"/>
        <v>0</v>
      </c>
      <c r="JY21" s="539"/>
      <c r="JZ21" s="541" t="str">
        <f t="shared" si="98"/>
        <v>0</v>
      </c>
      <c r="KA21" s="541" t="str">
        <f t="shared" si="99"/>
        <v>0</v>
      </c>
      <c r="KB21" s="539"/>
      <c r="KC21" s="541" t="str">
        <f t="shared" si="100"/>
        <v>0</v>
      </c>
      <c r="KD21" s="541" t="str">
        <f t="shared" si="101"/>
        <v>0</v>
      </c>
      <c r="KE21" s="539"/>
      <c r="KF21" s="541" t="str">
        <f t="shared" si="102"/>
        <v>0</v>
      </c>
      <c r="KG21" s="541" t="str">
        <f t="shared" si="103"/>
        <v>0</v>
      </c>
      <c r="KH21" s="539"/>
      <c r="KI21" s="541" t="str">
        <f t="shared" si="104"/>
        <v>0</v>
      </c>
      <c r="KJ21" s="541" t="str">
        <f t="shared" si="105"/>
        <v>0</v>
      </c>
      <c r="KK21" s="539"/>
      <c r="KL21" s="541" t="str">
        <f t="shared" si="106"/>
        <v>0</v>
      </c>
      <c r="KM21" s="541" t="str">
        <f t="shared" si="107"/>
        <v>0</v>
      </c>
      <c r="KN21" s="539"/>
      <c r="KO21" s="541" t="str">
        <f t="shared" si="108"/>
        <v>0</v>
      </c>
      <c r="KP21" s="541" t="str">
        <f t="shared" si="109"/>
        <v>0</v>
      </c>
      <c r="KQ21" s="539"/>
      <c r="KR21" s="541" t="str">
        <f t="shared" si="110"/>
        <v>0</v>
      </c>
      <c r="KS21" s="541" t="str">
        <f t="shared" si="111"/>
        <v>0</v>
      </c>
      <c r="KT21" s="541">
        <f t="shared" si="201"/>
        <v>0</v>
      </c>
      <c r="KU21" s="541">
        <f t="shared" si="202"/>
        <v>0</v>
      </c>
      <c r="KV21" s="272">
        <f t="shared" si="199"/>
        <v>648.42962316968146</v>
      </c>
    </row>
    <row r="22" spans="1:309" ht="15" customHeight="1">
      <c r="A22" s="274">
        <f t="shared" si="200"/>
        <v>46126</v>
      </c>
      <c r="B22" s="275" t="str">
        <f>+Report1!B22</f>
        <v>MG</v>
      </c>
      <c r="C22" s="417" t="str">
        <f>+Report1!C22</f>
        <v>16</v>
      </c>
      <c r="D22" s="276">
        <f>+Report1!P22</f>
        <v>77.495000000000005</v>
      </c>
      <c r="E22" s="277">
        <f>+Report1!R22</f>
        <v>73.936999999999998</v>
      </c>
      <c r="F22" s="539"/>
      <c r="G22" s="540">
        <f t="shared" si="0"/>
        <v>0</v>
      </c>
      <c r="H22" s="541">
        <f t="shared" si="112"/>
        <v>0</v>
      </c>
      <c r="I22" s="539">
        <v>744.18604651162786</v>
      </c>
      <c r="J22" s="540">
        <f t="shared" si="1"/>
        <v>10.065137164229382</v>
      </c>
      <c r="K22" s="541">
        <f t="shared" si="113"/>
        <v>0</v>
      </c>
      <c r="L22" s="539"/>
      <c r="M22" s="540">
        <f t="shared" si="2"/>
        <v>0</v>
      </c>
      <c r="N22" s="541">
        <f t="shared" si="114"/>
        <v>0</v>
      </c>
      <c r="O22" s="539">
        <v>8.9999999999999929</v>
      </c>
      <c r="P22" s="540">
        <f t="shared" si="3"/>
        <v>0.12172525257989901</v>
      </c>
      <c r="Q22" s="541">
        <f t="shared" si="115"/>
        <v>0</v>
      </c>
      <c r="R22" s="539"/>
      <c r="S22" s="540">
        <f t="shared" si="4"/>
        <v>0</v>
      </c>
      <c r="T22" s="541">
        <f t="shared" si="116"/>
        <v>0</v>
      </c>
      <c r="U22" s="539">
        <v>7.6875</v>
      </c>
      <c r="V22" s="540">
        <f t="shared" si="5"/>
        <v>0.10397365324533049</v>
      </c>
      <c r="W22" s="541">
        <f t="shared" si="117"/>
        <v>0</v>
      </c>
      <c r="X22" s="539"/>
      <c r="Y22" s="540">
        <f t="shared" si="6"/>
        <v>0</v>
      </c>
      <c r="Z22" s="541">
        <f t="shared" si="118"/>
        <v>0</v>
      </c>
      <c r="AA22" s="539"/>
      <c r="AB22" s="540">
        <f t="shared" si="7"/>
        <v>0</v>
      </c>
      <c r="AC22" s="541">
        <f t="shared" si="119"/>
        <v>0</v>
      </c>
      <c r="AD22" s="539"/>
      <c r="AE22" s="540">
        <f t="shared" si="8"/>
        <v>0</v>
      </c>
      <c r="AF22" s="541">
        <f t="shared" si="120"/>
        <v>0</v>
      </c>
      <c r="AG22" s="539"/>
      <c r="AH22" s="540">
        <f t="shared" si="9"/>
        <v>0</v>
      </c>
      <c r="AI22" s="541">
        <f t="shared" si="121"/>
        <v>0</v>
      </c>
      <c r="AJ22" s="539"/>
      <c r="AK22" s="540">
        <f t="shared" si="10"/>
        <v>0</v>
      </c>
      <c r="AL22" s="541">
        <f t="shared" si="122"/>
        <v>0</v>
      </c>
      <c r="AM22" s="539">
        <v>0</v>
      </c>
      <c r="AN22" s="540">
        <f t="shared" si="11"/>
        <v>0</v>
      </c>
      <c r="AO22" s="541">
        <f t="shared" si="123"/>
        <v>0</v>
      </c>
      <c r="AP22" s="539">
        <v>0</v>
      </c>
      <c r="AQ22" s="540">
        <f t="shared" si="12"/>
        <v>0</v>
      </c>
      <c r="AR22" s="541">
        <f t="shared" si="124"/>
        <v>0</v>
      </c>
      <c r="AS22" s="539"/>
      <c r="AT22" s="540">
        <f t="shared" si="13"/>
        <v>0</v>
      </c>
      <c r="AU22" s="541">
        <f t="shared" si="125"/>
        <v>0</v>
      </c>
      <c r="AV22" s="539">
        <v>0</v>
      </c>
      <c r="AW22" s="540">
        <f t="shared" si="14"/>
        <v>0</v>
      </c>
      <c r="AX22" s="541">
        <f t="shared" si="126"/>
        <v>0</v>
      </c>
      <c r="AY22" s="539">
        <v>0</v>
      </c>
      <c r="AZ22" s="540">
        <f t="shared" si="15"/>
        <v>0</v>
      </c>
      <c r="BA22" s="541">
        <f t="shared" si="127"/>
        <v>0</v>
      </c>
      <c r="BB22" s="539">
        <v>65.333333333333371</v>
      </c>
      <c r="BC22" s="540">
        <f t="shared" si="16"/>
        <v>0.88363516687630517</v>
      </c>
      <c r="BD22" s="541">
        <f t="shared" si="128"/>
        <v>0</v>
      </c>
      <c r="BE22" s="539"/>
      <c r="BF22" s="540">
        <f t="shared" si="17"/>
        <v>0</v>
      </c>
      <c r="BG22" s="541">
        <f t="shared" si="129"/>
        <v>0</v>
      </c>
      <c r="BH22" s="539"/>
      <c r="BI22" s="540">
        <f t="shared" si="18"/>
        <v>0</v>
      </c>
      <c r="BJ22" s="541">
        <f t="shared" si="130"/>
        <v>0</v>
      </c>
      <c r="BK22" s="539"/>
      <c r="BL22" s="540">
        <f t="shared" si="19"/>
        <v>0</v>
      </c>
      <c r="BM22" s="541">
        <f t="shared" si="131"/>
        <v>0</v>
      </c>
      <c r="BN22" s="539">
        <v>12.65432098765433</v>
      </c>
      <c r="BO22" s="540">
        <f t="shared" si="20"/>
        <v>0.17115004649437129</v>
      </c>
      <c r="BP22" s="541">
        <f t="shared" si="132"/>
        <v>0</v>
      </c>
      <c r="BQ22" s="539">
        <v>0</v>
      </c>
      <c r="BR22" s="540">
        <f t="shared" si="21"/>
        <v>0</v>
      </c>
      <c r="BS22" s="541">
        <f t="shared" si="133"/>
        <v>0</v>
      </c>
      <c r="BT22" s="539"/>
      <c r="BU22" s="540">
        <f t="shared" si="22"/>
        <v>0</v>
      </c>
      <c r="BV22" s="541">
        <f t="shared" si="134"/>
        <v>0</v>
      </c>
      <c r="BW22" s="539">
        <v>0.67999999999999972</v>
      </c>
      <c r="BX22" s="540">
        <f t="shared" si="23"/>
        <v>9.1970190838145949E-3</v>
      </c>
      <c r="BY22" s="541">
        <f t="shared" si="135"/>
        <v>0</v>
      </c>
      <c r="BZ22" s="539"/>
      <c r="CA22" s="540">
        <f t="shared" si="24"/>
        <v>0</v>
      </c>
      <c r="CB22" s="541">
        <f t="shared" si="136"/>
        <v>0</v>
      </c>
      <c r="CC22" s="539">
        <v>12.5</v>
      </c>
      <c r="CD22" s="540">
        <f t="shared" si="25"/>
        <v>0.16906285080541542</v>
      </c>
      <c r="CE22" s="541">
        <f t="shared" si="137"/>
        <v>0</v>
      </c>
      <c r="CF22" s="539">
        <v>9.9999999999999645E-2</v>
      </c>
      <c r="CG22" s="540">
        <f t="shared" si="26"/>
        <v>1.3525028064433186E-3</v>
      </c>
      <c r="CH22" s="541">
        <f t="shared" si="138"/>
        <v>0</v>
      </c>
      <c r="CI22" s="539"/>
      <c r="CJ22" s="540">
        <f t="shared" si="27"/>
        <v>0</v>
      </c>
      <c r="CK22" s="541">
        <f t="shared" si="139"/>
        <v>0</v>
      </c>
      <c r="CL22" s="539"/>
      <c r="CM22" s="540">
        <f t="shared" si="28"/>
        <v>0</v>
      </c>
      <c r="CN22" s="541">
        <f t="shared" si="140"/>
        <v>0</v>
      </c>
      <c r="CO22" s="539"/>
      <c r="CP22" s="540">
        <f t="shared" si="29"/>
        <v>0</v>
      </c>
      <c r="CQ22" s="541">
        <f t="shared" si="141"/>
        <v>0</v>
      </c>
      <c r="CR22" s="539"/>
      <c r="CS22" s="540">
        <f t="shared" si="30"/>
        <v>0</v>
      </c>
      <c r="CT22" s="541">
        <f t="shared" si="142"/>
        <v>0</v>
      </c>
      <c r="CU22" s="539"/>
      <c r="CV22" s="540">
        <f t="shared" si="31"/>
        <v>0</v>
      </c>
      <c r="CW22" s="541">
        <f t="shared" si="143"/>
        <v>0</v>
      </c>
      <c r="CX22" s="539"/>
      <c r="CY22" s="540">
        <f t="shared" si="32"/>
        <v>0</v>
      </c>
      <c r="CZ22" s="541">
        <f t="shared" si="144"/>
        <v>0</v>
      </c>
      <c r="DA22" s="539">
        <v>0</v>
      </c>
      <c r="DB22" s="540">
        <f t="shared" si="33"/>
        <v>0</v>
      </c>
      <c r="DC22" s="541">
        <f t="shared" si="145"/>
        <v>0</v>
      </c>
      <c r="DD22" s="539"/>
      <c r="DE22" s="540">
        <f t="shared" si="34"/>
        <v>0</v>
      </c>
      <c r="DF22" s="541">
        <f t="shared" si="146"/>
        <v>0</v>
      </c>
      <c r="DG22" s="539">
        <v>4.7249999999999943</v>
      </c>
      <c r="DH22" s="540">
        <f t="shared" si="35"/>
        <v>6.3905757604446958E-2</v>
      </c>
      <c r="DI22" s="541">
        <f t="shared" si="203"/>
        <v>0</v>
      </c>
      <c r="DJ22" s="539"/>
      <c r="DK22" s="540">
        <f t="shared" si="36"/>
        <v>0</v>
      </c>
      <c r="DL22" s="541">
        <f t="shared" si="147"/>
        <v>0</v>
      </c>
      <c r="DM22" s="539"/>
      <c r="DN22" s="540">
        <f t="shared" si="37"/>
        <v>0</v>
      </c>
      <c r="DO22" s="541">
        <f t="shared" si="148"/>
        <v>0</v>
      </c>
      <c r="DP22" s="539"/>
      <c r="DQ22" s="540">
        <f t="shared" si="38"/>
        <v>0</v>
      </c>
      <c r="DR22" s="541">
        <f t="shared" si="149"/>
        <v>0</v>
      </c>
      <c r="DS22" s="539"/>
      <c r="DT22" s="540">
        <f t="shared" si="39"/>
        <v>0</v>
      </c>
      <c r="DU22" s="541">
        <f t="shared" si="150"/>
        <v>0</v>
      </c>
      <c r="DV22" s="539"/>
      <c r="DW22" s="540">
        <f t="shared" si="40"/>
        <v>0</v>
      </c>
      <c r="DX22" s="541">
        <f t="shared" si="151"/>
        <v>0</v>
      </c>
      <c r="DY22" s="539"/>
      <c r="DZ22" s="540">
        <f t="shared" si="41"/>
        <v>0</v>
      </c>
      <c r="EA22" s="541">
        <f t="shared" si="152"/>
        <v>0</v>
      </c>
      <c r="EB22" s="539">
        <v>14.534883720930225</v>
      </c>
      <c r="EC22" s="540">
        <f t="shared" si="42"/>
        <v>0.19658471023885504</v>
      </c>
      <c r="ED22" s="541">
        <f t="shared" si="153"/>
        <v>0</v>
      </c>
      <c r="EE22" s="539">
        <v>1</v>
      </c>
      <c r="EF22" s="540">
        <f t="shared" si="43"/>
        <v>1.3525028064433234E-2</v>
      </c>
      <c r="EG22" s="541">
        <f t="shared" si="154"/>
        <v>0</v>
      </c>
      <c r="EH22" s="539"/>
      <c r="EI22" s="540">
        <f t="shared" si="44"/>
        <v>0</v>
      </c>
      <c r="EJ22" s="541">
        <f t="shared" si="155"/>
        <v>0</v>
      </c>
      <c r="EK22" s="539"/>
      <c r="EL22" s="540">
        <f t="shared" si="45"/>
        <v>0</v>
      </c>
      <c r="EM22" s="541">
        <f t="shared" si="156"/>
        <v>0</v>
      </c>
      <c r="EN22" s="539"/>
      <c r="EO22" s="540">
        <f t="shared" si="46"/>
        <v>0</v>
      </c>
      <c r="EP22" s="541">
        <f t="shared" si="157"/>
        <v>0</v>
      </c>
      <c r="EQ22" s="539"/>
      <c r="ER22" s="540">
        <f t="shared" si="47"/>
        <v>0</v>
      </c>
      <c r="ES22" s="541">
        <f t="shared" si="158"/>
        <v>0</v>
      </c>
      <c r="ET22" s="539"/>
      <c r="EU22" s="540">
        <f t="shared" si="48"/>
        <v>0</v>
      </c>
      <c r="EV22" s="541">
        <f t="shared" si="159"/>
        <v>0</v>
      </c>
      <c r="EW22" s="539"/>
      <c r="EX22" s="540">
        <f t="shared" si="49"/>
        <v>0</v>
      </c>
      <c r="EY22" s="541">
        <f t="shared" si="160"/>
        <v>0</v>
      </c>
      <c r="EZ22" s="539"/>
      <c r="FA22" s="540">
        <f t="shared" si="50"/>
        <v>0</v>
      </c>
      <c r="FB22" s="541">
        <f t="shared" si="161"/>
        <v>0</v>
      </c>
      <c r="FC22" s="539"/>
      <c r="FD22" s="540">
        <f t="shared" si="51"/>
        <v>0</v>
      </c>
      <c r="FE22" s="541">
        <f t="shared" si="162"/>
        <v>0</v>
      </c>
      <c r="FF22" s="539"/>
      <c r="FG22" s="540">
        <f t="shared" si="52"/>
        <v>0</v>
      </c>
      <c r="FH22" s="541">
        <f t="shared" si="163"/>
        <v>0</v>
      </c>
      <c r="FI22" s="539"/>
      <c r="FJ22" s="540">
        <f t="shared" si="53"/>
        <v>0</v>
      </c>
      <c r="FK22" s="541">
        <f t="shared" si="164"/>
        <v>0</v>
      </c>
      <c r="FL22" s="539"/>
      <c r="FM22" s="540">
        <f t="shared" si="54"/>
        <v>0</v>
      </c>
      <c r="FN22" s="541">
        <f t="shared" si="165"/>
        <v>0</v>
      </c>
      <c r="FO22" s="539"/>
      <c r="FP22" s="540">
        <f t="shared" si="55"/>
        <v>0</v>
      </c>
      <c r="FQ22" s="541">
        <f t="shared" si="166"/>
        <v>0</v>
      </c>
      <c r="FR22" s="539"/>
      <c r="FS22" s="540">
        <f t="shared" si="56"/>
        <v>0</v>
      </c>
      <c r="FT22" s="541">
        <f t="shared" si="167"/>
        <v>0</v>
      </c>
      <c r="FU22" s="539"/>
      <c r="FV22" s="540">
        <f t="shared" si="57"/>
        <v>0</v>
      </c>
      <c r="FW22" s="541">
        <f t="shared" si="168"/>
        <v>0</v>
      </c>
      <c r="FX22" s="539"/>
      <c r="FY22" s="540">
        <f t="shared" si="58"/>
        <v>0</v>
      </c>
      <c r="FZ22" s="541">
        <f t="shared" si="169"/>
        <v>0</v>
      </c>
      <c r="GA22" s="539"/>
      <c r="GB22" s="540">
        <f t="shared" si="59"/>
        <v>0</v>
      </c>
      <c r="GC22" s="541">
        <f t="shared" si="170"/>
        <v>0</v>
      </c>
      <c r="GD22" s="539"/>
      <c r="GE22" s="540">
        <f t="shared" si="60"/>
        <v>0</v>
      </c>
      <c r="GF22" s="541">
        <f t="shared" si="171"/>
        <v>0</v>
      </c>
      <c r="GG22" s="539"/>
      <c r="GH22" s="540">
        <f t="shared" si="61"/>
        <v>0</v>
      </c>
      <c r="GI22" s="541">
        <f t="shared" si="172"/>
        <v>0</v>
      </c>
      <c r="GJ22" s="539"/>
      <c r="GK22" s="540">
        <f t="shared" si="62"/>
        <v>0</v>
      </c>
      <c r="GL22" s="541">
        <f t="shared" si="173"/>
        <v>0</v>
      </c>
      <c r="GM22" s="539"/>
      <c r="GN22" s="540">
        <f t="shared" si="63"/>
        <v>0</v>
      </c>
      <c r="GO22" s="541">
        <f t="shared" si="174"/>
        <v>0</v>
      </c>
      <c r="GP22" s="539"/>
      <c r="GQ22" s="540">
        <f t="shared" si="64"/>
        <v>0</v>
      </c>
      <c r="GR22" s="541">
        <f t="shared" si="175"/>
        <v>0</v>
      </c>
      <c r="GS22" s="539"/>
      <c r="GT22" s="540">
        <f t="shared" si="65"/>
        <v>0</v>
      </c>
      <c r="GU22" s="541">
        <f t="shared" si="176"/>
        <v>0</v>
      </c>
      <c r="GV22" s="539"/>
      <c r="GW22" s="540">
        <f t="shared" si="66"/>
        <v>0</v>
      </c>
      <c r="GX22" s="541">
        <f t="shared" si="177"/>
        <v>0</v>
      </c>
      <c r="GY22" s="539"/>
      <c r="GZ22" s="540">
        <f t="shared" si="67"/>
        <v>0</v>
      </c>
      <c r="HA22" s="541">
        <f t="shared" si="178"/>
        <v>0</v>
      </c>
      <c r="HB22" s="539"/>
      <c r="HC22" s="540">
        <f t="shared" si="68"/>
        <v>0</v>
      </c>
      <c r="HD22" s="541">
        <f t="shared" si="179"/>
        <v>0</v>
      </c>
      <c r="HE22" s="539"/>
      <c r="HF22" s="540">
        <f t="shared" si="69"/>
        <v>0</v>
      </c>
      <c r="HG22" s="541">
        <f t="shared" si="180"/>
        <v>0</v>
      </c>
      <c r="HH22" s="539"/>
      <c r="HI22" s="540">
        <f t="shared" si="70"/>
        <v>0</v>
      </c>
      <c r="HJ22" s="541">
        <f t="shared" si="181"/>
        <v>0</v>
      </c>
      <c r="HK22" s="539"/>
      <c r="HL22" s="540">
        <f t="shared" si="71"/>
        <v>0</v>
      </c>
      <c r="HM22" s="541">
        <f t="shared" si="182"/>
        <v>0</v>
      </c>
      <c r="HN22" s="539"/>
      <c r="HO22" s="540">
        <f t="shared" si="72"/>
        <v>0</v>
      </c>
      <c r="HP22" s="541">
        <f t="shared" si="183"/>
        <v>0</v>
      </c>
      <c r="HQ22" s="539"/>
      <c r="HR22" s="540">
        <f t="shared" si="73"/>
        <v>0</v>
      </c>
      <c r="HS22" s="541">
        <f t="shared" si="184"/>
        <v>0</v>
      </c>
      <c r="HT22" s="539"/>
      <c r="HU22" s="540">
        <f t="shared" si="74"/>
        <v>0</v>
      </c>
      <c r="HV22" s="541">
        <f t="shared" si="185"/>
        <v>0</v>
      </c>
      <c r="HW22" s="539"/>
      <c r="HX22" s="540">
        <f t="shared" si="75"/>
        <v>0</v>
      </c>
      <c r="HY22" s="541">
        <f t="shared" si="186"/>
        <v>0</v>
      </c>
      <c r="HZ22" s="539"/>
      <c r="IA22" s="540">
        <f t="shared" si="76"/>
        <v>0</v>
      </c>
      <c r="IB22" s="541">
        <f t="shared" si="187"/>
        <v>0</v>
      </c>
      <c r="IC22" s="539"/>
      <c r="ID22" s="540">
        <f t="shared" si="77"/>
        <v>0</v>
      </c>
      <c r="IE22" s="541">
        <f t="shared" si="188"/>
        <v>0</v>
      </c>
      <c r="IF22" s="539"/>
      <c r="IG22" s="540">
        <f t="shared" si="78"/>
        <v>0</v>
      </c>
      <c r="IH22" s="541">
        <f t="shared" si="189"/>
        <v>0</v>
      </c>
      <c r="II22" s="539"/>
      <c r="IJ22" s="540">
        <f t="shared" si="79"/>
        <v>0</v>
      </c>
      <c r="IK22" s="541">
        <f t="shared" si="190"/>
        <v>0</v>
      </c>
      <c r="IL22" s="539"/>
      <c r="IM22" s="540">
        <f t="shared" si="80"/>
        <v>0</v>
      </c>
      <c r="IN22" s="541">
        <f t="shared" si="191"/>
        <v>0</v>
      </c>
      <c r="IO22" s="539"/>
      <c r="IP22" s="540">
        <f t="shared" si="81"/>
        <v>0</v>
      </c>
      <c r="IQ22" s="541">
        <f t="shared" si="192"/>
        <v>0</v>
      </c>
      <c r="IR22" s="539"/>
      <c r="IS22" s="540">
        <f t="shared" si="82"/>
        <v>0</v>
      </c>
      <c r="IT22" s="541">
        <f t="shared" si="193"/>
        <v>0</v>
      </c>
      <c r="IU22" s="539"/>
      <c r="IV22" s="540">
        <f t="shared" si="83"/>
        <v>0</v>
      </c>
      <c r="IW22" s="541">
        <f t="shared" si="194"/>
        <v>0</v>
      </c>
      <c r="IX22" s="539"/>
      <c r="IY22" s="540">
        <f t="shared" si="84"/>
        <v>0</v>
      </c>
      <c r="IZ22" s="541">
        <f t="shared" si="195"/>
        <v>0</v>
      </c>
      <c r="JA22" s="539"/>
      <c r="JB22" s="540">
        <f t="shared" si="85"/>
        <v>0</v>
      </c>
      <c r="JC22" s="541">
        <f t="shared" si="196"/>
        <v>0</v>
      </c>
      <c r="JD22" s="539"/>
      <c r="JE22" s="540">
        <f t="shared" si="86"/>
        <v>0</v>
      </c>
      <c r="JF22" s="541">
        <f t="shared" si="197"/>
        <v>0</v>
      </c>
      <c r="JG22" s="539"/>
      <c r="JH22" s="540">
        <f t="shared" si="87"/>
        <v>0</v>
      </c>
      <c r="JI22" s="541">
        <f t="shared" si="198"/>
        <v>0</v>
      </c>
      <c r="JJ22" s="539"/>
      <c r="JK22" s="541" t="str">
        <f t="shared" si="88"/>
        <v>0</v>
      </c>
      <c r="JL22" s="541" t="str">
        <f t="shared" si="89"/>
        <v>0</v>
      </c>
      <c r="JM22" s="539"/>
      <c r="JN22" s="541" t="str">
        <f t="shared" si="90"/>
        <v>0</v>
      </c>
      <c r="JO22" s="541" t="str">
        <f t="shared" si="91"/>
        <v>0</v>
      </c>
      <c r="JP22" s="539"/>
      <c r="JQ22" s="541" t="str">
        <f t="shared" si="92"/>
        <v>0</v>
      </c>
      <c r="JR22" s="541" t="str">
        <f t="shared" si="93"/>
        <v>0</v>
      </c>
      <c r="JS22" s="539"/>
      <c r="JT22" s="541" t="str">
        <f t="shared" si="94"/>
        <v>0</v>
      </c>
      <c r="JU22" s="541" t="str">
        <f t="shared" si="95"/>
        <v>0</v>
      </c>
      <c r="JV22" s="539"/>
      <c r="JW22" s="541" t="str">
        <f t="shared" si="96"/>
        <v>0</v>
      </c>
      <c r="JX22" s="541" t="str">
        <f t="shared" si="97"/>
        <v>0</v>
      </c>
      <c r="JY22" s="539"/>
      <c r="JZ22" s="541" t="str">
        <f t="shared" si="98"/>
        <v>0</v>
      </c>
      <c r="KA22" s="541" t="str">
        <f t="shared" si="99"/>
        <v>0</v>
      </c>
      <c r="KB22" s="539"/>
      <c r="KC22" s="541" t="str">
        <f t="shared" si="100"/>
        <v>0</v>
      </c>
      <c r="KD22" s="541" t="str">
        <f t="shared" si="101"/>
        <v>0</v>
      </c>
      <c r="KE22" s="539"/>
      <c r="KF22" s="541" t="str">
        <f t="shared" si="102"/>
        <v>0</v>
      </c>
      <c r="KG22" s="541" t="str">
        <f t="shared" si="103"/>
        <v>0</v>
      </c>
      <c r="KH22" s="539"/>
      <c r="KI22" s="541" t="str">
        <f t="shared" si="104"/>
        <v>0</v>
      </c>
      <c r="KJ22" s="541" t="str">
        <f t="shared" si="105"/>
        <v>0</v>
      </c>
      <c r="KK22" s="539"/>
      <c r="KL22" s="541" t="str">
        <f t="shared" si="106"/>
        <v>0</v>
      </c>
      <c r="KM22" s="541" t="str">
        <f t="shared" si="107"/>
        <v>0</v>
      </c>
      <c r="KN22" s="539"/>
      <c r="KO22" s="541" t="str">
        <f t="shared" si="108"/>
        <v>0</v>
      </c>
      <c r="KP22" s="541" t="str">
        <f t="shared" si="109"/>
        <v>0</v>
      </c>
      <c r="KQ22" s="539"/>
      <c r="KR22" s="541" t="str">
        <f t="shared" si="110"/>
        <v>0</v>
      </c>
      <c r="KS22" s="541" t="str">
        <f t="shared" si="111"/>
        <v>0</v>
      </c>
      <c r="KT22" s="541">
        <f t="shared" si="201"/>
        <v>0</v>
      </c>
      <c r="KU22" s="541">
        <f t="shared" si="202"/>
        <v>0</v>
      </c>
      <c r="KV22" s="272">
        <f t="shared" si="199"/>
        <v>872.40108455354584</v>
      </c>
    </row>
    <row r="23" spans="1:309" ht="15" customHeight="1">
      <c r="A23" s="274">
        <f t="shared" si="200"/>
        <v>46127</v>
      </c>
      <c r="B23" s="275" t="str">
        <f>+Report1!B23</f>
        <v>MG</v>
      </c>
      <c r="C23" s="417" t="str">
        <f>+Report1!C23</f>
        <v>16</v>
      </c>
      <c r="D23" s="276">
        <f>+Report1!P23</f>
        <v>79.481999999999999</v>
      </c>
      <c r="E23" s="277">
        <f>+Report1!R23</f>
        <v>80.088999999999999</v>
      </c>
      <c r="F23" s="539"/>
      <c r="G23" s="540">
        <f t="shared" si="0"/>
        <v>0</v>
      </c>
      <c r="H23" s="541">
        <f t="shared" si="112"/>
        <v>0</v>
      </c>
      <c r="I23" s="539">
        <v>732.55813953488371</v>
      </c>
      <c r="J23" s="540">
        <f t="shared" si="1"/>
        <v>9.1468009281534766</v>
      </c>
      <c r="K23" s="541">
        <f t="shared" si="113"/>
        <v>0</v>
      </c>
      <c r="L23" s="539"/>
      <c r="M23" s="540">
        <f t="shared" si="2"/>
        <v>0</v>
      </c>
      <c r="N23" s="541">
        <f t="shared" si="114"/>
        <v>0</v>
      </c>
      <c r="O23" s="539">
        <v>9</v>
      </c>
      <c r="P23" s="540">
        <f t="shared" si="3"/>
        <v>0.11237498283159984</v>
      </c>
      <c r="Q23" s="541">
        <f t="shared" si="115"/>
        <v>0</v>
      </c>
      <c r="R23" s="539"/>
      <c r="S23" s="540">
        <f t="shared" si="4"/>
        <v>0</v>
      </c>
      <c r="T23" s="541">
        <f t="shared" si="116"/>
        <v>0</v>
      </c>
      <c r="U23" s="539">
        <v>7.6875000000000018</v>
      </c>
      <c r="V23" s="540">
        <f t="shared" si="5"/>
        <v>9.5986964501991554E-2</v>
      </c>
      <c r="W23" s="541">
        <f t="shared" si="117"/>
        <v>0</v>
      </c>
      <c r="X23" s="539"/>
      <c r="Y23" s="540">
        <f t="shared" si="6"/>
        <v>0</v>
      </c>
      <c r="Z23" s="541">
        <f t="shared" si="118"/>
        <v>0</v>
      </c>
      <c r="AA23" s="539"/>
      <c r="AB23" s="540">
        <f t="shared" si="7"/>
        <v>0</v>
      </c>
      <c r="AC23" s="541">
        <f t="shared" si="119"/>
        <v>0</v>
      </c>
      <c r="AD23" s="539"/>
      <c r="AE23" s="540">
        <f t="shared" si="8"/>
        <v>0</v>
      </c>
      <c r="AF23" s="541">
        <f t="shared" si="120"/>
        <v>0</v>
      </c>
      <c r="AG23" s="539"/>
      <c r="AH23" s="540">
        <f t="shared" si="9"/>
        <v>0</v>
      </c>
      <c r="AI23" s="541">
        <f t="shared" si="121"/>
        <v>0</v>
      </c>
      <c r="AJ23" s="539"/>
      <c r="AK23" s="540">
        <f t="shared" si="10"/>
        <v>0</v>
      </c>
      <c r="AL23" s="541">
        <f t="shared" si="122"/>
        <v>0</v>
      </c>
      <c r="AM23" s="539">
        <v>0</v>
      </c>
      <c r="AN23" s="540">
        <f t="shared" si="11"/>
        <v>0</v>
      </c>
      <c r="AO23" s="541">
        <f t="shared" si="123"/>
        <v>0</v>
      </c>
      <c r="AP23" s="539">
        <v>0</v>
      </c>
      <c r="AQ23" s="540">
        <f t="shared" si="12"/>
        <v>0</v>
      </c>
      <c r="AR23" s="541">
        <f t="shared" si="124"/>
        <v>0</v>
      </c>
      <c r="AS23" s="539"/>
      <c r="AT23" s="540">
        <f t="shared" si="13"/>
        <v>0</v>
      </c>
      <c r="AU23" s="541">
        <f t="shared" si="125"/>
        <v>0</v>
      </c>
      <c r="AV23" s="539">
        <v>16.650000000000006</v>
      </c>
      <c r="AW23" s="540">
        <f t="shared" si="14"/>
        <v>0.20789371823845978</v>
      </c>
      <c r="AX23" s="541">
        <f t="shared" si="126"/>
        <v>0</v>
      </c>
      <c r="AY23" s="539">
        <v>0</v>
      </c>
      <c r="AZ23" s="540">
        <f t="shared" si="15"/>
        <v>0</v>
      </c>
      <c r="BA23" s="541">
        <f t="shared" si="127"/>
        <v>0</v>
      </c>
      <c r="BB23" s="539">
        <v>74.666666666666657</v>
      </c>
      <c r="BC23" s="540">
        <f t="shared" si="16"/>
        <v>0.93229615386216158</v>
      </c>
      <c r="BD23" s="541">
        <f t="shared" si="128"/>
        <v>0</v>
      </c>
      <c r="BE23" s="539"/>
      <c r="BF23" s="540">
        <f t="shared" si="17"/>
        <v>0</v>
      </c>
      <c r="BG23" s="541">
        <f t="shared" si="129"/>
        <v>0</v>
      </c>
      <c r="BH23" s="539"/>
      <c r="BI23" s="540">
        <f t="shared" si="18"/>
        <v>0</v>
      </c>
      <c r="BJ23" s="541">
        <f t="shared" si="130"/>
        <v>0</v>
      </c>
      <c r="BK23" s="539"/>
      <c r="BL23" s="540">
        <f t="shared" si="19"/>
        <v>0</v>
      </c>
      <c r="BM23" s="541">
        <f t="shared" si="131"/>
        <v>0</v>
      </c>
      <c r="BN23" s="539">
        <v>20.246913580246911</v>
      </c>
      <c r="BO23" s="540">
        <f t="shared" si="20"/>
        <v>0.25280517399701469</v>
      </c>
      <c r="BP23" s="541">
        <f t="shared" si="132"/>
        <v>0</v>
      </c>
      <c r="BQ23" s="539">
        <v>0</v>
      </c>
      <c r="BR23" s="540">
        <f t="shared" si="21"/>
        <v>0</v>
      </c>
      <c r="BS23" s="541">
        <f t="shared" si="133"/>
        <v>0</v>
      </c>
      <c r="BT23" s="539"/>
      <c r="BU23" s="540">
        <f t="shared" si="22"/>
        <v>0</v>
      </c>
      <c r="BV23" s="541">
        <f t="shared" si="134"/>
        <v>0</v>
      </c>
      <c r="BW23" s="539">
        <v>0.67999999999999972</v>
      </c>
      <c r="BX23" s="540">
        <f t="shared" si="23"/>
        <v>8.4905542583875396E-3</v>
      </c>
      <c r="BY23" s="541">
        <f t="shared" si="135"/>
        <v>0</v>
      </c>
      <c r="BZ23" s="539"/>
      <c r="CA23" s="540">
        <f t="shared" si="24"/>
        <v>0</v>
      </c>
      <c r="CB23" s="541">
        <f t="shared" si="136"/>
        <v>0</v>
      </c>
      <c r="CC23" s="539">
        <v>6.25</v>
      </c>
      <c r="CD23" s="540">
        <f t="shared" si="25"/>
        <v>7.8038182521944333E-2</v>
      </c>
      <c r="CE23" s="541">
        <f t="shared" si="137"/>
        <v>0</v>
      </c>
      <c r="CF23" s="539">
        <v>9.9999999999999645E-2</v>
      </c>
      <c r="CG23" s="540">
        <f t="shared" si="26"/>
        <v>1.248610920351105E-3</v>
      </c>
      <c r="CH23" s="541">
        <f t="shared" si="138"/>
        <v>0</v>
      </c>
      <c r="CI23" s="539"/>
      <c r="CJ23" s="540">
        <f t="shared" si="27"/>
        <v>0</v>
      </c>
      <c r="CK23" s="541">
        <f t="shared" si="139"/>
        <v>0</v>
      </c>
      <c r="CL23" s="539"/>
      <c r="CM23" s="540">
        <f t="shared" si="28"/>
        <v>0</v>
      </c>
      <c r="CN23" s="541">
        <f t="shared" si="140"/>
        <v>0</v>
      </c>
      <c r="CO23" s="539"/>
      <c r="CP23" s="540">
        <f t="shared" si="29"/>
        <v>0</v>
      </c>
      <c r="CQ23" s="541">
        <f t="shared" si="141"/>
        <v>0</v>
      </c>
      <c r="CR23" s="539"/>
      <c r="CS23" s="540">
        <f t="shared" si="30"/>
        <v>0</v>
      </c>
      <c r="CT23" s="541">
        <f t="shared" si="142"/>
        <v>0</v>
      </c>
      <c r="CU23" s="539"/>
      <c r="CV23" s="540">
        <f t="shared" si="31"/>
        <v>0</v>
      </c>
      <c r="CW23" s="541">
        <f t="shared" si="143"/>
        <v>0</v>
      </c>
      <c r="CX23" s="539"/>
      <c r="CY23" s="540">
        <f t="shared" si="32"/>
        <v>0</v>
      </c>
      <c r="CZ23" s="541">
        <f t="shared" si="144"/>
        <v>0</v>
      </c>
      <c r="DA23" s="539">
        <v>0</v>
      </c>
      <c r="DB23" s="540">
        <f t="shared" si="33"/>
        <v>0</v>
      </c>
      <c r="DC23" s="541">
        <f t="shared" si="145"/>
        <v>0</v>
      </c>
      <c r="DD23" s="539"/>
      <c r="DE23" s="540">
        <f t="shared" si="34"/>
        <v>0</v>
      </c>
      <c r="DF23" s="541">
        <f t="shared" si="146"/>
        <v>0</v>
      </c>
      <c r="DG23" s="539">
        <v>4.7250000000000014</v>
      </c>
      <c r="DH23" s="540">
        <f t="shared" si="35"/>
        <v>5.8996865986589937E-2</v>
      </c>
      <c r="DI23" s="541">
        <f t="shared" si="203"/>
        <v>0</v>
      </c>
      <c r="DJ23" s="539"/>
      <c r="DK23" s="540">
        <f t="shared" si="36"/>
        <v>0</v>
      </c>
      <c r="DL23" s="541">
        <f t="shared" si="147"/>
        <v>0</v>
      </c>
      <c r="DM23" s="539"/>
      <c r="DN23" s="540">
        <f t="shared" si="37"/>
        <v>0</v>
      </c>
      <c r="DO23" s="541">
        <f t="shared" si="148"/>
        <v>0</v>
      </c>
      <c r="DP23" s="539"/>
      <c r="DQ23" s="540">
        <f t="shared" si="38"/>
        <v>0</v>
      </c>
      <c r="DR23" s="541">
        <f t="shared" si="149"/>
        <v>0</v>
      </c>
      <c r="DS23" s="539"/>
      <c r="DT23" s="540">
        <f t="shared" si="39"/>
        <v>0</v>
      </c>
      <c r="DU23" s="541">
        <f t="shared" si="150"/>
        <v>0</v>
      </c>
      <c r="DV23" s="539"/>
      <c r="DW23" s="540">
        <f t="shared" si="40"/>
        <v>0</v>
      </c>
      <c r="DX23" s="541">
        <f t="shared" si="151"/>
        <v>0</v>
      </c>
      <c r="DY23" s="539"/>
      <c r="DZ23" s="540">
        <f t="shared" si="41"/>
        <v>0</v>
      </c>
      <c r="EA23" s="541">
        <f t="shared" si="152"/>
        <v>0</v>
      </c>
      <c r="EB23" s="539">
        <v>29.069767441860563</v>
      </c>
      <c r="EC23" s="540">
        <f t="shared" si="42"/>
        <v>0.36296829079974235</v>
      </c>
      <c r="ED23" s="541">
        <f t="shared" si="153"/>
        <v>0</v>
      </c>
      <c r="EE23" s="539">
        <v>2</v>
      </c>
      <c r="EF23" s="540">
        <f t="shared" si="43"/>
        <v>2.4972218407022188E-2</v>
      </c>
      <c r="EG23" s="541">
        <f t="shared" si="154"/>
        <v>0</v>
      </c>
      <c r="EH23" s="539"/>
      <c r="EI23" s="540">
        <f t="shared" si="44"/>
        <v>0</v>
      </c>
      <c r="EJ23" s="541">
        <f t="shared" si="155"/>
        <v>0</v>
      </c>
      <c r="EK23" s="539"/>
      <c r="EL23" s="540">
        <f t="shared" si="45"/>
        <v>0</v>
      </c>
      <c r="EM23" s="541">
        <f t="shared" si="156"/>
        <v>0</v>
      </c>
      <c r="EN23" s="539"/>
      <c r="EO23" s="540">
        <f t="shared" si="46"/>
        <v>0</v>
      </c>
      <c r="EP23" s="541">
        <f t="shared" si="157"/>
        <v>0</v>
      </c>
      <c r="EQ23" s="539"/>
      <c r="ER23" s="540">
        <f t="shared" si="47"/>
        <v>0</v>
      </c>
      <c r="ES23" s="541">
        <f t="shared" si="158"/>
        <v>0</v>
      </c>
      <c r="ET23" s="539"/>
      <c r="EU23" s="540">
        <f t="shared" si="48"/>
        <v>0</v>
      </c>
      <c r="EV23" s="541">
        <f t="shared" si="159"/>
        <v>0</v>
      </c>
      <c r="EW23" s="539"/>
      <c r="EX23" s="540">
        <f t="shared" si="49"/>
        <v>0</v>
      </c>
      <c r="EY23" s="541">
        <f t="shared" si="160"/>
        <v>0</v>
      </c>
      <c r="EZ23" s="539"/>
      <c r="FA23" s="540">
        <f t="shared" si="50"/>
        <v>0</v>
      </c>
      <c r="FB23" s="541">
        <f t="shared" si="161"/>
        <v>0</v>
      </c>
      <c r="FC23" s="539"/>
      <c r="FD23" s="540">
        <f t="shared" si="51"/>
        <v>0</v>
      </c>
      <c r="FE23" s="541">
        <f t="shared" si="162"/>
        <v>0</v>
      </c>
      <c r="FF23" s="539"/>
      <c r="FG23" s="540">
        <f t="shared" si="52"/>
        <v>0</v>
      </c>
      <c r="FH23" s="541">
        <f t="shared" si="163"/>
        <v>0</v>
      </c>
      <c r="FI23" s="539"/>
      <c r="FJ23" s="540">
        <f t="shared" si="53"/>
        <v>0</v>
      </c>
      <c r="FK23" s="541">
        <f t="shared" si="164"/>
        <v>0</v>
      </c>
      <c r="FL23" s="539"/>
      <c r="FM23" s="540">
        <f t="shared" si="54"/>
        <v>0</v>
      </c>
      <c r="FN23" s="541">
        <f t="shared" si="165"/>
        <v>0</v>
      </c>
      <c r="FO23" s="539"/>
      <c r="FP23" s="540">
        <f t="shared" si="55"/>
        <v>0</v>
      </c>
      <c r="FQ23" s="541">
        <f t="shared" si="166"/>
        <v>0</v>
      </c>
      <c r="FR23" s="539"/>
      <c r="FS23" s="540">
        <f t="shared" si="56"/>
        <v>0</v>
      </c>
      <c r="FT23" s="541">
        <f t="shared" si="167"/>
        <v>0</v>
      </c>
      <c r="FU23" s="539"/>
      <c r="FV23" s="540">
        <f t="shared" si="57"/>
        <v>0</v>
      </c>
      <c r="FW23" s="541">
        <f t="shared" si="168"/>
        <v>0</v>
      </c>
      <c r="FX23" s="539"/>
      <c r="FY23" s="540">
        <f t="shared" si="58"/>
        <v>0</v>
      </c>
      <c r="FZ23" s="541">
        <f t="shared" si="169"/>
        <v>0</v>
      </c>
      <c r="GA23" s="539"/>
      <c r="GB23" s="540">
        <f t="shared" si="59"/>
        <v>0</v>
      </c>
      <c r="GC23" s="541">
        <f t="shared" si="170"/>
        <v>0</v>
      </c>
      <c r="GD23" s="539"/>
      <c r="GE23" s="540">
        <f t="shared" si="60"/>
        <v>0</v>
      </c>
      <c r="GF23" s="541">
        <f t="shared" si="171"/>
        <v>0</v>
      </c>
      <c r="GG23" s="539"/>
      <c r="GH23" s="540">
        <f t="shared" si="61"/>
        <v>0</v>
      </c>
      <c r="GI23" s="541">
        <f t="shared" si="172"/>
        <v>0</v>
      </c>
      <c r="GJ23" s="539"/>
      <c r="GK23" s="540">
        <f t="shared" si="62"/>
        <v>0</v>
      </c>
      <c r="GL23" s="541">
        <f t="shared" si="173"/>
        <v>0</v>
      </c>
      <c r="GM23" s="539"/>
      <c r="GN23" s="540">
        <f t="shared" si="63"/>
        <v>0</v>
      </c>
      <c r="GO23" s="541">
        <f t="shared" si="174"/>
        <v>0</v>
      </c>
      <c r="GP23" s="539"/>
      <c r="GQ23" s="540">
        <f t="shared" si="64"/>
        <v>0</v>
      </c>
      <c r="GR23" s="541">
        <f t="shared" si="175"/>
        <v>0</v>
      </c>
      <c r="GS23" s="539"/>
      <c r="GT23" s="540">
        <f t="shared" si="65"/>
        <v>0</v>
      </c>
      <c r="GU23" s="541">
        <f t="shared" si="176"/>
        <v>0</v>
      </c>
      <c r="GV23" s="539"/>
      <c r="GW23" s="540">
        <f t="shared" si="66"/>
        <v>0</v>
      </c>
      <c r="GX23" s="541">
        <f t="shared" si="177"/>
        <v>0</v>
      </c>
      <c r="GY23" s="539"/>
      <c r="GZ23" s="540">
        <f t="shared" si="67"/>
        <v>0</v>
      </c>
      <c r="HA23" s="541">
        <f t="shared" si="178"/>
        <v>0</v>
      </c>
      <c r="HB23" s="539"/>
      <c r="HC23" s="540">
        <f t="shared" si="68"/>
        <v>0</v>
      </c>
      <c r="HD23" s="541">
        <f t="shared" si="179"/>
        <v>0</v>
      </c>
      <c r="HE23" s="539"/>
      <c r="HF23" s="540">
        <f t="shared" si="69"/>
        <v>0</v>
      </c>
      <c r="HG23" s="541">
        <f t="shared" si="180"/>
        <v>0</v>
      </c>
      <c r="HH23" s="539"/>
      <c r="HI23" s="540">
        <f t="shared" si="70"/>
        <v>0</v>
      </c>
      <c r="HJ23" s="541">
        <f t="shared" si="181"/>
        <v>0</v>
      </c>
      <c r="HK23" s="539"/>
      <c r="HL23" s="540">
        <f t="shared" si="71"/>
        <v>0</v>
      </c>
      <c r="HM23" s="541">
        <f t="shared" si="182"/>
        <v>0</v>
      </c>
      <c r="HN23" s="539"/>
      <c r="HO23" s="540">
        <f t="shared" si="72"/>
        <v>0</v>
      </c>
      <c r="HP23" s="541">
        <f t="shared" si="183"/>
        <v>0</v>
      </c>
      <c r="HQ23" s="539"/>
      <c r="HR23" s="540">
        <f t="shared" si="73"/>
        <v>0</v>
      </c>
      <c r="HS23" s="541">
        <f t="shared" si="184"/>
        <v>0</v>
      </c>
      <c r="HT23" s="539"/>
      <c r="HU23" s="540">
        <f t="shared" si="74"/>
        <v>0</v>
      </c>
      <c r="HV23" s="541">
        <f t="shared" si="185"/>
        <v>0</v>
      </c>
      <c r="HW23" s="539"/>
      <c r="HX23" s="540">
        <f t="shared" si="75"/>
        <v>0</v>
      </c>
      <c r="HY23" s="541">
        <f t="shared" si="186"/>
        <v>0</v>
      </c>
      <c r="HZ23" s="539"/>
      <c r="IA23" s="540">
        <f t="shared" si="76"/>
        <v>0</v>
      </c>
      <c r="IB23" s="541">
        <f t="shared" si="187"/>
        <v>0</v>
      </c>
      <c r="IC23" s="539"/>
      <c r="ID23" s="540">
        <f t="shared" si="77"/>
        <v>0</v>
      </c>
      <c r="IE23" s="541">
        <f t="shared" si="188"/>
        <v>0</v>
      </c>
      <c r="IF23" s="539"/>
      <c r="IG23" s="540">
        <f t="shared" si="78"/>
        <v>0</v>
      </c>
      <c r="IH23" s="541">
        <f t="shared" si="189"/>
        <v>0</v>
      </c>
      <c r="II23" s="539"/>
      <c r="IJ23" s="540">
        <f t="shared" si="79"/>
        <v>0</v>
      </c>
      <c r="IK23" s="541">
        <f t="shared" si="190"/>
        <v>0</v>
      </c>
      <c r="IL23" s="539"/>
      <c r="IM23" s="540">
        <f t="shared" si="80"/>
        <v>0</v>
      </c>
      <c r="IN23" s="541">
        <f t="shared" si="191"/>
        <v>0</v>
      </c>
      <c r="IO23" s="539"/>
      <c r="IP23" s="540">
        <f t="shared" si="81"/>
        <v>0</v>
      </c>
      <c r="IQ23" s="541">
        <f t="shared" si="192"/>
        <v>0</v>
      </c>
      <c r="IR23" s="539"/>
      <c r="IS23" s="540">
        <f t="shared" si="82"/>
        <v>0</v>
      </c>
      <c r="IT23" s="541">
        <f t="shared" si="193"/>
        <v>0</v>
      </c>
      <c r="IU23" s="539"/>
      <c r="IV23" s="540">
        <f t="shared" si="83"/>
        <v>0</v>
      </c>
      <c r="IW23" s="541">
        <f t="shared" si="194"/>
        <v>0</v>
      </c>
      <c r="IX23" s="539"/>
      <c r="IY23" s="540">
        <f t="shared" si="84"/>
        <v>0</v>
      </c>
      <c r="IZ23" s="541">
        <f t="shared" si="195"/>
        <v>0</v>
      </c>
      <c r="JA23" s="539"/>
      <c r="JB23" s="540">
        <f t="shared" si="85"/>
        <v>0</v>
      </c>
      <c r="JC23" s="541">
        <f t="shared" si="196"/>
        <v>0</v>
      </c>
      <c r="JD23" s="539"/>
      <c r="JE23" s="540">
        <f t="shared" si="86"/>
        <v>0</v>
      </c>
      <c r="JF23" s="541">
        <f t="shared" si="197"/>
        <v>0</v>
      </c>
      <c r="JG23" s="539"/>
      <c r="JH23" s="540">
        <f t="shared" si="87"/>
        <v>0</v>
      </c>
      <c r="JI23" s="541">
        <f t="shared" si="198"/>
        <v>0</v>
      </c>
      <c r="JJ23" s="539"/>
      <c r="JK23" s="541" t="str">
        <f t="shared" si="88"/>
        <v>0</v>
      </c>
      <c r="JL23" s="541" t="str">
        <f t="shared" si="89"/>
        <v>0</v>
      </c>
      <c r="JM23" s="539"/>
      <c r="JN23" s="541" t="str">
        <f t="shared" si="90"/>
        <v>0</v>
      </c>
      <c r="JO23" s="541" t="str">
        <f t="shared" si="91"/>
        <v>0</v>
      </c>
      <c r="JP23" s="539"/>
      <c r="JQ23" s="541" t="str">
        <f t="shared" si="92"/>
        <v>0</v>
      </c>
      <c r="JR23" s="541" t="str">
        <f t="shared" si="93"/>
        <v>0</v>
      </c>
      <c r="JS23" s="539"/>
      <c r="JT23" s="541" t="str">
        <f t="shared" si="94"/>
        <v>0</v>
      </c>
      <c r="JU23" s="541" t="str">
        <f t="shared" si="95"/>
        <v>0</v>
      </c>
      <c r="JV23" s="539"/>
      <c r="JW23" s="541" t="str">
        <f t="shared" si="96"/>
        <v>0</v>
      </c>
      <c r="JX23" s="541" t="str">
        <f t="shared" si="97"/>
        <v>0</v>
      </c>
      <c r="JY23" s="539"/>
      <c r="JZ23" s="541" t="str">
        <f t="shared" si="98"/>
        <v>0</v>
      </c>
      <c r="KA23" s="541" t="str">
        <f t="shared" si="99"/>
        <v>0</v>
      </c>
      <c r="KB23" s="539"/>
      <c r="KC23" s="541" t="str">
        <f t="shared" si="100"/>
        <v>0</v>
      </c>
      <c r="KD23" s="541" t="str">
        <f t="shared" si="101"/>
        <v>0</v>
      </c>
      <c r="KE23" s="539"/>
      <c r="KF23" s="541" t="str">
        <f t="shared" si="102"/>
        <v>0</v>
      </c>
      <c r="KG23" s="541" t="str">
        <f t="shared" si="103"/>
        <v>0</v>
      </c>
      <c r="KH23" s="539"/>
      <c r="KI23" s="541" t="str">
        <f t="shared" si="104"/>
        <v>0</v>
      </c>
      <c r="KJ23" s="541" t="str">
        <f t="shared" si="105"/>
        <v>0</v>
      </c>
      <c r="KK23" s="539"/>
      <c r="KL23" s="541" t="str">
        <f t="shared" si="106"/>
        <v>0</v>
      </c>
      <c r="KM23" s="541" t="str">
        <f t="shared" si="107"/>
        <v>0</v>
      </c>
      <c r="KN23" s="539"/>
      <c r="KO23" s="541" t="str">
        <f t="shared" si="108"/>
        <v>0</v>
      </c>
      <c r="KP23" s="541" t="str">
        <f t="shared" si="109"/>
        <v>0</v>
      </c>
      <c r="KQ23" s="539"/>
      <c r="KR23" s="541" t="str">
        <f t="shared" si="110"/>
        <v>0</v>
      </c>
      <c r="KS23" s="541" t="str">
        <f t="shared" si="111"/>
        <v>0</v>
      </c>
      <c r="KT23" s="541">
        <f t="shared" si="201"/>
        <v>0</v>
      </c>
      <c r="KU23" s="541">
        <f t="shared" si="202"/>
        <v>0</v>
      </c>
      <c r="KV23" s="272">
        <f t="shared" si="199"/>
        <v>903.63398722365775</v>
      </c>
      <c r="KW23" s="272"/>
    </row>
    <row r="24" spans="1:309" ht="15" customHeight="1">
      <c r="A24" s="274">
        <f t="shared" si="200"/>
        <v>46128</v>
      </c>
      <c r="B24" s="275" t="str">
        <f>+Report1!B24</f>
        <v>MG</v>
      </c>
      <c r="C24" s="417" t="str">
        <f>+Report1!C24</f>
        <v>16</v>
      </c>
      <c r="D24" s="276">
        <f>+Report1!P24</f>
        <v>80.688999999999993</v>
      </c>
      <c r="E24" s="277">
        <f>+Report1!R24</f>
        <v>79.995000000000005</v>
      </c>
      <c r="F24" s="539"/>
      <c r="G24" s="540">
        <f t="shared" si="0"/>
        <v>0</v>
      </c>
      <c r="H24" s="541">
        <f t="shared" si="112"/>
        <v>0</v>
      </c>
      <c r="I24" s="539">
        <v>732.55813953488371</v>
      </c>
      <c r="J24" s="540">
        <f t="shared" si="1"/>
        <v>9.157549091004233</v>
      </c>
      <c r="K24" s="541">
        <f t="shared" si="113"/>
        <v>0</v>
      </c>
      <c r="L24" s="539"/>
      <c r="M24" s="540">
        <f t="shared" si="2"/>
        <v>0</v>
      </c>
      <c r="N24" s="541">
        <f t="shared" si="114"/>
        <v>0</v>
      </c>
      <c r="O24" s="539">
        <v>9.0000000000000036</v>
      </c>
      <c r="P24" s="540">
        <f t="shared" si="3"/>
        <v>0.11250703168948063</v>
      </c>
      <c r="Q24" s="541">
        <f t="shared" si="115"/>
        <v>0</v>
      </c>
      <c r="R24" s="539"/>
      <c r="S24" s="540">
        <f t="shared" si="4"/>
        <v>0</v>
      </c>
      <c r="T24" s="541">
        <f t="shared" si="116"/>
        <v>0</v>
      </c>
      <c r="U24" s="539">
        <v>5.1250000000000018</v>
      </c>
      <c r="V24" s="540">
        <f t="shared" si="5"/>
        <v>6.4066504156509801E-2</v>
      </c>
      <c r="W24" s="541">
        <f t="shared" si="117"/>
        <v>0</v>
      </c>
      <c r="X24" s="539"/>
      <c r="Y24" s="540">
        <f t="shared" si="6"/>
        <v>0</v>
      </c>
      <c r="Z24" s="541">
        <f t="shared" si="118"/>
        <v>0</v>
      </c>
      <c r="AA24" s="539"/>
      <c r="AB24" s="540">
        <f t="shared" si="7"/>
        <v>0</v>
      </c>
      <c r="AC24" s="541">
        <f t="shared" si="119"/>
        <v>0</v>
      </c>
      <c r="AD24" s="539"/>
      <c r="AE24" s="540">
        <f t="shared" si="8"/>
        <v>0</v>
      </c>
      <c r="AF24" s="541">
        <f t="shared" si="120"/>
        <v>0</v>
      </c>
      <c r="AG24" s="539"/>
      <c r="AH24" s="540">
        <f t="shared" si="9"/>
        <v>0</v>
      </c>
      <c r="AI24" s="541">
        <f t="shared" si="121"/>
        <v>0</v>
      </c>
      <c r="AJ24" s="539"/>
      <c r="AK24" s="540">
        <f t="shared" si="10"/>
        <v>0</v>
      </c>
      <c r="AL24" s="541">
        <f t="shared" si="122"/>
        <v>0</v>
      </c>
      <c r="AM24" s="539">
        <v>0</v>
      </c>
      <c r="AN24" s="540">
        <f t="shared" si="11"/>
        <v>0</v>
      </c>
      <c r="AO24" s="541">
        <f t="shared" si="123"/>
        <v>0</v>
      </c>
      <c r="AP24" s="539">
        <v>0</v>
      </c>
      <c r="AQ24" s="540">
        <f t="shared" si="12"/>
        <v>0</v>
      </c>
      <c r="AR24" s="541">
        <f t="shared" si="124"/>
        <v>0</v>
      </c>
      <c r="AS24" s="539"/>
      <c r="AT24" s="540">
        <f t="shared" si="13"/>
        <v>0</v>
      </c>
      <c r="AU24" s="541">
        <f t="shared" si="125"/>
        <v>0</v>
      </c>
      <c r="AV24" s="539">
        <v>8.3250000000000171</v>
      </c>
      <c r="AW24" s="540">
        <f t="shared" si="14"/>
        <v>0.10406900431276976</v>
      </c>
      <c r="AX24" s="541">
        <f t="shared" si="126"/>
        <v>0</v>
      </c>
      <c r="AY24" s="539">
        <v>0</v>
      </c>
      <c r="AZ24" s="540">
        <f t="shared" si="15"/>
        <v>0</v>
      </c>
      <c r="BA24" s="541">
        <f t="shared" si="127"/>
        <v>0</v>
      </c>
      <c r="BB24" s="539">
        <v>74.666666666666657</v>
      </c>
      <c r="BC24" s="540">
        <f t="shared" si="16"/>
        <v>0.93339167031272774</v>
      </c>
      <c r="BD24" s="541">
        <f t="shared" si="128"/>
        <v>0</v>
      </c>
      <c r="BE24" s="539"/>
      <c r="BF24" s="540">
        <f t="shared" si="17"/>
        <v>0</v>
      </c>
      <c r="BG24" s="541">
        <f t="shared" si="129"/>
        <v>0</v>
      </c>
      <c r="BH24" s="539"/>
      <c r="BI24" s="540">
        <f t="shared" si="18"/>
        <v>0</v>
      </c>
      <c r="BJ24" s="541">
        <f t="shared" si="130"/>
        <v>0</v>
      </c>
      <c r="BK24" s="539"/>
      <c r="BL24" s="540">
        <f t="shared" si="19"/>
        <v>0</v>
      </c>
      <c r="BM24" s="541">
        <f t="shared" si="131"/>
        <v>0</v>
      </c>
      <c r="BN24" s="539">
        <v>25.30864197530866</v>
      </c>
      <c r="BO24" s="540">
        <f t="shared" si="20"/>
        <v>0.31637779830375223</v>
      </c>
      <c r="BP24" s="541">
        <f t="shared" si="132"/>
        <v>0</v>
      </c>
      <c r="BQ24" s="539">
        <v>0</v>
      </c>
      <c r="BR24" s="540">
        <f t="shared" si="21"/>
        <v>0</v>
      </c>
      <c r="BS24" s="541">
        <f t="shared" si="133"/>
        <v>0</v>
      </c>
      <c r="BT24" s="539"/>
      <c r="BU24" s="540">
        <f t="shared" si="22"/>
        <v>0</v>
      </c>
      <c r="BV24" s="541">
        <f t="shared" si="134"/>
        <v>0</v>
      </c>
      <c r="BW24" s="539">
        <v>0.67999999999999972</v>
      </c>
      <c r="BX24" s="540">
        <f t="shared" si="23"/>
        <v>8.5005312832051958E-3</v>
      </c>
      <c r="BY24" s="541">
        <f t="shared" si="135"/>
        <v>0</v>
      </c>
      <c r="BZ24" s="539"/>
      <c r="CA24" s="540">
        <f t="shared" si="24"/>
        <v>0</v>
      </c>
      <c r="CB24" s="541">
        <f t="shared" si="136"/>
        <v>0</v>
      </c>
      <c r="CC24" s="539">
        <v>6.25</v>
      </c>
      <c r="CD24" s="540">
        <f t="shared" si="25"/>
        <v>7.8129883117694851E-2</v>
      </c>
      <c r="CE24" s="541">
        <f t="shared" si="137"/>
        <v>0</v>
      </c>
      <c r="CF24" s="539">
        <v>0.10000000000000142</v>
      </c>
      <c r="CG24" s="540">
        <f t="shared" si="26"/>
        <v>1.2500781298831354E-3</v>
      </c>
      <c r="CH24" s="541">
        <f t="shared" si="138"/>
        <v>0</v>
      </c>
      <c r="CI24" s="539"/>
      <c r="CJ24" s="540">
        <f t="shared" si="27"/>
        <v>0</v>
      </c>
      <c r="CK24" s="541">
        <f t="shared" si="139"/>
        <v>0</v>
      </c>
      <c r="CL24" s="539"/>
      <c r="CM24" s="540">
        <f t="shared" si="28"/>
        <v>0</v>
      </c>
      <c r="CN24" s="541">
        <f t="shared" si="140"/>
        <v>0</v>
      </c>
      <c r="CO24" s="539"/>
      <c r="CP24" s="540">
        <f t="shared" si="29"/>
        <v>0</v>
      </c>
      <c r="CQ24" s="541">
        <f t="shared" si="141"/>
        <v>0</v>
      </c>
      <c r="CR24" s="539"/>
      <c r="CS24" s="540">
        <f t="shared" si="30"/>
        <v>0</v>
      </c>
      <c r="CT24" s="541">
        <f t="shared" si="142"/>
        <v>0</v>
      </c>
      <c r="CU24" s="539"/>
      <c r="CV24" s="540">
        <f t="shared" si="31"/>
        <v>0</v>
      </c>
      <c r="CW24" s="541">
        <f t="shared" si="143"/>
        <v>0</v>
      </c>
      <c r="CX24" s="539"/>
      <c r="CY24" s="540">
        <f t="shared" si="32"/>
        <v>0</v>
      </c>
      <c r="CZ24" s="541">
        <f t="shared" si="144"/>
        <v>0</v>
      </c>
      <c r="DA24" s="539">
        <v>0</v>
      </c>
      <c r="DB24" s="540">
        <f t="shared" si="33"/>
        <v>0</v>
      </c>
      <c r="DC24" s="541">
        <f t="shared" si="145"/>
        <v>0</v>
      </c>
      <c r="DD24" s="539"/>
      <c r="DE24" s="540">
        <f t="shared" si="34"/>
        <v>0</v>
      </c>
      <c r="DF24" s="541">
        <f t="shared" si="146"/>
        <v>0</v>
      </c>
      <c r="DG24" s="539">
        <v>4.7250000000000014</v>
      </c>
      <c r="DH24" s="540">
        <f t="shared" si="35"/>
        <v>5.9066191636977322E-2</v>
      </c>
      <c r="DI24" s="541">
        <f t="shared" si="203"/>
        <v>0</v>
      </c>
      <c r="DJ24" s="539"/>
      <c r="DK24" s="540">
        <f t="shared" si="36"/>
        <v>0</v>
      </c>
      <c r="DL24" s="541">
        <f t="shared" si="147"/>
        <v>0</v>
      </c>
      <c r="DM24" s="539"/>
      <c r="DN24" s="540">
        <f t="shared" si="37"/>
        <v>0</v>
      </c>
      <c r="DO24" s="541">
        <f t="shared" si="148"/>
        <v>0</v>
      </c>
      <c r="DP24" s="539"/>
      <c r="DQ24" s="540">
        <f t="shared" si="38"/>
        <v>0</v>
      </c>
      <c r="DR24" s="541">
        <f t="shared" si="149"/>
        <v>0</v>
      </c>
      <c r="DS24" s="539"/>
      <c r="DT24" s="540">
        <f t="shared" si="39"/>
        <v>0</v>
      </c>
      <c r="DU24" s="541">
        <f t="shared" si="150"/>
        <v>0</v>
      </c>
      <c r="DV24" s="539"/>
      <c r="DW24" s="540">
        <f t="shared" si="40"/>
        <v>0</v>
      </c>
      <c r="DX24" s="541">
        <f t="shared" si="151"/>
        <v>0</v>
      </c>
      <c r="DY24" s="539"/>
      <c r="DZ24" s="540">
        <f t="shared" si="41"/>
        <v>0</v>
      </c>
      <c r="EA24" s="541">
        <f t="shared" si="152"/>
        <v>0</v>
      </c>
      <c r="EB24" s="539">
        <v>14.534883720930225</v>
      </c>
      <c r="EC24" s="540">
        <f t="shared" si="42"/>
        <v>0.18169740259929026</v>
      </c>
      <c r="ED24" s="541">
        <f t="shared" si="153"/>
        <v>0</v>
      </c>
      <c r="EE24" s="539">
        <v>2</v>
      </c>
      <c r="EF24" s="540">
        <f t="shared" si="43"/>
        <v>2.5001562597662352E-2</v>
      </c>
      <c r="EG24" s="541">
        <f t="shared" si="154"/>
        <v>0</v>
      </c>
      <c r="EH24" s="539"/>
      <c r="EI24" s="540">
        <f t="shared" si="44"/>
        <v>0</v>
      </c>
      <c r="EJ24" s="541">
        <f t="shared" si="155"/>
        <v>0</v>
      </c>
      <c r="EK24" s="539"/>
      <c r="EL24" s="540">
        <f t="shared" si="45"/>
        <v>0</v>
      </c>
      <c r="EM24" s="541">
        <f t="shared" si="156"/>
        <v>0</v>
      </c>
      <c r="EN24" s="539"/>
      <c r="EO24" s="540">
        <f t="shared" si="46"/>
        <v>0</v>
      </c>
      <c r="EP24" s="541">
        <f t="shared" si="157"/>
        <v>0</v>
      </c>
      <c r="EQ24" s="539"/>
      <c r="ER24" s="540">
        <f t="shared" si="47"/>
        <v>0</v>
      </c>
      <c r="ES24" s="541">
        <f t="shared" si="158"/>
        <v>0</v>
      </c>
      <c r="ET24" s="539"/>
      <c r="EU24" s="540">
        <f t="shared" si="48"/>
        <v>0</v>
      </c>
      <c r="EV24" s="541">
        <f t="shared" si="159"/>
        <v>0</v>
      </c>
      <c r="EW24" s="539"/>
      <c r="EX24" s="540">
        <f t="shared" si="49"/>
        <v>0</v>
      </c>
      <c r="EY24" s="541">
        <f t="shared" si="160"/>
        <v>0</v>
      </c>
      <c r="EZ24" s="539"/>
      <c r="FA24" s="540">
        <f t="shared" si="50"/>
        <v>0</v>
      </c>
      <c r="FB24" s="541">
        <f t="shared" si="161"/>
        <v>0</v>
      </c>
      <c r="FC24" s="539"/>
      <c r="FD24" s="540">
        <f t="shared" si="51"/>
        <v>0</v>
      </c>
      <c r="FE24" s="541">
        <f t="shared" si="162"/>
        <v>0</v>
      </c>
      <c r="FF24" s="539"/>
      <c r="FG24" s="540">
        <f t="shared" si="52"/>
        <v>0</v>
      </c>
      <c r="FH24" s="541">
        <f t="shared" si="163"/>
        <v>0</v>
      </c>
      <c r="FI24" s="539"/>
      <c r="FJ24" s="540">
        <f t="shared" si="53"/>
        <v>0</v>
      </c>
      <c r="FK24" s="541">
        <f t="shared" si="164"/>
        <v>0</v>
      </c>
      <c r="FL24" s="539"/>
      <c r="FM24" s="540">
        <f t="shared" si="54"/>
        <v>0</v>
      </c>
      <c r="FN24" s="541">
        <f t="shared" si="165"/>
        <v>0</v>
      </c>
      <c r="FO24" s="539"/>
      <c r="FP24" s="540">
        <f t="shared" si="55"/>
        <v>0</v>
      </c>
      <c r="FQ24" s="541">
        <f t="shared" si="166"/>
        <v>0</v>
      </c>
      <c r="FR24" s="539"/>
      <c r="FS24" s="540">
        <f t="shared" si="56"/>
        <v>0</v>
      </c>
      <c r="FT24" s="541">
        <f t="shared" si="167"/>
        <v>0</v>
      </c>
      <c r="FU24" s="539"/>
      <c r="FV24" s="540">
        <f t="shared" si="57"/>
        <v>0</v>
      </c>
      <c r="FW24" s="541">
        <f t="shared" si="168"/>
        <v>0</v>
      </c>
      <c r="FX24" s="539"/>
      <c r="FY24" s="540">
        <f t="shared" si="58"/>
        <v>0</v>
      </c>
      <c r="FZ24" s="541">
        <f t="shared" si="169"/>
        <v>0</v>
      </c>
      <c r="GA24" s="539"/>
      <c r="GB24" s="540">
        <f t="shared" si="59"/>
        <v>0</v>
      </c>
      <c r="GC24" s="541">
        <f t="shared" si="170"/>
        <v>0</v>
      </c>
      <c r="GD24" s="539"/>
      <c r="GE24" s="540">
        <f t="shared" si="60"/>
        <v>0</v>
      </c>
      <c r="GF24" s="541">
        <f t="shared" si="171"/>
        <v>0</v>
      </c>
      <c r="GG24" s="539"/>
      <c r="GH24" s="540">
        <f t="shared" si="61"/>
        <v>0</v>
      </c>
      <c r="GI24" s="541">
        <f t="shared" si="172"/>
        <v>0</v>
      </c>
      <c r="GJ24" s="539"/>
      <c r="GK24" s="540">
        <f t="shared" si="62"/>
        <v>0</v>
      </c>
      <c r="GL24" s="541">
        <f t="shared" si="173"/>
        <v>0</v>
      </c>
      <c r="GM24" s="539"/>
      <c r="GN24" s="540">
        <f t="shared" si="63"/>
        <v>0</v>
      </c>
      <c r="GO24" s="541">
        <f t="shared" si="174"/>
        <v>0</v>
      </c>
      <c r="GP24" s="539"/>
      <c r="GQ24" s="540">
        <f t="shared" si="64"/>
        <v>0</v>
      </c>
      <c r="GR24" s="541">
        <f t="shared" si="175"/>
        <v>0</v>
      </c>
      <c r="GS24" s="539"/>
      <c r="GT24" s="540">
        <f t="shared" si="65"/>
        <v>0</v>
      </c>
      <c r="GU24" s="541">
        <f t="shared" si="176"/>
        <v>0</v>
      </c>
      <c r="GV24" s="539"/>
      <c r="GW24" s="540">
        <f t="shared" si="66"/>
        <v>0</v>
      </c>
      <c r="GX24" s="541">
        <f t="shared" si="177"/>
        <v>0</v>
      </c>
      <c r="GY24" s="539"/>
      <c r="GZ24" s="540">
        <f t="shared" si="67"/>
        <v>0</v>
      </c>
      <c r="HA24" s="541">
        <f t="shared" si="178"/>
        <v>0</v>
      </c>
      <c r="HB24" s="539"/>
      <c r="HC24" s="540">
        <f t="shared" si="68"/>
        <v>0</v>
      </c>
      <c r="HD24" s="541">
        <f t="shared" si="179"/>
        <v>0</v>
      </c>
      <c r="HE24" s="539"/>
      <c r="HF24" s="540">
        <f t="shared" si="69"/>
        <v>0</v>
      </c>
      <c r="HG24" s="541">
        <f t="shared" si="180"/>
        <v>0</v>
      </c>
      <c r="HH24" s="539"/>
      <c r="HI24" s="540">
        <f t="shared" si="70"/>
        <v>0</v>
      </c>
      <c r="HJ24" s="541">
        <f t="shared" si="181"/>
        <v>0</v>
      </c>
      <c r="HK24" s="539"/>
      <c r="HL24" s="540">
        <f t="shared" si="71"/>
        <v>0</v>
      </c>
      <c r="HM24" s="541">
        <f t="shared" si="182"/>
        <v>0</v>
      </c>
      <c r="HN24" s="539"/>
      <c r="HO24" s="540">
        <f t="shared" si="72"/>
        <v>0</v>
      </c>
      <c r="HP24" s="541">
        <f t="shared" si="183"/>
        <v>0</v>
      </c>
      <c r="HQ24" s="539"/>
      <c r="HR24" s="540">
        <f t="shared" si="73"/>
        <v>0</v>
      </c>
      <c r="HS24" s="541">
        <f t="shared" si="184"/>
        <v>0</v>
      </c>
      <c r="HT24" s="539"/>
      <c r="HU24" s="540">
        <f t="shared" si="74"/>
        <v>0</v>
      </c>
      <c r="HV24" s="541">
        <f t="shared" si="185"/>
        <v>0</v>
      </c>
      <c r="HW24" s="539"/>
      <c r="HX24" s="540">
        <f t="shared" si="75"/>
        <v>0</v>
      </c>
      <c r="HY24" s="541">
        <f t="shared" si="186"/>
        <v>0</v>
      </c>
      <c r="HZ24" s="539"/>
      <c r="IA24" s="540">
        <f t="shared" si="76"/>
        <v>0</v>
      </c>
      <c r="IB24" s="541">
        <f t="shared" si="187"/>
        <v>0</v>
      </c>
      <c r="IC24" s="539"/>
      <c r="ID24" s="540">
        <f t="shared" si="77"/>
        <v>0</v>
      </c>
      <c r="IE24" s="541">
        <f t="shared" si="188"/>
        <v>0</v>
      </c>
      <c r="IF24" s="539"/>
      <c r="IG24" s="540">
        <f t="shared" si="78"/>
        <v>0</v>
      </c>
      <c r="IH24" s="541">
        <f t="shared" si="189"/>
        <v>0</v>
      </c>
      <c r="II24" s="539"/>
      <c r="IJ24" s="540">
        <f t="shared" si="79"/>
        <v>0</v>
      </c>
      <c r="IK24" s="541">
        <f t="shared" si="190"/>
        <v>0</v>
      </c>
      <c r="IL24" s="539"/>
      <c r="IM24" s="540">
        <f t="shared" si="80"/>
        <v>0</v>
      </c>
      <c r="IN24" s="541">
        <f t="shared" si="191"/>
        <v>0</v>
      </c>
      <c r="IO24" s="539"/>
      <c r="IP24" s="540">
        <f t="shared" si="81"/>
        <v>0</v>
      </c>
      <c r="IQ24" s="541">
        <f t="shared" si="192"/>
        <v>0</v>
      </c>
      <c r="IR24" s="539"/>
      <c r="IS24" s="540">
        <f t="shared" si="82"/>
        <v>0</v>
      </c>
      <c r="IT24" s="541">
        <f t="shared" si="193"/>
        <v>0</v>
      </c>
      <c r="IU24" s="539"/>
      <c r="IV24" s="540">
        <f t="shared" si="83"/>
        <v>0</v>
      </c>
      <c r="IW24" s="541">
        <f t="shared" si="194"/>
        <v>0</v>
      </c>
      <c r="IX24" s="539"/>
      <c r="IY24" s="540">
        <f t="shared" si="84"/>
        <v>0</v>
      </c>
      <c r="IZ24" s="541">
        <f t="shared" si="195"/>
        <v>0</v>
      </c>
      <c r="JA24" s="539"/>
      <c r="JB24" s="540">
        <f t="shared" si="85"/>
        <v>0</v>
      </c>
      <c r="JC24" s="541">
        <f t="shared" si="196"/>
        <v>0</v>
      </c>
      <c r="JD24" s="539"/>
      <c r="JE24" s="540">
        <f t="shared" si="86"/>
        <v>0</v>
      </c>
      <c r="JF24" s="541">
        <f t="shared" si="197"/>
        <v>0</v>
      </c>
      <c r="JG24" s="539"/>
      <c r="JH24" s="540">
        <f t="shared" si="87"/>
        <v>0</v>
      </c>
      <c r="JI24" s="541">
        <f t="shared" si="198"/>
        <v>0</v>
      </c>
      <c r="JJ24" s="539"/>
      <c r="JK24" s="541" t="str">
        <f t="shared" si="88"/>
        <v>0</v>
      </c>
      <c r="JL24" s="541" t="str">
        <f t="shared" si="89"/>
        <v>0</v>
      </c>
      <c r="JM24" s="539"/>
      <c r="JN24" s="541" t="str">
        <f t="shared" si="90"/>
        <v>0</v>
      </c>
      <c r="JO24" s="541" t="str">
        <f t="shared" si="91"/>
        <v>0</v>
      </c>
      <c r="JP24" s="539"/>
      <c r="JQ24" s="541" t="str">
        <f t="shared" si="92"/>
        <v>0</v>
      </c>
      <c r="JR24" s="541" t="str">
        <f t="shared" si="93"/>
        <v>0</v>
      </c>
      <c r="JS24" s="539"/>
      <c r="JT24" s="541" t="str">
        <f t="shared" si="94"/>
        <v>0</v>
      </c>
      <c r="JU24" s="541" t="str">
        <f t="shared" si="95"/>
        <v>0</v>
      </c>
      <c r="JV24" s="539"/>
      <c r="JW24" s="541" t="str">
        <f t="shared" si="96"/>
        <v>0</v>
      </c>
      <c r="JX24" s="541" t="str">
        <f t="shared" si="97"/>
        <v>0</v>
      </c>
      <c r="JY24" s="539"/>
      <c r="JZ24" s="541" t="str">
        <f t="shared" si="98"/>
        <v>0</v>
      </c>
      <c r="KA24" s="541" t="str">
        <f t="shared" si="99"/>
        <v>0</v>
      </c>
      <c r="KB24" s="539"/>
      <c r="KC24" s="541" t="str">
        <f t="shared" si="100"/>
        <v>0</v>
      </c>
      <c r="KD24" s="541" t="str">
        <f t="shared" si="101"/>
        <v>0</v>
      </c>
      <c r="KE24" s="539"/>
      <c r="KF24" s="541" t="str">
        <f t="shared" si="102"/>
        <v>0</v>
      </c>
      <c r="KG24" s="541" t="str">
        <f t="shared" si="103"/>
        <v>0</v>
      </c>
      <c r="KH24" s="539"/>
      <c r="KI24" s="541" t="str">
        <f t="shared" si="104"/>
        <v>0</v>
      </c>
      <c r="KJ24" s="541" t="str">
        <f t="shared" si="105"/>
        <v>0</v>
      </c>
      <c r="KK24" s="539"/>
      <c r="KL24" s="541" t="str">
        <f t="shared" si="106"/>
        <v>0</v>
      </c>
      <c r="KM24" s="541" t="str">
        <f t="shared" si="107"/>
        <v>0</v>
      </c>
      <c r="KN24" s="539"/>
      <c r="KO24" s="541" t="str">
        <f t="shared" si="108"/>
        <v>0</v>
      </c>
      <c r="KP24" s="541" t="str">
        <f t="shared" si="109"/>
        <v>0</v>
      </c>
      <c r="KQ24" s="539"/>
      <c r="KR24" s="541" t="str">
        <f t="shared" si="110"/>
        <v>0</v>
      </c>
      <c r="KS24" s="541" t="str">
        <f t="shared" si="111"/>
        <v>0</v>
      </c>
      <c r="KT24" s="541">
        <f t="shared" si="201"/>
        <v>0</v>
      </c>
      <c r="KU24" s="541">
        <f t="shared" si="202"/>
        <v>0</v>
      </c>
      <c r="KV24" s="272">
        <f t="shared" si="199"/>
        <v>883.27333189778926</v>
      </c>
    </row>
    <row r="25" spans="1:309" ht="15" customHeight="1">
      <c r="A25" s="274">
        <f t="shared" si="200"/>
        <v>46129</v>
      </c>
      <c r="B25" s="275" t="str">
        <f>+Report1!B25</f>
        <v>MG</v>
      </c>
      <c r="C25" s="417" t="str">
        <f>+Report1!C25</f>
        <v>16/17</v>
      </c>
      <c r="D25" s="276">
        <f>+Report1!P25</f>
        <v>81.471000000000004</v>
      </c>
      <c r="E25" s="277">
        <f>+Report1!R25</f>
        <v>82.838999999999999</v>
      </c>
      <c r="F25" s="539"/>
      <c r="G25" s="540">
        <f t="shared" si="0"/>
        <v>0</v>
      </c>
      <c r="H25" s="541">
        <f t="shared" si="112"/>
        <v>0</v>
      </c>
      <c r="I25" s="539">
        <v>790.69767441860495</v>
      </c>
      <c r="J25" s="540">
        <f t="shared" si="1"/>
        <v>9.5449929914485327</v>
      </c>
      <c r="K25" s="541">
        <f t="shared" si="113"/>
        <v>0</v>
      </c>
      <c r="L25" s="539"/>
      <c r="M25" s="540">
        <f t="shared" si="2"/>
        <v>0</v>
      </c>
      <c r="N25" s="541">
        <f t="shared" si="114"/>
        <v>0</v>
      </c>
      <c r="O25" s="539">
        <v>8.9999999999999964</v>
      </c>
      <c r="P25" s="540">
        <f t="shared" si="3"/>
        <v>0.10864447904972292</v>
      </c>
      <c r="Q25" s="541">
        <f t="shared" si="115"/>
        <v>0</v>
      </c>
      <c r="R25" s="539"/>
      <c r="S25" s="540">
        <f t="shared" si="4"/>
        <v>0</v>
      </c>
      <c r="T25" s="541">
        <f t="shared" si="116"/>
        <v>0</v>
      </c>
      <c r="U25" s="539">
        <v>5.125</v>
      </c>
      <c r="V25" s="540">
        <f t="shared" si="5"/>
        <v>6.1866995014425573E-2</v>
      </c>
      <c r="W25" s="541">
        <f t="shared" si="117"/>
        <v>0</v>
      </c>
      <c r="X25" s="539"/>
      <c r="Y25" s="540">
        <f t="shared" si="6"/>
        <v>0</v>
      </c>
      <c r="Z25" s="541">
        <f t="shared" si="118"/>
        <v>0</v>
      </c>
      <c r="AA25" s="539"/>
      <c r="AB25" s="540">
        <f t="shared" si="7"/>
        <v>0</v>
      </c>
      <c r="AC25" s="541">
        <f t="shared" si="119"/>
        <v>0</v>
      </c>
      <c r="AD25" s="539"/>
      <c r="AE25" s="540">
        <f t="shared" si="8"/>
        <v>0</v>
      </c>
      <c r="AF25" s="541">
        <f t="shared" si="120"/>
        <v>0</v>
      </c>
      <c r="AG25" s="539"/>
      <c r="AH25" s="540">
        <f t="shared" si="9"/>
        <v>0</v>
      </c>
      <c r="AI25" s="541">
        <f t="shared" si="121"/>
        <v>0</v>
      </c>
      <c r="AJ25" s="539"/>
      <c r="AK25" s="540">
        <f t="shared" si="10"/>
        <v>0</v>
      </c>
      <c r="AL25" s="541">
        <f t="shared" si="122"/>
        <v>0</v>
      </c>
      <c r="AM25" s="539">
        <v>0</v>
      </c>
      <c r="AN25" s="540">
        <f t="shared" si="11"/>
        <v>0</v>
      </c>
      <c r="AO25" s="541">
        <f t="shared" si="123"/>
        <v>0</v>
      </c>
      <c r="AP25" s="539">
        <v>0</v>
      </c>
      <c r="AQ25" s="540">
        <f t="shared" si="12"/>
        <v>0</v>
      </c>
      <c r="AR25" s="541">
        <f t="shared" si="124"/>
        <v>0</v>
      </c>
      <c r="AS25" s="539"/>
      <c r="AT25" s="540">
        <f t="shared" si="13"/>
        <v>0</v>
      </c>
      <c r="AU25" s="541">
        <f t="shared" si="125"/>
        <v>0</v>
      </c>
      <c r="AV25" s="539">
        <v>8.3249999999999886</v>
      </c>
      <c r="AW25" s="540">
        <f t="shared" si="14"/>
        <v>0.1004961431209936</v>
      </c>
      <c r="AX25" s="541">
        <f t="shared" si="126"/>
        <v>0</v>
      </c>
      <c r="AY25" s="539">
        <v>0</v>
      </c>
      <c r="AZ25" s="540">
        <f t="shared" si="15"/>
        <v>0</v>
      </c>
      <c r="BA25" s="541">
        <f t="shared" si="127"/>
        <v>0</v>
      </c>
      <c r="BB25" s="539">
        <v>63</v>
      </c>
      <c r="BC25" s="540">
        <f t="shared" si="16"/>
        <v>0.76051135334806075</v>
      </c>
      <c r="BD25" s="541">
        <f t="shared" si="128"/>
        <v>0</v>
      </c>
      <c r="BE25" s="539"/>
      <c r="BF25" s="540">
        <f t="shared" si="17"/>
        <v>0</v>
      </c>
      <c r="BG25" s="541">
        <f t="shared" si="129"/>
        <v>0</v>
      </c>
      <c r="BH25" s="539"/>
      <c r="BI25" s="540">
        <f t="shared" si="18"/>
        <v>0</v>
      </c>
      <c r="BJ25" s="541">
        <f t="shared" si="130"/>
        <v>0</v>
      </c>
      <c r="BK25" s="539"/>
      <c r="BL25" s="540">
        <f t="shared" si="19"/>
        <v>0</v>
      </c>
      <c r="BM25" s="541">
        <f t="shared" si="131"/>
        <v>0</v>
      </c>
      <c r="BN25" s="539">
        <v>17.716049382716022</v>
      </c>
      <c r="BO25" s="540">
        <f t="shared" si="20"/>
        <v>0.21386121733381647</v>
      </c>
      <c r="BP25" s="541">
        <f t="shared" si="132"/>
        <v>0</v>
      </c>
      <c r="BQ25" s="539">
        <v>0</v>
      </c>
      <c r="BR25" s="540">
        <f t="shared" si="21"/>
        <v>0</v>
      </c>
      <c r="BS25" s="541">
        <f t="shared" si="133"/>
        <v>0</v>
      </c>
      <c r="BT25" s="539"/>
      <c r="BU25" s="540">
        <f t="shared" si="22"/>
        <v>0</v>
      </c>
      <c r="BV25" s="541">
        <f t="shared" si="134"/>
        <v>0</v>
      </c>
      <c r="BW25" s="539">
        <v>0.67999999999999972</v>
      </c>
      <c r="BX25" s="540">
        <f t="shared" si="23"/>
        <v>8.2086939726457309E-3</v>
      </c>
      <c r="BY25" s="541">
        <f t="shared" si="135"/>
        <v>0</v>
      </c>
      <c r="BZ25" s="539"/>
      <c r="CA25" s="540">
        <f t="shared" si="24"/>
        <v>0</v>
      </c>
      <c r="CB25" s="541">
        <f t="shared" si="136"/>
        <v>0</v>
      </c>
      <c r="CC25" s="539">
        <v>6.25</v>
      </c>
      <c r="CD25" s="540">
        <f t="shared" si="25"/>
        <v>7.5447554895640936E-2</v>
      </c>
      <c r="CE25" s="541">
        <f t="shared" si="137"/>
        <v>0</v>
      </c>
      <c r="CF25" s="539">
        <v>9.9999999999999645E-2</v>
      </c>
      <c r="CG25" s="540">
        <f t="shared" si="26"/>
        <v>1.2071608783302509E-3</v>
      </c>
      <c r="CH25" s="541">
        <f t="shared" si="138"/>
        <v>0</v>
      </c>
      <c r="CI25" s="539"/>
      <c r="CJ25" s="540">
        <f t="shared" si="27"/>
        <v>0</v>
      </c>
      <c r="CK25" s="541">
        <f t="shared" si="139"/>
        <v>0</v>
      </c>
      <c r="CL25" s="539"/>
      <c r="CM25" s="540">
        <f t="shared" si="28"/>
        <v>0</v>
      </c>
      <c r="CN25" s="541">
        <f t="shared" si="140"/>
        <v>0</v>
      </c>
      <c r="CO25" s="539"/>
      <c r="CP25" s="540">
        <f t="shared" si="29"/>
        <v>0</v>
      </c>
      <c r="CQ25" s="541">
        <f t="shared" si="141"/>
        <v>0</v>
      </c>
      <c r="CR25" s="539"/>
      <c r="CS25" s="540">
        <f t="shared" si="30"/>
        <v>0</v>
      </c>
      <c r="CT25" s="541">
        <f t="shared" si="142"/>
        <v>0</v>
      </c>
      <c r="CU25" s="539"/>
      <c r="CV25" s="540">
        <f t="shared" si="31"/>
        <v>0</v>
      </c>
      <c r="CW25" s="541">
        <f t="shared" si="143"/>
        <v>0</v>
      </c>
      <c r="CX25" s="539"/>
      <c r="CY25" s="540">
        <f t="shared" si="32"/>
        <v>0</v>
      </c>
      <c r="CZ25" s="541">
        <f t="shared" si="144"/>
        <v>0</v>
      </c>
      <c r="DA25" s="539">
        <v>0</v>
      </c>
      <c r="DB25" s="540">
        <f t="shared" si="33"/>
        <v>0</v>
      </c>
      <c r="DC25" s="541">
        <f t="shared" si="145"/>
        <v>0</v>
      </c>
      <c r="DD25" s="539"/>
      <c r="DE25" s="540">
        <f t="shared" si="34"/>
        <v>0</v>
      </c>
      <c r="DF25" s="541">
        <f t="shared" si="146"/>
        <v>0</v>
      </c>
      <c r="DG25" s="539">
        <v>4.7250000000000014</v>
      </c>
      <c r="DH25" s="540">
        <f t="shared" si="35"/>
        <v>5.7038351501104569E-2</v>
      </c>
      <c r="DI25" s="541">
        <f t="shared" si="203"/>
        <v>0</v>
      </c>
      <c r="DJ25" s="539"/>
      <c r="DK25" s="540">
        <f t="shared" si="36"/>
        <v>0</v>
      </c>
      <c r="DL25" s="541">
        <f t="shared" si="147"/>
        <v>0</v>
      </c>
      <c r="DM25" s="539"/>
      <c r="DN25" s="540">
        <f t="shared" si="37"/>
        <v>0</v>
      </c>
      <c r="DO25" s="541">
        <f t="shared" si="148"/>
        <v>0</v>
      </c>
      <c r="DP25" s="539"/>
      <c r="DQ25" s="540">
        <f t="shared" si="38"/>
        <v>0</v>
      </c>
      <c r="DR25" s="541">
        <f t="shared" si="149"/>
        <v>0</v>
      </c>
      <c r="DS25" s="539"/>
      <c r="DT25" s="540">
        <f t="shared" si="39"/>
        <v>0</v>
      </c>
      <c r="DU25" s="541">
        <f t="shared" si="150"/>
        <v>0</v>
      </c>
      <c r="DV25" s="539"/>
      <c r="DW25" s="540">
        <f t="shared" si="40"/>
        <v>0</v>
      </c>
      <c r="DX25" s="541">
        <f t="shared" si="151"/>
        <v>0</v>
      </c>
      <c r="DY25" s="539"/>
      <c r="DZ25" s="540">
        <f t="shared" si="41"/>
        <v>0</v>
      </c>
      <c r="EA25" s="541">
        <f t="shared" si="152"/>
        <v>0</v>
      </c>
      <c r="EB25" s="539">
        <v>14.534883720930225</v>
      </c>
      <c r="EC25" s="540">
        <f t="shared" si="42"/>
        <v>0.17545942998986255</v>
      </c>
      <c r="ED25" s="541">
        <f t="shared" si="153"/>
        <v>0</v>
      </c>
      <c r="EE25" s="539">
        <v>1</v>
      </c>
      <c r="EF25" s="540">
        <f t="shared" si="43"/>
        <v>1.2071608783302551E-2</v>
      </c>
      <c r="EG25" s="541">
        <f t="shared" si="154"/>
        <v>0</v>
      </c>
      <c r="EH25" s="539"/>
      <c r="EI25" s="540">
        <f t="shared" si="44"/>
        <v>0</v>
      </c>
      <c r="EJ25" s="541">
        <f t="shared" si="155"/>
        <v>0</v>
      </c>
      <c r="EK25" s="539"/>
      <c r="EL25" s="540">
        <f t="shared" si="45"/>
        <v>0</v>
      </c>
      <c r="EM25" s="541">
        <f t="shared" si="156"/>
        <v>0</v>
      </c>
      <c r="EN25" s="539"/>
      <c r="EO25" s="540">
        <f t="shared" si="46"/>
        <v>0</v>
      </c>
      <c r="EP25" s="541">
        <f t="shared" si="157"/>
        <v>0</v>
      </c>
      <c r="EQ25" s="539"/>
      <c r="ER25" s="540">
        <f t="shared" si="47"/>
        <v>0</v>
      </c>
      <c r="ES25" s="541">
        <f t="shared" si="158"/>
        <v>0</v>
      </c>
      <c r="ET25" s="539"/>
      <c r="EU25" s="540">
        <f t="shared" si="48"/>
        <v>0</v>
      </c>
      <c r="EV25" s="541">
        <f t="shared" si="159"/>
        <v>0</v>
      </c>
      <c r="EW25" s="539"/>
      <c r="EX25" s="540">
        <f t="shared" si="49"/>
        <v>0</v>
      </c>
      <c r="EY25" s="541">
        <f t="shared" si="160"/>
        <v>0</v>
      </c>
      <c r="EZ25" s="539"/>
      <c r="FA25" s="540">
        <f t="shared" si="50"/>
        <v>0</v>
      </c>
      <c r="FB25" s="541">
        <f t="shared" si="161"/>
        <v>0</v>
      </c>
      <c r="FC25" s="539"/>
      <c r="FD25" s="540">
        <f t="shared" si="51"/>
        <v>0</v>
      </c>
      <c r="FE25" s="541">
        <f t="shared" si="162"/>
        <v>0</v>
      </c>
      <c r="FF25" s="539"/>
      <c r="FG25" s="540">
        <f t="shared" si="52"/>
        <v>0</v>
      </c>
      <c r="FH25" s="541">
        <f t="shared" si="163"/>
        <v>0</v>
      </c>
      <c r="FI25" s="539"/>
      <c r="FJ25" s="540">
        <f t="shared" si="53"/>
        <v>0</v>
      </c>
      <c r="FK25" s="541">
        <f t="shared" si="164"/>
        <v>0</v>
      </c>
      <c r="FL25" s="539"/>
      <c r="FM25" s="540">
        <f t="shared" si="54"/>
        <v>0</v>
      </c>
      <c r="FN25" s="541">
        <f t="shared" si="165"/>
        <v>0</v>
      </c>
      <c r="FO25" s="539"/>
      <c r="FP25" s="540">
        <f t="shared" si="55"/>
        <v>0</v>
      </c>
      <c r="FQ25" s="541">
        <f t="shared" si="166"/>
        <v>0</v>
      </c>
      <c r="FR25" s="539"/>
      <c r="FS25" s="540">
        <f t="shared" si="56"/>
        <v>0</v>
      </c>
      <c r="FT25" s="541">
        <f t="shared" si="167"/>
        <v>0</v>
      </c>
      <c r="FU25" s="539"/>
      <c r="FV25" s="540">
        <f t="shared" si="57"/>
        <v>0</v>
      </c>
      <c r="FW25" s="541">
        <f t="shared" si="168"/>
        <v>0</v>
      </c>
      <c r="FX25" s="539"/>
      <c r="FY25" s="540">
        <f t="shared" si="58"/>
        <v>0</v>
      </c>
      <c r="FZ25" s="541">
        <f t="shared" si="169"/>
        <v>0</v>
      </c>
      <c r="GA25" s="539"/>
      <c r="GB25" s="540">
        <f t="shared" si="59"/>
        <v>0</v>
      </c>
      <c r="GC25" s="541">
        <f t="shared" si="170"/>
        <v>0</v>
      </c>
      <c r="GD25" s="539"/>
      <c r="GE25" s="540">
        <f t="shared" si="60"/>
        <v>0</v>
      </c>
      <c r="GF25" s="541">
        <f t="shared" si="171"/>
        <v>0</v>
      </c>
      <c r="GG25" s="539"/>
      <c r="GH25" s="540">
        <f t="shared" si="61"/>
        <v>0</v>
      </c>
      <c r="GI25" s="541">
        <f t="shared" si="172"/>
        <v>0</v>
      </c>
      <c r="GJ25" s="539"/>
      <c r="GK25" s="540">
        <f t="shared" si="62"/>
        <v>0</v>
      </c>
      <c r="GL25" s="541">
        <f t="shared" si="173"/>
        <v>0</v>
      </c>
      <c r="GM25" s="539"/>
      <c r="GN25" s="540">
        <f t="shared" si="63"/>
        <v>0</v>
      </c>
      <c r="GO25" s="541">
        <f t="shared" si="174"/>
        <v>0</v>
      </c>
      <c r="GP25" s="539"/>
      <c r="GQ25" s="540">
        <f t="shared" si="64"/>
        <v>0</v>
      </c>
      <c r="GR25" s="541">
        <f t="shared" si="175"/>
        <v>0</v>
      </c>
      <c r="GS25" s="539"/>
      <c r="GT25" s="540">
        <f t="shared" si="65"/>
        <v>0</v>
      </c>
      <c r="GU25" s="541">
        <f t="shared" si="176"/>
        <v>0</v>
      </c>
      <c r="GV25" s="539"/>
      <c r="GW25" s="540">
        <f t="shared" si="66"/>
        <v>0</v>
      </c>
      <c r="GX25" s="541">
        <f t="shared" si="177"/>
        <v>0</v>
      </c>
      <c r="GY25" s="539"/>
      <c r="GZ25" s="540">
        <f t="shared" si="67"/>
        <v>0</v>
      </c>
      <c r="HA25" s="541">
        <f t="shared" si="178"/>
        <v>0</v>
      </c>
      <c r="HB25" s="539"/>
      <c r="HC25" s="540">
        <f t="shared" si="68"/>
        <v>0</v>
      </c>
      <c r="HD25" s="541">
        <f t="shared" si="179"/>
        <v>0</v>
      </c>
      <c r="HE25" s="539"/>
      <c r="HF25" s="540">
        <f t="shared" si="69"/>
        <v>0</v>
      </c>
      <c r="HG25" s="541">
        <f t="shared" si="180"/>
        <v>0</v>
      </c>
      <c r="HH25" s="539"/>
      <c r="HI25" s="540">
        <f t="shared" si="70"/>
        <v>0</v>
      </c>
      <c r="HJ25" s="541">
        <f t="shared" si="181"/>
        <v>0</v>
      </c>
      <c r="HK25" s="539"/>
      <c r="HL25" s="540">
        <f t="shared" si="71"/>
        <v>0</v>
      </c>
      <c r="HM25" s="541">
        <f t="shared" si="182"/>
        <v>0</v>
      </c>
      <c r="HN25" s="539"/>
      <c r="HO25" s="540">
        <f t="shared" si="72"/>
        <v>0</v>
      </c>
      <c r="HP25" s="541">
        <f t="shared" si="183"/>
        <v>0</v>
      </c>
      <c r="HQ25" s="539"/>
      <c r="HR25" s="540">
        <f t="shared" si="73"/>
        <v>0</v>
      </c>
      <c r="HS25" s="541">
        <f t="shared" si="184"/>
        <v>0</v>
      </c>
      <c r="HT25" s="539"/>
      <c r="HU25" s="540">
        <f t="shared" si="74"/>
        <v>0</v>
      </c>
      <c r="HV25" s="541">
        <f t="shared" si="185"/>
        <v>0</v>
      </c>
      <c r="HW25" s="539"/>
      <c r="HX25" s="540">
        <f t="shared" si="75"/>
        <v>0</v>
      </c>
      <c r="HY25" s="541">
        <f t="shared" si="186"/>
        <v>0</v>
      </c>
      <c r="HZ25" s="539"/>
      <c r="IA25" s="540">
        <f t="shared" si="76"/>
        <v>0</v>
      </c>
      <c r="IB25" s="541">
        <f t="shared" si="187"/>
        <v>0</v>
      </c>
      <c r="IC25" s="539"/>
      <c r="ID25" s="540">
        <f t="shared" si="77"/>
        <v>0</v>
      </c>
      <c r="IE25" s="541">
        <f t="shared" si="188"/>
        <v>0</v>
      </c>
      <c r="IF25" s="539"/>
      <c r="IG25" s="540">
        <f t="shared" si="78"/>
        <v>0</v>
      </c>
      <c r="IH25" s="541">
        <f t="shared" si="189"/>
        <v>0</v>
      </c>
      <c r="II25" s="539"/>
      <c r="IJ25" s="540">
        <f t="shared" si="79"/>
        <v>0</v>
      </c>
      <c r="IK25" s="541">
        <f t="shared" si="190"/>
        <v>0</v>
      </c>
      <c r="IL25" s="539"/>
      <c r="IM25" s="540">
        <f t="shared" si="80"/>
        <v>0</v>
      </c>
      <c r="IN25" s="541">
        <f t="shared" si="191"/>
        <v>0</v>
      </c>
      <c r="IO25" s="539"/>
      <c r="IP25" s="540">
        <f t="shared" si="81"/>
        <v>0</v>
      </c>
      <c r="IQ25" s="541">
        <f t="shared" si="192"/>
        <v>0</v>
      </c>
      <c r="IR25" s="539"/>
      <c r="IS25" s="540">
        <f t="shared" si="82"/>
        <v>0</v>
      </c>
      <c r="IT25" s="541">
        <f t="shared" si="193"/>
        <v>0</v>
      </c>
      <c r="IU25" s="539"/>
      <c r="IV25" s="540">
        <f t="shared" si="83"/>
        <v>0</v>
      </c>
      <c r="IW25" s="541">
        <f t="shared" si="194"/>
        <v>0</v>
      </c>
      <c r="IX25" s="539"/>
      <c r="IY25" s="540">
        <f t="shared" si="84"/>
        <v>0</v>
      </c>
      <c r="IZ25" s="541">
        <f t="shared" si="195"/>
        <v>0</v>
      </c>
      <c r="JA25" s="539"/>
      <c r="JB25" s="540">
        <f t="shared" si="85"/>
        <v>0</v>
      </c>
      <c r="JC25" s="541">
        <f t="shared" si="196"/>
        <v>0</v>
      </c>
      <c r="JD25" s="539"/>
      <c r="JE25" s="540">
        <f t="shared" si="86"/>
        <v>0</v>
      </c>
      <c r="JF25" s="541">
        <f t="shared" si="197"/>
        <v>0</v>
      </c>
      <c r="JG25" s="539"/>
      <c r="JH25" s="540">
        <f t="shared" si="87"/>
        <v>0</v>
      </c>
      <c r="JI25" s="541">
        <f t="shared" si="198"/>
        <v>0</v>
      </c>
      <c r="JJ25" s="539"/>
      <c r="JK25" s="541" t="str">
        <f t="shared" si="88"/>
        <v>0</v>
      </c>
      <c r="JL25" s="541" t="str">
        <f t="shared" si="89"/>
        <v>0</v>
      </c>
      <c r="JM25" s="539"/>
      <c r="JN25" s="541" t="str">
        <f t="shared" si="90"/>
        <v>0</v>
      </c>
      <c r="JO25" s="541" t="str">
        <f t="shared" si="91"/>
        <v>0</v>
      </c>
      <c r="JP25" s="539"/>
      <c r="JQ25" s="541" t="str">
        <f t="shared" si="92"/>
        <v>0</v>
      </c>
      <c r="JR25" s="541" t="str">
        <f t="shared" si="93"/>
        <v>0</v>
      </c>
      <c r="JS25" s="539"/>
      <c r="JT25" s="541" t="str">
        <f t="shared" si="94"/>
        <v>0</v>
      </c>
      <c r="JU25" s="541" t="str">
        <f t="shared" si="95"/>
        <v>0</v>
      </c>
      <c r="JV25" s="539"/>
      <c r="JW25" s="541" t="str">
        <f t="shared" si="96"/>
        <v>0</v>
      </c>
      <c r="JX25" s="541" t="str">
        <f t="shared" si="97"/>
        <v>0</v>
      </c>
      <c r="JY25" s="539"/>
      <c r="JZ25" s="541" t="str">
        <f t="shared" si="98"/>
        <v>0</v>
      </c>
      <c r="KA25" s="541" t="str">
        <f t="shared" si="99"/>
        <v>0</v>
      </c>
      <c r="KB25" s="539"/>
      <c r="KC25" s="541" t="str">
        <f t="shared" si="100"/>
        <v>0</v>
      </c>
      <c r="KD25" s="541" t="str">
        <f t="shared" si="101"/>
        <v>0</v>
      </c>
      <c r="KE25" s="539"/>
      <c r="KF25" s="541" t="str">
        <f t="shared" si="102"/>
        <v>0</v>
      </c>
      <c r="KG25" s="541" t="str">
        <f t="shared" si="103"/>
        <v>0</v>
      </c>
      <c r="KH25" s="539"/>
      <c r="KI25" s="541" t="str">
        <f t="shared" si="104"/>
        <v>0</v>
      </c>
      <c r="KJ25" s="541" t="str">
        <f t="shared" si="105"/>
        <v>0</v>
      </c>
      <c r="KK25" s="539"/>
      <c r="KL25" s="541" t="str">
        <f t="shared" si="106"/>
        <v>0</v>
      </c>
      <c r="KM25" s="541" t="str">
        <f t="shared" si="107"/>
        <v>0</v>
      </c>
      <c r="KN25" s="539"/>
      <c r="KO25" s="541" t="str">
        <f t="shared" si="108"/>
        <v>0</v>
      </c>
      <c r="KP25" s="541" t="str">
        <f t="shared" si="109"/>
        <v>0</v>
      </c>
      <c r="KQ25" s="539"/>
      <c r="KR25" s="541" t="str">
        <f t="shared" si="110"/>
        <v>0</v>
      </c>
      <c r="KS25" s="541" t="str">
        <f t="shared" si="111"/>
        <v>0</v>
      </c>
      <c r="KT25" s="541">
        <f t="shared" si="201"/>
        <v>0</v>
      </c>
      <c r="KU25" s="541">
        <f t="shared" si="202"/>
        <v>0</v>
      </c>
      <c r="KV25" s="272">
        <f t="shared" si="199"/>
        <v>921.15360752225126</v>
      </c>
    </row>
    <row r="26" spans="1:309" ht="15" customHeight="1">
      <c r="A26" s="274">
        <f t="shared" si="200"/>
        <v>46130</v>
      </c>
      <c r="B26" s="275" t="str">
        <f>+Report1!B26</f>
        <v>MG</v>
      </c>
      <c r="C26" s="417" t="str">
        <f>+Report1!C26</f>
        <v>17/14</v>
      </c>
      <c r="D26" s="276">
        <f>+Report1!P26</f>
        <v>80.524000000000001</v>
      </c>
      <c r="E26" s="277">
        <f>+Report1!R26</f>
        <v>76.516000000000005</v>
      </c>
      <c r="F26" s="539"/>
      <c r="G26" s="540">
        <f t="shared" si="0"/>
        <v>0</v>
      </c>
      <c r="H26" s="541">
        <f t="shared" si="112"/>
        <v>0</v>
      </c>
      <c r="I26" s="539">
        <v>808.60000465116264</v>
      </c>
      <c r="J26" s="540">
        <f t="shared" si="1"/>
        <v>10.567724458298429</v>
      </c>
      <c r="K26" s="541">
        <f t="shared" si="113"/>
        <v>0</v>
      </c>
      <c r="L26" s="539"/>
      <c r="M26" s="540">
        <f t="shared" si="2"/>
        <v>0</v>
      </c>
      <c r="N26" s="541">
        <f t="shared" si="114"/>
        <v>0</v>
      </c>
      <c r="O26" s="539">
        <v>9.5512000000000228</v>
      </c>
      <c r="P26" s="540">
        <f t="shared" si="3"/>
        <v>0.12482618014532937</v>
      </c>
      <c r="Q26" s="541">
        <f t="shared" si="115"/>
        <v>0</v>
      </c>
      <c r="R26" s="539"/>
      <c r="S26" s="540">
        <f t="shared" si="4"/>
        <v>0</v>
      </c>
      <c r="T26" s="541">
        <f t="shared" si="116"/>
        <v>0</v>
      </c>
      <c r="U26" s="539">
        <v>5.4433999999999969</v>
      </c>
      <c r="V26" s="540">
        <f t="shared" si="5"/>
        <v>7.1140676459825344E-2</v>
      </c>
      <c r="W26" s="541">
        <f t="shared" si="117"/>
        <v>0</v>
      </c>
      <c r="X26" s="539"/>
      <c r="Y26" s="540">
        <f t="shared" si="6"/>
        <v>0</v>
      </c>
      <c r="Z26" s="541">
        <f t="shared" si="118"/>
        <v>0</v>
      </c>
      <c r="AA26" s="539"/>
      <c r="AB26" s="540">
        <f t="shared" si="7"/>
        <v>0</v>
      </c>
      <c r="AC26" s="541">
        <f t="shared" si="119"/>
        <v>0</v>
      </c>
      <c r="AD26" s="539"/>
      <c r="AE26" s="540">
        <f t="shared" si="8"/>
        <v>0</v>
      </c>
      <c r="AF26" s="541">
        <f t="shared" si="120"/>
        <v>0</v>
      </c>
      <c r="AG26" s="539"/>
      <c r="AH26" s="540">
        <f t="shared" si="9"/>
        <v>0</v>
      </c>
      <c r="AI26" s="541">
        <f t="shared" si="121"/>
        <v>0</v>
      </c>
      <c r="AJ26" s="539"/>
      <c r="AK26" s="540">
        <f t="shared" si="10"/>
        <v>0</v>
      </c>
      <c r="AL26" s="541">
        <f t="shared" si="122"/>
        <v>0</v>
      </c>
      <c r="AM26" s="539">
        <v>0</v>
      </c>
      <c r="AN26" s="540">
        <f t="shared" si="11"/>
        <v>0</v>
      </c>
      <c r="AO26" s="541">
        <f t="shared" si="123"/>
        <v>0</v>
      </c>
      <c r="AP26" s="539">
        <v>0</v>
      </c>
      <c r="AQ26" s="540">
        <f t="shared" si="12"/>
        <v>0</v>
      </c>
      <c r="AR26" s="541">
        <f t="shared" si="124"/>
        <v>0</v>
      </c>
      <c r="AS26" s="539"/>
      <c r="AT26" s="540">
        <f t="shared" si="13"/>
        <v>0</v>
      </c>
      <c r="AU26" s="541">
        <f t="shared" si="125"/>
        <v>0</v>
      </c>
      <c r="AV26" s="539">
        <v>10.315000000000026</v>
      </c>
      <c r="AW26" s="540">
        <f t="shared" si="14"/>
        <v>0.13480840608500216</v>
      </c>
      <c r="AX26" s="541">
        <f t="shared" si="126"/>
        <v>0</v>
      </c>
      <c r="AY26" s="539">
        <v>0</v>
      </c>
      <c r="AZ26" s="540">
        <f t="shared" si="15"/>
        <v>0</v>
      </c>
      <c r="BA26" s="541">
        <f t="shared" si="127"/>
        <v>0</v>
      </c>
      <c r="BB26" s="539">
        <v>80.515333333333302</v>
      </c>
      <c r="BC26" s="540">
        <f t="shared" si="16"/>
        <v>1.0522679352466582</v>
      </c>
      <c r="BD26" s="541">
        <f t="shared" si="128"/>
        <v>0</v>
      </c>
      <c r="BE26" s="539"/>
      <c r="BF26" s="540">
        <f t="shared" si="17"/>
        <v>0</v>
      </c>
      <c r="BG26" s="541">
        <f t="shared" si="129"/>
        <v>0</v>
      </c>
      <c r="BH26" s="539"/>
      <c r="BI26" s="540">
        <f t="shared" si="18"/>
        <v>0</v>
      </c>
      <c r="BJ26" s="541">
        <f t="shared" si="130"/>
        <v>0</v>
      </c>
      <c r="BK26" s="539"/>
      <c r="BL26" s="540">
        <f t="shared" si="19"/>
        <v>0</v>
      </c>
      <c r="BM26" s="541">
        <f t="shared" si="131"/>
        <v>0</v>
      </c>
      <c r="BN26" s="539">
        <v>21.497995061728403</v>
      </c>
      <c r="BO26" s="540">
        <f t="shared" si="20"/>
        <v>0.28096078025156046</v>
      </c>
      <c r="BP26" s="541">
        <f t="shared" si="132"/>
        <v>0</v>
      </c>
      <c r="BQ26" s="539">
        <v>0</v>
      </c>
      <c r="BR26" s="540">
        <f t="shared" si="21"/>
        <v>0</v>
      </c>
      <c r="BS26" s="541">
        <f t="shared" si="133"/>
        <v>0</v>
      </c>
      <c r="BT26" s="539"/>
      <c r="BU26" s="540">
        <f t="shared" si="22"/>
        <v>0</v>
      </c>
      <c r="BV26" s="541">
        <f t="shared" si="134"/>
        <v>0</v>
      </c>
      <c r="BW26" s="539">
        <v>0.68000000000000327</v>
      </c>
      <c r="BX26" s="540">
        <f t="shared" si="23"/>
        <v>8.8870301636259502E-3</v>
      </c>
      <c r="BY26" s="541">
        <f t="shared" si="135"/>
        <v>0</v>
      </c>
      <c r="BZ26" s="539"/>
      <c r="CA26" s="540">
        <f t="shared" si="24"/>
        <v>0</v>
      </c>
      <c r="CB26" s="541">
        <f t="shared" si="136"/>
        <v>0</v>
      </c>
      <c r="CC26" s="539">
        <v>3.125</v>
      </c>
      <c r="CD26" s="540">
        <f t="shared" si="25"/>
        <v>4.084113126666318E-2</v>
      </c>
      <c r="CE26" s="541">
        <f t="shared" si="137"/>
        <v>0</v>
      </c>
      <c r="CF26" s="539">
        <v>9.9999999999999645E-2</v>
      </c>
      <c r="CG26" s="540">
        <f t="shared" si="26"/>
        <v>1.3069162005332172E-3</v>
      </c>
      <c r="CH26" s="541">
        <f t="shared" si="138"/>
        <v>0</v>
      </c>
      <c r="CI26" s="539"/>
      <c r="CJ26" s="540">
        <f t="shared" si="27"/>
        <v>0</v>
      </c>
      <c r="CK26" s="541">
        <f t="shared" si="139"/>
        <v>0</v>
      </c>
      <c r="CL26" s="539"/>
      <c r="CM26" s="540">
        <f t="shared" si="28"/>
        <v>0</v>
      </c>
      <c r="CN26" s="541">
        <f t="shared" si="140"/>
        <v>0</v>
      </c>
      <c r="CO26" s="539"/>
      <c r="CP26" s="540">
        <f t="shared" si="29"/>
        <v>0</v>
      </c>
      <c r="CQ26" s="541">
        <f t="shared" si="141"/>
        <v>0</v>
      </c>
      <c r="CR26" s="539"/>
      <c r="CS26" s="540">
        <f t="shared" si="30"/>
        <v>0</v>
      </c>
      <c r="CT26" s="541">
        <f t="shared" si="142"/>
        <v>0</v>
      </c>
      <c r="CU26" s="539"/>
      <c r="CV26" s="540">
        <f t="shared" si="31"/>
        <v>0</v>
      </c>
      <c r="CW26" s="541">
        <f t="shared" si="143"/>
        <v>0</v>
      </c>
      <c r="CX26" s="539"/>
      <c r="CY26" s="540">
        <f t="shared" si="32"/>
        <v>0</v>
      </c>
      <c r="CZ26" s="541">
        <f t="shared" si="144"/>
        <v>0</v>
      </c>
      <c r="DA26" s="539">
        <v>0</v>
      </c>
      <c r="DB26" s="540">
        <f t="shared" si="33"/>
        <v>0</v>
      </c>
      <c r="DC26" s="541">
        <f t="shared" si="145"/>
        <v>0</v>
      </c>
      <c r="DD26" s="539"/>
      <c r="DE26" s="540">
        <f t="shared" si="34"/>
        <v>0</v>
      </c>
      <c r="DF26" s="541">
        <f t="shared" si="146"/>
        <v>0</v>
      </c>
      <c r="DG26" s="539">
        <v>4.7249999999999979</v>
      </c>
      <c r="DH26" s="540">
        <f t="shared" si="35"/>
        <v>6.1751790475194697E-2</v>
      </c>
      <c r="DI26" s="541">
        <f t="shared" si="203"/>
        <v>0</v>
      </c>
      <c r="DJ26" s="539"/>
      <c r="DK26" s="540">
        <f t="shared" si="36"/>
        <v>0</v>
      </c>
      <c r="DL26" s="541">
        <f t="shared" si="147"/>
        <v>0</v>
      </c>
      <c r="DM26" s="539"/>
      <c r="DN26" s="540">
        <f t="shared" si="37"/>
        <v>0</v>
      </c>
      <c r="DO26" s="541">
        <f t="shared" si="148"/>
        <v>0</v>
      </c>
      <c r="DP26" s="539"/>
      <c r="DQ26" s="540">
        <f t="shared" si="38"/>
        <v>0</v>
      </c>
      <c r="DR26" s="541">
        <f t="shared" si="149"/>
        <v>0</v>
      </c>
      <c r="DS26" s="539"/>
      <c r="DT26" s="540">
        <f t="shared" si="39"/>
        <v>0</v>
      </c>
      <c r="DU26" s="541">
        <f t="shared" si="150"/>
        <v>0</v>
      </c>
      <c r="DV26" s="539"/>
      <c r="DW26" s="540">
        <f t="shared" si="40"/>
        <v>0</v>
      </c>
      <c r="DX26" s="541">
        <f t="shared" si="151"/>
        <v>0</v>
      </c>
      <c r="DY26" s="539"/>
      <c r="DZ26" s="540">
        <f t="shared" si="41"/>
        <v>0</v>
      </c>
      <c r="EA26" s="541">
        <f t="shared" si="152"/>
        <v>0</v>
      </c>
      <c r="EB26" s="539">
        <v>7.7178883720929434</v>
      </c>
      <c r="EC26" s="540">
        <f t="shared" si="42"/>
        <v>0.10086633347395241</v>
      </c>
      <c r="ED26" s="541">
        <f t="shared" si="153"/>
        <v>0</v>
      </c>
      <c r="EE26" s="539">
        <v>1.25</v>
      </c>
      <c r="EF26" s="540">
        <f t="shared" si="43"/>
        <v>1.633645250666527E-2</v>
      </c>
      <c r="EG26" s="541">
        <f t="shared" si="154"/>
        <v>0</v>
      </c>
      <c r="EH26" s="539"/>
      <c r="EI26" s="540">
        <f t="shared" si="44"/>
        <v>0</v>
      </c>
      <c r="EJ26" s="541">
        <f t="shared" si="155"/>
        <v>0</v>
      </c>
      <c r="EK26" s="539"/>
      <c r="EL26" s="540">
        <f t="shared" si="45"/>
        <v>0</v>
      </c>
      <c r="EM26" s="541">
        <f t="shared" si="156"/>
        <v>0</v>
      </c>
      <c r="EN26" s="539"/>
      <c r="EO26" s="540">
        <f t="shared" si="46"/>
        <v>0</v>
      </c>
      <c r="EP26" s="541">
        <f t="shared" si="157"/>
        <v>0</v>
      </c>
      <c r="EQ26" s="539"/>
      <c r="ER26" s="540">
        <f t="shared" si="47"/>
        <v>0</v>
      </c>
      <c r="ES26" s="541">
        <f t="shared" si="158"/>
        <v>0</v>
      </c>
      <c r="ET26" s="539"/>
      <c r="EU26" s="540">
        <f t="shared" si="48"/>
        <v>0</v>
      </c>
      <c r="EV26" s="541">
        <f t="shared" si="159"/>
        <v>0</v>
      </c>
      <c r="EW26" s="539"/>
      <c r="EX26" s="540">
        <f t="shared" si="49"/>
        <v>0</v>
      </c>
      <c r="EY26" s="541">
        <f t="shared" si="160"/>
        <v>0</v>
      </c>
      <c r="EZ26" s="539"/>
      <c r="FA26" s="540">
        <f t="shared" si="50"/>
        <v>0</v>
      </c>
      <c r="FB26" s="541">
        <f t="shared" si="161"/>
        <v>0</v>
      </c>
      <c r="FC26" s="539"/>
      <c r="FD26" s="540">
        <f t="shared" si="51"/>
        <v>0</v>
      </c>
      <c r="FE26" s="541">
        <f t="shared" si="162"/>
        <v>0</v>
      </c>
      <c r="FF26" s="539"/>
      <c r="FG26" s="540">
        <f t="shared" si="52"/>
        <v>0</v>
      </c>
      <c r="FH26" s="541">
        <f t="shared" si="163"/>
        <v>0</v>
      </c>
      <c r="FI26" s="539"/>
      <c r="FJ26" s="540">
        <f t="shared" si="53"/>
        <v>0</v>
      </c>
      <c r="FK26" s="541">
        <f t="shared" si="164"/>
        <v>0</v>
      </c>
      <c r="FL26" s="539"/>
      <c r="FM26" s="540">
        <f t="shared" si="54"/>
        <v>0</v>
      </c>
      <c r="FN26" s="541">
        <f t="shared" si="165"/>
        <v>0</v>
      </c>
      <c r="FO26" s="539"/>
      <c r="FP26" s="540">
        <f t="shared" si="55"/>
        <v>0</v>
      </c>
      <c r="FQ26" s="541">
        <f t="shared" si="166"/>
        <v>0</v>
      </c>
      <c r="FR26" s="539"/>
      <c r="FS26" s="540">
        <f t="shared" si="56"/>
        <v>0</v>
      </c>
      <c r="FT26" s="541">
        <f t="shared" si="167"/>
        <v>0</v>
      </c>
      <c r="FU26" s="539"/>
      <c r="FV26" s="540">
        <f t="shared" si="57"/>
        <v>0</v>
      </c>
      <c r="FW26" s="541">
        <f t="shared" si="168"/>
        <v>0</v>
      </c>
      <c r="FX26" s="539"/>
      <c r="FY26" s="540">
        <f t="shared" si="58"/>
        <v>0</v>
      </c>
      <c r="FZ26" s="541">
        <f t="shared" si="169"/>
        <v>0</v>
      </c>
      <c r="GA26" s="539"/>
      <c r="GB26" s="540">
        <f t="shared" si="59"/>
        <v>0</v>
      </c>
      <c r="GC26" s="541">
        <f t="shared" si="170"/>
        <v>0</v>
      </c>
      <c r="GD26" s="539"/>
      <c r="GE26" s="540">
        <f t="shared" si="60"/>
        <v>0</v>
      </c>
      <c r="GF26" s="541">
        <f t="shared" si="171"/>
        <v>0</v>
      </c>
      <c r="GG26" s="539"/>
      <c r="GH26" s="540">
        <f t="shared" si="61"/>
        <v>0</v>
      </c>
      <c r="GI26" s="541">
        <f t="shared" si="172"/>
        <v>0</v>
      </c>
      <c r="GJ26" s="539"/>
      <c r="GK26" s="540">
        <f t="shared" si="62"/>
        <v>0</v>
      </c>
      <c r="GL26" s="541">
        <f t="shared" si="173"/>
        <v>0</v>
      </c>
      <c r="GM26" s="539"/>
      <c r="GN26" s="540">
        <f t="shared" si="63"/>
        <v>0</v>
      </c>
      <c r="GO26" s="541">
        <f t="shared" si="174"/>
        <v>0</v>
      </c>
      <c r="GP26" s="539"/>
      <c r="GQ26" s="540">
        <f t="shared" si="64"/>
        <v>0</v>
      </c>
      <c r="GR26" s="541">
        <f t="shared" si="175"/>
        <v>0</v>
      </c>
      <c r="GS26" s="539"/>
      <c r="GT26" s="540">
        <f t="shared" si="65"/>
        <v>0</v>
      </c>
      <c r="GU26" s="541">
        <f t="shared" si="176"/>
        <v>0</v>
      </c>
      <c r="GV26" s="539"/>
      <c r="GW26" s="540">
        <f t="shared" si="66"/>
        <v>0</v>
      </c>
      <c r="GX26" s="541">
        <f t="shared" si="177"/>
        <v>0</v>
      </c>
      <c r="GY26" s="539"/>
      <c r="GZ26" s="540">
        <f t="shared" si="67"/>
        <v>0</v>
      </c>
      <c r="HA26" s="541">
        <f t="shared" si="178"/>
        <v>0</v>
      </c>
      <c r="HB26" s="539"/>
      <c r="HC26" s="540">
        <f t="shared" si="68"/>
        <v>0</v>
      </c>
      <c r="HD26" s="541">
        <f t="shared" si="179"/>
        <v>0</v>
      </c>
      <c r="HE26" s="539"/>
      <c r="HF26" s="540">
        <f t="shared" si="69"/>
        <v>0</v>
      </c>
      <c r="HG26" s="541">
        <f t="shared" si="180"/>
        <v>0</v>
      </c>
      <c r="HH26" s="539"/>
      <c r="HI26" s="540">
        <f t="shared" si="70"/>
        <v>0</v>
      </c>
      <c r="HJ26" s="541">
        <f t="shared" si="181"/>
        <v>0</v>
      </c>
      <c r="HK26" s="539"/>
      <c r="HL26" s="540">
        <f t="shared" si="71"/>
        <v>0</v>
      </c>
      <c r="HM26" s="541">
        <f t="shared" si="182"/>
        <v>0</v>
      </c>
      <c r="HN26" s="539"/>
      <c r="HO26" s="540">
        <f t="shared" si="72"/>
        <v>0</v>
      </c>
      <c r="HP26" s="541">
        <f t="shared" si="183"/>
        <v>0</v>
      </c>
      <c r="HQ26" s="539"/>
      <c r="HR26" s="540">
        <f t="shared" si="73"/>
        <v>0</v>
      </c>
      <c r="HS26" s="541">
        <f t="shared" si="184"/>
        <v>0</v>
      </c>
      <c r="HT26" s="539"/>
      <c r="HU26" s="540">
        <f t="shared" si="74"/>
        <v>0</v>
      </c>
      <c r="HV26" s="541">
        <f t="shared" si="185"/>
        <v>0</v>
      </c>
      <c r="HW26" s="539"/>
      <c r="HX26" s="540">
        <f t="shared" si="75"/>
        <v>0</v>
      </c>
      <c r="HY26" s="541">
        <f t="shared" si="186"/>
        <v>0</v>
      </c>
      <c r="HZ26" s="539"/>
      <c r="IA26" s="540">
        <f t="shared" si="76"/>
        <v>0</v>
      </c>
      <c r="IB26" s="541">
        <f t="shared" si="187"/>
        <v>0</v>
      </c>
      <c r="IC26" s="539"/>
      <c r="ID26" s="540">
        <f t="shared" si="77"/>
        <v>0</v>
      </c>
      <c r="IE26" s="541">
        <f t="shared" si="188"/>
        <v>0</v>
      </c>
      <c r="IF26" s="539"/>
      <c r="IG26" s="540">
        <f t="shared" si="78"/>
        <v>0</v>
      </c>
      <c r="IH26" s="541">
        <f t="shared" si="189"/>
        <v>0</v>
      </c>
      <c r="II26" s="539"/>
      <c r="IJ26" s="540">
        <f t="shared" si="79"/>
        <v>0</v>
      </c>
      <c r="IK26" s="541">
        <f t="shared" si="190"/>
        <v>0</v>
      </c>
      <c r="IL26" s="539"/>
      <c r="IM26" s="540">
        <f t="shared" si="80"/>
        <v>0</v>
      </c>
      <c r="IN26" s="541">
        <f t="shared" si="191"/>
        <v>0</v>
      </c>
      <c r="IO26" s="539"/>
      <c r="IP26" s="540">
        <f t="shared" si="81"/>
        <v>0</v>
      </c>
      <c r="IQ26" s="541">
        <f t="shared" si="192"/>
        <v>0</v>
      </c>
      <c r="IR26" s="539"/>
      <c r="IS26" s="540">
        <f t="shared" si="82"/>
        <v>0</v>
      </c>
      <c r="IT26" s="541">
        <f t="shared" si="193"/>
        <v>0</v>
      </c>
      <c r="IU26" s="539"/>
      <c r="IV26" s="540">
        <f t="shared" si="83"/>
        <v>0</v>
      </c>
      <c r="IW26" s="541">
        <f t="shared" si="194"/>
        <v>0</v>
      </c>
      <c r="IX26" s="539"/>
      <c r="IY26" s="540">
        <f t="shared" si="84"/>
        <v>0</v>
      </c>
      <c r="IZ26" s="541">
        <f t="shared" si="195"/>
        <v>0</v>
      </c>
      <c r="JA26" s="539"/>
      <c r="JB26" s="540">
        <f t="shared" si="85"/>
        <v>0</v>
      </c>
      <c r="JC26" s="541">
        <f t="shared" si="196"/>
        <v>0</v>
      </c>
      <c r="JD26" s="539"/>
      <c r="JE26" s="540">
        <f t="shared" si="86"/>
        <v>0</v>
      </c>
      <c r="JF26" s="541">
        <f t="shared" si="197"/>
        <v>0</v>
      </c>
      <c r="JG26" s="539"/>
      <c r="JH26" s="540">
        <f t="shared" si="87"/>
        <v>0</v>
      </c>
      <c r="JI26" s="541">
        <f t="shared" si="198"/>
        <v>0</v>
      </c>
      <c r="JJ26" s="539"/>
      <c r="JK26" s="541" t="str">
        <f t="shared" si="88"/>
        <v>0</v>
      </c>
      <c r="JL26" s="541" t="str">
        <f t="shared" si="89"/>
        <v>0</v>
      </c>
      <c r="JM26" s="539"/>
      <c r="JN26" s="541" t="str">
        <f t="shared" si="90"/>
        <v>0</v>
      </c>
      <c r="JO26" s="541" t="str">
        <f t="shared" si="91"/>
        <v>0</v>
      </c>
      <c r="JP26" s="539"/>
      <c r="JQ26" s="541" t="str">
        <f t="shared" si="92"/>
        <v>0</v>
      </c>
      <c r="JR26" s="541" t="str">
        <f t="shared" si="93"/>
        <v>0</v>
      </c>
      <c r="JS26" s="539"/>
      <c r="JT26" s="541" t="str">
        <f t="shared" si="94"/>
        <v>0</v>
      </c>
      <c r="JU26" s="541" t="str">
        <f t="shared" si="95"/>
        <v>0</v>
      </c>
      <c r="JV26" s="539"/>
      <c r="JW26" s="541" t="str">
        <f t="shared" si="96"/>
        <v>0</v>
      </c>
      <c r="JX26" s="541" t="str">
        <f t="shared" si="97"/>
        <v>0</v>
      </c>
      <c r="JY26" s="539"/>
      <c r="JZ26" s="541" t="str">
        <f t="shared" si="98"/>
        <v>0</v>
      </c>
      <c r="KA26" s="541" t="str">
        <f t="shared" si="99"/>
        <v>0</v>
      </c>
      <c r="KB26" s="539"/>
      <c r="KC26" s="541" t="str">
        <f t="shared" si="100"/>
        <v>0</v>
      </c>
      <c r="KD26" s="541" t="str">
        <f t="shared" si="101"/>
        <v>0</v>
      </c>
      <c r="KE26" s="539"/>
      <c r="KF26" s="541" t="str">
        <f t="shared" si="102"/>
        <v>0</v>
      </c>
      <c r="KG26" s="541" t="str">
        <f t="shared" si="103"/>
        <v>0</v>
      </c>
      <c r="KH26" s="539"/>
      <c r="KI26" s="541" t="str">
        <f t="shared" si="104"/>
        <v>0</v>
      </c>
      <c r="KJ26" s="541" t="str">
        <f t="shared" si="105"/>
        <v>0</v>
      </c>
      <c r="KK26" s="539"/>
      <c r="KL26" s="541" t="str">
        <f t="shared" si="106"/>
        <v>0</v>
      </c>
      <c r="KM26" s="541" t="str">
        <f t="shared" si="107"/>
        <v>0</v>
      </c>
      <c r="KN26" s="539"/>
      <c r="KO26" s="541" t="str">
        <f t="shared" si="108"/>
        <v>0</v>
      </c>
      <c r="KP26" s="541" t="str">
        <f t="shared" si="109"/>
        <v>0</v>
      </c>
      <c r="KQ26" s="539"/>
      <c r="KR26" s="541" t="str">
        <f t="shared" si="110"/>
        <v>0</v>
      </c>
      <c r="KS26" s="541" t="str">
        <f t="shared" si="111"/>
        <v>0</v>
      </c>
      <c r="KT26" s="541">
        <f t="shared" si="201"/>
        <v>0</v>
      </c>
      <c r="KU26" s="541">
        <f t="shared" si="202"/>
        <v>0</v>
      </c>
      <c r="KV26" s="272">
        <f t="shared" si="199"/>
        <v>953.52082141831727</v>
      </c>
    </row>
    <row r="27" spans="1:309" ht="15" customHeight="1">
      <c r="A27" s="274">
        <f t="shared" si="200"/>
        <v>46131</v>
      </c>
      <c r="B27" s="275" t="str">
        <f>+Report1!B27</f>
        <v>MG</v>
      </c>
      <c r="C27" s="417" t="str">
        <f>+Report1!C27</f>
        <v>14/19</v>
      </c>
      <c r="D27" s="276">
        <f>+Report1!P27</f>
        <v>71.169000000000011</v>
      </c>
      <c r="E27" s="277">
        <f>+Report1!R27</f>
        <v>73.134</v>
      </c>
      <c r="F27" s="539"/>
      <c r="G27" s="540">
        <f t="shared" si="0"/>
        <v>0</v>
      </c>
      <c r="H27" s="541">
        <f t="shared" si="112"/>
        <v>0</v>
      </c>
      <c r="I27" s="539">
        <v>714.65280000000007</v>
      </c>
      <c r="J27" s="540">
        <f t="shared" si="1"/>
        <v>9.7718270571827066</v>
      </c>
      <c r="K27" s="541">
        <f t="shared" si="113"/>
        <v>0</v>
      </c>
      <c r="L27" s="539"/>
      <c r="M27" s="540">
        <f t="shared" si="2"/>
        <v>0</v>
      </c>
      <c r="N27" s="541">
        <f t="shared" si="114"/>
        <v>0</v>
      </c>
      <c r="O27" s="539">
        <v>8.4447999999999865</v>
      </c>
      <c r="P27" s="540">
        <f t="shared" si="3"/>
        <v>0.11547023272349367</v>
      </c>
      <c r="Q27" s="541">
        <f t="shared" si="115"/>
        <v>0</v>
      </c>
      <c r="R27" s="539"/>
      <c r="S27" s="540">
        <f t="shared" si="4"/>
        <v>0</v>
      </c>
      <c r="T27" s="541">
        <f t="shared" si="116"/>
        <v>0</v>
      </c>
      <c r="U27" s="539">
        <v>4.8100999999999772</v>
      </c>
      <c r="V27" s="540">
        <f t="shared" si="5"/>
        <v>6.5771050400634135E-2</v>
      </c>
      <c r="W27" s="541">
        <f t="shared" si="117"/>
        <v>0</v>
      </c>
      <c r="X27" s="539"/>
      <c r="Y27" s="540">
        <f t="shared" si="6"/>
        <v>0</v>
      </c>
      <c r="Z27" s="541">
        <f t="shared" si="118"/>
        <v>0</v>
      </c>
      <c r="AA27" s="539"/>
      <c r="AB27" s="540">
        <f t="shared" si="7"/>
        <v>0</v>
      </c>
      <c r="AC27" s="541">
        <f t="shared" si="119"/>
        <v>0</v>
      </c>
      <c r="AD27" s="539"/>
      <c r="AE27" s="540">
        <f t="shared" si="8"/>
        <v>0</v>
      </c>
      <c r="AF27" s="541">
        <f t="shared" si="120"/>
        <v>0</v>
      </c>
      <c r="AG27" s="539"/>
      <c r="AH27" s="540">
        <f t="shared" si="9"/>
        <v>0</v>
      </c>
      <c r="AI27" s="541">
        <f t="shared" si="121"/>
        <v>0</v>
      </c>
      <c r="AJ27" s="539"/>
      <c r="AK27" s="540">
        <f t="shared" si="10"/>
        <v>0</v>
      </c>
      <c r="AL27" s="541">
        <f t="shared" si="122"/>
        <v>0</v>
      </c>
      <c r="AM27" s="539">
        <v>0</v>
      </c>
      <c r="AN27" s="540">
        <f t="shared" si="11"/>
        <v>0</v>
      </c>
      <c r="AO27" s="541">
        <f t="shared" si="123"/>
        <v>0</v>
      </c>
      <c r="AP27" s="539">
        <v>0</v>
      </c>
      <c r="AQ27" s="540">
        <f t="shared" si="12"/>
        <v>0</v>
      </c>
      <c r="AR27" s="541">
        <f t="shared" si="124"/>
        <v>0</v>
      </c>
      <c r="AS27" s="539"/>
      <c r="AT27" s="540">
        <f t="shared" si="13"/>
        <v>0</v>
      </c>
      <c r="AU27" s="541">
        <f t="shared" si="125"/>
        <v>0</v>
      </c>
      <c r="AV27" s="539">
        <v>9.1080000000000041</v>
      </c>
      <c r="AW27" s="540">
        <f t="shared" si="14"/>
        <v>0.12453851833620483</v>
      </c>
      <c r="AX27" s="541">
        <f t="shared" si="126"/>
        <v>0</v>
      </c>
      <c r="AY27" s="539">
        <v>0</v>
      </c>
      <c r="AZ27" s="540">
        <f t="shared" si="15"/>
        <v>0</v>
      </c>
      <c r="BA27" s="541">
        <f t="shared" si="127"/>
        <v>0</v>
      </c>
      <c r="BB27" s="539">
        <v>71.152799999999999</v>
      </c>
      <c r="BC27" s="540">
        <f t="shared" si="16"/>
        <v>0.97291000082041179</v>
      </c>
      <c r="BD27" s="541">
        <f t="shared" si="128"/>
        <v>0</v>
      </c>
      <c r="BE27" s="539"/>
      <c r="BF27" s="540">
        <f t="shared" si="17"/>
        <v>0</v>
      </c>
      <c r="BG27" s="541">
        <f t="shared" si="129"/>
        <v>0</v>
      </c>
      <c r="BH27" s="539"/>
      <c r="BI27" s="540">
        <f t="shared" si="18"/>
        <v>0</v>
      </c>
      <c r="BJ27" s="541">
        <f t="shared" si="130"/>
        <v>0</v>
      </c>
      <c r="BK27" s="539"/>
      <c r="BL27" s="540">
        <f t="shared" si="19"/>
        <v>0</v>
      </c>
      <c r="BM27" s="541">
        <f t="shared" si="131"/>
        <v>0</v>
      </c>
      <c r="BN27" s="539">
        <v>18.998099999999994</v>
      </c>
      <c r="BO27" s="540">
        <f t="shared" si="20"/>
        <v>0.25977110509475748</v>
      </c>
      <c r="BP27" s="541">
        <f t="shared" si="132"/>
        <v>0</v>
      </c>
      <c r="BQ27" s="539">
        <v>0</v>
      </c>
      <c r="BR27" s="540">
        <f t="shared" si="21"/>
        <v>0</v>
      </c>
      <c r="BS27" s="541">
        <f t="shared" si="133"/>
        <v>0</v>
      </c>
      <c r="BT27" s="539"/>
      <c r="BU27" s="540">
        <f t="shared" si="22"/>
        <v>0</v>
      </c>
      <c r="BV27" s="541">
        <f t="shared" si="134"/>
        <v>0</v>
      </c>
      <c r="BW27" s="539">
        <v>0.67999999999999972</v>
      </c>
      <c r="BX27" s="540">
        <f t="shared" si="23"/>
        <v>9.2980009298000883E-3</v>
      </c>
      <c r="BY27" s="541">
        <f t="shared" si="135"/>
        <v>0</v>
      </c>
      <c r="BZ27" s="539"/>
      <c r="CA27" s="540">
        <f t="shared" si="24"/>
        <v>0</v>
      </c>
      <c r="CB27" s="541">
        <f t="shared" si="136"/>
        <v>0</v>
      </c>
      <c r="CC27" s="539">
        <v>3.125</v>
      </c>
      <c r="CD27" s="540">
        <f t="shared" si="25"/>
        <v>4.2729783684743075E-2</v>
      </c>
      <c r="CE27" s="541">
        <f t="shared" si="137"/>
        <v>0</v>
      </c>
      <c r="CF27" s="539">
        <v>9.9999999999999645E-2</v>
      </c>
      <c r="CG27" s="540">
        <f t="shared" si="26"/>
        <v>1.3673530779117736E-3</v>
      </c>
      <c r="CH27" s="541">
        <f t="shared" si="138"/>
        <v>0</v>
      </c>
      <c r="CI27" s="539"/>
      <c r="CJ27" s="540">
        <f t="shared" si="27"/>
        <v>0</v>
      </c>
      <c r="CK27" s="541">
        <f t="shared" si="139"/>
        <v>0</v>
      </c>
      <c r="CL27" s="539"/>
      <c r="CM27" s="540">
        <f t="shared" si="28"/>
        <v>0</v>
      </c>
      <c r="CN27" s="541">
        <f t="shared" si="140"/>
        <v>0</v>
      </c>
      <c r="CO27" s="539"/>
      <c r="CP27" s="540">
        <f t="shared" si="29"/>
        <v>0</v>
      </c>
      <c r="CQ27" s="541">
        <f t="shared" si="141"/>
        <v>0</v>
      </c>
      <c r="CR27" s="539"/>
      <c r="CS27" s="540">
        <f t="shared" si="30"/>
        <v>0</v>
      </c>
      <c r="CT27" s="541">
        <f t="shared" si="142"/>
        <v>0</v>
      </c>
      <c r="CU27" s="539"/>
      <c r="CV27" s="540">
        <f t="shared" si="31"/>
        <v>0</v>
      </c>
      <c r="CW27" s="541">
        <f t="shared" si="143"/>
        <v>0</v>
      </c>
      <c r="CX27" s="539"/>
      <c r="CY27" s="540">
        <f t="shared" si="32"/>
        <v>0</v>
      </c>
      <c r="CZ27" s="541">
        <f t="shared" si="144"/>
        <v>0</v>
      </c>
      <c r="DA27" s="539">
        <v>0</v>
      </c>
      <c r="DB27" s="540">
        <f t="shared" si="33"/>
        <v>0</v>
      </c>
      <c r="DC27" s="541">
        <f t="shared" si="145"/>
        <v>0</v>
      </c>
      <c r="DD27" s="539"/>
      <c r="DE27" s="540">
        <f t="shared" si="34"/>
        <v>0</v>
      </c>
      <c r="DF27" s="541">
        <f t="shared" si="146"/>
        <v>0</v>
      </c>
      <c r="DG27" s="539">
        <v>4.7250000000000014</v>
      </c>
      <c r="DH27" s="540">
        <f t="shared" si="35"/>
        <v>6.4607432931331546E-2</v>
      </c>
      <c r="DI27" s="541">
        <f t="shared" si="203"/>
        <v>0</v>
      </c>
      <c r="DJ27" s="539"/>
      <c r="DK27" s="540">
        <f t="shared" si="36"/>
        <v>0</v>
      </c>
      <c r="DL27" s="541">
        <f t="shared" si="147"/>
        <v>0</v>
      </c>
      <c r="DM27" s="539"/>
      <c r="DN27" s="540">
        <f t="shared" si="37"/>
        <v>0</v>
      </c>
      <c r="DO27" s="541">
        <f t="shared" si="148"/>
        <v>0</v>
      </c>
      <c r="DP27" s="539"/>
      <c r="DQ27" s="540">
        <f t="shared" si="38"/>
        <v>0</v>
      </c>
      <c r="DR27" s="541">
        <f t="shared" si="149"/>
        <v>0</v>
      </c>
      <c r="DS27" s="539"/>
      <c r="DT27" s="540">
        <f t="shared" si="39"/>
        <v>0</v>
      </c>
      <c r="DU27" s="541">
        <f t="shared" si="150"/>
        <v>0</v>
      </c>
      <c r="DV27" s="539"/>
      <c r="DW27" s="540">
        <f t="shared" si="40"/>
        <v>0</v>
      </c>
      <c r="DX27" s="541">
        <f t="shared" si="151"/>
        <v>0</v>
      </c>
      <c r="DY27" s="539"/>
      <c r="DZ27" s="540">
        <f t="shared" si="41"/>
        <v>0</v>
      </c>
      <c r="EA27" s="541">
        <f t="shared" si="152"/>
        <v>0</v>
      </c>
      <c r="EB27" s="539">
        <v>6.82000000000005</v>
      </c>
      <c r="EC27" s="540">
        <f t="shared" si="42"/>
        <v>9.3253479913583973E-2</v>
      </c>
      <c r="ED27" s="541">
        <f t="shared" si="153"/>
        <v>0</v>
      </c>
      <c r="EE27" s="539">
        <v>1.25</v>
      </c>
      <c r="EF27" s="540">
        <f t="shared" si="43"/>
        <v>1.7091913473897231E-2</v>
      </c>
      <c r="EG27" s="541">
        <f t="shared" si="154"/>
        <v>0</v>
      </c>
      <c r="EH27" s="539"/>
      <c r="EI27" s="540">
        <f t="shared" si="44"/>
        <v>0</v>
      </c>
      <c r="EJ27" s="541">
        <f t="shared" si="155"/>
        <v>0</v>
      </c>
      <c r="EK27" s="539"/>
      <c r="EL27" s="540">
        <f t="shared" si="45"/>
        <v>0</v>
      </c>
      <c r="EM27" s="541">
        <f t="shared" si="156"/>
        <v>0</v>
      </c>
      <c r="EN27" s="539"/>
      <c r="EO27" s="540">
        <f t="shared" si="46"/>
        <v>0</v>
      </c>
      <c r="EP27" s="541">
        <f t="shared" si="157"/>
        <v>0</v>
      </c>
      <c r="EQ27" s="539"/>
      <c r="ER27" s="540">
        <f t="shared" si="47"/>
        <v>0</v>
      </c>
      <c r="ES27" s="541">
        <f t="shared" si="158"/>
        <v>0</v>
      </c>
      <c r="ET27" s="539"/>
      <c r="EU27" s="540">
        <f t="shared" si="48"/>
        <v>0</v>
      </c>
      <c r="EV27" s="541">
        <f t="shared" si="159"/>
        <v>0</v>
      </c>
      <c r="EW27" s="539"/>
      <c r="EX27" s="540">
        <f t="shared" si="49"/>
        <v>0</v>
      </c>
      <c r="EY27" s="541">
        <f t="shared" si="160"/>
        <v>0</v>
      </c>
      <c r="EZ27" s="539"/>
      <c r="FA27" s="540">
        <f t="shared" si="50"/>
        <v>0</v>
      </c>
      <c r="FB27" s="541">
        <f t="shared" si="161"/>
        <v>0</v>
      </c>
      <c r="FC27" s="539"/>
      <c r="FD27" s="540">
        <f t="shared" si="51"/>
        <v>0</v>
      </c>
      <c r="FE27" s="541">
        <f t="shared" si="162"/>
        <v>0</v>
      </c>
      <c r="FF27" s="539"/>
      <c r="FG27" s="540">
        <f t="shared" si="52"/>
        <v>0</v>
      </c>
      <c r="FH27" s="541">
        <f t="shared" si="163"/>
        <v>0</v>
      </c>
      <c r="FI27" s="539"/>
      <c r="FJ27" s="540">
        <f t="shared" si="53"/>
        <v>0</v>
      </c>
      <c r="FK27" s="541">
        <f t="shared" si="164"/>
        <v>0</v>
      </c>
      <c r="FL27" s="539"/>
      <c r="FM27" s="540">
        <f t="shared" si="54"/>
        <v>0</v>
      </c>
      <c r="FN27" s="541">
        <f t="shared" si="165"/>
        <v>0</v>
      </c>
      <c r="FO27" s="539"/>
      <c r="FP27" s="540">
        <f t="shared" si="55"/>
        <v>0</v>
      </c>
      <c r="FQ27" s="541">
        <f t="shared" si="166"/>
        <v>0</v>
      </c>
      <c r="FR27" s="539"/>
      <c r="FS27" s="540">
        <f t="shared" si="56"/>
        <v>0</v>
      </c>
      <c r="FT27" s="541">
        <f t="shared" si="167"/>
        <v>0</v>
      </c>
      <c r="FU27" s="539"/>
      <c r="FV27" s="540">
        <f t="shared" si="57"/>
        <v>0</v>
      </c>
      <c r="FW27" s="541">
        <f t="shared" si="168"/>
        <v>0</v>
      </c>
      <c r="FX27" s="539"/>
      <c r="FY27" s="540">
        <f t="shared" si="58"/>
        <v>0</v>
      </c>
      <c r="FZ27" s="541">
        <f t="shared" si="169"/>
        <v>0</v>
      </c>
      <c r="GA27" s="539"/>
      <c r="GB27" s="540">
        <f t="shared" si="59"/>
        <v>0</v>
      </c>
      <c r="GC27" s="541">
        <f t="shared" si="170"/>
        <v>0</v>
      </c>
      <c r="GD27" s="539"/>
      <c r="GE27" s="540">
        <f t="shared" si="60"/>
        <v>0</v>
      </c>
      <c r="GF27" s="541">
        <f t="shared" si="171"/>
        <v>0</v>
      </c>
      <c r="GG27" s="539"/>
      <c r="GH27" s="540">
        <f t="shared" si="61"/>
        <v>0</v>
      </c>
      <c r="GI27" s="541">
        <f t="shared" si="172"/>
        <v>0</v>
      </c>
      <c r="GJ27" s="539"/>
      <c r="GK27" s="540">
        <f t="shared" si="62"/>
        <v>0</v>
      </c>
      <c r="GL27" s="541">
        <f t="shared" si="173"/>
        <v>0</v>
      </c>
      <c r="GM27" s="539"/>
      <c r="GN27" s="540">
        <f t="shared" si="63"/>
        <v>0</v>
      </c>
      <c r="GO27" s="541">
        <f t="shared" si="174"/>
        <v>0</v>
      </c>
      <c r="GP27" s="539"/>
      <c r="GQ27" s="540">
        <f t="shared" si="64"/>
        <v>0</v>
      </c>
      <c r="GR27" s="541">
        <f t="shared" si="175"/>
        <v>0</v>
      </c>
      <c r="GS27" s="539"/>
      <c r="GT27" s="540">
        <f t="shared" si="65"/>
        <v>0</v>
      </c>
      <c r="GU27" s="541">
        <f t="shared" si="176"/>
        <v>0</v>
      </c>
      <c r="GV27" s="539"/>
      <c r="GW27" s="540">
        <f t="shared" si="66"/>
        <v>0</v>
      </c>
      <c r="GX27" s="541">
        <f t="shared" si="177"/>
        <v>0</v>
      </c>
      <c r="GY27" s="539"/>
      <c r="GZ27" s="540">
        <f t="shared" si="67"/>
        <v>0</v>
      </c>
      <c r="HA27" s="541">
        <f t="shared" si="178"/>
        <v>0</v>
      </c>
      <c r="HB27" s="539"/>
      <c r="HC27" s="540">
        <f t="shared" si="68"/>
        <v>0</v>
      </c>
      <c r="HD27" s="541">
        <f t="shared" si="179"/>
        <v>0</v>
      </c>
      <c r="HE27" s="539"/>
      <c r="HF27" s="540">
        <f t="shared" si="69"/>
        <v>0</v>
      </c>
      <c r="HG27" s="541">
        <f t="shared" si="180"/>
        <v>0</v>
      </c>
      <c r="HH27" s="539"/>
      <c r="HI27" s="540">
        <f t="shared" si="70"/>
        <v>0</v>
      </c>
      <c r="HJ27" s="541">
        <f t="shared" si="181"/>
        <v>0</v>
      </c>
      <c r="HK27" s="539"/>
      <c r="HL27" s="540">
        <f t="shared" si="71"/>
        <v>0</v>
      </c>
      <c r="HM27" s="541">
        <f t="shared" si="182"/>
        <v>0</v>
      </c>
      <c r="HN27" s="539"/>
      <c r="HO27" s="540">
        <f t="shared" si="72"/>
        <v>0</v>
      </c>
      <c r="HP27" s="541">
        <f t="shared" si="183"/>
        <v>0</v>
      </c>
      <c r="HQ27" s="539"/>
      <c r="HR27" s="540">
        <f t="shared" si="73"/>
        <v>0</v>
      </c>
      <c r="HS27" s="541">
        <f t="shared" si="184"/>
        <v>0</v>
      </c>
      <c r="HT27" s="539"/>
      <c r="HU27" s="540">
        <f t="shared" si="74"/>
        <v>0</v>
      </c>
      <c r="HV27" s="541">
        <f t="shared" si="185"/>
        <v>0</v>
      </c>
      <c r="HW27" s="539"/>
      <c r="HX27" s="540">
        <f t="shared" si="75"/>
        <v>0</v>
      </c>
      <c r="HY27" s="541">
        <f t="shared" si="186"/>
        <v>0</v>
      </c>
      <c r="HZ27" s="539"/>
      <c r="IA27" s="540">
        <f t="shared" si="76"/>
        <v>0</v>
      </c>
      <c r="IB27" s="541">
        <f t="shared" si="187"/>
        <v>0</v>
      </c>
      <c r="IC27" s="539"/>
      <c r="ID27" s="540">
        <f t="shared" si="77"/>
        <v>0</v>
      </c>
      <c r="IE27" s="541">
        <f t="shared" si="188"/>
        <v>0</v>
      </c>
      <c r="IF27" s="539"/>
      <c r="IG27" s="540">
        <f t="shared" si="78"/>
        <v>0</v>
      </c>
      <c r="IH27" s="541">
        <f t="shared" si="189"/>
        <v>0</v>
      </c>
      <c r="II27" s="539"/>
      <c r="IJ27" s="540">
        <f t="shared" si="79"/>
        <v>0</v>
      </c>
      <c r="IK27" s="541">
        <f t="shared" si="190"/>
        <v>0</v>
      </c>
      <c r="IL27" s="539"/>
      <c r="IM27" s="540">
        <f t="shared" si="80"/>
        <v>0</v>
      </c>
      <c r="IN27" s="541">
        <f t="shared" si="191"/>
        <v>0</v>
      </c>
      <c r="IO27" s="539"/>
      <c r="IP27" s="540">
        <f t="shared" si="81"/>
        <v>0</v>
      </c>
      <c r="IQ27" s="541">
        <f t="shared" si="192"/>
        <v>0</v>
      </c>
      <c r="IR27" s="539"/>
      <c r="IS27" s="540">
        <f t="shared" si="82"/>
        <v>0</v>
      </c>
      <c r="IT27" s="541">
        <f t="shared" si="193"/>
        <v>0</v>
      </c>
      <c r="IU27" s="539"/>
      <c r="IV27" s="540">
        <f t="shared" si="83"/>
        <v>0</v>
      </c>
      <c r="IW27" s="541">
        <f t="shared" si="194"/>
        <v>0</v>
      </c>
      <c r="IX27" s="539"/>
      <c r="IY27" s="540">
        <f t="shared" si="84"/>
        <v>0</v>
      </c>
      <c r="IZ27" s="541">
        <f t="shared" si="195"/>
        <v>0</v>
      </c>
      <c r="JA27" s="539"/>
      <c r="JB27" s="540">
        <f t="shared" si="85"/>
        <v>0</v>
      </c>
      <c r="JC27" s="541">
        <f t="shared" si="196"/>
        <v>0</v>
      </c>
      <c r="JD27" s="539"/>
      <c r="JE27" s="540">
        <f t="shared" si="86"/>
        <v>0</v>
      </c>
      <c r="JF27" s="541">
        <f t="shared" si="197"/>
        <v>0</v>
      </c>
      <c r="JG27" s="539"/>
      <c r="JH27" s="540">
        <f t="shared" si="87"/>
        <v>0</v>
      </c>
      <c r="JI27" s="541">
        <f t="shared" si="198"/>
        <v>0</v>
      </c>
      <c r="JJ27" s="539"/>
      <c r="JK27" s="541" t="str">
        <f t="shared" si="88"/>
        <v>0</v>
      </c>
      <c r="JL27" s="541" t="str">
        <f t="shared" si="89"/>
        <v>0</v>
      </c>
      <c r="JM27" s="539"/>
      <c r="JN27" s="541" t="str">
        <f t="shared" si="90"/>
        <v>0</v>
      </c>
      <c r="JO27" s="541" t="str">
        <f t="shared" si="91"/>
        <v>0</v>
      </c>
      <c r="JP27" s="539"/>
      <c r="JQ27" s="541" t="str">
        <f t="shared" si="92"/>
        <v>0</v>
      </c>
      <c r="JR27" s="541" t="str">
        <f t="shared" si="93"/>
        <v>0</v>
      </c>
      <c r="JS27" s="539"/>
      <c r="JT27" s="541" t="str">
        <f t="shared" si="94"/>
        <v>0</v>
      </c>
      <c r="JU27" s="541" t="str">
        <f t="shared" si="95"/>
        <v>0</v>
      </c>
      <c r="JV27" s="539"/>
      <c r="JW27" s="541" t="str">
        <f t="shared" si="96"/>
        <v>0</v>
      </c>
      <c r="JX27" s="541" t="str">
        <f t="shared" si="97"/>
        <v>0</v>
      </c>
      <c r="JY27" s="539"/>
      <c r="JZ27" s="541" t="str">
        <f t="shared" si="98"/>
        <v>0</v>
      </c>
      <c r="KA27" s="541" t="str">
        <f t="shared" si="99"/>
        <v>0</v>
      </c>
      <c r="KB27" s="539"/>
      <c r="KC27" s="541" t="str">
        <f t="shared" si="100"/>
        <v>0</v>
      </c>
      <c r="KD27" s="541" t="str">
        <f t="shared" si="101"/>
        <v>0</v>
      </c>
      <c r="KE27" s="539"/>
      <c r="KF27" s="541" t="str">
        <f t="shared" si="102"/>
        <v>0</v>
      </c>
      <c r="KG27" s="541" t="str">
        <f t="shared" si="103"/>
        <v>0</v>
      </c>
      <c r="KH27" s="539"/>
      <c r="KI27" s="541" t="str">
        <f t="shared" si="104"/>
        <v>0</v>
      </c>
      <c r="KJ27" s="541" t="str">
        <f t="shared" si="105"/>
        <v>0</v>
      </c>
      <c r="KK27" s="539"/>
      <c r="KL27" s="541" t="str">
        <f t="shared" si="106"/>
        <v>0</v>
      </c>
      <c r="KM27" s="541" t="str">
        <f t="shared" si="107"/>
        <v>0</v>
      </c>
      <c r="KN27" s="539"/>
      <c r="KO27" s="541" t="str">
        <f t="shared" si="108"/>
        <v>0</v>
      </c>
      <c r="KP27" s="541" t="str">
        <f t="shared" si="109"/>
        <v>0</v>
      </c>
      <c r="KQ27" s="539"/>
      <c r="KR27" s="541" t="str">
        <f t="shared" si="110"/>
        <v>0</v>
      </c>
      <c r="KS27" s="541" t="str">
        <f t="shared" si="111"/>
        <v>0</v>
      </c>
      <c r="KT27" s="541">
        <f t="shared" si="201"/>
        <v>0</v>
      </c>
      <c r="KU27" s="541">
        <f t="shared" si="202"/>
        <v>0</v>
      </c>
      <c r="KV27" s="272">
        <f t="shared" si="199"/>
        <v>843.86659999999995</v>
      </c>
    </row>
    <row r="28" spans="1:309" ht="15" customHeight="1">
      <c r="A28" s="274">
        <f t="shared" si="200"/>
        <v>46132</v>
      </c>
      <c r="B28" s="275" t="str">
        <f>+Report1!B28</f>
        <v>MG</v>
      </c>
      <c r="C28" s="417" t="str">
        <f>+Report1!C28</f>
        <v>19/17/15,5/20</v>
      </c>
      <c r="D28" s="276">
        <f>+Report1!P28</f>
        <v>81.585999999999999</v>
      </c>
      <c r="E28" s="277">
        <f>+Report1!R28</f>
        <v>84.385999999999996</v>
      </c>
      <c r="F28" s="539"/>
      <c r="G28" s="540">
        <f t="shared" si="0"/>
        <v>0</v>
      </c>
      <c r="H28" s="541">
        <f t="shared" si="112"/>
        <v>0</v>
      </c>
      <c r="I28" s="539">
        <v>755.81696279069763</v>
      </c>
      <c r="J28" s="540">
        <f t="shared" si="1"/>
        <v>8.9566629866411223</v>
      </c>
      <c r="K28" s="541">
        <f t="shared" si="113"/>
        <v>0</v>
      </c>
      <c r="L28" s="539"/>
      <c r="M28" s="540">
        <f t="shared" si="2"/>
        <v>0</v>
      </c>
      <c r="N28" s="541">
        <f t="shared" si="114"/>
        <v>0</v>
      </c>
      <c r="O28" s="539">
        <v>9.0039999999999907</v>
      </c>
      <c r="P28" s="540">
        <f t="shared" si="3"/>
        <v>0.10670016353423543</v>
      </c>
      <c r="Q28" s="541">
        <f t="shared" si="115"/>
        <v>0</v>
      </c>
      <c r="R28" s="539"/>
      <c r="S28" s="540">
        <f t="shared" si="4"/>
        <v>0</v>
      </c>
      <c r="T28" s="541">
        <f t="shared" si="116"/>
        <v>0</v>
      </c>
      <c r="U28" s="539">
        <v>5.1215000000000259</v>
      </c>
      <c r="V28" s="540">
        <f t="shared" si="5"/>
        <v>6.0691346905885173E-2</v>
      </c>
      <c r="W28" s="541">
        <f t="shared" si="117"/>
        <v>0</v>
      </c>
      <c r="X28" s="539"/>
      <c r="Y28" s="540">
        <f t="shared" si="6"/>
        <v>0</v>
      </c>
      <c r="Z28" s="541">
        <f t="shared" si="118"/>
        <v>0</v>
      </c>
      <c r="AA28" s="539"/>
      <c r="AB28" s="540">
        <f t="shared" si="7"/>
        <v>0</v>
      </c>
      <c r="AC28" s="541">
        <f t="shared" si="119"/>
        <v>0</v>
      </c>
      <c r="AD28" s="539"/>
      <c r="AE28" s="540">
        <f t="shared" si="8"/>
        <v>0</v>
      </c>
      <c r="AF28" s="541">
        <f t="shared" si="120"/>
        <v>0</v>
      </c>
      <c r="AG28" s="539"/>
      <c r="AH28" s="540">
        <f t="shared" si="9"/>
        <v>0</v>
      </c>
      <c r="AI28" s="541">
        <f t="shared" si="121"/>
        <v>0</v>
      </c>
      <c r="AJ28" s="539"/>
      <c r="AK28" s="540">
        <f t="shared" si="10"/>
        <v>0</v>
      </c>
      <c r="AL28" s="541">
        <f t="shared" si="122"/>
        <v>0</v>
      </c>
      <c r="AM28" s="539">
        <v>0</v>
      </c>
      <c r="AN28" s="540">
        <f t="shared" si="11"/>
        <v>0</v>
      </c>
      <c r="AO28" s="541">
        <f t="shared" si="123"/>
        <v>0</v>
      </c>
      <c r="AP28" s="539">
        <v>0</v>
      </c>
      <c r="AQ28" s="540">
        <f t="shared" si="12"/>
        <v>0</v>
      </c>
      <c r="AR28" s="541">
        <f t="shared" si="124"/>
        <v>0</v>
      </c>
      <c r="AS28" s="539"/>
      <c r="AT28" s="540">
        <f t="shared" si="13"/>
        <v>0</v>
      </c>
      <c r="AU28" s="541">
        <f t="shared" si="125"/>
        <v>0</v>
      </c>
      <c r="AV28" s="539">
        <v>8.3269999999999698</v>
      </c>
      <c r="AW28" s="540">
        <f t="shared" si="14"/>
        <v>9.8677505747398503E-2</v>
      </c>
      <c r="AX28" s="541">
        <f t="shared" si="126"/>
        <v>0</v>
      </c>
      <c r="AY28" s="539">
        <v>0</v>
      </c>
      <c r="AZ28" s="540">
        <f t="shared" si="15"/>
        <v>0</v>
      </c>
      <c r="BA28" s="541">
        <f t="shared" si="127"/>
        <v>0</v>
      </c>
      <c r="BB28" s="539">
        <v>67.665200000000056</v>
      </c>
      <c r="BC28" s="540">
        <f t="shared" si="16"/>
        <v>0.80185338800274997</v>
      </c>
      <c r="BD28" s="541">
        <f t="shared" si="128"/>
        <v>0</v>
      </c>
      <c r="BE28" s="539"/>
      <c r="BF28" s="540">
        <f t="shared" si="17"/>
        <v>0</v>
      </c>
      <c r="BG28" s="541">
        <f t="shared" si="129"/>
        <v>0</v>
      </c>
      <c r="BH28" s="539"/>
      <c r="BI28" s="540">
        <f t="shared" si="18"/>
        <v>0</v>
      </c>
      <c r="BJ28" s="541">
        <f t="shared" si="130"/>
        <v>0</v>
      </c>
      <c r="BK28" s="539"/>
      <c r="BL28" s="540">
        <f t="shared" si="19"/>
        <v>0</v>
      </c>
      <c r="BM28" s="541">
        <f t="shared" si="131"/>
        <v>0</v>
      </c>
      <c r="BN28" s="539">
        <v>20.244645679012351</v>
      </c>
      <c r="BO28" s="540">
        <f t="shared" si="20"/>
        <v>0.23990526484265579</v>
      </c>
      <c r="BP28" s="541">
        <f t="shared" si="132"/>
        <v>0</v>
      </c>
      <c r="BQ28" s="539">
        <v>0</v>
      </c>
      <c r="BR28" s="540">
        <f t="shared" si="21"/>
        <v>0</v>
      </c>
      <c r="BS28" s="541">
        <f t="shared" si="133"/>
        <v>0</v>
      </c>
      <c r="BT28" s="539"/>
      <c r="BU28" s="540">
        <f t="shared" si="22"/>
        <v>0</v>
      </c>
      <c r="BV28" s="541">
        <f t="shared" si="134"/>
        <v>0</v>
      </c>
      <c r="BW28" s="539">
        <v>0</v>
      </c>
      <c r="BX28" s="540">
        <f t="shared" si="23"/>
        <v>0</v>
      </c>
      <c r="BY28" s="541">
        <f t="shared" si="135"/>
        <v>0</v>
      </c>
      <c r="BZ28" s="539"/>
      <c r="CA28" s="540">
        <f t="shared" si="24"/>
        <v>0</v>
      </c>
      <c r="CB28" s="541">
        <f t="shared" si="136"/>
        <v>0</v>
      </c>
      <c r="CC28" s="539">
        <v>6.25</v>
      </c>
      <c r="CD28" s="540">
        <f t="shared" si="25"/>
        <v>7.4064418268433158E-2</v>
      </c>
      <c r="CE28" s="541">
        <f t="shared" si="137"/>
        <v>0</v>
      </c>
      <c r="CF28" s="539">
        <v>9.9999999999999645E-2</v>
      </c>
      <c r="CG28" s="540">
        <f t="shared" si="26"/>
        <v>1.1850306922949264E-3</v>
      </c>
      <c r="CH28" s="541">
        <f t="shared" si="138"/>
        <v>0</v>
      </c>
      <c r="CI28" s="539"/>
      <c r="CJ28" s="540">
        <f t="shared" si="27"/>
        <v>0</v>
      </c>
      <c r="CK28" s="541">
        <f t="shared" si="139"/>
        <v>0</v>
      </c>
      <c r="CL28" s="539"/>
      <c r="CM28" s="540">
        <f t="shared" si="28"/>
        <v>0</v>
      </c>
      <c r="CN28" s="541">
        <f t="shared" si="140"/>
        <v>0</v>
      </c>
      <c r="CO28" s="539"/>
      <c r="CP28" s="540">
        <f t="shared" si="29"/>
        <v>0</v>
      </c>
      <c r="CQ28" s="541">
        <f t="shared" si="141"/>
        <v>0</v>
      </c>
      <c r="CR28" s="539"/>
      <c r="CS28" s="540">
        <f t="shared" si="30"/>
        <v>0</v>
      </c>
      <c r="CT28" s="541">
        <f t="shared" si="142"/>
        <v>0</v>
      </c>
      <c r="CU28" s="539"/>
      <c r="CV28" s="540">
        <f t="shared" si="31"/>
        <v>0</v>
      </c>
      <c r="CW28" s="541">
        <f t="shared" si="143"/>
        <v>0</v>
      </c>
      <c r="CX28" s="539"/>
      <c r="CY28" s="540">
        <f t="shared" si="32"/>
        <v>0</v>
      </c>
      <c r="CZ28" s="541">
        <f t="shared" si="144"/>
        <v>0</v>
      </c>
      <c r="DA28" s="539">
        <v>0</v>
      </c>
      <c r="DB28" s="540">
        <f t="shared" si="33"/>
        <v>0</v>
      </c>
      <c r="DC28" s="541">
        <f t="shared" si="145"/>
        <v>0</v>
      </c>
      <c r="DD28" s="539"/>
      <c r="DE28" s="540">
        <f t="shared" si="34"/>
        <v>0</v>
      </c>
      <c r="DF28" s="541">
        <f t="shared" si="146"/>
        <v>0</v>
      </c>
      <c r="DG28" s="539">
        <v>0</v>
      </c>
      <c r="DH28" s="540">
        <f t="shared" si="35"/>
        <v>0</v>
      </c>
      <c r="DI28" s="541">
        <f t="shared" si="203"/>
        <v>0</v>
      </c>
      <c r="DJ28" s="539"/>
      <c r="DK28" s="540">
        <f t="shared" si="36"/>
        <v>0</v>
      </c>
      <c r="DL28" s="541">
        <f t="shared" si="147"/>
        <v>0</v>
      </c>
      <c r="DM28" s="539"/>
      <c r="DN28" s="540">
        <f t="shared" si="37"/>
        <v>0</v>
      </c>
      <c r="DO28" s="541">
        <f t="shared" si="148"/>
        <v>0</v>
      </c>
      <c r="DP28" s="539"/>
      <c r="DQ28" s="540">
        <f t="shared" si="38"/>
        <v>0</v>
      </c>
      <c r="DR28" s="541">
        <f t="shared" si="149"/>
        <v>0</v>
      </c>
      <c r="DS28" s="539"/>
      <c r="DT28" s="540">
        <f t="shared" si="39"/>
        <v>0</v>
      </c>
      <c r="DU28" s="541">
        <f t="shared" si="150"/>
        <v>0</v>
      </c>
      <c r="DV28" s="539"/>
      <c r="DW28" s="540">
        <f t="shared" si="40"/>
        <v>0</v>
      </c>
      <c r="DX28" s="541">
        <f t="shared" si="151"/>
        <v>0</v>
      </c>
      <c r="DY28" s="539"/>
      <c r="DZ28" s="540">
        <f t="shared" si="41"/>
        <v>0</v>
      </c>
      <c r="EA28" s="541">
        <f t="shared" si="152"/>
        <v>0</v>
      </c>
      <c r="EB28" s="539">
        <v>29.06676279069768</v>
      </c>
      <c r="EC28" s="540">
        <f t="shared" si="42"/>
        <v>0.34445006032632997</v>
      </c>
      <c r="ED28" s="541">
        <f t="shared" si="153"/>
        <v>0</v>
      </c>
      <c r="EE28" s="539">
        <v>1</v>
      </c>
      <c r="EF28" s="540">
        <f t="shared" si="43"/>
        <v>1.1850306922949305E-2</v>
      </c>
      <c r="EG28" s="541">
        <f t="shared" si="154"/>
        <v>0</v>
      </c>
      <c r="EH28" s="539"/>
      <c r="EI28" s="540">
        <f t="shared" si="44"/>
        <v>0</v>
      </c>
      <c r="EJ28" s="541">
        <f t="shared" si="155"/>
        <v>0</v>
      </c>
      <c r="EK28" s="539"/>
      <c r="EL28" s="540">
        <f t="shared" si="45"/>
        <v>0</v>
      </c>
      <c r="EM28" s="541">
        <f t="shared" si="156"/>
        <v>0</v>
      </c>
      <c r="EN28" s="539"/>
      <c r="EO28" s="540">
        <f t="shared" si="46"/>
        <v>0</v>
      </c>
      <c r="EP28" s="541">
        <f t="shared" si="157"/>
        <v>0</v>
      </c>
      <c r="EQ28" s="539"/>
      <c r="ER28" s="540">
        <f t="shared" si="47"/>
        <v>0</v>
      </c>
      <c r="ES28" s="541">
        <f t="shared" si="158"/>
        <v>0</v>
      </c>
      <c r="ET28" s="539"/>
      <c r="EU28" s="540">
        <f t="shared" si="48"/>
        <v>0</v>
      </c>
      <c r="EV28" s="541">
        <f t="shared" si="159"/>
        <v>0</v>
      </c>
      <c r="EW28" s="539"/>
      <c r="EX28" s="540">
        <f t="shared" si="49"/>
        <v>0</v>
      </c>
      <c r="EY28" s="541">
        <f t="shared" si="160"/>
        <v>0</v>
      </c>
      <c r="EZ28" s="539"/>
      <c r="FA28" s="540">
        <f t="shared" si="50"/>
        <v>0</v>
      </c>
      <c r="FB28" s="541">
        <f t="shared" si="161"/>
        <v>0</v>
      </c>
      <c r="FC28" s="539"/>
      <c r="FD28" s="540">
        <f t="shared" si="51"/>
        <v>0</v>
      </c>
      <c r="FE28" s="541">
        <f t="shared" si="162"/>
        <v>0</v>
      </c>
      <c r="FF28" s="539"/>
      <c r="FG28" s="540">
        <f t="shared" si="52"/>
        <v>0</v>
      </c>
      <c r="FH28" s="541">
        <f t="shared" si="163"/>
        <v>0</v>
      </c>
      <c r="FI28" s="539"/>
      <c r="FJ28" s="540">
        <f t="shared" si="53"/>
        <v>0</v>
      </c>
      <c r="FK28" s="541">
        <f t="shared" si="164"/>
        <v>0</v>
      </c>
      <c r="FL28" s="539"/>
      <c r="FM28" s="540">
        <f t="shared" si="54"/>
        <v>0</v>
      </c>
      <c r="FN28" s="541">
        <f t="shared" si="165"/>
        <v>0</v>
      </c>
      <c r="FO28" s="539"/>
      <c r="FP28" s="540">
        <f t="shared" si="55"/>
        <v>0</v>
      </c>
      <c r="FQ28" s="541">
        <f t="shared" si="166"/>
        <v>0</v>
      </c>
      <c r="FR28" s="539"/>
      <c r="FS28" s="540">
        <f t="shared" si="56"/>
        <v>0</v>
      </c>
      <c r="FT28" s="541">
        <f t="shared" si="167"/>
        <v>0</v>
      </c>
      <c r="FU28" s="539"/>
      <c r="FV28" s="540">
        <f t="shared" si="57"/>
        <v>0</v>
      </c>
      <c r="FW28" s="541">
        <f t="shared" si="168"/>
        <v>0</v>
      </c>
      <c r="FX28" s="539"/>
      <c r="FY28" s="540">
        <f t="shared" si="58"/>
        <v>0</v>
      </c>
      <c r="FZ28" s="541">
        <f t="shared" si="169"/>
        <v>0</v>
      </c>
      <c r="GA28" s="539"/>
      <c r="GB28" s="540">
        <f t="shared" si="59"/>
        <v>0</v>
      </c>
      <c r="GC28" s="541">
        <f t="shared" si="170"/>
        <v>0</v>
      </c>
      <c r="GD28" s="539"/>
      <c r="GE28" s="540">
        <f t="shared" si="60"/>
        <v>0</v>
      </c>
      <c r="GF28" s="541">
        <f t="shared" si="171"/>
        <v>0</v>
      </c>
      <c r="GG28" s="539"/>
      <c r="GH28" s="540">
        <f t="shared" si="61"/>
        <v>0</v>
      </c>
      <c r="GI28" s="541">
        <f t="shared" si="172"/>
        <v>0</v>
      </c>
      <c r="GJ28" s="539"/>
      <c r="GK28" s="540">
        <f t="shared" si="62"/>
        <v>0</v>
      </c>
      <c r="GL28" s="541">
        <f t="shared" si="173"/>
        <v>0</v>
      </c>
      <c r="GM28" s="539"/>
      <c r="GN28" s="540">
        <f t="shared" si="63"/>
        <v>0</v>
      </c>
      <c r="GO28" s="541">
        <f t="shared" si="174"/>
        <v>0</v>
      </c>
      <c r="GP28" s="539"/>
      <c r="GQ28" s="540">
        <f t="shared" si="64"/>
        <v>0</v>
      </c>
      <c r="GR28" s="541">
        <f t="shared" si="175"/>
        <v>0</v>
      </c>
      <c r="GS28" s="539"/>
      <c r="GT28" s="540">
        <f t="shared" si="65"/>
        <v>0</v>
      </c>
      <c r="GU28" s="541">
        <f t="shared" si="176"/>
        <v>0</v>
      </c>
      <c r="GV28" s="539"/>
      <c r="GW28" s="540">
        <f t="shared" si="66"/>
        <v>0</v>
      </c>
      <c r="GX28" s="541">
        <f t="shared" si="177"/>
        <v>0</v>
      </c>
      <c r="GY28" s="539"/>
      <c r="GZ28" s="540">
        <f t="shared" si="67"/>
        <v>0</v>
      </c>
      <c r="HA28" s="541">
        <f t="shared" si="178"/>
        <v>0</v>
      </c>
      <c r="HB28" s="539"/>
      <c r="HC28" s="540">
        <f t="shared" si="68"/>
        <v>0</v>
      </c>
      <c r="HD28" s="541">
        <f t="shared" si="179"/>
        <v>0</v>
      </c>
      <c r="HE28" s="539"/>
      <c r="HF28" s="540">
        <f t="shared" si="69"/>
        <v>0</v>
      </c>
      <c r="HG28" s="541">
        <f t="shared" si="180"/>
        <v>0</v>
      </c>
      <c r="HH28" s="539"/>
      <c r="HI28" s="540">
        <f t="shared" si="70"/>
        <v>0</v>
      </c>
      <c r="HJ28" s="541">
        <f t="shared" si="181"/>
        <v>0</v>
      </c>
      <c r="HK28" s="539"/>
      <c r="HL28" s="540">
        <f t="shared" si="71"/>
        <v>0</v>
      </c>
      <c r="HM28" s="541">
        <f t="shared" si="182"/>
        <v>0</v>
      </c>
      <c r="HN28" s="539"/>
      <c r="HO28" s="540">
        <f t="shared" si="72"/>
        <v>0</v>
      </c>
      <c r="HP28" s="541">
        <f t="shared" si="183"/>
        <v>0</v>
      </c>
      <c r="HQ28" s="539"/>
      <c r="HR28" s="540">
        <f t="shared" si="73"/>
        <v>0</v>
      </c>
      <c r="HS28" s="541">
        <f t="shared" si="184"/>
        <v>0</v>
      </c>
      <c r="HT28" s="539"/>
      <c r="HU28" s="540">
        <f t="shared" si="74"/>
        <v>0</v>
      </c>
      <c r="HV28" s="541">
        <f t="shared" si="185"/>
        <v>0</v>
      </c>
      <c r="HW28" s="539"/>
      <c r="HX28" s="540">
        <f t="shared" si="75"/>
        <v>0</v>
      </c>
      <c r="HY28" s="541">
        <f t="shared" si="186"/>
        <v>0</v>
      </c>
      <c r="HZ28" s="539"/>
      <c r="IA28" s="540">
        <f t="shared" si="76"/>
        <v>0</v>
      </c>
      <c r="IB28" s="541">
        <f t="shared" si="187"/>
        <v>0</v>
      </c>
      <c r="IC28" s="539"/>
      <c r="ID28" s="540">
        <f t="shared" si="77"/>
        <v>0</v>
      </c>
      <c r="IE28" s="541">
        <f t="shared" si="188"/>
        <v>0</v>
      </c>
      <c r="IF28" s="539"/>
      <c r="IG28" s="540">
        <f t="shared" si="78"/>
        <v>0</v>
      </c>
      <c r="IH28" s="541">
        <f t="shared" si="189"/>
        <v>0</v>
      </c>
      <c r="II28" s="539"/>
      <c r="IJ28" s="540">
        <f t="shared" si="79"/>
        <v>0</v>
      </c>
      <c r="IK28" s="541">
        <f t="shared" si="190"/>
        <v>0</v>
      </c>
      <c r="IL28" s="539"/>
      <c r="IM28" s="540">
        <f t="shared" si="80"/>
        <v>0</v>
      </c>
      <c r="IN28" s="541">
        <f t="shared" si="191"/>
        <v>0</v>
      </c>
      <c r="IO28" s="539"/>
      <c r="IP28" s="540">
        <f t="shared" si="81"/>
        <v>0</v>
      </c>
      <c r="IQ28" s="541">
        <f t="shared" si="192"/>
        <v>0</v>
      </c>
      <c r="IR28" s="539"/>
      <c r="IS28" s="540">
        <f t="shared" si="82"/>
        <v>0</v>
      </c>
      <c r="IT28" s="541">
        <f t="shared" si="193"/>
        <v>0</v>
      </c>
      <c r="IU28" s="539"/>
      <c r="IV28" s="540">
        <f t="shared" si="83"/>
        <v>0</v>
      </c>
      <c r="IW28" s="541">
        <f t="shared" si="194"/>
        <v>0</v>
      </c>
      <c r="IX28" s="539"/>
      <c r="IY28" s="540">
        <f t="shared" si="84"/>
        <v>0</v>
      </c>
      <c r="IZ28" s="541">
        <f t="shared" si="195"/>
        <v>0</v>
      </c>
      <c r="JA28" s="539"/>
      <c r="JB28" s="540">
        <f t="shared" si="85"/>
        <v>0</v>
      </c>
      <c r="JC28" s="541">
        <f t="shared" si="196"/>
        <v>0</v>
      </c>
      <c r="JD28" s="539"/>
      <c r="JE28" s="540">
        <f t="shared" si="86"/>
        <v>0</v>
      </c>
      <c r="JF28" s="541">
        <f t="shared" si="197"/>
        <v>0</v>
      </c>
      <c r="JG28" s="539"/>
      <c r="JH28" s="540">
        <f t="shared" si="87"/>
        <v>0</v>
      </c>
      <c r="JI28" s="541">
        <f t="shared" si="198"/>
        <v>0</v>
      </c>
      <c r="JJ28" s="539"/>
      <c r="JK28" s="541" t="str">
        <f t="shared" si="88"/>
        <v>0</v>
      </c>
      <c r="JL28" s="541" t="str">
        <f t="shared" si="89"/>
        <v>0</v>
      </c>
      <c r="JM28" s="539"/>
      <c r="JN28" s="541" t="str">
        <f t="shared" si="90"/>
        <v>0</v>
      </c>
      <c r="JO28" s="541" t="str">
        <f t="shared" si="91"/>
        <v>0</v>
      </c>
      <c r="JP28" s="539"/>
      <c r="JQ28" s="541" t="str">
        <f t="shared" si="92"/>
        <v>0</v>
      </c>
      <c r="JR28" s="541" t="str">
        <f t="shared" si="93"/>
        <v>0</v>
      </c>
      <c r="JS28" s="539"/>
      <c r="JT28" s="541" t="str">
        <f t="shared" si="94"/>
        <v>0</v>
      </c>
      <c r="JU28" s="541" t="str">
        <f t="shared" si="95"/>
        <v>0</v>
      </c>
      <c r="JV28" s="539"/>
      <c r="JW28" s="541" t="str">
        <f t="shared" si="96"/>
        <v>0</v>
      </c>
      <c r="JX28" s="541" t="str">
        <f t="shared" si="97"/>
        <v>0</v>
      </c>
      <c r="JY28" s="539"/>
      <c r="JZ28" s="541" t="str">
        <f t="shared" si="98"/>
        <v>0</v>
      </c>
      <c r="KA28" s="541" t="str">
        <f t="shared" si="99"/>
        <v>0</v>
      </c>
      <c r="KB28" s="539"/>
      <c r="KC28" s="541" t="str">
        <f t="shared" si="100"/>
        <v>0</v>
      </c>
      <c r="KD28" s="541" t="str">
        <f t="shared" si="101"/>
        <v>0</v>
      </c>
      <c r="KE28" s="539"/>
      <c r="KF28" s="541" t="str">
        <f t="shared" si="102"/>
        <v>0</v>
      </c>
      <c r="KG28" s="541" t="str">
        <f t="shared" si="103"/>
        <v>0</v>
      </c>
      <c r="KH28" s="539"/>
      <c r="KI28" s="541" t="str">
        <f t="shared" si="104"/>
        <v>0</v>
      </c>
      <c r="KJ28" s="541" t="str">
        <f t="shared" si="105"/>
        <v>0</v>
      </c>
      <c r="KK28" s="539"/>
      <c r="KL28" s="541" t="str">
        <f t="shared" si="106"/>
        <v>0</v>
      </c>
      <c r="KM28" s="541" t="str">
        <f t="shared" si="107"/>
        <v>0</v>
      </c>
      <c r="KN28" s="539"/>
      <c r="KO28" s="541" t="str">
        <f t="shared" si="108"/>
        <v>0</v>
      </c>
      <c r="KP28" s="541" t="str">
        <f t="shared" si="109"/>
        <v>0</v>
      </c>
      <c r="KQ28" s="539"/>
      <c r="KR28" s="541" t="str">
        <f t="shared" si="110"/>
        <v>0</v>
      </c>
      <c r="KS28" s="541" t="str">
        <f t="shared" si="111"/>
        <v>0</v>
      </c>
      <c r="KT28" s="541">
        <f t="shared" si="201"/>
        <v>0</v>
      </c>
      <c r="KU28" s="541">
        <f t="shared" si="202"/>
        <v>0</v>
      </c>
      <c r="KV28" s="272">
        <f t="shared" si="199"/>
        <v>902.59607126040771</v>
      </c>
    </row>
    <row r="29" spans="1:309" ht="15" customHeight="1">
      <c r="A29" s="274">
        <f t="shared" si="200"/>
        <v>46133</v>
      </c>
      <c r="B29" s="275" t="str">
        <f>+Report1!B29</f>
        <v>MG/Facial</v>
      </c>
      <c r="C29" s="417" t="str">
        <f>+Report1!C29</f>
        <v>20/12</v>
      </c>
      <c r="D29" s="276">
        <f>+Report1!P29</f>
        <v>69.182999999999993</v>
      </c>
      <c r="E29" s="277">
        <f>+Report1!R29</f>
        <v>61.204000000000001</v>
      </c>
      <c r="F29" s="539"/>
      <c r="G29" s="540">
        <f t="shared" si="0"/>
        <v>0</v>
      </c>
      <c r="H29" s="541">
        <f t="shared" si="112"/>
        <v>0</v>
      </c>
      <c r="I29" s="539">
        <v>546.51162790697686</v>
      </c>
      <c r="J29" s="540">
        <f t="shared" si="1"/>
        <v>8.9293449432549643</v>
      </c>
      <c r="K29" s="541">
        <f t="shared" si="113"/>
        <v>0</v>
      </c>
      <c r="L29" s="539"/>
      <c r="M29" s="540">
        <f t="shared" si="2"/>
        <v>0</v>
      </c>
      <c r="N29" s="541">
        <f t="shared" si="114"/>
        <v>0</v>
      </c>
      <c r="O29" s="539">
        <v>9</v>
      </c>
      <c r="P29" s="540">
        <f t="shared" si="3"/>
        <v>0.14704921246977321</v>
      </c>
      <c r="Q29" s="541">
        <f t="shared" si="115"/>
        <v>0</v>
      </c>
      <c r="R29" s="539"/>
      <c r="S29" s="540">
        <f t="shared" si="4"/>
        <v>0</v>
      </c>
      <c r="T29" s="541">
        <f t="shared" si="116"/>
        <v>0</v>
      </c>
      <c r="U29" s="539">
        <v>5.125</v>
      </c>
      <c r="V29" s="540">
        <f t="shared" si="5"/>
        <v>8.3736357100843081E-2</v>
      </c>
      <c r="W29" s="541">
        <f t="shared" si="117"/>
        <v>0</v>
      </c>
      <c r="X29" s="539"/>
      <c r="Y29" s="540">
        <f t="shared" si="6"/>
        <v>0</v>
      </c>
      <c r="Z29" s="541">
        <f t="shared" si="118"/>
        <v>0</v>
      </c>
      <c r="AA29" s="539"/>
      <c r="AB29" s="540">
        <f t="shared" si="7"/>
        <v>0</v>
      </c>
      <c r="AC29" s="541">
        <f t="shared" si="119"/>
        <v>0</v>
      </c>
      <c r="AD29" s="539"/>
      <c r="AE29" s="540">
        <f t="shared" si="8"/>
        <v>0</v>
      </c>
      <c r="AF29" s="541">
        <f t="shared" si="120"/>
        <v>0</v>
      </c>
      <c r="AG29" s="539"/>
      <c r="AH29" s="540">
        <f t="shared" si="9"/>
        <v>0</v>
      </c>
      <c r="AI29" s="541">
        <f t="shared" si="121"/>
        <v>0</v>
      </c>
      <c r="AJ29" s="539"/>
      <c r="AK29" s="540">
        <f t="shared" si="10"/>
        <v>0</v>
      </c>
      <c r="AL29" s="541">
        <f t="shared" si="122"/>
        <v>0</v>
      </c>
      <c r="AM29" s="539">
        <v>0</v>
      </c>
      <c r="AN29" s="540">
        <f t="shared" si="11"/>
        <v>0</v>
      </c>
      <c r="AO29" s="541">
        <f t="shared" si="123"/>
        <v>0</v>
      </c>
      <c r="AP29" s="539">
        <v>25.632911392405077</v>
      </c>
      <c r="AQ29" s="540">
        <f t="shared" si="12"/>
        <v>0.41881104817340498</v>
      </c>
      <c r="AR29" s="541">
        <f t="shared" si="124"/>
        <v>0</v>
      </c>
      <c r="AS29" s="539"/>
      <c r="AT29" s="540">
        <f t="shared" si="13"/>
        <v>0</v>
      </c>
      <c r="AU29" s="541">
        <f t="shared" si="125"/>
        <v>0</v>
      </c>
      <c r="AV29" s="539">
        <v>8.3250000000000028</v>
      </c>
      <c r="AW29" s="540">
        <f t="shared" si="14"/>
        <v>0.13602052153454028</v>
      </c>
      <c r="AX29" s="541">
        <f t="shared" si="126"/>
        <v>0</v>
      </c>
      <c r="AY29" s="539">
        <v>0</v>
      </c>
      <c r="AZ29" s="540">
        <f t="shared" si="15"/>
        <v>0</v>
      </c>
      <c r="BA29" s="541">
        <f t="shared" si="127"/>
        <v>0</v>
      </c>
      <c r="BB29" s="539">
        <v>65.333333333333314</v>
      </c>
      <c r="BC29" s="540">
        <f t="shared" si="16"/>
        <v>1.0674683571879831</v>
      </c>
      <c r="BD29" s="541">
        <f t="shared" si="128"/>
        <v>0</v>
      </c>
      <c r="BE29" s="539"/>
      <c r="BF29" s="540">
        <f t="shared" si="17"/>
        <v>0</v>
      </c>
      <c r="BG29" s="541">
        <f t="shared" si="129"/>
        <v>0</v>
      </c>
      <c r="BH29" s="539"/>
      <c r="BI29" s="540">
        <f t="shared" si="18"/>
        <v>0</v>
      </c>
      <c r="BJ29" s="541">
        <f t="shared" si="130"/>
        <v>0</v>
      </c>
      <c r="BK29" s="539"/>
      <c r="BL29" s="540">
        <f t="shared" si="19"/>
        <v>0</v>
      </c>
      <c r="BM29" s="541">
        <f t="shared" si="131"/>
        <v>0</v>
      </c>
      <c r="BN29" s="539">
        <v>5.0617283950617207</v>
      </c>
      <c r="BO29" s="540">
        <f t="shared" si="20"/>
        <v>8.2702574914412796E-2</v>
      </c>
      <c r="BP29" s="541">
        <f t="shared" si="132"/>
        <v>0</v>
      </c>
      <c r="BQ29" s="539">
        <v>0</v>
      </c>
      <c r="BR29" s="540">
        <f t="shared" si="21"/>
        <v>0</v>
      </c>
      <c r="BS29" s="541">
        <f t="shared" si="133"/>
        <v>0</v>
      </c>
      <c r="BT29" s="539"/>
      <c r="BU29" s="540">
        <f t="shared" si="22"/>
        <v>0</v>
      </c>
      <c r="BV29" s="541">
        <f t="shared" si="134"/>
        <v>0</v>
      </c>
      <c r="BW29" s="539">
        <v>0</v>
      </c>
      <c r="BX29" s="540">
        <f t="shared" si="23"/>
        <v>0</v>
      </c>
      <c r="BY29" s="541">
        <f t="shared" si="135"/>
        <v>0</v>
      </c>
      <c r="BZ29" s="539"/>
      <c r="CA29" s="540">
        <f t="shared" si="24"/>
        <v>0</v>
      </c>
      <c r="CB29" s="541">
        <f t="shared" si="136"/>
        <v>0</v>
      </c>
      <c r="CC29" s="539">
        <v>6.25</v>
      </c>
      <c r="CD29" s="540">
        <f t="shared" si="25"/>
        <v>0.10211750865956473</v>
      </c>
      <c r="CE29" s="541">
        <f t="shared" si="137"/>
        <v>0</v>
      </c>
      <c r="CF29" s="539">
        <v>9.9999999999999645E-2</v>
      </c>
      <c r="CG29" s="540">
        <f t="shared" si="26"/>
        <v>1.6338801385530298E-3</v>
      </c>
      <c r="CH29" s="541">
        <f t="shared" si="138"/>
        <v>0</v>
      </c>
      <c r="CI29" s="539"/>
      <c r="CJ29" s="540">
        <f t="shared" si="27"/>
        <v>0</v>
      </c>
      <c r="CK29" s="541">
        <f t="shared" si="139"/>
        <v>0</v>
      </c>
      <c r="CL29" s="539"/>
      <c r="CM29" s="540">
        <f t="shared" si="28"/>
        <v>0</v>
      </c>
      <c r="CN29" s="541">
        <f t="shared" si="140"/>
        <v>0</v>
      </c>
      <c r="CO29" s="539"/>
      <c r="CP29" s="540">
        <f t="shared" si="29"/>
        <v>0</v>
      </c>
      <c r="CQ29" s="541">
        <f t="shared" si="141"/>
        <v>0</v>
      </c>
      <c r="CR29" s="539"/>
      <c r="CS29" s="540">
        <f t="shared" si="30"/>
        <v>0</v>
      </c>
      <c r="CT29" s="541">
        <f t="shared" si="142"/>
        <v>0</v>
      </c>
      <c r="CU29" s="539"/>
      <c r="CV29" s="540">
        <f t="shared" si="31"/>
        <v>0</v>
      </c>
      <c r="CW29" s="541">
        <f t="shared" si="143"/>
        <v>0</v>
      </c>
      <c r="CX29" s="539"/>
      <c r="CY29" s="540">
        <f t="shared" si="32"/>
        <v>0</v>
      </c>
      <c r="CZ29" s="541">
        <f t="shared" si="144"/>
        <v>0</v>
      </c>
      <c r="DA29" s="539">
        <v>0</v>
      </c>
      <c r="DB29" s="540">
        <f t="shared" si="33"/>
        <v>0</v>
      </c>
      <c r="DC29" s="541">
        <f t="shared" si="145"/>
        <v>0</v>
      </c>
      <c r="DD29" s="539"/>
      <c r="DE29" s="540">
        <f t="shared" si="34"/>
        <v>0</v>
      </c>
      <c r="DF29" s="541">
        <f t="shared" si="146"/>
        <v>0</v>
      </c>
      <c r="DG29" s="539">
        <v>0</v>
      </c>
      <c r="DH29" s="540">
        <f t="shared" si="35"/>
        <v>0</v>
      </c>
      <c r="DI29" s="541">
        <f t="shared" si="203"/>
        <v>0</v>
      </c>
      <c r="DJ29" s="539"/>
      <c r="DK29" s="540">
        <f t="shared" si="36"/>
        <v>0</v>
      </c>
      <c r="DL29" s="541">
        <f t="shared" si="147"/>
        <v>0</v>
      </c>
      <c r="DM29" s="539"/>
      <c r="DN29" s="540">
        <f t="shared" si="37"/>
        <v>0</v>
      </c>
      <c r="DO29" s="541">
        <f t="shared" si="148"/>
        <v>0</v>
      </c>
      <c r="DP29" s="539"/>
      <c r="DQ29" s="540">
        <f t="shared" si="38"/>
        <v>0</v>
      </c>
      <c r="DR29" s="541">
        <f t="shared" si="149"/>
        <v>0</v>
      </c>
      <c r="DS29" s="539"/>
      <c r="DT29" s="540">
        <f t="shared" si="39"/>
        <v>0</v>
      </c>
      <c r="DU29" s="541">
        <f t="shared" si="150"/>
        <v>0</v>
      </c>
      <c r="DV29" s="539"/>
      <c r="DW29" s="540">
        <f t="shared" si="40"/>
        <v>0</v>
      </c>
      <c r="DX29" s="541">
        <f t="shared" si="151"/>
        <v>0</v>
      </c>
      <c r="DY29" s="539"/>
      <c r="DZ29" s="540">
        <f t="shared" si="41"/>
        <v>0</v>
      </c>
      <c r="EA29" s="541">
        <f t="shared" si="152"/>
        <v>0</v>
      </c>
      <c r="EB29" s="539">
        <v>14.534883720930225</v>
      </c>
      <c r="EC29" s="540">
        <f t="shared" si="42"/>
        <v>0.23748257827805738</v>
      </c>
      <c r="ED29" s="541">
        <f t="shared" si="153"/>
        <v>0</v>
      </c>
      <c r="EE29" s="539">
        <v>0.5</v>
      </c>
      <c r="EF29" s="540">
        <f t="shared" si="43"/>
        <v>8.1694006927651788E-3</v>
      </c>
      <c r="EG29" s="541">
        <f t="shared" si="154"/>
        <v>0</v>
      </c>
      <c r="EH29" s="539"/>
      <c r="EI29" s="540">
        <f t="shared" si="44"/>
        <v>0</v>
      </c>
      <c r="EJ29" s="541">
        <f t="shared" si="155"/>
        <v>0</v>
      </c>
      <c r="EK29" s="539"/>
      <c r="EL29" s="540">
        <f t="shared" si="45"/>
        <v>0</v>
      </c>
      <c r="EM29" s="541">
        <f t="shared" si="156"/>
        <v>0</v>
      </c>
      <c r="EN29" s="539"/>
      <c r="EO29" s="540">
        <f t="shared" si="46"/>
        <v>0</v>
      </c>
      <c r="EP29" s="541">
        <f t="shared" si="157"/>
        <v>0</v>
      </c>
      <c r="EQ29" s="539"/>
      <c r="ER29" s="540">
        <f t="shared" si="47"/>
        <v>0</v>
      </c>
      <c r="ES29" s="541">
        <f t="shared" si="158"/>
        <v>0</v>
      </c>
      <c r="ET29" s="539"/>
      <c r="EU29" s="540">
        <f t="shared" si="48"/>
        <v>0</v>
      </c>
      <c r="EV29" s="541">
        <f t="shared" si="159"/>
        <v>0</v>
      </c>
      <c r="EW29" s="539"/>
      <c r="EX29" s="540">
        <f t="shared" si="49"/>
        <v>0</v>
      </c>
      <c r="EY29" s="541">
        <f t="shared" si="160"/>
        <v>0</v>
      </c>
      <c r="EZ29" s="539"/>
      <c r="FA29" s="540">
        <f t="shared" si="50"/>
        <v>0</v>
      </c>
      <c r="FB29" s="541">
        <f t="shared" si="161"/>
        <v>0</v>
      </c>
      <c r="FC29" s="539"/>
      <c r="FD29" s="540">
        <f t="shared" si="51"/>
        <v>0</v>
      </c>
      <c r="FE29" s="541">
        <f t="shared" si="162"/>
        <v>0</v>
      </c>
      <c r="FF29" s="539"/>
      <c r="FG29" s="540">
        <f t="shared" si="52"/>
        <v>0</v>
      </c>
      <c r="FH29" s="541">
        <f t="shared" si="163"/>
        <v>0</v>
      </c>
      <c r="FI29" s="539"/>
      <c r="FJ29" s="540">
        <f t="shared" si="53"/>
        <v>0</v>
      </c>
      <c r="FK29" s="541">
        <f t="shared" si="164"/>
        <v>0</v>
      </c>
      <c r="FL29" s="539"/>
      <c r="FM29" s="540">
        <f t="shared" si="54"/>
        <v>0</v>
      </c>
      <c r="FN29" s="541">
        <f t="shared" si="165"/>
        <v>0</v>
      </c>
      <c r="FO29" s="539"/>
      <c r="FP29" s="540">
        <f t="shared" si="55"/>
        <v>0</v>
      </c>
      <c r="FQ29" s="541">
        <f t="shared" si="166"/>
        <v>0</v>
      </c>
      <c r="FR29" s="539"/>
      <c r="FS29" s="540">
        <f t="shared" si="56"/>
        <v>0</v>
      </c>
      <c r="FT29" s="541">
        <f t="shared" si="167"/>
        <v>0</v>
      </c>
      <c r="FU29" s="539"/>
      <c r="FV29" s="540">
        <f t="shared" si="57"/>
        <v>0</v>
      </c>
      <c r="FW29" s="541">
        <f t="shared" si="168"/>
        <v>0</v>
      </c>
      <c r="FX29" s="539"/>
      <c r="FY29" s="540">
        <f t="shared" si="58"/>
        <v>0</v>
      </c>
      <c r="FZ29" s="541">
        <f t="shared" si="169"/>
        <v>0</v>
      </c>
      <c r="GA29" s="539"/>
      <c r="GB29" s="540">
        <f t="shared" si="59"/>
        <v>0</v>
      </c>
      <c r="GC29" s="541">
        <f t="shared" si="170"/>
        <v>0</v>
      </c>
      <c r="GD29" s="539"/>
      <c r="GE29" s="540">
        <f t="shared" si="60"/>
        <v>0</v>
      </c>
      <c r="GF29" s="541">
        <f t="shared" si="171"/>
        <v>0</v>
      </c>
      <c r="GG29" s="539"/>
      <c r="GH29" s="540">
        <f t="shared" si="61"/>
        <v>0</v>
      </c>
      <c r="GI29" s="541">
        <f t="shared" si="172"/>
        <v>0</v>
      </c>
      <c r="GJ29" s="539"/>
      <c r="GK29" s="540">
        <f t="shared" si="62"/>
        <v>0</v>
      </c>
      <c r="GL29" s="541">
        <f t="shared" si="173"/>
        <v>0</v>
      </c>
      <c r="GM29" s="539"/>
      <c r="GN29" s="540">
        <f t="shared" si="63"/>
        <v>0</v>
      </c>
      <c r="GO29" s="541">
        <f t="shared" si="174"/>
        <v>0</v>
      </c>
      <c r="GP29" s="539"/>
      <c r="GQ29" s="540">
        <f t="shared" si="64"/>
        <v>0</v>
      </c>
      <c r="GR29" s="541">
        <f t="shared" si="175"/>
        <v>0</v>
      </c>
      <c r="GS29" s="539"/>
      <c r="GT29" s="540">
        <f t="shared" si="65"/>
        <v>0</v>
      </c>
      <c r="GU29" s="541">
        <f t="shared" si="176"/>
        <v>0</v>
      </c>
      <c r="GV29" s="539"/>
      <c r="GW29" s="540">
        <f t="shared" si="66"/>
        <v>0</v>
      </c>
      <c r="GX29" s="541">
        <f t="shared" si="177"/>
        <v>0</v>
      </c>
      <c r="GY29" s="539"/>
      <c r="GZ29" s="540">
        <f t="shared" si="67"/>
        <v>0</v>
      </c>
      <c r="HA29" s="541">
        <f t="shared" si="178"/>
        <v>0</v>
      </c>
      <c r="HB29" s="539"/>
      <c r="HC29" s="540">
        <f t="shared" si="68"/>
        <v>0</v>
      </c>
      <c r="HD29" s="541">
        <f t="shared" si="179"/>
        <v>0</v>
      </c>
      <c r="HE29" s="539"/>
      <c r="HF29" s="540">
        <f t="shared" si="69"/>
        <v>0</v>
      </c>
      <c r="HG29" s="541">
        <f t="shared" si="180"/>
        <v>0</v>
      </c>
      <c r="HH29" s="539"/>
      <c r="HI29" s="540">
        <f t="shared" si="70"/>
        <v>0</v>
      </c>
      <c r="HJ29" s="541">
        <f t="shared" si="181"/>
        <v>0</v>
      </c>
      <c r="HK29" s="539"/>
      <c r="HL29" s="540">
        <f t="shared" si="71"/>
        <v>0</v>
      </c>
      <c r="HM29" s="541">
        <f t="shared" si="182"/>
        <v>0</v>
      </c>
      <c r="HN29" s="539"/>
      <c r="HO29" s="540">
        <f t="shared" si="72"/>
        <v>0</v>
      </c>
      <c r="HP29" s="541">
        <f t="shared" si="183"/>
        <v>0</v>
      </c>
      <c r="HQ29" s="539"/>
      <c r="HR29" s="540">
        <f t="shared" si="73"/>
        <v>0</v>
      </c>
      <c r="HS29" s="541">
        <f t="shared" si="184"/>
        <v>0</v>
      </c>
      <c r="HT29" s="539"/>
      <c r="HU29" s="540">
        <f t="shared" si="74"/>
        <v>0</v>
      </c>
      <c r="HV29" s="541">
        <f t="shared" si="185"/>
        <v>0</v>
      </c>
      <c r="HW29" s="539"/>
      <c r="HX29" s="540">
        <f t="shared" si="75"/>
        <v>0</v>
      </c>
      <c r="HY29" s="541">
        <f t="shared" si="186"/>
        <v>0</v>
      </c>
      <c r="HZ29" s="539"/>
      <c r="IA29" s="540">
        <f t="shared" si="76"/>
        <v>0</v>
      </c>
      <c r="IB29" s="541">
        <f t="shared" si="187"/>
        <v>0</v>
      </c>
      <c r="IC29" s="539"/>
      <c r="ID29" s="540">
        <f t="shared" si="77"/>
        <v>0</v>
      </c>
      <c r="IE29" s="541">
        <f t="shared" si="188"/>
        <v>0</v>
      </c>
      <c r="IF29" s="539"/>
      <c r="IG29" s="540">
        <f t="shared" si="78"/>
        <v>0</v>
      </c>
      <c r="IH29" s="541">
        <f t="shared" si="189"/>
        <v>0</v>
      </c>
      <c r="II29" s="539"/>
      <c r="IJ29" s="540">
        <f t="shared" si="79"/>
        <v>0</v>
      </c>
      <c r="IK29" s="541">
        <f t="shared" si="190"/>
        <v>0</v>
      </c>
      <c r="IL29" s="539"/>
      <c r="IM29" s="540">
        <f t="shared" si="80"/>
        <v>0</v>
      </c>
      <c r="IN29" s="541">
        <f t="shared" si="191"/>
        <v>0</v>
      </c>
      <c r="IO29" s="539"/>
      <c r="IP29" s="540">
        <f t="shared" si="81"/>
        <v>0</v>
      </c>
      <c r="IQ29" s="541">
        <f t="shared" si="192"/>
        <v>0</v>
      </c>
      <c r="IR29" s="539"/>
      <c r="IS29" s="540">
        <f t="shared" si="82"/>
        <v>0</v>
      </c>
      <c r="IT29" s="541">
        <f t="shared" si="193"/>
        <v>0</v>
      </c>
      <c r="IU29" s="539"/>
      <c r="IV29" s="540">
        <f t="shared" si="83"/>
        <v>0</v>
      </c>
      <c r="IW29" s="541">
        <f t="shared" si="194"/>
        <v>0</v>
      </c>
      <c r="IX29" s="539"/>
      <c r="IY29" s="540">
        <f t="shared" si="84"/>
        <v>0</v>
      </c>
      <c r="IZ29" s="541">
        <f t="shared" si="195"/>
        <v>0</v>
      </c>
      <c r="JA29" s="539"/>
      <c r="JB29" s="540">
        <f t="shared" si="85"/>
        <v>0</v>
      </c>
      <c r="JC29" s="541">
        <f t="shared" si="196"/>
        <v>0</v>
      </c>
      <c r="JD29" s="539"/>
      <c r="JE29" s="540">
        <f t="shared" si="86"/>
        <v>0</v>
      </c>
      <c r="JF29" s="541">
        <f t="shared" si="197"/>
        <v>0</v>
      </c>
      <c r="JG29" s="539"/>
      <c r="JH29" s="540">
        <f t="shared" si="87"/>
        <v>0</v>
      </c>
      <c r="JI29" s="541">
        <f t="shared" si="198"/>
        <v>0</v>
      </c>
      <c r="JJ29" s="539"/>
      <c r="JK29" s="541" t="str">
        <f t="shared" si="88"/>
        <v>0</v>
      </c>
      <c r="JL29" s="541" t="str">
        <f t="shared" si="89"/>
        <v>0</v>
      </c>
      <c r="JM29" s="539"/>
      <c r="JN29" s="541" t="str">
        <f t="shared" si="90"/>
        <v>0</v>
      </c>
      <c r="JO29" s="541" t="str">
        <f t="shared" si="91"/>
        <v>0</v>
      </c>
      <c r="JP29" s="539"/>
      <c r="JQ29" s="541" t="str">
        <f t="shared" si="92"/>
        <v>0</v>
      </c>
      <c r="JR29" s="541" t="str">
        <f t="shared" si="93"/>
        <v>0</v>
      </c>
      <c r="JS29" s="539"/>
      <c r="JT29" s="541" t="str">
        <f t="shared" si="94"/>
        <v>0</v>
      </c>
      <c r="JU29" s="541" t="str">
        <f t="shared" si="95"/>
        <v>0</v>
      </c>
      <c r="JV29" s="539"/>
      <c r="JW29" s="541" t="str">
        <f t="shared" si="96"/>
        <v>0</v>
      </c>
      <c r="JX29" s="541" t="str">
        <f t="shared" si="97"/>
        <v>0</v>
      </c>
      <c r="JY29" s="539"/>
      <c r="JZ29" s="541" t="str">
        <f t="shared" si="98"/>
        <v>0</v>
      </c>
      <c r="KA29" s="541" t="str">
        <f t="shared" si="99"/>
        <v>0</v>
      </c>
      <c r="KB29" s="539"/>
      <c r="KC29" s="541" t="str">
        <f t="shared" si="100"/>
        <v>0</v>
      </c>
      <c r="KD29" s="541" t="str">
        <f t="shared" si="101"/>
        <v>0</v>
      </c>
      <c r="KE29" s="539"/>
      <c r="KF29" s="541" t="str">
        <f t="shared" si="102"/>
        <v>0</v>
      </c>
      <c r="KG29" s="541" t="str">
        <f t="shared" si="103"/>
        <v>0</v>
      </c>
      <c r="KH29" s="539"/>
      <c r="KI29" s="541" t="str">
        <f t="shared" si="104"/>
        <v>0</v>
      </c>
      <c r="KJ29" s="541" t="str">
        <f t="shared" si="105"/>
        <v>0</v>
      </c>
      <c r="KK29" s="539"/>
      <c r="KL29" s="541" t="str">
        <f t="shared" si="106"/>
        <v>0</v>
      </c>
      <c r="KM29" s="541" t="str">
        <f t="shared" si="107"/>
        <v>0</v>
      </c>
      <c r="KN29" s="539"/>
      <c r="KO29" s="541" t="str">
        <f t="shared" si="108"/>
        <v>0</v>
      </c>
      <c r="KP29" s="541" t="str">
        <f t="shared" si="109"/>
        <v>0</v>
      </c>
      <c r="KQ29" s="539"/>
      <c r="KR29" s="541" t="str">
        <f t="shared" si="110"/>
        <v>0</v>
      </c>
      <c r="KS29" s="541" t="str">
        <f t="shared" si="111"/>
        <v>0</v>
      </c>
      <c r="KT29" s="541">
        <f t="shared" si="201"/>
        <v>0</v>
      </c>
      <c r="KU29" s="541">
        <f t="shared" si="202"/>
        <v>0</v>
      </c>
      <c r="KV29" s="272">
        <f t="shared" si="199"/>
        <v>686.37448474870712</v>
      </c>
    </row>
    <row r="30" spans="1:309" ht="15" customHeight="1">
      <c r="A30" s="274">
        <f t="shared" si="200"/>
        <v>46134</v>
      </c>
      <c r="B30" s="275" t="str">
        <f>+Report1!B30</f>
        <v>Facial/MG</v>
      </c>
      <c r="C30" s="417" t="str">
        <f>+Report1!C30</f>
        <v>12/20</v>
      </c>
      <c r="D30" s="276">
        <f>+Report1!P30</f>
        <v>58.465999999999994</v>
      </c>
      <c r="E30" s="277">
        <f>+Report1!R30</f>
        <v>54.311</v>
      </c>
      <c r="F30" s="539"/>
      <c r="G30" s="540">
        <f t="shared" si="0"/>
        <v>0</v>
      </c>
      <c r="H30" s="541">
        <f t="shared" si="112"/>
        <v>0</v>
      </c>
      <c r="I30" s="539">
        <v>232.55813953488314</v>
      </c>
      <c r="J30" s="540">
        <f t="shared" si="1"/>
        <v>4.2819712311480753</v>
      </c>
      <c r="K30" s="541">
        <f t="shared" si="113"/>
        <v>0</v>
      </c>
      <c r="L30" s="539"/>
      <c r="M30" s="540">
        <f t="shared" si="2"/>
        <v>0</v>
      </c>
      <c r="N30" s="541">
        <f t="shared" si="114"/>
        <v>0</v>
      </c>
      <c r="O30" s="539">
        <v>9.0000000000000284</v>
      </c>
      <c r="P30" s="540">
        <f t="shared" si="3"/>
        <v>0.16571228664543147</v>
      </c>
      <c r="Q30" s="541">
        <f t="shared" si="115"/>
        <v>0</v>
      </c>
      <c r="R30" s="539"/>
      <c r="S30" s="540">
        <f t="shared" si="4"/>
        <v>0</v>
      </c>
      <c r="T30" s="541">
        <f t="shared" si="116"/>
        <v>0</v>
      </c>
      <c r="U30" s="539">
        <v>5.1249999999999716</v>
      </c>
      <c r="V30" s="540">
        <f t="shared" si="5"/>
        <v>9.4363941006425436E-2</v>
      </c>
      <c r="W30" s="541">
        <f t="shared" si="117"/>
        <v>0</v>
      </c>
      <c r="X30" s="539"/>
      <c r="Y30" s="540">
        <f t="shared" si="6"/>
        <v>0</v>
      </c>
      <c r="Z30" s="541">
        <f t="shared" si="118"/>
        <v>0</v>
      </c>
      <c r="AA30" s="539"/>
      <c r="AB30" s="540">
        <f t="shared" si="7"/>
        <v>0</v>
      </c>
      <c r="AC30" s="541">
        <f t="shared" si="119"/>
        <v>0</v>
      </c>
      <c r="AD30" s="539"/>
      <c r="AE30" s="540">
        <f t="shared" si="8"/>
        <v>0</v>
      </c>
      <c r="AF30" s="541">
        <f t="shared" si="120"/>
        <v>0</v>
      </c>
      <c r="AG30" s="539"/>
      <c r="AH30" s="540">
        <f t="shared" si="9"/>
        <v>0</v>
      </c>
      <c r="AI30" s="541">
        <f t="shared" si="121"/>
        <v>0</v>
      </c>
      <c r="AJ30" s="539"/>
      <c r="AK30" s="540">
        <f t="shared" si="10"/>
        <v>0</v>
      </c>
      <c r="AL30" s="541">
        <f t="shared" si="122"/>
        <v>0</v>
      </c>
      <c r="AM30" s="539">
        <v>0</v>
      </c>
      <c r="AN30" s="540">
        <f t="shared" si="11"/>
        <v>0</v>
      </c>
      <c r="AO30" s="541">
        <f t="shared" si="123"/>
        <v>0</v>
      </c>
      <c r="AP30" s="539">
        <v>68.354430379746844</v>
      </c>
      <c r="AQ30" s="540">
        <f t="shared" si="12"/>
        <v>1.2585743289526403</v>
      </c>
      <c r="AR30" s="541">
        <f t="shared" si="124"/>
        <v>0</v>
      </c>
      <c r="AS30" s="539"/>
      <c r="AT30" s="540">
        <f t="shared" si="13"/>
        <v>0</v>
      </c>
      <c r="AU30" s="541">
        <f t="shared" si="125"/>
        <v>0</v>
      </c>
      <c r="AV30" s="539">
        <v>5.5500000000000114</v>
      </c>
      <c r="AW30" s="540">
        <f t="shared" si="14"/>
        <v>0.10218924343134929</v>
      </c>
      <c r="AX30" s="541">
        <f t="shared" si="126"/>
        <v>0</v>
      </c>
      <c r="AY30" s="539">
        <v>0</v>
      </c>
      <c r="AZ30" s="540">
        <f t="shared" si="15"/>
        <v>0</v>
      </c>
      <c r="BA30" s="541">
        <f t="shared" si="127"/>
        <v>0</v>
      </c>
      <c r="BB30" s="539">
        <v>81.666666666666629</v>
      </c>
      <c r="BC30" s="540">
        <f t="shared" si="16"/>
        <v>1.5036855640048357</v>
      </c>
      <c r="BD30" s="541">
        <f t="shared" si="128"/>
        <v>0</v>
      </c>
      <c r="BE30" s="539"/>
      <c r="BF30" s="540">
        <f t="shared" si="17"/>
        <v>0</v>
      </c>
      <c r="BG30" s="541">
        <f t="shared" si="129"/>
        <v>0</v>
      </c>
      <c r="BH30" s="539"/>
      <c r="BI30" s="540">
        <f t="shared" si="18"/>
        <v>0</v>
      </c>
      <c r="BJ30" s="541">
        <f t="shared" si="130"/>
        <v>0</v>
      </c>
      <c r="BK30" s="539"/>
      <c r="BL30" s="540">
        <f t="shared" si="19"/>
        <v>0</v>
      </c>
      <c r="BM30" s="541">
        <f t="shared" si="131"/>
        <v>0</v>
      </c>
      <c r="BN30" s="539">
        <v>5.0617283950617349</v>
      </c>
      <c r="BO30" s="540">
        <f t="shared" si="20"/>
        <v>9.3198954080420809E-2</v>
      </c>
      <c r="BP30" s="541">
        <f t="shared" si="132"/>
        <v>0</v>
      </c>
      <c r="BQ30" s="539">
        <v>0</v>
      </c>
      <c r="BR30" s="540">
        <f t="shared" si="21"/>
        <v>0</v>
      </c>
      <c r="BS30" s="541">
        <f t="shared" si="133"/>
        <v>0</v>
      </c>
      <c r="BT30" s="539"/>
      <c r="BU30" s="540">
        <f t="shared" si="22"/>
        <v>0</v>
      </c>
      <c r="BV30" s="541">
        <f t="shared" si="134"/>
        <v>0</v>
      </c>
      <c r="BW30" s="539">
        <v>0</v>
      </c>
      <c r="BX30" s="540">
        <f t="shared" si="23"/>
        <v>0</v>
      </c>
      <c r="BY30" s="541">
        <f t="shared" si="135"/>
        <v>0</v>
      </c>
      <c r="BZ30" s="539"/>
      <c r="CA30" s="540">
        <f t="shared" si="24"/>
        <v>0</v>
      </c>
      <c r="CB30" s="541">
        <f t="shared" si="136"/>
        <v>0</v>
      </c>
      <c r="CC30" s="539">
        <v>6.25</v>
      </c>
      <c r="CD30" s="540">
        <f t="shared" si="25"/>
        <v>0.11507797683710483</v>
      </c>
      <c r="CE30" s="541">
        <f t="shared" si="137"/>
        <v>0</v>
      </c>
      <c r="CF30" s="539">
        <v>9.9999999999999645E-2</v>
      </c>
      <c r="CG30" s="540">
        <f t="shared" si="26"/>
        <v>1.8412476293936707E-3</v>
      </c>
      <c r="CH30" s="541">
        <f t="shared" si="138"/>
        <v>0</v>
      </c>
      <c r="CI30" s="539"/>
      <c r="CJ30" s="540">
        <f t="shared" si="27"/>
        <v>0</v>
      </c>
      <c r="CK30" s="541">
        <f t="shared" si="139"/>
        <v>0</v>
      </c>
      <c r="CL30" s="539"/>
      <c r="CM30" s="540">
        <f t="shared" si="28"/>
        <v>0</v>
      </c>
      <c r="CN30" s="541">
        <f t="shared" si="140"/>
        <v>0</v>
      </c>
      <c r="CO30" s="539"/>
      <c r="CP30" s="540">
        <f t="shared" si="29"/>
        <v>0</v>
      </c>
      <c r="CQ30" s="541">
        <f t="shared" si="141"/>
        <v>0</v>
      </c>
      <c r="CR30" s="539"/>
      <c r="CS30" s="540">
        <f t="shared" si="30"/>
        <v>0</v>
      </c>
      <c r="CT30" s="541">
        <f t="shared" si="142"/>
        <v>0</v>
      </c>
      <c r="CU30" s="539"/>
      <c r="CV30" s="540">
        <f t="shared" si="31"/>
        <v>0</v>
      </c>
      <c r="CW30" s="541">
        <f t="shared" si="143"/>
        <v>0</v>
      </c>
      <c r="CX30" s="539"/>
      <c r="CY30" s="540">
        <f t="shared" si="32"/>
        <v>0</v>
      </c>
      <c r="CZ30" s="541">
        <f t="shared" si="144"/>
        <v>0</v>
      </c>
      <c r="DA30" s="539">
        <v>0</v>
      </c>
      <c r="DB30" s="540">
        <f t="shared" si="33"/>
        <v>0</v>
      </c>
      <c r="DC30" s="541">
        <f t="shared" si="145"/>
        <v>0</v>
      </c>
      <c r="DD30" s="539"/>
      <c r="DE30" s="540">
        <f t="shared" si="34"/>
        <v>0</v>
      </c>
      <c r="DF30" s="541">
        <f t="shared" si="146"/>
        <v>0</v>
      </c>
      <c r="DG30" s="539">
        <v>0</v>
      </c>
      <c r="DH30" s="540">
        <f t="shared" si="35"/>
        <v>0</v>
      </c>
      <c r="DI30" s="541">
        <f t="shared" si="203"/>
        <v>0</v>
      </c>
      <c r="DJ30" s="539"/>
      <c r="DK30" s="540">
        <f t="shared" si="36"/>
        <v>0</v>
      </c>
      <c r="DL30" s="541">
        <f t="shared" si="147"/>
        <v>0</v>
      </c>
      <c r="DM30" s="539"/>
      <c r="DN30" s="540">
        <f t="shared" si="37"/>
        <v>0</v>
      </c>
      <c r="DO30" s="541">
        <f t="shared" si="148"/>
        <v>0</v>
      </c>
      <c r="DP30" s="539"/>
      <c r="DQ30" s="540">
        <f t="shared" si="38"/>
        <v>0</v>
      </c>
      <c r="DR30" s="541">
        <f t="shared" si="149"/>
        <v>0</v>
      </c>
      <c r="DS30" s="539"/>
      <c r="DT30" s="540">
        <f t="shared" si="39"/>
        <v>0</v>
      </c>
      <c r="DU30" s="541">
        <f t="shared" si="150"/>
        <v>0</v>
      </c>
      <c r="DV30" s="539"/>
      <c r="DW30" s="540">
        <f t="shared" si="40"/>
        <v>0</v>
      </c>
      <c r="DX30" s="541">
        <f t="shared" si="151"/>
        <v>0</v>
      </c>
      <c r="DY30" s="539"/>
      <c r="DZ30" s="540">
        <f t="shared" si="41"/>
        <v>0</v>
      </c>
      <c r="EA30" s="541">
        <f t="shared" si="152"/>
        <v>0</v>
      </c>
      <c r="EB30" s="539">
        <v>14.534883720930225</v>
      </c>
      <c r="EC30" s="540">
        <f t="shared" si="42"/>
        <v>0.26762320194675526</v>
      </c>
      <c r="ED30" s="541">
        <f t="shared" si="153"/>
        <v>0</v>
      </c>
      <c r="EE30" s="539">
        <v>2</v>
      </c>
      <c r="EF30" s="540">
        <f t="shared" si="43"/>
        <v>3.6824952587873543E-2</v>
      </c>
      <c r="EG30" s="541">
        <f t="shared" si="154"/>
        <v>0</v>
      </c>
      <c r="EH30" s="539"/>
      <c r="EI30" s="540">
        <f t="shared" si="44"/>
        <v>0</v>
      </c>
      <c r="EJ30" s="541">
        <f t="shared" si="155"/>
        <v>0</v>
      </c>
      <c r="EK30" s="539"/>
      <c r="EL30" s="540">
        <f t="shared" si="45"/>
        <v>0</v>
      </c>
      <c r="EM30" s="541">
        <f t="shared" si="156"/>
        <v>0</v>
      </c>
      <c r="EN30" s="539"/>
      <c r="EO30" s="540">
        <f t="shared" si="46"/>
        <v>0</v>
      </c>
      <c r="EP30" s="541">
        <f t="shared" si="157"/>
        <v>0</v>
      </c>
      <c r="EQ30" s="539"/>
      <c r="ER30" s="540">
        <f t="shared" si="47"/>
        <v>0</v>
      </c>
      <c r="ES30" s="541">
        <f t="shared" si="158"/>
        <v>0</v>
      </c>
      <c r="ET30" s="539"/>
      <c r="EU30" s="540">
        <f t="shared" si="48"/>
        <v>0</v>
      </c>
      <c r="EV30" s="541">
        <f t="shared" si="159"/>
        <v>0</v>
      </c>
      <c r="EW30" s="539"/>
      <c r="EX30" s="540">
        <f t="shared" si="49"/>
        <v>0</v>
      </c>
      <c r="EY30" s="541">
        <f t="shared" si="160"/>
        <v>0</v>
      </c>
      <c r="EZ30" s="539"/>
      <c r="FA30" s="540">
        <f t="shared" si="50"/>
        <v>0</v>
      </c>
      <c r="FB30" s="541">
        <f t="shared" si="161"/>
        <v>0</v>
      </c>
      <c r="FC30" s="539"/>
      <c r="FD30" s="540">
        <f t="shared" si="51"/>
        <v>0</v>
      </c>
      <c r="FE30" s="541">
        <f t="shared" si="162"/>
        <v>0</v>
      </c>
      <c r="FF30" s="539"/>
      <c r="FG30" s="540">
        <f t="shared" si="52"/>
        <v>0</v>
      </c>
      <c r="FH30" s="541">
        <f t="shared" si="163"/>
        <v>0</v>
      </c>
      <c r="FI30" s="539"/>
      <c r="FJ30" s="540">
        <f t="shared" si="53"/>
        <v>0</v>
      </c>
      <c r="FK30" s="541">
        <f t="shared" si="164"/>
        <v>0</v>
      </c>
      <c r="FL30" s="539"/>
      <c r="FM30" s="540">
        <f t="shared" si="54"/>
        <v>0</v>
      </c>
      <c r="FN30" s="541">
        <f t="shared" si="165"/>
        <v>0</v>
      </c>
      <c r="FO30" s="539"/>
      <c r="FP30" s="540">
        <f t="shared" si="55"/>
        <v>0</v>
      </c>
      <c r="FQ30" s="541">
        <f t="shared" si="166"/>
        <v>0</v>
      </c>
      <c r="FR30" s="539"/>
      <c r="FS30" s="540">
        <f t="shared" si="56"/>
        <v>0</v>
      </c>
      <c r="FT30" s="541">
        <f t="shared" si="167"/>
        <v>0</v>
      </c>
      <c r="FU30" s="539"/>
      <c r="FV30" s="540">
        <f t="shared" si="57"/>
        <v>0</v>
      </c>
      <c r="FW30" s="541">
        <f t="shared" si="168"/>
        <v>0</v>
      </c>
      <c r="FX30" s="539"/>
      <c r="FY30" s="540">
        <f t="shared" si="58"/>
        <v>0</v>
      </c>
      <c r="FZ30" s="541">
        <f t="shared" si="169"/>
        <v>0</v>
      </c>
      <c r="GA30" s="539"/>
      <c r="GB30" s="540">
        <f t="shared" si="59"/>
        <v>0</v>
      </c>
      <c r="GC30" s="541">
        <f t="shared" si="170"/>
        <v>0</v>
      </c>
      <c r="GD30" s="539"/>
      <c r="GE30" s="540">
        <f t="shared" si="60"/>
        <v>0</v>
      </c>
      <c r="GF30" s="541">
        <f t="shared" si="171"/>
        <v>0</v>
      </c>
      <c r="GG30" s="539"/>
      <c r="GH30" s="540">
        <f t="shared" si="61"/>
        <v>0</v>
      </c>
      <c r="GI30" s="541">
        <f t="shared" si="172"/>
        <v>0</v>
      </c>
      <c r="GJ30" s="539"/>
      <c r="GK30" s="540">
        <f t="shared" si="62"/>
        <v>0</v>
      </c>
      <c r="GL30" s="541">
        <f t="shared" si="173"/>
        <v>0</v>
      </c>
      <c r="GM30" s="539"/>
      <c r="GN30" s="540">
        <f t="shared" si="63"/>
        <v>0</v>
      </c>
      <c r="GO30" s="541">
        <f t="shared" si="174"/>
        <v>0</v>
      </c>
      <c r="GP30" s="539"/>
      <c r="GQ30" s="540">
        <f t="shared" si="64"/>
        <v>0</v>
      </c>
      <c r="GR30" s="541">
        <f t="shared" si="175"/>
        <v>0</v>
      </c>
      <c r="GS30" s="539"/>
      <c r="GT30" s="540">
        <f t="shared" si="65"/>
        <v>0</v>
      </c>
      <c r="GU30" s="541">
        <f t="shared" si="176"/>
        <v>0</v>
      </c>
      <c r="GV30" s="539"/>
      <c r="GW30" s="540">
        <f t="shared" si="66"/>
        <v>0</v>
      </c>
      <c r="GX30" s="541">
        <f t="shared" si="177"/>
        <v>0</v>
      </c>
      <c r="GY30" s="539"/>
      <c r="GZ30" s="540">
        <f t="shared" si="67"/>
        <v>0</v>
      </c>
      <c r="HA30" s="541">
        <f t="shared" si="178"/>
        <v>0</v>
      </c>
      <c r="HB30" s="539"/>
      <c r="HC30" s="540">
        <f t="shared" si="68"/>
        <v>0</v>
      </c>
      <c r="HD30" s="541">
        <f t="shared" si="179"/>
        <v>0</v>
      </c>
      <c r="HE30" s="539"/>
      <c r="HF30" s="540">
        <f t="shared" si="69"/>
        <v>0</v>
      </c>
      <c r="HG30" s="541">
        <f t="shared" si="180"/>
        <v>0</v>
      </c>
      <c r="HH30" s="539"/>
      <c r="HI30" s="540">
        <f t="shared" si="70"/>
        <v>0</v>
      </c>
      <c r="HJ30" s="541">
        <f t="shared" si="181"/>
        <v>0</v>
      </c>
      <c r="HK30" s="539"/>
      <c r="HL30" s="540">
        <f t="shared" si="71"/>
        <v>0</v>
      </c>
      <c r="HM30" s="541">
        <f t="shared" si="182"/>
        <v>0</v>
      </c>
      <c r="HN30" s="539"/>
      <c r="HO30" s="540">
        <f t="shared" si="72"/>
        <v>0</v>
      </c>
      <c r="HP30" s="541">
        <f t="shared" si="183"/>
        <v>0</v>
      </c>
      <c r="HQ30" s="539"/>
      <c r="HR30" s="540">
        <f t="shared" si="73"/>
        <v>0</v>
      </c>
      <c r="HS30" s="541">
        <f t="shared" si="184"/>
        <v>0</v>
      </c>
      <c r="HT30" s="539"/>
      <c r="HU30" s="540">
        <f t="shared" si="74"/>
        <v>0</v>
      </c>
      <c r="HV30" s="541">
        <f t="shared" si="185"/>
        <v>0</v>
      </c>
      <c r="HW30" s="539"/>
      <c r="HX30" s="540">
        <f t="shared" si="75"/>
        <v>0</v>
      </c>
      <c r="HY30" s="541">
        <f t="shared" si="186"/>
        <v>0</v>
      </c>
      <c r="HZ30" s="539"/>
      <c r="IA30" s="540">
        <f t="shared" si="76"/>
        <v>0</v>
      </c>
      <c r="IB30" s="541">
        <f t="shared" si="187"/>
        <v>0</v>
      </c>
      <c r="IC30" s="539"/>
      <c r="ID30" s="540">
        <f t="shared" si="77"/>
        <v>0</v>
      </c>
      <c r="IE30" s="541">
        <f t="shared" si="188"/>
        <v>0</v>
      </c>
      <c r="IF30" s="539"/>
      <c r="IG30" s="540">
        <f t="shared" si="78"/>
        <v>0</v>
      </c>
      <c r="IH30" s="541">
        <f t="shared" si="189"/>
        <v>0</v>
      </c>
      <c r="II30" s="539"/>
      <c r="IJ30" s="540">
        <f t="shared" si="79"/>
        <v>0</v>
      </c>
      <c r="IK30" s="541">
        <f t="shared" si="190"/>
        <v>0</v>
      </c>
      <c r="IL30" s="539"/>
      <c r="IM30" s="540">
        <f t="shared" si="80"/>
        <v>0</v>
      </c>
      <c r="IN30" s="541">
        <f t="shared" si="191"/>
        <v>0</v>
      </c>
      <c r="IO30" s="539"/>
      <c r="IP30" s="540">
        <f t="shared" si="81"/>
        <v>0</v>
      </c>
      <c r="IQ30" s="541">
        <f t="shared" si="192"/>
        <v>0</v>
      </c>
      <c r="IR30" s="539"/>
      <c r="IS30" s="540">
        <f t="shared" si="82"/>
        <v>0</v>
      </c>
      <c r="IT30" s="541">
        <f t="shared" si="193"/>
        <v>0</v>
      </c>
      <c r="IU30" s="539"/>
      <c r="IV30" s="540">
        <f t="shared" si="83"/>
        <v>0</v>
      </c>
      <c r="IW30" s="541">
        <f t="shared" si="194"/>
        <v>0</v>
      </c>
      <c r="IX30" s="539"/>
      <c r="IY30" s="540">
        <f t="shared" si="84"/>
        <v>0</v>
      </c>
      <c r="IZ30" s="541">
        <f t="shared" si="195"/>
        <v>0</v>
      </c>
      <c r="JA30" s="539"/>
      <c r="JB30" s="540">
        <f t="shared" si="85"/>
        <v>0</v>
      </c>
      <c r="JC30" s="541">
        <f t="shared" si="196"/>
        <v>0</v>
      </c>
      <c r="JD30" s="539"/>
      <c r="JE30" s="540">
        <f t="shared" si="86"/>
        <v>0</v>
      </c>
      <c r="JF30" s="541">
        <f t="shared" si="197"/>
        <v>0</v>
      </c>
      <c r="JG30" s="539"/>
      <c r="JH30" s="540">
        <f t="shared" si="87"/>
        <v>0</v>
      </c>
      <c r="JI30" s="541">
        <f t="shared" si="198"/>
        <v>0</v>
      </c>
      <c r="JJ30" s="539"/>
      <c r="JK30" s="541" t="str">
        <f t="shared" si="88"/>
        <v>0</v>
      </c>
      <c r="JL30" s="541" t="str">
        <f t="shared" si="89"/>
        <v>0</v>
      </c>
      <c r="JM30" s="539"/>
      <c r="JN30" s="541" t="str">
        <f t="shared" si="90"/>
        <v>0</v>
      </c>
      <c r="JO30" s="541" t="str">
        <f t="shared" si="91"/>
        <v>0</v>
      </c>
      <c r="JP30" s="539"/>
      <c r="JQ30" s="541" t="str">
        <f t="shared" si="92"/>
        <v>0</v>
      </c>
      <c r="JR30" s="541" t="str">
        <f t="shared" si="93"/>
        <v>0</v>
      </c>
      <c r="JS30" s="539"/>
      <c r="JT30" s="541" t="str">
        <f t="shared" si="94"/>
        <v>0</v>
      </c>
      <c r="JU30" s="541" t="str">
        <f t="shared" si="95"/>
        <v>0</v>
      </c>
      <c r="JV30" s="539"/>
      <c r="JW30" s="541" t="str">
        <f t="shared" si="96"/>
        <v>0</v>
      </c>
      <c r="JX30" s="541" t="str">
        <f t="shared" si="97"/>
        <v>0</v>
      </c>
      <c r="JY30" s="539"/>
      <c r="JZ30" s="541" t="str">
        <f t="shared" si="98"/>
        <v>0</v>
      </c>
      <c r="KA30" s="541" t="str">
        <f t="shared" si="99"/>
        <v>0</v>
      </c>
      <c r="KB30" s="539"/>
      <c r="KC30" s="541" t="str">
        <f t="shared" si="100"/>
        <v>0</v>
      </c>
      <c r="KD30" s="541" t="str">
        <f t="shared" si="101"/>
        <v>0</v>
      </c>
      <c r="KE30" s="539"/>
      <c r="KF30" s="541" t="str">
        <f t="shared" si="102"/>
        <v>0</v>
      </c>
      <c r="KG30" s="541" t="str">
        <f t="shared" si="103"/>
        <v>0</v>
      </c>
      <c r="KH30" s="539"/>
      <c r="KI30" s="541" t="str">
        <f t="shared" si="104"/>
        <v>0</v>
      </c>
      <c r="KJ30" s="541" t="str">
        <f t="shared" si="105"/>
        <v>0</v>
      </c>
      <c r="KK30" s="539"/>
      <c r="KL30" s="541" t="str">
        <f t="shared" si="106"/>
        <v>0</v>
      </c>
      <c r="KM30" s="541" t="str">
        <f t="shared" si="107"/>
        <v>0</v>
      </c>
      <c r="KN30" s="539"/>
      <c r="KO30" s="541" t="str">
        <f t="shared" si="108"/>
        <v>0</v>
      </c>
      <c r="KP30" s="541" t="str">
        <f t="shared" si="109"/>
        <v>0</v>
      </c>
      <c r="KQ30" s="539"/>
      <c r="KR30" s="541" t="str">
        <f t="shared" si="110"/>
        <v>0</v>
      </c>
      <c r="KS30" s="541" t="str">
        <f t="shared" si="111"/>
        <v>0</v>
      </c>
      <c r="KT30" s="541">
        <f t="shared" si="201"/>
        <v>0</v>
      </c>
      <c r="KU30" s="541">
        <f t="shared" si="202"/>
        <v>0</v>
      </c>
      <c r="KV30" s="272">
        <f t="shared" si="199"/>
        <v>430.20084869728862</v>
      </c>
    </row>
    <row r="31" spans="1:309" ht="15" customHeight="1">
      <c r="A31" s="274">
        <f t="shared" si="200"/>
        <v>46135</v>
      </c>
      <c r="B31" s="275" t="str">
        <f>+Report1!B31</f>
        <v>Facial/MG</v>
      </c>
      <c r="C31" s="417" t="str">
        <f>+Report1!C31</f>
        <v>12/20</v>
      </c>
      <c r="D31" s="276">
        <f>+Report1!P31</f>
        <v>68.013000000000005</v>
      </c>
      <c r="E31" s="277">
        <f>+Report1!R31</f>
        <v>62.985999999999997</v>
      </c>
      <c r="F31" s="539"/>
      <c r="G31" s="540">
        <f t="shared" si="0"/>
        <v>0</v>
      </c>
      <c r="H31" s="541">
        <f t="shared" si="112"/>
        <v>0</v>
      </c>
      <c r="I31" s="539">
        <v>686.04651162790742</v>
      </c>
      <c r="J31" s="540">
        <f t="shared" si="1"/>
        <v>10.892047623724437</v>
      </c>
      <c r="K31" s="541">
        <f t="shared" si="113"/>
        <v>0</v>
      </c>
      <c r="L31" s="539"/>
      <c r="M31" s="540">
        <f t="shared" si="2"/>
        <v>0</v>
      </c>
      <c r="N31" s="541">
        <f t="shared" si="114"/>
        <v>0</v>
      </c>
      <c r="O31" s="539">
        <v>9</v>
      </c>
      <c r="P31" s="540">
        <f t="shared" si="3"/>
        <v>0.14288889594513068</v>
      </c>
      <c r="Q31" s="541">
        <f t="shared" si="115"/>
        <v>0</v>
      </c>
      <c r="R31" s="539"/>
      <c r="S31" s="540">
        <f t="shared" si="4"/>
        <v>0</v>
      </c>
      <c r="T31" s="541">
        <f t="shared" si="116"/>
        <v>0</v>
      </c>
      <c r="U31" s="539">
        <v>5.1250000000000284</v>
      </c>
      <c r="V31" s="540">
        <f t="shared" si="5"/>
        <v>8.136728796875542E-2</v>
      </c>
      <c r="W31" s="541">
        <f t="shared" si="117"/>
        <v>0</v>
      </c>
      <c r="X31" s="539"/>
      <c r="Y31" s="540">
        <f t="shared" si="6"/>
        <v>0</v>
      </c>
      <c r="Z31" s="541">
        <f t="shared" si="118"/>
        <v>0</v>
      </c>
      <c r="AA31" s="539"/>
      <c r="AB31" s="540">
        <f t="shared" si="7"/>
        <v>0</v>
      </c>
      <c r="AC31" s="541">
        <f t="shared" si="119"/>
        <v>0</v>
      </c>
      <c r="AD31" s="539"/>
      <c r="AE31" s="540">
        <f t="shared" si="8"/>
        <v>0</v>
      </c>
      <c r="AF31" s="541">
        <f t="shared" si="120"/>
        <v>0</v>
      </c>
      <c r="AG31" s="539"/>
      <c r="AH31" s="540">
        <f t="shared" si="9"/>
        <v>0</v>
      </c>
      <c r="AI31" s="541">
        <f t="shared" si="121"/>
        <v>0</v>
      </c>
      <c r="AJ31" s="539"/>
      <c r="AK31" s="540">
        <f t="shared" si="10"/>
        <v>0</v>
      </c>
      <c r="AL31" s="541">
        <f t="shared" si="122"/>
        <v>0</v>
      </c>
      <c r="AM31" s="539">
        <v>0</v>
      </c>
      <c r="AN31" s="540">
        <f t="shared" si="11"/>
        <v>0</v>
      </c>
      <c r="AO31" s="541">
        <f t="shared" si="123"/>
        <v>0</v>
      </c>
      <c r="AP31" s="539">
        <v>5.6962025316455538</v>
      </c>
      <c r="AQ31" s="540">
        <f t="shared" si="12"/>
        <v>9.0436010091854604E-2</v>
      </c>
      <c r="AR31" s="541">
        <f t="shared" si="124"/>
        <v>0</v>
      </c>
      <c r="AS31" s="539"/>
      <c r="AT31" s="540">
        <f t="shared" si="13"/>
        <v>0</v>
      </c>
      <c r="AU31" s="541">
        <f t="shared" si="125"/>
        <v>0</v>
      </c>
      <c r="AV31" s="539">
        <v>5.5499999999999972</v>
      </c>
      <c r="AW31" s="540">
        <f t="shared" si="14"/>
        <v>8.8114819166163871E-2</v>
      </c>
      <c r="AX31" s="541">
        <f t="shared" si="126"/>
        <v>0</v>
      </c>
      <c r="AY31" s="539">
        <v>0</v>
      </c>
      <c r="AZ31" s="540">
        <f t="shared" si="15"/>
        <v>0</v>
      </c>
      <c r="BA31" s="541">
        <f t="shared" si="127"/>
        <v>0</v>
      </c>
      <c r="BB31" s="539">
        <v>56</v>
      </c>
      <c r="BC31" s="540">
        <f t="shared" si="16"/>
        <v>0.88908646365859079</v>
      </c>
      <c r="BD31" s="541">
        <f t="shared" si="128"/>
        <v>0</v>
      </c>
      <c r="BE31" s="539"/>
      <c r="BF31" s="540">
        <f t="shared" si="17"/>
        <v>0</v>
      </c>
      <c r="BG31" s="541">
        <f t="shared" si="129"/>
        <v>0</v>
      </c>
      <c r="BH31" s="539"/>
      <c r="BI31" s="540">
        <f t="shared" si="18"/>
        <v>0</v>
      </c>
      <c r="BJ31" s="541">
        <f t="shared" si="130"/>
        <v>0</v>
      </c>
      <c r="BK31" s="539"/>
      <c r="BL31" s="540">
        <f t="shared" si="19"/>
        <v>0</v>
      </c>
      <c r="BM31" s="541">
        <f t="shared" si="131"/>
        <v>0</v>
      </c>
      <c r="BN31" s="539">
        <v>12.654320987654323</v>
      </c>
      <c r="BO31" s="540">
        <f t="shared" si="20"/>
        <v>0.20090688387346908</v>
      </c>
      <c r="BP31" s="541">
        <f t="shared" si="132"/>
        <v>0</v>
      </c>
      <c r="BQ31" s="539">
        <v>0</v>
      </c>
      <c r="BR31" s="540">
        <f t="shared" si="21"/>
        <v>0</v>
      </c>
      <c r="BS31" s="541">
        <f t="shared" si="133"/>
        <v>0</v>
      </c>
      <c r="BT31" s="539"/>
      <c r="BU31" s="540">
        <f t="shared" si="22"/>
        <v>0</v>
      </c>
      <c r="BV31" s="541">
        <f t="shared" si="134"/>
        <v>0</v>
      </c>
      <c r="BW31" s="539">
        <v>0</v>
      </c>
      <c r="BX31" s="540">
        <f t="shared" si="23"/>
        <v>0</v>
      </c>
      <c r="BY31" s="541">
        <f t="shared" si="135"/>
        <v>0</v>
      </c>
      <c r="BZ31" s="539"/>
      <c r="CA31" s="540">
        <f t="shared" si="24"/>
        <v>0</v>
      </c>
      <c r="CB31" s="541">
        <f t="shared" si="136"/>
        <v>0</v>
      </c>
      <c r="CC31" s="539">
        <v>0</v>
      </c>
      <c r="CD31" s="540">
        <f t="shared" si="25"/>
        <v>0</v>
      </c>
      <c r="CE31" s="541">
        <f t="shared" si="137"/>
        <v>0</v>
      </c>
      <c r="CF31" s="539">
        <v>9.9999999999999645E-2</v>
      </c>
      <c r="CG31" s="540">
        <f t="shared" si="26"/>
        <v>1.5876543993903352E-3</v>
      </c>
      <c r="CH31" s="541">
        <f t="shared" si="138"/>
        <v>0</v>
      </c>
      <c r="CI31" s="539"/>
      <c r="CJ31" s="540">
        <f t="shared" si="27"/>
        <v>0</v>
      </c>
      <c r="CK31" s="541">
        <f t="shared" si="139"/>
        <v>0</v>
      </c>
      <c r="CL31" s="539"/>
      <c r="CM31" s="540">
        <f t="shared" si="28"/>
        <v>0</v>
      </c>
      <c r="CN31" s="541">
        <f t="shared" si="140"/>
        <v>0</v>
      </c>
      <c r="CO31" s="539"/>
      <c r="CP31" s="540">
        <f t="shared" si="29"/>
        <v>0</v>
      </c>
      <c r="CQ31" s="541">
        <f t="shared" si="141"/>
        <v>0</v>
      </c>
      <c r="CR31" s="539"/>
      <c r="CS31" s="540">
        <f t="shared" si="30"/>
        <v>0</v>
      </c>
      <c r="CT31" s="541">
        <f t="shared" si="142"/>
        <v>0</v>
      </c>
      <c r="CU31" s="539"/>
      <c r="CV31" s="540">
        <f t="shared" si="31"/>
        <v>0</v>
      </c>
      <c r="CW31" s="541">
        <f t="shared" si="143"/>
        <v>0</v>
      </c>
      <c r="CX31" s="539"/>
      <c r="CY31" s="540">
        <f t="shared" si="32"/>
        <v>0</v>
      </c>
      <c r="CZ31" s="541">
        <f t="shared" si="144"/>
        <v>0</v>
      </c>
      <c r="DA31" s="539">
        <v>0</v>
      </c>
      <c r="DB31" s="540">
        <f t="shared" si="33"/>
        <v>0</v>
      </c>
      <c r="DC31" s="541">
        <f t="shared" si="145"/>
        <v>0</v>
      </c>
      <c r="DD31" s="539"/>
      <c r="DE31" s="540">
        <f t="shared" si="34"/>
        <v>0</v>
      </c>
      <c r="DF31" s="541">
        <f t="shared" si="146"/>
        <v>0</v>
      </c>
      <c r="DG31" s="539">
        <v>0</v>
      </c>
      <c r="DH31" s="540">
        <f t="shared" si="35"/>
        <v>0</v>
      </c>
      <c r="DI31" s="541">
        <f t="shared" si="203"/>
        <v>0</v>
      </c>
      <c r="DJ31" s="539"/>
      <c r="DK31" s="540">
        <f t="shared" si="36"/>
        <v>0</v>
      </c>
      <c r="DL31" s="541">
        <f t="shared" si="147"/>
        <v>0</v>
      </c>
      <c r="DM31" s="539"/>
      <c r="DN31" s="540">
        <f t="shared" si="37"/>
        <v>0</v>
      </c>
      <c r="DO31" s="541">
        <f t="shared" si="148"/>
        <v>0</v>
      </c>
      <c r="DP31" s="539"/>
      <c r="DQ31" s="540">
        <f t="shared" si="38"/>
        <v>0</v>
      </c>
      <c r="DR31" s="541">
        <f t="shared" si="149"/>
        <v>0</v>
      </c>
      <c r="DS31" s="539"/>
      <c r="DT31" s="540">
        <f t="shared" si="39"/>
        <v>0</v>
      </c>
      <c r="DU31" s="541">
        <f t="shared" si="150"/>
        <v>0</v>
      </c>
      <c r="DV31" s="539"/>
      <c r="DW31" s="540">
        <f t="shared" si="40"/>
        <v>0</v>
      </c>
      <c r="DX31" s="541">
        <f t="shared" si="151"/>
        <v>0</v>
      </c>
      <c r="DY31" s="539"/>
      <c r="DZ31" s="540">
        <f t="shared" si="41"/>
        <v>0</v>
      </c>
      <c r="EA31" s="541">
        <f t="shared" si="152"/>
        <v>0</v>
      </c>
      <c r="EB31" s="539">
        <v>14.534883720930338</v>
      </c>
      <c r="EC31" s="540">
        <f t="shared" si="42"/>
        <v>0.23076372084162097</v>
      </c>
      <c r="ED31" s="541">
        <f t="shared" si="153"/>
        <v>0</v>
      </c>
      <c r="EE31" s="539">
        <v>2</v>
      </c>
      <c r="EF31" s="540">
        <f t="shared" si="43"/>
        <v>3.1753087987806815E-2</v>
      </c>
      <c r="EG31" s="541">
        <f t="shared" si="154"/>
        <v>0</v>
      </c>
      <c r="EH31" s="539"/>
      <c r="EI31" s="540">
        <f t="shared" si="44"/>
        <v>0</v>
      </c>
      <c r="EJ31" s="541">
        <f t="shared" si="155"/>
        <v>0</v>
      </c>
      <c r="EK31" s="539"/>
      <c r="EL31" s="540">
        <f t="shared" si="45"/>
        <v>0</v>
      </c>
      <c r="EM31" s="541">
        <f t="shared" si="156"/>
        <v>0</v>
      </c>
      <c r="EN31" s="539"/>
      <c r="EO31" s="540">
        <f t="shared" si="46"/>
        <v>0</v>
      </c>
      <c r="EP31" s="541">
        <f t="shared" si="157"/>
        <v>0</v>
      </c>
      <c r="EQ31" s="539"/>
      <c r="ER31" s="540">
        <f t="shared" si="47"/>
        <v>0</v>
      </c>
      <c r="ES31" s="541">
        <f t="shared" si="158"/>
        <v>0</v>
      </c>
      <c r="ET31" s="539"/>
      <c r="EU31" s="540">
        <f t="shared" si="48"/>
        <v>0</v>
      </c>
      <c r="EV31" s="541">
        <f t="shared" si="159"/>
        <v>0</v>
      </c>
      <c r="EW31" s="539"/>
      <c r="EX31" s="540">
        <f t="shared" si="49"/>
        <v>0</v>
      </c>
      <c r="EY31" s="541">
        <f t="shared" si="160"/>
        <v>0</v>
      </c>
      <c r="EZ31" s="539"/>
      <c r="FA31" s="540">
        <f t="shared" si="50"/>
        <v>0</v>
      </c>
      <c r="FB31" s="541">
        <f t="shared" si="161"/>
        <v>0</v>
      </c>
      <c r="FC31" s="539"/>
      <c r="FD31" s="540">
        <f t="shared" si="51"/>
        <v>0</v>
      </c>
      <c r="FE31" s="541">
        <f t="shared" si="162"/>
        <v>0</v>
      </c>
      <c r="FF31" s="539"/>
      <c r="FG31" s="540">
        <f t="shared" si="52"/>
        <v>0</v>
      </c>
      <c r="FH31" s="541">
        <f t="shared" si="163"/>
        <v>0</v>
      </c>
      <c r="FI31" s="539"/>
      <c r="FJ31" s="540">
        <f t="shared" si="53"/>
        <v>0</v>
      </c>
      <c r="FK31" s="541">
        <f t="shared" si="164"/>
        <v>0</v>
      </c>
      <c r="FL31" s="539"/>
      <c r="FM31" s="540">
        <f t="shared" si="54"/>
        <v>0</v>
      </c>
      <c r="FN31" s="541">
        <f t="shared" si="165"/>
        <v>0</v>
      </c>
      <c r="FO31" s="539"/>
      <c r="FP31" s="540">
        <f t="shared" si="55"/>
        <v>0</v>
      </c>
      <c r="FQ31" s="541">
        <f t="shared" si="166"/>
        <v>0</v>
      </c>
      <c r="FR31" s="539"/>
      <c r="FS31" s="540">
        <f t="shared" si="56"/>
        <v>0</v>
      </c>
      <c r="FT31" s="541">
        <f t="shared" si="167"/>
        <v>0</v>
      </c>
      <c r="FU31" s="539"/>
      <c r="FV31" s="540">
        <f t="shared" si="57"/>
        <v>0</v>
      </c>
      <c r="FW31" s="541">
        <f t="shared" si="168"/>
        <v>0</v>
      </c>
      <c r="FX31" s="539"/>
      <c r="FY31" s="540">
        <f t="shared" si="58"/>
        <v>0</v>
      </c>
      <c r="FZ31" s="541">
        <f t="shared" si="169"/>
        <v>0</v>
      </c>
      <c r="GA31" s="539"/>
      <c r="GB31" s="540">
        <f t="shared" si="59"/>
        <v>0</v>
      </c>
      <c r="GC31" s="541">
        <f t="shared" si="170"/>
        <v>0</v>
      </c>
      <c r="GD31" s="539"/>
      <c r="GE31" s="540">
        <f t="shared" si="60"/>
        <v>0</v>
      </c>
      <c r="GF31" s="541">
        <f t="shared" si="171"/>
        <v>0</v>
      </c>
      <c r="GG31" s="539"/>
      <c r="GH31" s="540">
        <f t="shared" si="61"/>
        <v>0</v>
      </c>
      <c r="GI31" s="541">
        <f t="shared" si="172"/>
        <v>0</v>
      </c>
      <c r="GJ31" s="539"/>
      <c r="GK31" s="540">
        <f t="shared" si="62"/>
        <v>0</v>
      </c>
      <c r="GL31" s="541">
        <f t="shared" si="173"/>
        <v>0</v>
      </c>
      <c r="GM31" s="539"/>
      <c r="GN31" s="540">
        <f t="shared" si="63"/>
        <v>0</v>
      </c>
      <c r="GO31" s="541">
        <f t="shared" si="174"/>
        <v>0</v>
      </c>
      <c r="GP31" s="539"/>
      <c r="GQ31" s="540">
        <f t="shared" si="64"/>
        <v>0</v>
      </c>
      <c r="GR31" s="541">
        <f t="shared" si="175"/>
        <v>0</v>
      </c>
      <c r="GS31" s="539"/>
      <c r="GT31" s="540">
        <f t="shared" si="65"/>
        <v>0</v>
      </c>
      <c r="GU31" s="541">
        <f t="shared" si="176"/>
        <v>0</v>
      </c>
      <c r="GV31" s="539"/>
      <c r="GW31" s="540">
        <f t="shared" si="66"/>
        <v>0</v>
      </c>
      <c r="GX31" s="541">
        <f t="shared" si="177"/>
        <v>0</v>
      </c>
      <c r="GY31" s="539"/>
      <c r="GZ31" s="540">
        <f t="shared" si="67"/>
        <v>0</v>
      </c>
      <c r="HA31" s="541">
        <f t="shared" si="178"/>
        <v>0</v>
      </c>
      <c r="HB31" s="539"/>
      <c r="HC31" s="540">
        <f t="shared" si="68"/>
        <v>0</v>
      </c>
      <c r="HD31" s="541">
        <f t="shared" si="179"/>
        <v>0</v>
      </c>
      <c r="HE31" s="539"/>
      <c r="HF31" s="540">
        <f t="shared" si="69"/>
        <v>0</v>
      </c>
      <c r="HG31" s="541">
        <f t="shared" si="180"/>
        <v>0</v>
      </c>
      <c r="HH31" s="539"/>
      <c r="HI31" s="540">
        <f t="shared" si="70"/>
        <v>0</v>
      </c>
      <c r="HJ31" s="541">
        <f t="shared" si="181"/>
        <v>0</v>
      </c>
      <c r="HK31" s="539"/>
      <c r="HL31" s="540">
        <f t="shared" si="71"/>
        <v>0</v>
      </c>
      <c r="HM31" s="541">
        <f t="shared" si="182"/>
        <v>0</v>
      </c>
      <c r="HN31" s="539"/>
      <c r="HO31" s="540">
        <f t="shared" si="72"/>
        <v>0</v>
      </c>
      <c r="HP31" s="541">
        <f t="shared" si="183"/>
        <v>0</v>
      </c>
      <c r="HQ31" s="539"/>
      <c r="HR31" s="540">
        <f t="shared" si="73"/>
        <v>0</v>
      </c>
      <c r="HS31" s="541">
        <f t="shared" si="184"/>
        <v>0</v>
      </c>
      <c r="HT31" s="539"/>
      <c r="HU31" s="540">
        <f t="shared" si="74"/>
        <v>0</v>
      </c>
      <c r="HV31" s="541">
        <f t="shared" si="185"/>
        <v>0</v>
      </c>
      <c r="HW31" s="539"/>
      <c r="HX31" s="540">
        <f t="shared" si="75"/>
        <v>0</v>
      </c>
      <c r="HY31" s="541">
        <f t="shared" si="186"/>
        <v>0</v>
      </c>
      <c r="HZ31" s="539"/>
      <c r="IA31" s="540">
        <f t="shared" si="76"/>
        <v>0</v>
      </c>
      <c r="IB31" s="541">
        <f t="shared" si="187"/>
        <v>0</v>
      </c>
      <c r="IC31" s="539"/>
      <c r="ID31" s="540">
        <f t="shared" si="77"/>
        <v>0</v>
      </c>
      <c r="IE31" s="541">
        <f t="shared" si="188"/>
        <v>0</v>
      </c>
      <c r="IF31" s="539"/>
      <c r="IG31" s="540">
        <f t="shared" si="78"/>
        <v>0</v>
      </c>
      <c r="IH31" s="541">
        <f t="shared" si="189"/>
        <v>0</v>
      </c>
      <c r="II31" s="539"/>
      <c r="IJ31" s="540">
        <f t="shared" si="79"/>
        <v>0</v>
      </c>
      <c r="IK31" s="541">
        <f t="shared" si="190"/>
        <v>0</v>
      </c>
      <c r="IL31" s="539"/>
      <c r="IM31" s="540">
        <f t="shared" si="80"/>
        <v>0</v>
      </c>
      <c r="IN31" s="541">
        <f t="shared" si="191"/>
        <v>0</v>
      </c>
      <c r="IO31" s="539"/>
      <c r="IP31" s="540">
        <f t="shared" si="81"/>
        <v>0</v>
      </c>
      <c r="IQ31" s="541">
        <f t="shared" si="192"/>
        <v>0</v>
      </c>
      <c r="IR31" s="539"/>
      <c r="IS31" s="540">
        <f t="shared" si="82"/>
        <v>0</v>
      </c>
      <c r="IT31" s="541">
        <f t="shared" si="193"/>
        <v>0</v>
      </c>
      <c r="IU31" s="539"/>
      <c r="IV31" s="540">
        <f t="shared" si="83"/>
        <v>0</v>
      </c>
      <c r="IW31" s="541">
        <f t="shared" si="194"/>
        <v>0</v>
      </c>
      <c r="IX31" s="539"/>
      <c r="IY31" s="540">
        <f t="shared" si="84"/>
        <v>0</v>
      </c>
      <c r="IZ31" s="541">
        <f t="shared" si="195"/>
        <v>0</v>
      </c>
      <c r="JA31" s="539"/>
      <c r="JB31" s="540">
        <f t="shared" si="85"/>
        <v>0</v>
      </c>
      <c r="JC31" s="541">
        <f t="shared" si="196"/>
        <v>0</v>
      </c>
      <c r="JD31" s="539"/>
      <c r="JE31" s="540">
        <f t="shared" si="86"/>
        <v>0</v>
      </c>
      <c r="JF31" s="541">
        <f t="shared" si="197"/>
        <v>0</v>
      </c>
      <c r="JG31" s="539"/>
      <c r="JH31" s="540">
        <f t="shared" si="87"/>
        <v>0</v>
      </c>
      <c r="JI31" s="541">
        <f t="shared" si="198"/>
        <v>0</v>
      </c>
      <c r="JJ31" s="539"/>
      <c r="JK31" s="541" t="str">
        <f t="shared" si="88"/>
        <v>0</v>
      </c>
      <c r="JL31" s="541" t="str">
        <f t="shared" si="89"/>
        <v>0</v>
      </c>
      <c r="JM31" s="539"/>
      <c r="JN31" s="541" t="str">
        <f t="shared" si="90"/>
        <v>0</v>
      </c>
      <c r="JO31" s="541" t="str">
        <f t="shared" si="91"/>
        <v>0</v>
      </c>
      <c r="JP31" s="539"/>
      <c r="JQ31" s="541" t="str">
        <f t="shared" si="92"/>
        <v>0</v>
      </c>
      <c r="JR31" s="541" t="str">
        <f t="shared" si="93"/>
        <v>0</v>
      </c>
      <c r="JS31" s="539"/>
      <c r="JT31" s="541" t="str">
        <f t="shared" si="94"/>
        <v>0</v>
      </c>
      <c r="JU31" s="541" t="str">
        <f t="shared" si="95"/>
        <v>0</v>
      </c>
      <c r="JV31" s="539"/>
      <c r="JW31" s="541" t="str">
        <f t="shared" si="96"/>
        <v>0</v>
      </c>
      <c r="JX31" s="541" t="str">
        <f t="shared" si="97"/>
        <v>0</v>
      </c>
      <c r="JY31" s="539"/>
      <c r="JZ31" s="541" t="str">
        <f t="shared" si="98"/>
        <v>0</v>
      </c>
      <c r="KA31" s="541" t="str">
        <f t="shared" si="99"/>
        <v>0</v>
      </c>
      <c r="KB31" s="539"/>
      <c r="KC31" s="541" t="str">
        <f t="shared" si="100"/>
        <v>0</v>
      </c>
      <c r="KD31" s="541" t="str">
        <f t="shared" si="101"/>
        <v>0</v>
      </c>
      <c r="KE31" s="539"/>
      <c r="KF31" s="541" t="str">
        <f t="shared" si="102"/>
        <v>0</v>
      </c>
      <c r="KG31" s="541" t="str">
        <f t="shared" si="103"/>
        <v>0</v>
      </c>
      <c r="KH31" s="539"/>
      <c r="KI31" s="541" t="str">
        <f t="shared" si="104"/>
        <v>0</v>
      </c>
      <c r="KJ31" s="541" t="str">
        <f t="shared" si="105"/>
        <v>0</v>
      </c>
      <c r="KK31" s="539"/>
      <c r="KL31" s="541" t="str">
        <f t="shared" si="106"/>
        <v>0</v>
      </c>
      <c r="KM31" s="541" t="str">
        <f t="shared" si="107"/>
        <v>0</v>
      </c>
      <c r="KN31" s="539"/>
      <c r="KO31" s="541" t="str">
        <f t="shared" si="108"/>
        <v>0</v>
      </c>
      <c r="KP31" s="541" t="str">
        <f t="shared" si="109"/>
        <v>0</v>
      </c>
      <c r="KQ31" s="539"/>
      <c r="KR31" s="541" t="str">
        <f t="shared" si="110"/>
        <v>0</v>
      </c>
      <c r="KS31" s="541" t="str">
        <f t="shared" si="111"/>
        <v>0</v>
      </c>
      <c r="KT31" s="541">
        <f t="shared" si="201"/>
        <v>0</v>
      </c>
      <c r="KU31" s="541">
        <f t="shared" si="202"/>
        <v>0</v>
      </c>
      <c r="KV31" s="272">
        <f t="shared" si="199"/>
        <v>796.70691886813756</v>
      </c>
    </row>
    <row r="32" spans="1:309" ht="15" customHeight="1">
      <c r="A32" s="274">
        <f t="shared" si="200"/>
        <v>46136</v>
      </c>
      <c r="B32" s="275" t="str">
        <f>+Report1!B32</f>
        <v>MG/Facial</v>
      </c>
      <c r="C32" s="417" t="str">
        <f>+Report1!C32</f>
        <v>20,5/21,5/12</v>
      </c>
      <c r="D32" s="276">
        <f>+Report1!P32</f>
        <v>74.367000000000004</v>
      </c>
      <c r="E32" s="277">
        <f>+Report1!R32</f>
        <v>77.438000000000002</v>
      </c>
      <c r="F32" s="539"/>
      <c r="G32" s="540">
        <f t="shared" si="0"/>
        <v>0</v>
      </c>
      <c r="H32" s="541">
        <f t="shared" si="112"/>
        <v>0</v>
      </c>
      <c r="I32" s="539">
        <v>662.79069767441842</v>
      </c>
      <c r="J32" s="540">
        <f t="shared" si="1"/>
        <v>8.5589852226867738</v>
      </c>
      <c r="K32" s="541">
        <f t="shared" si="113"/>
        <v>0</v>
      </c>
      <c r="L32" s="539"/>
      <c r="M32" s="540">
        <f t="shared" si="2"/>
        <v>0</v>
      </c>
      <c r="N32" s="541">
        <f t="shared" si="114"/>
        <v>0</v>
      </c>
      <c r="O32" s="539">
        <v>9</v>
      </c>
      <c r="P32" s="540">
        <f t="shared" si="3"/>
        <v>0.11622200986595728</v>
      </c>
      <c r="Q32" s="541">
        <f t="shared" si="115"/>
        <v>0</v>
      </c>
      <c r="R32" s="539"/>
      <c r="S32" s="540">
        <f t="shared" si="4"/>
        <v>0</v>
      </c>
      <c r="T32" s="541">
        <f t="shared" si="116"/>
        <v>0</v>
      </c>
      <c r="U32" s="539">
        <v>5.1249999999999716</v>
      </c>
      <c r="V32" s="540">
        <f t="shared" si="5"/>
        <v>6.6181977840336415E-2</v>
      </c>
      <c r="W32" s="541">
        <f t="shared" si="117"/>
        <v>0</v>
      </c>
      <c r="X32" s="539"/>
      <c r="Y32" s="540">
        <f t="shared" si="6"/>
        <v>0</v>
      </c>
      <c r="Z32" s="541">
        <f t="shared" si="118"/>
        <v>0</v>
      </c>
      <c r="AA32" s="539"/>
      <c r="AB32" s="540">
        <f t="shared" si="7"/>
        <v>0</v>
      </c>
      <c r="AC32" s="541">
        <f t="shared" si="119"/>
        <v>0</v>
      </c>
      <c r="AD32" s="539"/>
      <c r="AE32" s="540">
        <f t="shared" si="8"/>
        <v>0</v>
      </c>
      <c r="AF32" s="541">
        <f t="shared" si="120"/>
        <v>0</v>
      </c>
      <c r="AG32" s="539"/>
      <c r="AH32" s="540">
        <f t="shared" si="9"/>
        <v>0</v>
      </c>
      <c r="AI32" s="541">
        <f t="shared" si="121"/>
        <v>0</v>
      </c>
      <c r="AJ32" s="539"/>
      <c r="AK32" s="540">
        <f t="shared" si="10"/>
        <v>0</v>
      </c>
      <c r="AL32" s="541">
        <f t="shared" si="122"/>
        <v>0</v>
      </c>
      <c r="AM32" s="539">
        <v>0</v>
      </c>
      <c r="AN32" s="540">
        <f t="shared" si="11"/>
        <v>0</v>
      </c>
      <c r="AO32" s="541">
        <f t="shared" si="123"/>
        <v>0</v>
      </c>
      <c r="AP32" s="539">
        <v>8.5443037974683875</v>
      </c>
      <c r="AQ32" s="540">
        <f t="shared" si="12"/>
        <v>0.11033735113856746</v>
      </c>
      <c r="AR32" s="541">
        <f t="shared" si="124"/>
        <v>0</v>
      </c>
      <c r="AS32" s="539"/>
      <c r="AT32" s="540">
        <f t="shared" si="13"/>
        <v>0</v>
      </c>
      <c r="AU32" s="541">
        <f t="shared" si="125"/>
        <v>0</v>
      </c>
      <c r="AV32" s="539">
        <v>0</v>
      </c>
      <c r="AW32" s="540">
        <f t="shared" si="14"/>
        <v>0</v>
      </c>
      <c r="AX32" s="541">
        <f t="shared" si="126"/>
        <v>0</v>
      </c>
      <c r="AY32" s="539">
        <v>0</v>
      </c>
      <c r="AZ32" s="540">
        <f t="shared" si="15"/>
        <v>0</v>
      </c>
      <c r="BA32" s="541">
        <f t="shared" si="127"/>
        <v>0</v>
      </c>
      <c r="BB32" s="539">
        <v>53.666666666666686</v>
      </c>
      <c r="BC32" s="540">
        <f t="shared" si="16"/>
        <v>0.69302754031181957</v>
      </c>
      <c r="BD32" s="541">
        <f t="shared" si="128"/>
        <v>0</v>
      </c>
      <c r="BE32" s="539"/>
      <c r="BF32" s="540">
        <f t="shared" si="17"/>
        <v>0</v>
      </c>
      <c r="BG32" s="541">
        <f t="shared" si="129"/>
        <v>0</v>
      </c>
      <c r="BH32" s="539"/>
      <c r="BI32" s="540">
        <f t="shared" si="18"/>
        <v>0</v>
      </c>
      <c r="BJ32" s="541">
        <f t="shared" si="130"/>
        <v>0</v>
      </c>
      <c r="BK32" s="539"/>
      <c r="BL32" s="540">
        <f t="shared" si="19"/>
        <v>0</v>
      </c>
      <c r="BM32" s="541">
        <f t="shared" si="131"/>
        <v>0</v>
      </c>
      <c r="BN32" s="539">
        <v>17.716049382716051</v>
      </c>
      <c r="BO32" s="540">
        <f t="shared" si="20"/>
        <v>0.22877720734931237</v>
      </c>
      <c r="BP32" s="541">
        <f t="shared" si="132"/>
        <v>0</v>
      </c>
      <c r="BQ32" s="539">
        <v>0</v>
      </c>
      <c r="BR32" s="540">
        <f t="shared" si="21"/>
        <v>0</v>
      </c>
      <c r="BS32" s="541">
        <f t="shared" si="133"/>
        <v>0</v>
      </c>
      <c r="BT32" s="539"/>
      <c r="BU32" s="540">
        <f t="shared" si="22"/>
        <v>0</v>
      </c>
      <c r="BV32" s="541">
        <f t="shared" si="134"/>
        <v>0</v>
      </c>
      <c r="BW32" s="539">
        <v>0</v>
      </c>
      <c r="BX32" s="540">
        <f t="shared" si="23"/>
        <v>0</v>
      </c>
      <c r="BY32" s="541">
        <f t="shared" si="135"/>
        <v>0</v>
      </c>
      <c r="BZ32" s="539"/>
      <c r="CA32" s="540">
        <f t="shared" si="24"/>
        <v>0</v>
      </c>
      <c r="CB32" s="541">
        <f t="shared" si="136"/>
        <v>0</v>
      </c>
      <c r="CC32" s="539">
        <v>0</v>
      </c>
      <c r="CD32" s="540">
        <f t="shared" si="25"/>
        <v>0</v>
      </c>
      <c r="CE32" s="541">
        <f t="shared" si="137"/>
        <v>0</v>
      </c>
      <c r="CF32" s="539">
        <v>9.9999999999999645E-2</v>
      </c>
      <c r="CG32" s="540">
        <f t="shared" si="26"/>
        <v>1.2913556651772985E-3</v>
      </c>
      <c r="CH32" s="541">
        <f t="shared" si="138"/>
        <v>0</v>
      </c>
      <c r="CI32" s="539"/>
      <c r="CJ32" s="540">
        <f t="shared" si="27"/>
        <v>0</v>
      </c>
      <c r="CK32" s="541">
        <f t="shared" si="139"/>
        <v>0</v>
      </c>
      <c r="CL32" s="539"/>
      <c r="CM32" s="540">
        <f t="shared" si="28"/>
        <v>0</v>
      </c>
      <c r="CN32" s="541">
        <f t="shared" si="140"/>
        <v>0</v>
      </c>
      <c r="CO32" s="539"/>
      <c r="CP32" s="540">
        <f t="shared" si="29"/>
        <v>0</v>
      </c>
      <c r="CQ32" s="541">
        <f t="shared" si="141"/>
        <v>0</v>
      </c>
      <c r="CR32" s="539"/>
      <c r="CS32" s="540">
        <f t="shared" si="30"/>
        <v>0</v>
      </c>
      <c r="CT32" s="541">
        <f t="shared" si="142"/>
        <v>0</v>
      </c>
      <c r="CU32" s="539"/>
      <c r="CV32" s="540">
        <f t="shared" si="31"/>
        <v>0</v>
      </c>
      <c r="CW32" s="541">
        <f t="shared" si="143"/>
        <v>0</v>
      </c>
      <c r="CX32" s="539"/>
      <c r="CY32" s="540">
        <f t="shared" si="32"/>
        <v>0</v>
      </c>
      <c r="CZ32" s="541">
        <f t="shared" si="144"/>
        <v>0</v>
      </c>
      <c r="DA32" s="539">
        <v>0</v>
      </c>
      <c r="DB32" s="540">
        <f t="shared" si="33"/>
        <v>0</v>
      </c>
      <c r="DC32" s="541">
        <f t="shared" si="145"/>
        <v>0</v>
      </c>
      <c r="DD32" s="539"/>
      <c r="DE32" s="540">
        <f t="shared" si="34"/>
        <v>0</v>
      </c>
      <c r="DF32" s="541">
        <f t="shared" si="146"/>
        <v>0</v>
      </c>
      <c r="DG32" s="539">
        <v>0</v>
      </c>
      <c r="DH32" s="540">
        <f t="shared" si="35"/>
        <v>0</v>
      </c>
      <c r="DI32" s="541">
        <f t="shared" si="203"/>
        <v>0</v>
      </c>
      <c r="DJ32" s="539"/>
      <c r="DK32" s="540">
        <f t="shared" si="36"/>
        <v>0</v>
      </c>
      <c r="DL32" s="541">
        <f t="shared" si="147"/>
        <v>0</v>
      </c>
      <c r="DM32" s="539"/>
      <c r="DN32" s="540">
        <f t="shared" si="37"/>
        <v>0</v>
      </c>
      <c r="DO32" s="541">
        <f t="shared" si="148"/>
        <v>0</v>
      </c>
      <c r="DP32" s="539"/>
      <c r="DQ32" s="540">
        <f t="shared" si="38"/>
        <v>0</v>
      </c>
      <c r="DR32" s="541">
        <f t="shared" si="149"/>
        <v>0</v>
      </c>
      <c r="DS32" s="539"/>
      <c r="DT32" s="540">
        <f t="shared" si="39"/>
        <v>0</v>
      </c>
      <c r="DU32" s="541">
        <f t="shared" si="150"/>
        <v>0</v>
      </c>
      <c r="DV32" s="539"/>
      <c r="DW32" s="540">
        <f t="shared" si="40"/>
        <v>0</v>
      </c>
      <c r="DX32" s="541">
        <f t="shared" si="151"/>
        <v>0</v>
      </c>
      <c r="DY32" s="539"/>
      <c r="DZ32" s="540">
        <f t="shared" si="41"/>
        <v>0</v>
      </c>
      <c r="EA32" s="541">
        <f t="shared" si="152"/>
        <v>0</v>
      </c>
      <c r="EB32" s="539">
        <v>29.069767441860449</v>
      </c>
      <c r="EC32" s="540">
        <f t="shared" si="42"/>
        <v>0.37539408871433211</v>
      </c>
      <c r="ED32" s="541">
        <f t="shared" si="153"/>
        <v>0</v>
      </c>
      <c r="EE32" s="539">
        <v>1</v>
      </c>
      <c r="EF32" s="540">
        <f t="shared" si="43"/>
        <v>1.2913556651773031E-2</v>
      </c>
      <c r="EG32" s="541">
        <f t="shared" si="154"/>
        <v>0</v>
      </c>
      <c r="EH32" s="539"/>
      <c r="EI32" s="540">
        <f t="shared" si="44"/>
        <v>0</v>
      </c>
      <c r="EJ32" s="541">
        <f t="shared" si="155"/>
        <v>0</v>
      </c>
      <c r="EK32" s="539"/>
      <c r="EL32" s="540">
        <f t="shared" si="45"/>
        <v>0</v>
      </c>
      <c r="EM32" s="541">
        <f t="shared" si="156"/>
        <v>0</v>
      </c>
      <c r="EN32" s="539"/>
      <c r="EO32" s="540">
        <f t="shared" si="46"/>
        <v>0</v>
      </c>
      <c r="EP32" s="541">
        <f t="shared" si="157"/>
        <v>0</v>
      </c>
      <c r="EQ32" s="539"/>
      <c r="ER32" s="540">
        <f t="shared" si="47"/>
        <v>0</v>
      </c>
      <c r="ES32" s="541">
        <f t="shared" si="158"/>
        <v>0</v>
      </c>
      <c r="ET32" s="539"/>
      <c r="EU32" s="540">
        <f t="shared" si="48"/>
        <v>0</v>
      </c>
      <c r="EV32" s="541">
        <f t="shared" si="159"/>
        <v>0</v>
      </c>
      <c r="EW32" s="539"/>
      <c r="EX32" s="540">
        <f t="shared" si="49"/>
        <v>0</v>
      </c>
      <c r="EY32" s="541">
        <f t="shared" si="160"/>
        <v>0</v>
      </c>
      <c r="EZ32" s="539"/>
      <c r="FA32" s="540">
        <f t="shared" si="50"/>
        <v>0</v>
      </c>
      <c r="FB32" s="541">
        <f t="shared" si="161"/>
        <v>0</v>
      </c>
      <c r="FC32" s="539"/>
      <c r="FD32" s="540">
        <f t="shared" si="51"/>
        <v>0</v>
      </c>
      <c r="FE32" s="541">
        <f t="shared" si="162"/>
        <v>0</v>
      </c>
      <c r="FF32" s="539"/>
      <c r="FG32" s="540">
        <f t="shared" si="52"/>
        <v>0</v>
      </c>
      <c r="FH32" s="541">
        <f t="shared" si="163"/>
        <v>0</v>
      </c>
      <c r="FI32" s="539"/>
      <c r="FJ32" s="540">
        <f t="shared" si="53"/>
        <v>0</v>
      </c>
      <c r="FK32" s="541">
        <f t="shared" si="164"/>
        <v>0</v>
      </c>
      <c r="FL32" s="539"/>
      <c r="FM32" s="540">
        <f t="shared" si="54"/>
        <v>0</v>
      </c>
      <c r="FN32" s="541">
        <f t="shared" si="165"/>
        <v>0</v>
      </c>
      <c r="FO32" s="539"/>
      <c r="FP32" s="540">
        <f t="shared" si="55"/>
        <v>0</v>
      </c>
      <c r="FQ32" s="541">
        <f t="shared" si="166"/>
        <v>0</v>
      </c>
      <c r="FR32" s="539"/>
      <c r="FS32" s="540">
        <f t="shared" si="56"/>
        <v>0</v>
      </c>
      <c r="FT32" s="541">
        <f t="shared" si="167"/>
        <v>0</v>
      </c>
      <c r="FU32" s="539"/>
      <c r="FV32" s="540">
        <f t="shared" si="57"/>
        <v>0</v>
      </c>
      <c r="FW32" s="541">
        <f t="shared" si="168"/>
        <v>0</v>
      </c>
      <c r="FX32" s="539"/>
      <c r="FY32" s="540">
        <f t="shared" si="58"/>
        <v>0</v>
      </c>
      <c r="FZ32" s="541">
        <f t="shared" si="169"/>
        <v>0</v>
      </c>
      <c r="GA32" s="539"/>
      <c r="GB32" s="540">
        <f t="shared" si="59"/>
        <v>0</v>
      </c>
      <c r="GC32" s="541">
        <f t="shared" si="170"/>
        <v>0</v>
      </c>
      <c r="GD32" s="539"/>
      <c r="GE32" s="540">
        <f t="shared" si="60"/>
        <v>0</v>
      </c>
      <c r="GF32" s="541">
        <f t="shared" si="171"/>
        <v>0</v>
      </c>
      <c r="GG32" s="539"/>
      <c r="GH32" s="540">
        <f t="shared" si="61"/>
        <v>0</v>
      </c>
      <c r="GI32" s="541">
        <f t="shared" si="172"/>
        <v>0</v>
      </c>
      <c r="GJ32" s="539"/>
      <c r="GK32" s="540">
        <f t="shared" si="62"/>
        <v>0</v>
      </c>
      <c r="GL32" s="541">
        <f t="shared" si="173"/>
        <v>0</v>
      </c>
      <c r="GM32" s="539"/>
      <c r="GN32" s="540">
        <f t="shared" si="63"/>
        <v>0</v>
      </c>
      <c r="GO32" s="541">
        <f t="shared" si="174"/>
        <v>0</v>
      </c>
      <c r="GP32" s="539"/>
      <c r="GQ32" s="540">
        <f t="shared" si="64"/>
        <v>0</v>
      </c>
      <c r="GR32" s="541">
        <f t="shared" si="175"/>
        <v>0</v>
      </c>
      <c r="GS32" s="539"/>
      <c r="GT32" s="540">
        <f t="shared" si="65"/>
        <v>0</v>
      </c>
      <c r="GU32" s="541">
        <f t="shared" si="176"/>
        <v>0</v>
      </c>
      <c r="GV32" s="539"/>
      <c r="GW32" s="540">
        <f t="shared" si="66"/>
        <v>0</v>
      </c>
      <c r="GX32" s="541">
        <f t="shared" si="177"/>
        <v>0</v>
      </c>
      <c r="GY32" s="539"/>
      <c r="GZ32" s="540">
        <f t="shared" si="67"/>
        <v>0</v>
      </c>
      <c r="HA32" s="541">
        <f t="shared" si="178"/>
        <v>0</v>
      </c>
      <c r="HB32" s="539"/>
      <c r="HC32" s="540">
        <f t="shared" si="68"/>
        <v>0</v>
      </c>
      <c r="HD32" s="541">
        <f t="shared" si="179"/>
        <v>0</v>
      </c>
      <c r="HE32" s="539"/>
      <c r="HF32" s="540">
        <f t="shared" si="69"/>
        <v>0</v>
      </c>
      <c r="HG32" s="541">
        <f t="shared" si="180"/>
        <v>0</v>
      </c>
      <c r="HH32" s="539"/>
      <c r="HI32" s="540">
        <f t="shared" si="70"/>
        <v>0</v>
      </c>
      <c r="HJ32" s="541">
        <f t="shared" si="181"/>
        <v>0</v>
      </c>
      <c r="HK32" s="539"/>
      <c r="HL32" s="540">
        <f t="shared" si="71"/>
        <v>0</v>
      </c>
      <c r="HM32" s="541">
        <f t="shared" si="182"/>
        <v>0</v>
      </c>
      <c r="HN32" s="539"/>
      <c r="HO32" s="540">
        <f t="shared" si="72"/>
        <v>0</v>
      </c>
      <c r="HP32" s="541">
        <f t="shared" si="183"/>
        <v>0</v>
      </c>
      <c r="HQ32" s="539"/>
      <c r="HR32" s="540">
        <f t="shared" si="73"/>
        <v>0</v>
      </c>
      <c r="HS32" s="541">
        <f t="shared" si="184"/>
        <v>0</v>
      </c>
      <c r="HT32" s="539"/>
      <c r="HU32" s="540">
        <f t="shared" si="74"/>
        <v>0</v>
      </c>
      <c r="HV32" s="541">
        <f t="shared" si="185"/>
        <v>0</v>
      </c>
      <c r="HW32" s="539"/>
      <c r="HX32" s="540">
        <f t="shared" si="75"/>
        <v>0</v>
      </c>
      <c r="HY32" s="541">
        <f t="shared" si="186"/>
        <v>0</v>
      </c>
      <c r="HZ32" s="539"/>
      <c r="IA32" s="540">
        <f t="shared" si="76"/>
        <v>0</v>
      </c>
      <c r="IB32" s="541">
        <f t="shared" si="187"/>
        <v>0</v>
      </c>
      <c r="IC32" s="539"/>
      <c r="ID32" s="540">
        <f t="shared" si="77"/>
        <v>0</v>
      </c>
      <c r="IE32" s="541">
        <f t="shared" si="188"/>
        <v>0</v>
      </c>
      <c r="IF32" s="539"/>
      <c r="IG32" s="540">
        <f t="shared" si="78"/>
        <v>0</v>
      </c>
      <c r="IH32" s="541">
        <f t="shared" si="189"/>
        <v>0</v>
      </c>
      <c r="II32" s="539"/>
      <c r="IJ32" s="540">
        <f t="shared" si="79"/>
        <v>0</v>
      </c>
      <c r="IK32" s="541">
        <f t="shared" si="190"/>
        <v>0</v>
      </c>
      <c r="IL32" s="539"/>
      <c r="IM32" s="540">
        <f t="shared" si="80"/>
        <v>0</v>
      </c>
      <c r="IN32" s="541">
        <f t="shared" si="191"/>
        <v>0</v>
      </c>
      <c r="IO32" s="539"/>
      <c r="IP32" s="540">
        <f t="shared" si="81"/>
        <v>0</v>
      </c>
      <c r="IQ32" s="541">
        <f t="shared" si="192"/>
        <v>0</v>
      </c>
      <c r="IR32" s="539"/>
      <c r="IS32" s="540">
        <f t="shared" si="82"/>
        <v>0</v>
      </c>
      <c r="IT32" s="541">
        <f t="shared" si="193"/>
        <v>0</v>
      </c>
      <c r="IU32" s="539"/>
      <c r="IV32" s="540">
        <f t="shared" si="83"/>
        <v>0</v>
      </c>
      <c r="IW32" s="541">
        <f t="shared" si="194"/>
        <v>0</v>
      </c>
      <c r="IX32" s="539"/>
      <c r="IY32" s="540">
        <f t="shared" si="84"/>
        <v>0</v>
      </c>
      <c r="IZ32" s="541">
        <f t="shared" si="195"/>
        <v>0</v>
      </c>
      <c r="JA32" s="539"/>
      <c r="JB32" s="540">
        <f t="shared" si="85"/>
        <v>0</v>
      </c>
      <c r="JC32" s="541">
        <f t="shared" si="196"/>
        <v>0</v>
      </c>
      <c r="JD32" s="539"/>
      <c r="JE32" s="540">
        <f t="shared" si="86"/>
        <v>0</v>
      </c>
      <c r="JF32" s="541">
        <f t="shared" si="197"/>
        <v>0</v>
      </c>
      <c r="JG32" s="539"/>
      <c r="JH32" s="540">
        <f t="shared" si="87"/>
        <v>0</v>
      </c>
      <c r="JI32" s="541">
        <f t="shared" si="198"/>
        <v>0</v>
      </c>
      <c r="JJ32" s="539"/>
      <c r="JK32" s="541" t="str">
        <f t="shared" si="88"/>
        <v>0</v>
      </c>
      <c r="JL32" s="541" t="str">
        <f t="shared" si="89"/>
        <v>0</v>
      </c>
      <c r="JM32" s="539"/>
      <c r="JN32" s="541" t="str">
        <f t="shared" si="90"/>
        <v>0</v>
      </c>
      <c r="JO32" s="541" t="str">
        <f t="shared" si="91"/>
        <v>0</v>
      </c>
      <c r="JP32" s="539"/>
      <c r="JQ32" s="541" t="str">
        <f t="shared" si="92"/>
        <v>0</v>
      </c>
      <c r="JR32" s="541" t="str">
        <f t="shared" si="93"/>
        <v>0</v>
      </c>
      <c r="JS32" s="539"/>
      <c r="JT32" s="541" t="str">
        <f t="shared" si="94"/>
        <v>0</v>
      </c>
      <c r="JU32" s="541" t="str">
        <f t="shared" si="95"/>
        <v>0</v>
      </c>
      <c r="JV32" s="539"/>
      <c r="JW32" s="541" t="str">
        <f t="shared" si="96"/>
        <v>0</v>
      </c>
      <c r="JX32" s="541" t="str">
        <f t="shared" si="97"/>
        <v>0</v>
      </c>
      <c r="JY32" s="539"/>
      <c r="JZ32" s="541" t="str">
        <f t="shared" si="98"/>
        <v>0</v>
      </c>
      <c r="KA32" s="541" t="str">
        <f t="shared" si="99"/>
        <v>0</v>
      </c>
      <c r="KB32" s="539"/>
      <c r="KC32" s="541" t="str">
        <f t="shared" si="100"/>
        <v>0</v>
      </c>
      <c r="KD32" s="541" t="str">
        <f t="shared" si="101"/>
        <v>0</v>
      </c>
      <c r="KE32" s="539"/>
      <c r="KF32" s="541" t="str">
        <f t="shared" si="102"/>
        <v>0</v>
      </c>
      <c r="KG32" s="541" t="str">
        <f t="shared" si="103"/>
        <v>0</v>
      </c>
      <c r="KH32" s="539"/>
      <c r="KI32" s="541" t="str">
        <f t="shared" si="104"/>
        <v>0</v>
      </c>
      <c r="KJ32" s="541" t="str">
        <f t="shared" si="105"/>
        <v>0</v>
      </c>
      <c r="KK32" s="539"/>
      <c r="KL32" s="541" t="str">
        <f t="shared" si="106"/>
        <v>0</v>
      </c>
      <c r="KM32" s="541" t="str">
        <f t="shared" si="107"/>
        <v>0</v>
      </c>
      <c r="KN32" s="539"/>
      <c r="KO32" s="541" t="str">
        <f t="shared" si="108"/>
        <v>0</v>
      </c>
      <c r="KP32" s="541" t="str">
        <f t="shared" si="109"/>
        <v>0</v>
      </c>
      <c r="KQ32" s="539"/>
      <c r="KR32" s="541" t="str">
        <f t="shared" si="110"/>
        <v>0</v>
      </c>
      <c r="KS32" s="541" t="str">
        <f t="shared" si="111"/>
        <v>0</v>
      </c>
      <c r="KT32" s="541">
        <f t="shared" si="201"/>
        <v>0</v>
      </c>
      <c r="KU32" s="541">
        <f t="shared" si="202"/>
        <v>0</v>
      </c>
      <c r="KV32" s="272">
        <f t="shared" si="199"/>
        <v>787.01248496312996</v>
      </c>
    </row>
    <row r="33" spans="1:308" ht="15" customHeight="1">
      <c r="A33" s="274">
        <f t="shared" si="200"/>
        <v>46137</v>
      </c>
      <c r="B33" s="275" t="str">
        <f>+Report1!B33</f>
        <v>Facial/MG</v>
      </c>
      <c r="C33" s="417" t="str">
        <f>+Report1!C33</f>
        <v>12/25/13</v>
      </c>
      <c r="D33" s="276">
        <f>+Report1!P33</f>
        <v>64.506</v>
      </c>
      <c r="E33" s="277">
        <f>+Report1!R33</f>
        <v>60.396999999999998</v>
      </c>
      <c r="F33" s="539"/>
      <c r="G33" s="540">
        <f t="shared" si="0"/>
        <v>0</v>
      </c>
      <c r="H33" s="541">
        <f t="shared" si="112"/>
        <v>0</v>
      </c>
      <c r="I33" s="539">
        <v>273.25581395348831</v>
      </c>
      <c r="J33" s="540">
        <f t="shared" si="1"/>
        <v>4.5243275982828344</v>
      </c>
      <c r="K33" s="541">
        <f t="shared" si="113"/>
        <v>0</v>
      </c>
      <c r="L33" s="539"/>
      <c r="M33" s="540">
        <f t="shared" si="2"/>
        <v>0</v>
      </c>
      <c r="N33" s="541">
        <f t="shared" si="114"/>
        <v>0</v>
      </c>
      <c r="O33" s="539">
        <v>4.5</v>
      </c>
      <c r="P33" s="540">
        <f t="shared" si="3"/>
        <v>7.450701193767903E-2</v>
      </c>
      <c r="Q33" s="541">
        <f t="shared" si="115"/>
        <v>0</v>
      </c>
      <c r="R33" s="539"/>
      <c r="S33" s="540">
        <f t="shared" si="4"/>
        <v>0</v>
      </c>
      <c r="T33" s="541">
        <f t="shared" si="116"/>
        <v>0</v>
      </c>
      <c r="U33" s="539">
        <v>2.5625000000000142</v>
      </c>
      <c r="V33" s="540">
        <f t="shared" si="5"/>
        <v>4.2427604020067455E-2</v>
      </c>
      <c r="W33" s="541">
        <f t="shared" si="117"/>
        <v>0</v>
      </c>
      <c r="X33" s="539"/>
      <c r="Y33" s="540">
        <f t="shared" si="6"/>
        <v>0</v>
      </c>
      <c r="Z33" s="541">
        <f t="shared" si="118"/>
        <v>0</v>
      </c>
      <c r="AA33" s="539"/>
      <c r="AB33" s="540">
        <f t="shared" si="7"/>
        <v>0</v>
      </c>
      <c r="AC33" s="541">
        <f t="shared" si="119"/>
        <v>0</v>
      </c>
      <c r="AD33" s="539"/>
      <c r="AE33" s="540">
        <f t="shared" si="8"/>
        <v>0</v>
      </c>
      <c r="AF33" s="541">
        <f t="shared" si="120"/>
        <v>0</v>
      </c>
      <c r="AG33" s="539"/>
      <c r="AH33" s="540">
        <f t="shared" si="9"/>
        <v>0</v>
      </c>
      <c r="AI33" s="541">
        <f t="shared" si="121"/>
        <v>0</v>
      </c>
      <c r="AJ33" s="539"/>
      <c r="AK33" s="540">
        <f t="shared" si="10"/>
        <v>0</v>
      </c>
      <c r="AL33" s="541">
        <f t="shared" si="122"/>
        <v>0</v>
      </c>
      <c r="AM33" s="539">
        <v>0</v>
      </c>
      <c r="AN33" s="540">
        <f t="shared" si="11"/>
        <v>0</v>
      </c>
      <c r="AO33" s="541">
        <f t="shared" si="123"/>
        <v>0</v>
      </c>
      <c r="AP33" s="539">
        <v>54.113924050632903</v>
      </c>
      <c r="AQ33" s="540">
        <f t="shared" si="12"/>
        <v>0.89597039671892487</v>
      </c>
      <c r="AR33" s="541">
        <f t="shared" si="124"/>
        <v>0</v>
      </c>
      <c r="AS33" s="539"/>
      <c r="AT33" s="540">
        <f t="shared" si="13"/>
        <v>0</v>
      </c>
      <c r="AU33" s="541">
        <f t="shared" si="125"/>
        <v>0</v>
      </c>
      <c r="AV33" s="539">
        <v>0</v>
      </c>
      <c r="AW33" s="540">
        <f t="shared" si="14"/>
        <v>0</v>
      </c>
      <c r="AX33" s="541">
        <f t="shared" si="126"/>
        <v>0</v>
      </c>
      <c r="AY33" s="539">
        <v>0</v>
      </c>
      <c r="AZ33" s="540">
        <f t="shared" si="15"/>
        <v>0</v>
      </c>
      <c r="BA33" s="541">
        <f t="shared" si="127"/>
        <v>0</v>
      </c>
      <c r="BB33" s="539">
        <v>53.666666666666664</v>
      </c>
      <c r="BC33" s="540">
        <f t="shared" si="16"/>
        <v>0.88856510533083877</v>
      </c>
      <c r="BD33" s="541">
        <f t="shared" si="128"/>
        <v>0</v>
      </c>
      <c r="BE33" s="539"/>
      <c r="BF33" s="540">
        <f t="shared" si="17"/>
        <v>0</v>
      </c>
      <c r="BG33" s="541">
        <f t="shared" si="129"/>
        <v>0</v>
      </c>
      <c r="BH33" s="539"/>
      <c r="BI33" s="540">
        <f t="shared" si="18"/>
        <v>0</v>
      </c>
      <c r="BJ33" s="541">
        <f t="shared" si="130"/>
        <v>0</v>
      </c>
      <c r="BK33" s="539"/>
      <c r="BL33" s="540">
        <f t="shared" si="19"/>
        <v>0</v>
      </c>
      <c r="BM33" s="541">
        <f t="shared" si="131"/>
        <v>0</v>
      </c>
      <c r="BN33" s="539">
        <v>11.388888888888889</v>
      </c>
      <c r="BO33" s="540">
        <f t="shared" si="20"/>
        <v>0.18856712897807656</v>
      </c>
      <c r="BP33" s="541">
        <f t="shared" si="132"/>
        <v>0</v>
      </c>
      <c r="BQ33" s="539">
        <v>0</v>
      </c>
      <c r="BR33" s="540">
        <f t="shared" si="21"/>
        <v>0</v>
      </c>
      <c r="BS33" s="541">
        <f t="shared" si="133"/>
        <v>0</v>
      </c>
      <c r="BT33" s="539"/>
      <c r="BU33" s="540">
        <f t="shared" si="22"/>
        <v>0</v>
      </c>
      <c r="BV33" s="541">
        <f t="shared" si="134"/>
        <v>0</v>
      </c>
      <c r="BW33" s="539">
        <v>0</v>
      </c>
      <c r="BX33" s="540">
        <f t="shared" si="23"/>
        <v>0</v>
      </c>
      <c r="BY33" s="541">
        <f t="shared" si="135"/>
        <v>0</v>
      </c>
      <c r="BZ33" s="539"/>
      <c r="CA33" s="540">
        <f t="shared" si="24"/>
        <v>0</v>
      </c>
      <c r="CB33" s="541">
        <f t="shared" si="136"/>
        <v>0</v>
      </c>
      <c r="CC33" s="539">
        <v>3.125</v>
      </c>
      <c r="CD33" s="540">
        <f t="shared" si="25"/>
        <v>5.1740980512277102E-2</v>
      </c>
      <c r="CE33" s="541">
        <f t="shared" si="137"/>
        <v>0</v>
      </c>
      <c r="CF33" s="539">
        <v>4.9999999999999822E-2</v>
      </c>
      <c r="CG33" s="540">
        <f t="shared" si="26"/>
        <v>8.2785568819643068E-4</v>
      </c>
      <c r="CH33" s="541">
        <f t="shared" si="138"/>
        <v>0</v>
      </c>
      <c r="CI33" s="539"/>
      <c r="CJ33" s="540">
        <f t="shared" si="27"/>
        <v>0</v>
      </c>
      <c r="CK33" s="541">
        <f t="shared" si="139"/>
        <v>0</v>
      </c>
      <c r="CL33" s="539"/>
      <c r="CM33" s="540">
        <f t="shared" si="28"/>
        <v>0</v>
      </c>
      <c r="CN33" s="541">
        <f t="shared" si="140"/>
        <v>0</v>
      </c>
      <c r="CO33" s="539"/>
      <c r="CP33" s="540">
        <f t="shared" si="29"/>
        <v>0</v>
      </c>
      <c r="CQ33" s="541">
        <f t="shared" si="141"/>
        <v>0</v>
      </c>
      <c r="CR33" s="539"/>
      <c r="CS33" s="540">
        <f t="shared" si="30"/>
        <v>0</v>
      </c>
      <c r="CT33" s="541">
        <f t="shared" si="142"/>
        <v>0</v>
      </c>
      <c r="CU33" s="539"/>
      <c r="CV33" s="540">
        <f t="shared" si="31"/>
        <v>0</v>
      </c>
      <c r="CW33" s="541">
        <f t="shared" si="143"/>
        <v>0</v>
      </c>
      <c r="CX33" s="539"/>
      <c r="CY33" s="540">
        <f t="shared" si="32"/>
        <v>0</v>
      </c>
      <c r="CZ33" s="541">
        <f t="shared" si="144"/>
        <v>0</v>
      </c>
      <c r="DA33" s="539">
        <v>0</v>
      </c>
      <c r="DB33" s="540">
        <f t="shared" si="33"/>
        <v>0</v>
      </c>
      <c r="DC33" s="541">
        <f t="shared" si="145"/>
        <v>0</v>
      </c>
      <c r="DD33" s="539"/>
      <c r="DE33" s="540">
        <f t="shared" si="34"/>
        <v>0</v>
      </c>
      <c r="DF33" s="541">
        <f t="shared" si="146"/>
        <v>0</v>
      </c>
      <c r="DG33" s="539">
        <v>0</v>
      </c>
      <c r="DH33" s="540">
        <f t="shared" si="35"/>
        <v>0</v>
      </c>
      <c r="DI33" s="541">
        <f t="shared" si="203"/>
        <v>0</v>
      </c>
      <c r="DJ33" s="539"/>
      <c r="DK33" s="540">
        <f t="shared" si="36"/>
        <v>0</v>
      </c>
      <c r="DL33" s="541">
        <f t="shared" si="147"/>
        <v>0</v>
      </c>
      <c r="DM33" s="539"/>
      <c r="DN33" s="540">
        <f t="shared" si="37"/>
        <v>0</v>
      </c>
      <c r="DO33" s="541">
        <f t="shared" si="148"/>
        <v>0</v>
      </c>
      <c r="DP33" s="539"/>
      <c r="DQ33" s="540">
        <f t="shared" si="38"/>
        <v>0</v>
      </c>
      <c r="DR33" s="541">
        <f t="shared" si="149"/>
        <v>0</v>
      </c>
      <c r="DS33" s="539"/>
      <c r="DT33" s="540">
        <f t="shared" si="39"/>
        <v>0</v>
      </c>
      <c r="DU33" s="541">
        <f t="shared" si="150"/>
        <v>0</v>
      </c>
      <c r="DV33" s="539"/>
      <c r="DW33" s="540">
        <f t="shared" si="40"/>
        <v>0</v>
      </c>
      <c r="DX33" s="541">
        <f t="shared" si="151"/>
        <v>0</v>
      </c>
      <c r="DY33" s="539"/>
      <c r="DZ33" s="540">
        <f t="shared" si="41"/>
        <v>0</v>
      </c>
      <c r="EA33" s="541">
        <f t="shared" si="152"/>
        <v>0</v>
      </c>
      <c r="EB33" s="539">
        <v>21.80232558139528</v>
      </c>
      <c r="EC33" s="540">
        <f t="shared" si="42"/>
        <v>0.36098358496937399</v>
      </c>
      <c r="ED33" s="541">
        <f t="shared" si="153"/>
        <v>0</v>
      </c>
      <c r="EE33" s="539">
        <v>1</v>
      </c>
      <c r="EF33" s="540">
        <f t="shared" si="43"/>
        <v>1.6557113763928672E-2</v>
      </c>
      <c r="EG33" s="541">
        <f t="shared" si="154"/>
        <v>0</v>
      </c>
      <c r="EH33" s="539"/>
      <c r="EI33" s="540">
        <f t="shared" si="44"/>
        <v>0</v>
      </c>
      <c r="EJ33" s="541">
        <f t="shared" si="155"/>
        <v>0</v>
      </c>
      <c r="EK33" s="539"/>
      <c r="EL33" s="540">
        <f t="shared" si="45"/>
        <v>0</v>
      </c>
      <c r="EM33" s="541">
        <f t="shared" si="156"/>
        <v>0</v>
      </c>
      <c r="EN33" s="539"/>
      <c r="EO33" s="540">
        <f t="shared" si="46"/>
        <v>0</v>
      </c>
      <c r="EP33" s="541">
        <f t="shared" si="157"/>
        <v>0</v>
      </c>
      <c r="EQ33" s="539"/>
      <c r="ER33" s="540">
        <f t="shared" si="47"/>
        <v>0</v>
      </c>
      <c r="ES33" s="541">
        <f t="shared" si="158"/>
        <v>0</v>
      </c>
      <c r="ET33" s="539"/>
      <c r="EU33" s="540">
        <f t="shared" si="48"/>
        <v>0</v>
      </c>
      <c r="EV33" s="541">
        <f t="shared" si="159"/>
        <v>0</v>
      </c>
      <c r="EW33" s="539"/>
      <c r="EX33" s="540">
        <f t="shared" si="49"/>
        <v>0</v>
      </c>
      <c r="EY33" s="541">
        <f t="shared" si="160"/>
        <v>0</v>
      </c>
      <c r="EZ33" s="539"/>
      <c r="FA33" s="540">
        <f t="shared" si="50"/>
        <v>0</v>
      </c>
      <c r="FB33" s="541">
        <f t="shared" si="161"/>
        <v>0</v>
      </c>
      <c r="FC33" s="539"/>
      <c r="FD33" s="540">
        <f t="shared" si="51"/>
        <v>0</v>
      </c>
      <c r="FE33" s="541">
        <f t="shared" si="162"/>
        <v>0</v>
      </c>
      <c r="FF33" s="539"/>
      <c r="FG33" s="540">
        <f t="shared" si="52"/>
        <v>0</v>
      </c>
      <c r="FH33" s="541">
        <f t="shared" si="163"/>
        <v>0</v>
      </c>
      <c r="FI33" s="539"/>
      <c r="FJ33" s="540">
        <f t="shared" si="53"/>
        <v>0</v>
      </c>
      <c r="FK33" s="541">
        <f t="shared" si="164"/>
        <v>0</v>
      </c>
      <c r="FL33" s="539"/>
      <c r="FM33" s="540">
        <f t="shared" si="54"/>
        <v>0</v>
      </c>
      <c r="FN33" s="541">
        <f t="shared" si="165"/>
        <v>0</v>
      </c>
      <c r="FO33" s="539"/>
      <c r="FP33" s="540">
        <f t="shared" si="55"/>
        <v>0</v>
      </c>
      <c r="FQ33" s="541">
        <f t="shared" si="166"/>
        <v>0</v>
      </c>
      <c r="FR33" s="539"/>
      <c r="FS33" s="540">
        <f t="shared" si="56"/>
        <v>0</v>
      </c>
      <c r="FT33" s="541">
        <f t="shared" si="167"/>
        <v>0</v>
      </c>
      <c r="FU33" s="539"/>
      <c r="FV33" s="540">
        <f t="shared" si="57"/>
        <v>0</v>
      </c>
      <c r="FW33" s="541">
        <f t="shared" si="168"/>
        <v>0</v>
      </c>
      <c r="FX33" s="539"/>
      <c r="FY33" s="540">
        <f t="shared" si="58"/>
        <v>0</v>
      </c>
      <c r="FZ33" s="541">
        <f t="shared" si="169"/>
        <v>0</v>
      </c>
      <c r="GA33" s="539"/>
      <c r="GB33" s="540">
        <f t="shared" si="59"/>
        <v>0</v>
      </c>
      <c r="GC33" s="541">
        <f t="shared" si="170"/>
        <v>0</v>
      </c>
      <c r="GD33" s="539"/>
      <c r="GE33" s="540">
        <f t="shared" si="60"/>
        <v>0</v>
      </c>
      <c r="GF33" s="541">
        <f t="shared" si="171"/>
        <v>0</v>
      </c>
      <c r="GG33" s="539"/>
      <c r="GH33" s="540">
        <f t="shared" si="61"/>
        <v>0</v>
      </c>
      <c r="GI33" s="541">
        <f t="shared" si="172"/>
        <v>0</v>
      </c>
      <c r="GJ33" s="539"/>
      <c r="GK33" s="540">
        <f t="shared" si="62"/>
        <v>0</v>
      </c>
      <c r="GL33" s="541">
        <f t="shared" si="173"/>
        <v>0</v>
      </c>
      <c r="GM33" s="539"/>
      <c r="GN33" s="540">
        <f t="shared" si="63"/>
        <v>0</v>
      </c>
      <c r="GO33" s="541">
        <f t="shared" si="174"/>
        <v>0</v>
      </c>
      <c r="GP33" s="539"/>
      <c r="GQ33" s="540">
        <f t="shared" si="64"/>
        <v>0</v>
      </c>
      <c r="GR33" s="541">
        <f t="shared" si="175"/>
        <v>0</v>
      </c>
      <c r="GS33" s="539"/>
      <c r="GT33" s="540">
        <f t="shared" si="65"/>
        <v>0</v>
      </c>
      <c r="GU33" s="541">
        <f t="shared" si="176"/>
        <v>0</v>
      </c>
      <c r="GV33" s="539"/>
      <c r="GW33" s="540">
        <f t="shared" si="66"/>
        <v>0</v>
      </c>
      <c r="GX33" s="541">
        <f t="shared" si="177"/>
        <v>0</v>
      </c>
      <c r="GY33" s="539"/>
      <c r="GZ33" s="540">
        <f t="shared" si="67"/>
        <v>0</v>
      </c>
      <c r="HA33" s="541">
        <f t="shared" si="178"/>
        <v>0</v>
      </c>
      <c r="HB33" s="539"/>
      <c r="HC33" s="540">
        <f t="shared" si="68"/>
        <v>0</v>
      </c>
      <c r="HD33" s="541">
        <f t="shared" si="179"/>
        <v>0</v>
      </c>
      <c r="HE33" s="539"/>
      <c r="HF33" s="540">
        <f t="shared" si="69"/>
        <v>0</v>
      </c>
      <c r="HG33" s="541">
        <f t="shared" si="180"/>
        <v>0</v>
      </c>
      <c r="HH33" s="539"/>
      <c r="HI33" s="540">
        <f t="shared" si="70"/>
        <v>0</v>
      </c>
      <c r="HJ33" s="541">
        <f t="shared" si="181"/>
        <v>0</v>
      </c>
      <c r="HK33" s="539"/>
      <c r="HL33" s="540">
        <f t="shared" si="71"/>
        <v>0</v>
      </c>
      <c r="HM33" s="541">
        <f t="shared" si="182"/>
        <v>0</v>
      </c>
      <c r="HN33" s="539"/>
      <c r="HO33" s="540">
        <f t="shared" si="72"/>
        <v>0</v>
      </c>
      <c r="HP33" s="541">
        <f t="shared" si="183"/>
        <v>0</v>
      </c>
      <c r="HQ33" s="539"/>
      <c r="HR33" s="540">
        <f t="shared" si="73"/>
        <v>0</v>
      </c>
      <c r="HS33" s="541">
        <f t="shared" si="184"/>
        <v>0</v>
      </c>
      <c r="HT33" s="539"/>
      <c r="HU33" s="540">
        <f t="shared" si="74"/>
        <v>0</v>
      </c>
      <c r="HV33" s="541">
        <f t="shared" si="185"/>
        <v>0</v>
      </c>
      <c r="HW33" s="539"/>
      <c r="HX33" s="540">
        <f t="shared" si="75"/>
        <v>0</v>
      </c>
      <c r="HY33" s="541">
        <f t="shared" si="186"/>
        <v>0</v>
      </c>
      <c r="HZ33" s="539"/>
      <c r="IA33" s="540">
        <f t="shared" si="76"/>
        <v>0</v>
      </c>
      <c r="IB33" s="541">
        <f t="shared" si="187"/>
        <v>0</v>
      </c>
      <c r="IC33" s="539"/>
      <c r="ID33" s="540">
        <f t="shared" si="77"/>
        <v>0</v>
      </c>
      <c r="IE33" s="541">
        <f t="shared" si="188"/>
        <v>0</v>
      </c>
      <c r="IF33" s="539"/>
      <c r="IG33" s="540">
        <f t="shared" si="78"/>
        <v>0</v>
      </c>
      <c r="IH33" s="541">
        <f t="shared" si="189"/>
        <v>0</v>
      </c>
      <c r="II33" s="539"/>
      <c r="IJ33" s="540">
        <f t="shared" si="79"/>
        <v>0</v>
      </c>
      <c r="IK33" s="541">
        <f t="shared" si="190"/>
        <v>0</v>
      </c>
      <c r="IL33" s="539"/>
      <c r="IM33" s="540">
        <f t="shared" si="80"/>
        <v>0</v>
      </c>
      <c r="IN33" s="541">
        <f t="shared" si="191"/>
        <v>0</v>
      </c>
      <c r="IO33" s="539"/>
      <c r="IP33" s="540">
        <f t="shared" si="81"/>
        <v>0</v>
      </c>
      <c r="IQ33" s="541">
        <f t="shared" si="192"/>
        <v>0</v>
      </c>
      <c r="IR33" s="539"/>
      <c r="IS33" s="540">
        <f t="shared" si="82"/>
        <v>0</v>
      </c>
      <c r="IT33" s="541">
        <f t="shared" si="193"/>
        <v>0</v>
      </c>
      <c r="IU33" s="539"/>
      <c r="IV33" s="540">
        <f t="shared" si="83"/>
        <v>0</v>
      </c>
      <c r="IW33" s="541">
        <f t="shared" si="194"/>
        <v>0</v>
      </c>
      <c r="IX33" s="539"/>
      <c r="IY33" s="540">
        <f t="shared" si="84"/>
        <v>0</v>
      </c>
      <c r="IZ33" s="541">
        <f t="shared" si="195"/>
        <v>0</v>
      </c>
      <c r="JA33" s="539"/>
      <c r="JB33" s="540">
        <f t="shared" si="85"/>
        <v>0</v>
      </c>
      <c r="JC33" s="541">
        <f t="shared" si="196"/>
        <v>0</v>
      </c>
      <c r="JD33" s="539"/>
      <c r="JE33" s="540">
        <f t="shared" si="86"/>
        <v>0</v>
      </c>
      <c r="JF33" s="541">
        <f t="shared" si="197"/>
        <v>0</v>
      </c>
      <c r="JG33" s="539"/>
      <c r="JH33" s="540">
        <f t="shared" si="87"/>
        <v>0</v>
      </c>
      <c r="JI33" s="541">
        <f t="shared" si="198"/>
        <v>0</v>
      </c>
      <c r="JJ33" s="539"/>
      <c r="JK33" s="541" t="str">
        <f t="shared" si="88"/>
        <v>0</v>
      </c>
      <c r="JL33" s="541" t="str">
        <f t="shared" si="89"/>
        <v>0</v>
      </c>
      <c r="JM33" s="539"/>
      <c r="JN33" s="541" t="str">
        <f t="shared" si="90"/>
        <v>0</v>
      </c>
      <c r="JO33" s="541" t="str">
        <f t="shared" si="91"/>
        <v>0</v>
      </c>
      <c r="JP33" s="539"/>
      <c r="JQ33" s="541" t="str">
        <f t="shared" si="92"/>
        <v>0</v>
      </c>
      <c r="JR33" s="541" t="str">
        <f t="shared" si="93"/>
        <v>0</v>
      </c>
      <c r="JS33" s="539"/>
      <c r="JT33" s="541" t="str">
        <f t="shared" si="94"/>
        <v>0</v>
      </c>
      <c r="JU33" s="541" t="str">
        <f t="shared" si="95"/>
        <v>0</v>
      </c>
      <c r="JV33" s="539"/>
      <c r="JW33" s="541" t="str">
        <f t="shared" si="96"/>
        <v>0</v>
      </c>
      <c r="JX33" s="541" t="str">
        <f t="shared" si="97"/>
        <v>0</v>
      </c>
      <c r="JY33" s="539"/>
      <c r="JZ33" s="541" t="str">
        <f t="shared" si="98"/>
        <v>0</v>
      </c>
      <c r="KA33" s="541" t="str">
        <f t="shared" si="99"/>
        <v>0</v>
      </c>
      <c r="KB33" s="539"/>
      <c r="KC33" s="541" t="str">
        <f t="shared" si="100"/>
        <v>0</v>
      </c>
      <c r="KD33" s="541" t="str">
        <f t="shared" si="101"/>
        <v>0</v>
      </c>
      <c r="KE33" s="539"/>
      <c r="KF33" s="541" t="str">
        <f t="shared" si="102"/>
        <v>0</v>
      </c>
      <c r="KG33" s="541" t="str">
        <f t="shared" si="103"/>
        <v>0</v>
      </c>
      <c r="KH33" s="539"/>
      <c r="KI33" s="541" t="str">
        <f t="shared" si="104"/>
        <v>0</v>
      </c>
      <c r="KJ33" s="541" t="str">
        <f t="shared" si="105"/>
        <v>0</v>
      </c>
      <c r="KK33" s="539"/>
      <c r="KL33" s="541" t="str">
        <f t="shared" si="106"/>
        <v>0</v>
      </c>
      <c r="KM33" s="541" t="str">
        <f t="shared" si="107"/>
        <v>0</v>
      </c>
      <c r="KN33" s="539"/>
      <c r="KO33" s="541" t="str">
        <f t="shared" si="108"/>
        <v>0</v>
      </c>
      <c r="KP33" s="541" t="str">
        <f t="shared" si="109"/>
        <v>0</v>
      </c>
      <c r="KQ33" s="539"/>
      <c r="KR33" s="541" t="str">
        <f t="shared" si="110"/>
        <v>0</v>
      </c>
      <c r="KS33" s="541" t="str">
        <f t="shared" si="111"/>
        <v>0</v>
      </c>
      <c r="KT33" s="541">
        <f t="shared" si="201"/>
        <v>0</v>
      </c>
      <c r="KU33" s="541">
        <f t="shared" si="202"/>
        <v>0</v>
      </c>
      <c r="KV33" s="272">
        <f t="shared" si="199"/>
        <v>425.46511914107214</v>
      </c>
    </row>
    <row r="34" spans="1:308" ht="15" customHeight="1">
      <c r="A34" s="274">
        <f t="shared" si="200"/>
        <v>46138</v>
      </c>
      <c r="B34" s="275" t="str">
        <f>+Report1!B34</f>
        <v>Facial</v>
      </c>
      <c r="C34" s="417" t="str">
        <f>+Report1!C34</f>
        <v>13/13,5</v>
      </c>
      <c r="D34" s="276">
        <f>+Report1!P34</f>
        <v>65.16</v>
      </c>
      <c r="E34" s="277">
        <f>+Report1!R34</f>
        <v>66.174999999999997</v>
      </c>
      <c r="F34" s="539"/>
      <c r="G34" s="540">
        <f t="shared" si="0"/>
        <v>0</v>
      </c>
      <c r="H34" s="541">
        <f t="shared" si="112"/>
        <v>0</v>
      </c>
      <c r="I34" s="539">
        <v>273.25581395348831</v>
      </c>
      <c r="J34" s="540">
        <f t="shared" si="1"/>
        <v>4.1292907284244551</v>
      </c>
      <c r="K34" s="541">
        <f t="shared" si="113"/>
        <v>0</v>
      </c>
      <c r="L34" s="539"/>
      <c r="M34" s="540">
        <f t="shared" si="2"/>
        <v>0</v>
      </c>
      <c r="N34" s="541">
        <f t="shared" si="114"/>
        <v>0</v>
      </c>
      <c r="O34" s="539">
        <v>4.5</v>
      </c>
      <c r="P34" s="540">
        <f t="shared" si="3"/>
        <v>6.8001511144692106E-2</v>
      </c>
      <c r="Q34" s="541">
        <f t="shared" si="115"/>
        <v>0</v>
      </c>
      <c r="R34" s="539"/>
      <c r="S34" s="540">
        <f t="shared" si="4"/>
        <v>0</v>
      </c>
      <c r="T34" s="541">
        <f t="shared" si="116"/>
        <v>0</v>
      </c>
      <c r="U34" s="539">
        <v>2.5625000000000142</v>
      </c>
      <c r="V34" s="540">
        <f t="shared" si="5"/>
        <v>3.872308273517211E-2</v>
      </c>
      <c r="W34" s="541">
        <f t="shared" si="117"/>
        <v>0</v>
      </c>
      <c r="X34" s="539"/>
      <c r="Y34" s="540">
        <f t="shared" si="6"/>
        <v>0</v>
      </c>
      <c r="Z34" s="541">
        <f t="shared" si="118"/>
        <v>0</v>
      </c>
      <c r="AA34" s="539"/>
      <c r="AB34" s="540">
        <f t="shared" si="7"/>
        <v>0</v>
      </c>
      <c r="AC34" s="541">
        <f t="shared" si="119"/>
        <v>0</v>
      </c>
      <c r="AD34" s="539"/>
      <c r="AE34" s="540">
        <f t="shared" si="8"/>
        <v>0</v>
      </c>
      <c r="AF34" s="541">
        <f t="shared" si="120"/>
        <v>0</v>
      </c>
      <c r="AG34" s="539"/>
      <c r="AH34" s="540">
        <f t="shared" si="9"/>
        <v>0</v>
      </c>
      <c r="AI34" s="541">
        <f t="shared" si="121"/>
        <v>0</v>
      </c>
      <c r="AJ34" s="539"/>
      <c r="AK34" s="540">
        <f t="shared" si="10"/>
        <v>0</v>
      </c>
      <c r="AL34" s="541">
        <f t="shared" si="122"/>
        <v>0</v>
      </c>
      <c r="AM34" s="539">
        <v>0</v>
      </c>
      <c r="AN34" s="540">
        <f t="shared" si="11"/>
        <v>0</v>
      </c>
      <c r="AO34" s="541">
        <f t="shared" si="123"/>
        <v>0</v>
      </c>
      <c r="AP34" s="539">
        <v>54.113924050632903</v>
      </c>
      <c r="AQ34" s="540">
        <f t="shared" si="12"/>
        <v>0.81773969098047461</v>
      </c>
      <c r="AR34" s="541">
        <f t="shared" si="124"/>
        <v>0</v>
      </c>
      <c r="AS34" s="539"/>
      <c r="AT34" s="540">
        <f t="shared" si="13"/>
        <v>0</v>
      </c>
      <c r="AU34" s="541">
        <f t="shared" si="125"/>
        <v>0</v>
      </c>
      <c r="AV34" s="539">
        <v>0</v>
      </c>
      <c r="AW34" s="540">
        <f t="shared" si="14"/>
        <v>0</v>
      </c>
      <c r="AX34" s="541">
        <f t="shared" si="126"/>
        <v>0</v>
      </c>
      <c r="AY34" s="539">
        <v>0</v>
      </c>
      <c r="AZ34" s="540">
        <f t="shared" si="15"/>
        <v>0</v>
      </c>
      <c r="BA34" s="541">
        <f t="shared" si="127"/>
        <v>0</v>
      </c>
      <c r="BB34" s="539">
        <v>53.666666666666664</v>
      </c>
      <c r="BC34" s="540">
        <f t="shared" si="16"/>
        <v>0.81098098476262437</v>
      </c>
      <c r="BD34" s="541">
        <f t="shared" si="128"/>
        <v>0</v>
      </c>
      <c r="BE34" s="539"/>
      <c r="BF34" s="540">
        <f t="shared" si="17"/>
        <v>0</v>
      </c>
      <c r="BG34" s="541">
        <f t="shared" si="129"/>
        <v>0</v>
      </c>
      <c r="BH34" s="539"/>
      <c r="BI34" s="540">
        <f t="shared" si="18"/>
        <v>0</v>
      </c>
      <c r="BJ34" s="541">
        <f t="shared" si="130"/>
        <v>0</v>
      </c>
      <c r="BK34" s="539"/>
      <c r="BL34" s="540">
        <f t="shared" si="19"/>
        <v>0</v>
      </c>
      <c r="BM34" s="541">
        <f t="shared" si="131"/>
        <v>0</v>
      </c>
      <c r="BN34" s="539">
        <v>11.388888888888889</v>
      </c>
      <c r="BO34" s="540">
        <f t="shared" si="20"/>
        <v>0.17210258993409733</v>
      </c>
      <c r="BP34" s="541">
        <f t="shared" si="132"/>
        <v>0</v>
      </c>
      <c r="BQ34" s="539">
        <v>0</v>
      </c>
      <c r="BR34" s="540">
        <f t="shared" si="21"/>
        <v>0</v>
      </c>
      <c r="BS34" s="541">
        <f t="shared" si="133"/>
        <v>0</v>
      </c>
      <c r="BT34" s="539"/>
      <c r="BU34" s="540">
        <f t="shared" si="22"/>
        <v>0</v>
      </c>
      <c r="BV34" s="541">
        <f t="shared" si="134"/>
        <v>0</v>
      </c>
      <c r="BW34" s="539">
        <v>0</v>
      </c>
      <c r="BX34" s="540">
        <f t="shared" si="23"/>
        <v>0</v>
      </c>
      <c r="BY34" s="541">
        <f t="shared" si="135"/>
        <v>0</v>
      </c>
      <c r="BZ34" s="539"/>
      <c r="CA34" s="540">
        <f t="shared" si="24"/>
        <v>0</v>
      </c>
      <c r="CB34" s="541">
        <f t="shared" si="136"/>
        <v>0</v>
      </c>
      <c r="CC34" s="539">
        <v>3.125</v>
      </c>
      <c r="CD34" s="540">
        <f t="shared" si="25"/>
        <v>4.7223271628258408E-2</v>
      </c>
      <c r="CE34" s="541">
        <f t="shared" si="137"/>
        <v>0</v>
      </c>
      <c r="CF34" s="539">
        <v>4.9999999999999822E-2</v>
      </c>
      <c r="CG34" s="540">
        <f t="shared" si="26"/>
        <v>7.5557234605213186E-4</v>
      </c>
      <c r="CH34" s="541">
        <f t="shared" si="138"/>
        <v>0</v>
      </c>
      <c r="CI34" s="539"/>
      <c r="CJ34" s="540">
        <f t="shared" si="27"/>
        <v>0</v>
      </c>
      <c r="CK34" s="541">
        <f t="shared" si="139"/>
        <v>0</v>
      </c>
      <c r="CL34" s="539"/>
      <c r="CM34" s="540">
        <f t="shared" si="28"/>
        <v>0</v>
      </c>
      <c r="CN34" s="541">
        <f t="shared" si="140"/>
        <v>0</v>
      </c>
      <c r="CO34" s="539"/>
      <c r="CP34" s="540">
        <f t="shared" si="29"/>
        <v>0</v>
      </c>
      <c r="CQ34" s="541">
        <f t="shared" si="141"/>
        <v>0</v>
      </c>
      <c r="CR34" s="539"/>
      <c r="CS34" s="540">
        <f t="shared" si="30"/>
        <v>0</v>
      </c>
      <c r="CT34" s="541">
        <f t="shared" si="142"/>
        <v>0</v>
      </c>
      <c r="CU34" s="539"/>
      <c r="CV34" s="540">
        <f t="shared" si="31"/>
        <v>0</v>
      </c>
      <c r="CW34" s="541">
        <f t="shared" si="143"/>
        <v>0</v>
      </c>
      <c r="CX34" s="539"/>
      <c r="CY34" s="540">
        <f t="shared" si="32"/>
        <v>0</v>
      </c>
      <c r="CZ34" s="541">
        <f t="shared" si="144"/>
        <v>0</v>
      </c>
      <c r="DA34" s="539">
        <v>0</v>
      </c>
      <c r="DB34" s="540">
        <f t="shared" si="33"/>
        <v>0</v>
      </c>
      <c r="DC34" s="541">
        <f t="shared" si="145"/>
        <v>0</v>
      </c>
      <c r="DD34" s="539"/>
      <c r="DE34" s="540">
        <f t="shared" si="34"/>
        <v>0</v>
      </c>
      <c r="DF34" s="541">
        <f t="shared" si="146"/>
        <v>0</v>
      </c>
      <c r="DG34" s="539">
        <v>0</v>
      </c>
      <c r="DH34" s="540">
        <f t="shared" si="35"/>
        <v>0</v>
      </c>
      <c r="DI34" s="541">
        <f t="shared" si="203"/>
        <v>0</v>
      </c>
      <c r="DJ34" s="539"/>
      <c r="DK34" s="540">
        <f t="shared" si="36"/>
        <v>0</v>
      </c>
      <c r="DL34" s="541">
        <f t="shared" si="147"/>
        <v>0</v>
      </c>
      <c r="DM34" s="539"/>
      <c r="DN34" s="540">
        <f t="shared" si="37"/>
        <v>0</v>
      </c>
      <c r="DO34" s="541">
        <f t="shared" si="148"/>
        <v>0</v>
      </c>
      <c r="DP34" s="539"/>
      <c r="DQ34" s="540">
        <f t="shared" si="38"/>
        <v>0</v>
      </c>
      <c r="DR34" s="541">
        <f t="shared" si="149"/>
        <v>0</v>
      </c>
      <c r="DS34" s="539"/>
      <c r="DT34" s="540">
        <f t="shared" si="39"/>
        <v>0</v>
      </c>
      <c r="DU34" s="541">
        <f t="shared" si="150"/>
        <v>0</v>
      </c>
      <c r="DV34" s="539"/>
      <c r="DW34" s="540">
        <f t="shared" si="40"/>
        <v>0</v>
      </c>
      <c r="DX34" s="541">
        <f t="shared" si="151"/>
        <v>0</v>
      </c>
      <c r="DY34" s="539"/>
      <c r="DZ34" s="540">
        <f t="shared" si="41"/>
        <v>0</v>
      </c>
      <c r="EA34" s="541">
        <f t="shared" si="152"/>
        <v>0</v>
      </c>
      <c r="EB34" s="539">
        <v>21.80232558139528</v>
      </c>
      <c r="EC34" s="540">
        <f t="shared" si="42"/>
        <v>0.32946468577854598</v>
      </c>
      <c r="ED34" s="541">
        <f t="shared" si="153"/>
        <v>0</v>
      </c>
      <c r="EE34" s="539">
        <v>1</v>
      </c>
      <c r="EF34" s="540">
        <f t="shared" si="43"/>
        <v>1.5111446921042691E-2</v>
      </c>
      <c r="EG34" s="541">
        <f t="shared" si="154"/>
        <v>0</v>
      </c>
      <c r="EH34" s="539"/>
      <c r="EI34" s="540">
        <f t="shared" si="44"/>
        <v>0</v>
      </c>
      <c r="EJ34" s="541">
        <f t="shared" si="155"/>
        <v>0</v>
      </c>
      <c r="EK34" s="539"/>
      <c r="EL34" s="540">
        <f t="shared" si="45"/>
        <v>0</v>
      </c>
      <c r="EM34" s="541">
        <f t="shared" si="156"/>
        <v>0</v>
      </c>
      <c r="EN34" s="539"/>
      <c r="EO34" s="540">
        <f t="shared" si="46"/>
        <v>0</v>
      </c>
      <c r="EP34" s="541">
        <f t="shared" si="157"/>
        <v>0</v>
      </c>
      <c r="EQ34" s="539"/>
      <c r="ER34" s="540">
        <f t="shared" si="47"/>
        <v>0</v>
      </c>
      <c r="ES34" s="541">
        <f t="shared" si="158"/>
        <v>0</v>
      </c>
      <c r="ET34" s="539"/>
      <c r="EU34" s="540">
        <f t="shared" si="48"/>
        <v>0</v>
      </c>
      <c r="EV34" s="541">
        <f t="shared" si="159"/>
        <v>0</v>
      </c>
      <c r="EW34" s="539"/>
      <c r="EX34" s="540">
        <f t="shared" si="49"/>
        <v>0</v>
      </c>
      <c r="EY34" s="541">
        <f t="shared" si="160"/>
        <v>0</v>
      </c>
      <c r="EZ34" s="539"/>
      <c r="FA34" s="540">
        <f t="shared" si="50"/>
        <v>0</v>
      </c>
      <c r="FB34" s="541">
        <f t="shared" si="161"/>
        <v>0</v>
      </c>
      <c r="FC34" s="539"/>
      <c r="FD34" s="540">
        <f t="shared" si="51"/>
        <v>0</v>
      </c>
      <c r="FE34" s="541">
        <f t="shared" si="162"/>
        <v>0</v>
      </c>
      <c r="FF34" s="539"/>
      <c r="FG34" s="540">
        <f t="shared" si="52"/>
        <v>0</v>
      </c>
      <c r="FH34" s="541">
        <f t="shared" si="163"/>
        <v>0</v>
      </c>
      <c r="FI34" s="539"/>
      <c r="FJ34" s="540">
        <f t="shared" si="53"/>
        <v>0</v>
      </c>
      <c r="FK34" s="541">
        <f t="shared" si="164"/>
        <v>0</v>
      </c>
      <c r="FL34" s="539"/>
      <c r="FM34" s="540">
        <f t="shared" si="54"/>
        <v>0</v>
      </c>
      <c r="FN34" s="541">
        <f t="shared" si="165"/>
        <v>0</v>
      </c>
      <c r="FO34" s="539"/>
      <c r="FP34" s="540">
        <f t="shared" si="55"/>
        <v>0</v>
      </c>
      <c r="FQ34" s="541">
        <f t="shared" si="166"/>
        <v>0</v>
      </c>
      <c r="FR34" s="539"/>
      <c r="FS34" s="540">
        <f t="shared" si="56"/>
        <v>0</v>
      </c>
      <c r="FT34" s="541">
        <f t="shared" si="167"/>
        <v>0</v>
      </c>
      <c r="FU34" s="539"/>
      <c r="FV34" s="540">
        <f t="shared" si="57"/>
        <v>0</v>
      </c>
      <c r="FW34" s="541">
        <f t="shared" si="168"/>
        <v>0</v>
      </c>
      <c r="FX34" s="539"/>
      <c r="FY34" s="540">
        <f t="shared" si="58"/>
        <v>0</v>
      </c>
      <c r="FZ34" s="541">
        <f t="shared" si="169"/>
        <v>0</v>
      </c>
      <c r="GA34" s="539"/>
      <c r="GB34" s="540">
        <f t="shared" si="59"/>
        <v>0</v>
      </c>
      <c r="GC34" s="541">
        <f t="shared" si="170"/>
        <v>0</v>
      </c>
      <c r="GD34" s="539"/>
      <c r="GE34" s="540">
        <f t="shared" si="60"/>
        <v>0</v>
      </c>
      <c r="GF34" s="541">
        <f t="shared" si="171"/>
        <v>0</v>
      </c>
      <c r="GG34" s="539"/>
      <c r="GH34" s="540">
        <f t="shared" si="61"/>
        <v>0</v>
      </c>
      <c r="GI34" s="541">
        <f t="shared" si="172"/>
        <v>0</v>
      </c>
      <c r="GJ34" s="539"/>
      <c r="GK34" s="540">
        <f t="shared" si="62"/>
        <v>0</v>
      </c>
      <c r="GL34" s="541">
        <f t="shared" si="173"/>
        <v>0</v>
      </c>
      <c r="GM34" s="539"/>
      <c r="GN34" s="540">
        <f t="shared" si="63"/>
        <v>0</v>
      </c>
      <c r="GO34" s="541">
        <f t="shared" si="174"/>
        <v>0</v>
      </c>
      <c r="GP34" s="539"/>
      <c r="GQ34" s="540">
        <f t="shared" si="64"/>
        <v>0</v>
      </c>
      <c r="GR34" s="541">
        <f t="shared" si="175"/>
        <v>0</v>
      </c>
      <c r="GS34" s="539"/>
      <c r="GT34" s="540">
        <f t="shared" si="65"/>
        <v>0</v>
      </c>
      <c r="GU34" s="541">
        <f t="shared" si="176"/>
        <v>0</v>
      </c>
      <c r="GV34" s="539"/>
      <c r="GW34" s="540">
        <f t="shared" si="66"/>
        <v>0</v>
      </c>
      <c r="GX34" s="541">
        <f t="shared" si="177"/>
        <v>0</v>
      </c>
      <c r="GY34" s="539"/>
      <c r="GZ34" s="540">
        <f t="shared" si="67"/>
        <v>0</v>
      </c>
      <c r="HA34" s="541">
        <f t="shared" si="178"/>
        <v>0</v>
      </c>
      <c r="HB34" s="539"/>
      <c r="HC34" s="540">
        <f t="shared" si="68"/>
        <v>0</v>
      </c>
      <c r="HD34" s="541">
        <f t="shared" si="179"/>
        <v>0</v>
      </c>
      <c r="HE34" s="539"/>
      <c r="HF34" s="540">
        <f t="shared" si="69"/>
        <v>0</v>
      </c>
      <c r="HG34" s="541">
        <f t="shared" si="180"/>
        <v>0</v>
      </c>
      <c r="HH34" s="539"/>
      <c r="HI34" s="540">
        <f t="shared" si="70"/>
        <v>0</v>
      </c>
      <c r="HJ34" s="541">
        <f t="shared" si="181"/>
        <v>0</v>
      </c>
      <c r="HK34" s="539"/>
      <c r="HL34" s="540">
        <f t="shared" si="71"/>
        <v>0</v>
      </c>
      <c r="HM34" s="541">
        <f t="shared" si="182"/>
        <v>0</v>
      </c>
      <c r="HN34" s="539"/>
      <c r="HO34" s="540">
        <f t="shared" si="72"/>
        <v>0</v>
      </c>
      <c r="HP34" s="541">
        <f t="shared" si="183"/>
        <v>0</v>
      </c>
      <c r="HQ34" s="539"/>
      <c r="HR34" s="540">
        <f t="shared" si="73"/>
        <v>0</v>
      </c>
      <c r="HS34" s="541">
        <f t="shared" si="184"/>
        <v>0</v>
      </c>
      <c r="HT34" s="539"/>
      <c r="HU34" s="540">
        <f t="shared" si="74"/>
        <v>0</v>
      </c>
      <c r="HV34" s="541">
        <f t="shared" si="185"/>
        <v>0</v>
      </c>
      <c r="HW34" s="539"/>
      <c r="HX34" s="540">
        <f t="shared" si="75"/>
        <v>0</v>
      </c>
      <c r="HY34" s="541">
        <f t="shared" si="186"/>
        <v>0</v>
      </c>
      <c r="HZ34" s="539"/>
      <c r="IA34" s="540">
        <f t="shared" si="76"/>
        <v>0</v>
      </c>
      <c r="IB34" s="541">
        <f t="shared" si="187"/>
        <v>0</v>
      </c>
      <c r="IC34" s="539"/>
      <c r="ID34" s="540">
        <f t="shared" si="77"/>
        <v>0</v>
      </c>
      <c r="IE34" s="541">
        <f t="shared" si="188"/>
        <v>0</v>
      </c>
      <c r="IF34" s="539"/>
      <c r="IG34" s="540">
        <f t="shared" si="78"/>
        <v>0</v>
      </c>
      <c r="IH34" s="541">
        <f t="shared" si="189"/>
        <v>0</v>
      </c>
      <c r="II34" s="539"/>
      <c r="IJ34" s="540">
        <f t="shared" si="79"/>
        <v>0</v>
      </c>
      <c r="IK34" s="541">
        <f t="shared" si="190"/>
        <v>0</v>
      </c>
      <c r="IL34" s="539"/>
      <c r="IM34" s="540">
        <f t="shared" si="80"/>
        <v>0</v>
      </c>
      <c r="IN34" s="541">
        <f t="shared" si="191"/>
        <v>0</v>
      </c>
      <c r="IO34" s="539"/>
      <c r="IP34" s="540">
        <f t="shared" si="81"/>
        <v>0</v>
      </c>
      <c r="IQ34" s="541">
        <f t="shared" si="192"/>
        <v>0</v>
      </c>
      <c r="IR34" s="539"/>
      <c r="IS34" s="540">
        <f t="shared" si="82"/>
        <v>0</v>
      </c>
      <c r="IT34" s="541">
        <f t="shared" si="193"/>
        <v>0</v>
      </c>
      <c r="IU34" s="539"/>
      <c r="IV34" s="540">
        <f t="shared" si="83"/>
        <v>0</v>
      </c>
      <c r="IW34" s="541">
        <f t="shared" si="194"/>
        <v>0</v>
      </c>
      <c r="IX34" s="539"/>
      <c r="IY34" s="540">
        <f t="shared" si="84"/>
        <v>0</v>
      </c>
      <c r="IZ34" s="541">
        <f t="shared" si="195"/>
        <v>0</v>
      </c>
      <c r="JA34" s="539"/>
      <c r="JB34" s="540">
        <f t="shared" si="85"/>
        <v>0</v>
      </c>
      <c r="JC34" s="541">
        <f t="shared" si="196"/>
        <v>0</v>
      </c>
      <c r="JD34" s="539"/>
      <c r="JE34" s="540">
        <f t="shared" si="86"/>
        <v>0</v>
      </c>
      <c r="JF34" s="541">
        <f t="shared" si="197"/>
        <v>0</v>
      </c>
      <c r="JG34" s="539"/>
      <c r="JH34" s="540">
        <f t="shared" si="87"/>
        <v>0</v>
      </c>
      <c r="JI34" s="541">
        <f t="shared" si="198"/>
        <v>0</v>
      </c>
      <c r="JJ34" s="539"/>
      <c r="JK34" s="541" t="str">
        <f t="shared" si="88"/>
        <v>0</v>
      </c>
      <c r="JL34" s="541" t="str">
        <f t="shared" si="89"/>
        <v>0</v>
      </c>
      <c r="JM34" s="539"/>
      <c r="JN34" s="541" t="str">
        <f t="shared" si="90"/>
        <v>0</v>
      </c>
      <c r="JO34" s="541" t="str">
        <f t="shared" si="91"/>
        <v>0</v>
      </c>
      <c r="JP34" s="539"/>
      <c r="JQ34" s="541" t="str">
        <f t="shared" si="92"/>
        <v>0</v>
      </c>
      <c r="JR34" s="541" t="str">
        <f t="shared" si="93"/>
        <v>0</v>
      </c>
      <c r="JS34" s="539"/>
      <c r="JT34" s="541" t="str">
        <f t="shared" si="94"/>
        <v>0</v>
      </c>
      <c r="JU34" s="541" t="str">
        <f t="shared" si="95"/>
        <v>0</v>
      </c>
      <c r="JV34" s="539"/>
      <c r="JW34" s="541" t="str">
        <f t="shared" si="96"/>
        <v>0</v>
      </c>
      <c r="JX34" s="541" t="str">
        <f t="shared" si="97"/>
        <v>0</v>
      </c>
      <c r="JY34" s="539"/>
      <c r="JZ34" s="541" t="str">
        <f t="shared" si="98"/>
        <v>0</v>
      </c>
      <c r="KA34" s="541" t="str">
        <f t="shared" si="99"/>
        <v>0</v>
      </c>
      <c r="KB34" s="539"/>
      <c r="KC34" s="541" t="str">
        <f t="shared" si="100"/>
        <v>0</v>
      </c>
      <c r="KD34" s="541" t="str">
        <f t="shared" si="101"/>
        <v>0</v>
      </c>
      <c r="KE34" s="539"/>
      <c r="KF34" s="541" t="str">
        <f t="shared" si="102"/>
        <v>0</v>
      </c>
      <c r="KG34" s="541" t="str">
        <f t="shared" si="103"/>
        <v>0</v>
      </c>
      <c r="KH34" s="539"/>
      <c r="KI34" s="541" t="str">
        <f t="shared" si="104"/>
        <v>0</v>
      </c>
      <c r="KJ34" s="541" t="str">
        <f t="shared" si="105"/>
        <v>0</v>
      </c>
      <c r="KK34" s="539"/>
      <c r="KL34" s="541" t="str">
        <f t="shared" si="106"/>
        <v>0</v>
      </c>
      <c r="KM34" s="541" t="str">
        <f t="shared" si="107"/>
        <v>0</v>
      </c>
      <c r="KN34" s="539"/>
      <c r="KO34" s="541" t="str">
        <f t="shared" si="108"/>
        <v>0</v>
      </c>
      <c r="KP34" s="541" t="str">
        <f t="shared" si="109"/>
        <v>0</v>
      </c>
      <c r="KQ34" s="539"/>
      <c r="KR34" s="541" t="str">
        <f t="shared" si="110"/>
        <v>0</v>
      </c>
      <c r="KS34" s="541" t="str">
        <f t="shared" si="111"/>
        <v>0</v>
      </c>
      <c r="KT34" s="541">
        <f t="shared" si="201"/>
        <v>0</v>
      </c>
      <c r="KU34" s="541">
        <f t="shared" si="202"/>
        <v>0</v>
      </c>
      <c r="KV34" s="272">
        <f t="shared" si="199"/>
        <v>425.46511914107214</v>
      </c>
    </row>
    <row r="35" spans="1:308" ht="15" customHeight="1">
      <c r="A35" s="274">
        <f t="shared" si="200"/>
        <v>46139</v>
      </c>
      <c r="B35" s="275" t="str">
        <f>+Report1!B35</f>
        <v>Facial</v>
      </c>
      <c r="C35" s="417" t="str">
        <f>+Report1!C35</f>
        <v>13,5/12/10,5</v>
      </c>
      <c r="D35" s="276">
        <f>+Report1!P35</f>
        <v>58.93</v>
      </c>
      <c r="E35" s="277">
        <f>+Report1!R35</f>
        <v>55.545000000000002</v>
      </c>
      <c r="F35" s="539"/>
      <c r="G35" s="540">
        <f t="shared" si="0"/>
        <v>0</v>
      </c>
      <c r="H35" s="541">
        <f t="shared" si="112"/>
        <v>0</v>
      </c>
      <c r="I35" s="539">
        <v>348.83720930232573</v>
      </c>
      <c r="J35" s="540">
        <f t="shared" si="1"/>
        <v>6.2802630174151721</v>
      </c>
      <c r="K35" s="541">
        <f t="shared" si="113"/>
        <v>0</v>
      </c>
      <c r="L35" s="539"/>
      <c r="M35" s="540">
        <f t="shared" si="2"/>
        <v>0</v>
      </c>
      <c r="N35" s="541">
        <f t="shared" si="114"/>
        <v>0</v>
      </c>
      <c r="O35" s="539">
        <v>9</v>
      </c>
      <c r="P35" s="540">
        <f t="shared" si="3"/>
        <v>0.16203078584931135</v>
      </c>
      <c r="Q35" s="541">
        <f t="shared" si="115"/>
        <v>0</v>
      </c>
      <c r="R35" s="539"/>
      <c r="S35" s="540">
        <f t="shared" si="4"/>
        <v>0</v>
      </c>
      <c r="T35" s="541">
        <f t="shared" si="116"/>
        <v>0</v>
      </c>
      <c r="U35" s="539">
        <v>5.125</v>
      </c>
      <c r="V35" s="540">
        <f t="shared" si="5"/>
        <v>9.2267530830857855E-2</v>
      </c>
      <c r="W35" s="541">
        <f t="shared" si="117"/>
        <v>0</v>
      </c>
      <c r="X35" s="539"/>
      <c r="Y35" s="540">
        <f t="shared" si="6"/>
        <v>0</v>
      </c>
      <c r="Z35" s="541">
        <f t="shared" si="118"/>
        <v>0</v>
      </c>
      <c r="AA35" s="539"/>
      <c r="AB35" s="540">
        <f t="shared" si="7"/>
        <v>0</v>
      </c>
      <c r="AC35" s="541">
        <f t="shared" si="119"/>
        <v>0</v>
      </c>
      <c r="AD35" s="539"/>
      <c r="AE35" s="540">
        <f t="shared" si="8"/>
        <v>0</v>
      </c>
      <c r="AF35" s="541">
        <f t="shared" si="120"/>
        <v>0</v>
      </c>
      <c r="AG35" s="539"/>
      <c r="AH35" s="540">
        <f t="shared" si="9"/>
        <v>0</v>
      </c>
      <c r="AI35" s="541">
        <f t="shared" si="121"/>
        <v>0</v>
      </c>
      <c r="AJ35" s="539"/>
      <c r="AK35" s="540">
        <f t="shared" si="10"/>
        <v>0</v>
      </c>
      <c r="AL35" s="541">
        <f t="shared" si="122"/>
        <v>0</v>
      </c>
      <c r="AM35" s="539">
        <v>0</v>
      </c>
      <c r="AN35" s="540">
        <f t="shared" si="11"/>
        <v>0</v>
      </c>
      <c r="AO35" s="541">
        <f t="shared" si="123"/>
        <v>0</v>
      </c>
      <c r="AP35" s="539">
        <v>0</v>
      </c>
      <c r="AQ35" s="540">
        <f t="shared" si="12"/>
        <v>0</v>
      </c>
      <c r="AR35" s="541">
        <f t="shared" si="124"/>
        <v>0</v>
      </c>
      <c r="AS35" s="539"/>
      <c r="AT35" s="540">
        <f t="shared" si="13"/>
        <v>0</v>
      </c>
      <c r="AU35" s="541">
        <f t="shared" si="125"/>
        <v>0</v>
      </c>
      <c r="AV35" s="539">
        <v>16.649999999999991</v>
      </c>
      <c r="AW35" s="540">
        <f t="shared" si="14"/>
        <v>0.29975695382122586</v>
      </c>
      <c r="AX35" s="541">
        <f t="shared" si="126"/>
        <v>0</v>
      </c>
      <c r="AY35" s="539">
        <v>51.333333333333371</v>
      </c>
      <c r="AZ35" s="540">
        <f t="shared" si="15"/>
        <v>0.92417559336273958</v>
      </c>
      <c r="BA35" s="541">
        <f t="shared" si="127"/>
        <v>0</v>
      </c>
      <c r="BB35" s="539">
        <v>0</v>
      </c>
      <c r="BC35" s="540">
        <f t="shared" si="16"/>
        <v>0</v>
      </c>
      <c r="BD35" s="541">
        <f t="shared" si="128"/>
        <v>0</v>
      </c>
      <c r="BE35" s="539"/>
      <c r="BF35" s="540">
        <f t="shared" si="17"/>
        <v>0</v>
      </c>
      <c r="BG35" s="541">
        <f t="shared" si="129"/>
        <v>0</v>
      </c>
      <c r="BH35" s="539"/>
      <c r="BI35" s="540">
        <f t="shared" si="18"/>
        <v>0</v>
      </c>
      <c r="BJ35" s="541">
        <f t="shared" si="130"/>
        <v>0</v>
      </c>
      <c r="BK35" s="539"/>
      <c r="BL35" s="540">
        <f t="shared" si="19"/>
        <v>0</v>
      </c>
      <c r="BM35" s="541">
        <f t="shared" si="131"/>
        <v>0</v>
      </c>
      <c r="BN35" s="539">
        <v>5.0617283950617278</v>
      </c>
      <c r="BO35" s="540">
        <f t="shared" si="20"/>
        <v>9.1128425511958364E-2</v>
      </c>
      <c r="BP35" s="541">
        <f t="shared" si="132"/>
        <v>0</v>
      </c>
      <c r="BQ35" s="539">
        <v>0</v>
      </c>
      <c r="BR35" s="540">
        <f t="shared" si="21"/>
        <v>0</v>
      </c>
      <c r="BS35" s="541">
        <f t="shared" si="133"/>
        <v>0</v>
      </c>
      <c r="BT35" s="539"/>
      <c r="BU35" s="540">
        <f t="shared" si="22"/>
        <v>0</v>
      </c>
      <c r="BV35" s="541">
        <f t="shared" si="134"/>
        <v>0</v>
      </c>
      <c r="BW35" s="539">
        <v>0</v>
      </c>
      <c r="BX35" s="540">
        <f t="shared" si="23"/>
        <v>0</v>
      </c>
      <c r="BY35" s="541">
        <f t="shared" si="135"/>
        <v>0</v>
      </c>
      <c r="BZ35" s="539"/>
      <c r="CA35" s="540">
        <f t="shared" si="24"/>
        <v>0</v>
      </c>
      <c r="CB35" s="541">
        <f t="shared" si="136"/>
        <v>0</v>
      </c>
      <c r="CC35" s="539">
        <v>6.25</v>
      </c>
      <c r="CD35" s="540">
        <f t="shared" si="25"/>
        <v>0.11252137906202178</v>
      </c>
      <c r="CE35" s="541">
        <f t="shared" si="137"/>
        <v>0</v>
      </c>
      <c r="CF35" s="539">
        <v>0.1</v>
      </c>
      <c r="CG35" s="540">
        <f t="shared" si="26"/>
        <v>1.8003420649923487E-3</v>
      </c>
      <c r="CH35" s="541">
        <f t="shared" si="138"/>
        <v>0</v>
      </c>
      <c r="CI35" s="539"/>
      <c r="CJ35" s="540">
        <f t="shared" si="27"/>
        <v>0</v>
      </c>
      <c r="CK35" s="541">
        <f t="shared" si="139"/>
        <v>0</v>
      </c>
      <c r="CL35" s="539"/>
      <c r="CM35" s="540">
        <f t="shared" si="28"/>
        <v>0</v>
      </c>
      <c r="CN35" s="541">
        <f t="shared" si="140"/>
        <v>0</v>
      </c>
      <c r="CO35" s="539"/>
      <c r="CP35" s="540">
        <f t="shared" si="29"/>
        <v>0</v>
      </c>
      <c r="CQ35" s="541">
        <f t="shared" si="141"/>
        <v>0</v>
      </c>
      <c r="CR35" s="539"/>
      <c r="CS35" s="540">
        <f t="shared" si="30"/>
        <v>0</v>
      </c>
      <c r="CT35" s="541">
        <f t="shared" si="142"/>
        <v>0</v>
      </c>
      <c r="CU35" s="539"/>
      <c r="CV35" s="540">
        <f t="shared" si="31"/>
        <v>0</v>
      </c>
      <c r="CW35" s="541">
        <f t="shared" si="143"/>
        <v>0</v>
      </c>
      <c r="CX35" s="539"/>
      <c r="CY35" s="540">
        <f t="shared" si="32"/>
        <v>0</v>
      </c>
      <c r="CZ35" s="541">
        <f t="shared" si="144"/>
        <v>0</v>
      </c>
      <c r="DA35" s="539">
        <v>0</v>
      </c>
      <c r="DB35" s="540">
        <f t="shared" si="33"/>
        <v>0</v>
      </c>
      <c r="DC35" s="541">
        <f t="shared" si="145"/>
        <v>0</v>
      </c>
      <c r="DD35" s="539"/>
      <c r="DE35" s="540">
        <f t="shared" si="34"/>
        <v>0</v>
      </c>
      <c r="DF35" s="541">
        <f t="shared" si="146"/>
        <v>0</v>
      </c>
      <c r="DG35" s="539">
        <v>0</v>
      </c>
      <c r="DH35" s="540">
        <f t="shared" si="35"/>
        <v>0</v>
      </c>
      <c r="DI35" s="541">
        <f t="shared" si="203"/>
        <v>0</v>
      </c>
      <c r="DJ35" s="539"/>
      <c r="DK35" s="540">
        <f t="shared" si="36"/>
        <v>0</v>
      </c>
      <c r="DL35" s="541">
        <f t="shared" si="147"/>
        <v>0</v>
      </c>
      <c r="DM35" s="539"/>
      <c r="DN35" s="540">
        <f t="shared" si="37"/>
        <v>0</v>
      </c>
      <c r="DO35" s="541">
        <f t="shared" si="148"/>
        <v>0</v>
      </c>
      <c r="DP35" s="539"/>
      <c r="DQ35" s="540">
        <f t="shared" si="38"/>
        <v>0</v>
      </c>
      <c r="DR35" s="541">
        <f t="shared" si="149"/>
        <v>0</v>
      </c>
      <c r="DS35" s="539"/>
      <c r="DT35" s="540">
        <f t="shared" si="39"/>
        <v>0</v>
      </c>
      <c r="DU35" s="541">
        <f t="shared" si="150"/>
        <v>0</v>
      </c>
      <c r="DV35" s="539"/>
      <c r="DW35" s="540">
        <f t="shared" si="40"/>
        <v>0</v>
      </c>
      <c r="DX35" s="541">
        <f t="shared" si="151"/>
        <v>0</v>
      </c>
      <c r="DY35" s="539"/>
      <c r="DZ35" s="540">
        <f t="shared" si="41"/>
        <v>0</v>
      </c>
      <c r="EA35" s="541">
        <f t="shared" si="152"/>
        <v>0</v>
      </c>
      <c r="EB35" s="539">
        <v>29.069767441860563</v>
      </c>
      <c r="EC35" s="540">
        <f t="shared" si="42"/>
        <v>0.52335525145126582</v>
      </c>
      <c r="ED35" s="541">
        <f t="shared" si="153"/>
        <v>0</v>
      </c>
      <c r="EE35" s="539">
        <v>2</v>
      </c>
      <c r="EF35" s="540">
        <f t="shared" si="43"/>
        <v>3.6006841299846971E-2</v>
      </c>
      <c r="EG35" s="541">
        <f t="shared" si="154"/>
        <v>0</v>
      </c>
      <c r="EH35" s="539"/>
      <c r="EI35" s="540">
        <f t="shared" si="44"/>
        <v>0</v>
      </c>
      <c r="EJ35" s="541">
        <f t="shared" si="155"/>
        <v>0</v>
      </c>
      <c r="EK35" s="539"/>
      <c r="EL35" s="540">
        <f t="shared" si="45"/>
        <v>0</v>
      </c>
      <c r="EM35" s="541">
        <f t="shared" si="156"/>
        <v>0</v>
      </c>
      <c r="EN35" s="539"/>
      <c r="EO35" s="540">
        <f t="shared" si="46"/>
        <v>0</v>
      </c>
      <c r="EP35" s="541">
        <f t="shared" si="157"/>
        <v>0</v>
      </c>
      <c r="EQ35" s="539"/>
      <c r="ER35" s="540">
        <f t="shared" si="47"/>
        <v>0</v>
      </c>
      <c r="ES35" s="541">
        <f t="shared" si="158"/>
        <v>0</v>
      </c>
      <c r="ET35" s="539"/>
      <c r="EU35" s="540">
        <f t="shared" si="48"/>
        <v>0</v>
      </c>
      <c r="EV35" s="541">
        <f t="shared" si="159"/>
        <v>0</v>
      </c>
      <c r="EW35" s="539"/>
      <c r="EX35" s="540">
        <f t="shared" si="49"/>
        <v>0</v>
      </c>
      <c r="EY35" s="541">
        <f t="shared" si="160"/>
        <v>0</v>
      </c>
      <c r="EZ35" s="539"/>
      <c r="FA35" s="540">
        <f t="shared" si="50"/>
        <v>0</v>
      </c>
      <c r="FB35" s="541">
        <f t="shared" si="161"/>
        <v>0</v>
      </c>
      <c r="FC35" s="539"/>
      <c r="FD35" s="540">
        <f t="shared" si="51"/>
        <v>0</v>
      </c>
      <c r="FE35" s="541">
        <f t="shared" si="162"/>
        <v>0</v>
      </c>
      <c r="FF35" s="539"/>
      <c r="FG35" s="540">
        <f t="shared" si="52"/>
        <v>0</v>
      </c>
      <c r="FH35" s="541">
        <f t="shared" si="163"/>
        <v>0</v>
      </c>
      <c r="FI35" s="539"/>
      <c r="FJ35" s="540">
        <f t="shared" si="53"/>
        <v>0</v>
      </c>
      <c r="FK35" s="541">
        <f t="shared" si="164"/>
        <v>0</v>
      </c>
      <c r="FL35" s="539"/>
      <c r="FM35" s="540">
        <f t="shared" si="54"/>
        <v>0</v>
      </c>
      <c r="FN35" s="541">
        <f t="shared" si="165"/>
        <v>0</v>
      </c>
      <c r="FO35" s="539"/>
      <c r="FP35" s="540">
        <f t="shared" si="55"/>
        <v>0</v>
      </c>
      <c r="FQ35" s="541">
        <f t="shared" si="166"/>
        <v>0</v>
      </c>
      <c r="FR35" s="539"/>
      <c r="FS35" s="540">
        <f t="shared" si="56"/>
        <v>0</v>
      </c>
      <c r="FT35" s="541">
        <f t="shared" si="167"/>
        <v>0</v>
      </c>
      <c r="FU35" s="539"/>
      <c r="FV35" s="540">
        <f t="shared" si="57"/>
        <v>0</v>
      </c>
      <c r="FW35" s="541">
        <f t="shared" si="168"/>
        <v>0</v>
      </c>
      <c r="FX35" s="539"/>
      <c r="FY35" s="540">
        <f t="shared" si="58"/>
        <v>0</v>
      </c>
      <c r="FZ35" s="541">
        <f t="shared" si="169"/>
        <v>0</v>
      </c>
      <c r="GA35" s="539"/>
      <c r="GB35" s="540">
        <f t="shared" si="59"/>
        <v>0</v>
      </c>
      <c r="GC35" s="541">
        <f t="shared" si="170"/>
        <v>0</v>
      </c>
      <c r="GD35" s="539"/>
      <c r="GE35" s="540">
        <f t="shared" si="60"/>
        <v>0</v>
      </c>
      <c r="GF35" s="541">
        <f t="shared" si="171"/>
        <v>0</v>
      </c>
      <c r="GG35" s="539"/>
      <c r="GH35" s="540">
        <f t="shared" si="61"/>
        <v>0</v>
      </c>
      <c r="GI35" s="541">
        <f t="shared" si="172"/>
        <v>0</v>
      </c>
      <c r="GJ35" s="539"/>
      <c r="GK35" s="540">
        <f t="shared" si="62"/>
        <v>0</v>
      </c>
      <c r="GL35" s="541">
        <f t="shared" si="173"/>
        <v>0</v>
      </c>
      <c r="GM35" s="539"/>
      <c r="GN35" s="540">
        <f t="shared" si="63"/>
        <v>0</v>
      </c>
      <c r="GO35" s="541">
        <f t="shared" si="174"/>
        <v>0</v>
      </c>
      <c r="GP35" s="539"/>
      <c r="GQ35" s="540">
        <f t="shared" si="64"/>
        <v>0</v>
      </c>
      <c r="GR35" s="541">
        <f t="shared" si="175"/>
        <v>0</v>
      </c>
      <c r="GS35" s="539"/>
      <c r="GT35" s="540">
        <f t="shared" si="65"/>
        <v>0</v>
      </c>
      <c r="GU35" s="541">
        <f t="shared" si="176"/>
        <v>0</v>
      </c>
      <c r="GV35" s="539"/>
      <c r="GW35" s="540">
        <f t="shared" si="66"/>
        <v>0</v>
      </c>
      <c r="GX35" s="541">
        <f t="shared" si="177"/>
        <v>0</v>
      </c>
      <c r="GY35" s="539"/>
      <c r="GZ35" s="540">
        <f t="shared" si="67"/>
        <v>0</v>
      </c>
      <c r="HA35" s="541">
        <f t="shared" si="178"/>
        <v>0</v>
      </c>
      <c r="HB35" s="539"/>
      <c r="HC35" s="540">
        <f t="shared" si="68"/>
        <v>0</v>
      </c>
      <c r="HD35" s="541">
        <f t="shared" si="179"/>
        <v>0</v>
      </c>
      <c r="HE35" s="539"/>
      <c r="HF35" s="540">
        <f t="shared" si="69"/>
        <v>0</v>
      </c>
      <c r="HG35" s="541">
        <f t="shared" si="180"/>
        <v>0</v>
      </c>
      <c r="HH35" s="539"/>
      <c r="HI35" s="540">
        <f t="shared" si="70"/>
        <v>0</v>
      </c>
      <c r="HJ35" s="541">
        <f t="shared" si="181"/>
        <v>0</v>
      </c>
      <c r="HK35" s="539"/>
      <c r="HL35" s="540">
        <f t="shared" si="71"/>
        <v>0</v>
      </c>
      <c r="HM35" s="541">
        <f t="shared" si="182"/>
        <v>0</v>
      </c>
      <c r="HN35" s="539"/>
      <c r="HO35" s="540">
        <f t="shared" si="72"/>
        <v>0</v>
      </c>
      <c r="HP35" s="541">
        <f t="shared" si="183"/>
        <v>0</v>
      </c>
      <c r="HQ35" s="539"/>
      <c r="HR35" s="540">
        <f t="shared" si="73"/>
        <v>0</v>
      </c>
      <c r="HS35" s="541">
        <f t="shared" si="184"/>
        <v>0</v>
      </c>
      <c r="HT35" s="539"/>
      <c r="HU35" s="540">
        <f t="shared" si="74"/>
        <v>0</v>
      </c>
      <c r="HV35" s="541">
        <f t="shared" si="185"/>
        <v>0</v>
      </c>
      <c r="HW35" s="539"/>
      <c r="HX35" s="540">
        <f t="shared" si="75"/>
        <v>0</v>
      </c>
      <c r="HY35" s="541">
        <f t="shared" si="186"/>
        <v>0</v>
      </c>
      <c r="HZ35" s="539"/>
      <c r="IA35" s="540">
        <f t="shared" si="76"/>
        <v>0</v>
      </c>
      <c r="IB35" s="541">
        <f t="shared" si="187"/>
        <v>0</v>
      </c>
      <c r="IC35" s="539"/>
      <c r="ID35" s="540">
        <f t="shared" si="77"/>
        <v>0</v>
      </c>
      <c r="IE35" s="541">
        <f t="shared" si="188"/>
        <v>0</v>
      </c>
      <c r="IF35" s="539"/>
      <c r="IG35" s="540">
        <f t="shared" si="78"/>
        <v>0</v>
      </c>
      <c r="IH35" s="541">
        <f t="shared" si="189"/>
        <v>0</v>
      </c>
      <c r="II35" s="539"/>
      <c r="IJ35" s="540">
        <f t="shared" si="79"/>
        <v>0</v>
      </c>
      <c r="IK35" s="541">
        <f t="shared" si="190"/>
        <v>0</v>
      </c>
      <c r="IL35" s="539"/>
      <c r="IM35" s="540">
        <f t="shared" si="80"/>
        <v>0</v>
      </c>
      <c r="IN35" s="541">
        <f t="shared" si="191"/>
        <v>0</v>
      </c>
      <c r="IO35" s="539"/>
      <c r="IP35" s="540">
        <f t="shared" si="81"/>
        <v>0</v>
      </c>
      <c r="IQ35" s="541">
        <f t="shared" si="192"/>
        <v>0</v>
      </c>
      <c r="IR35" s="539"/>
      <c r="IS35" s="540">
        <f t="shared" si="82"/>
        <v>0</v>
      </c>
      <c r="IT35" s="541">
        <f t="shared" si="193"/>
        <v>0</v>
      </c>
      <c r="IU35" s="539"/>
      <c r="IV35" s="540">
        <f t="shared" si="83"/>
        <v>0</v>
      </c>
      <c r="IW35" s="541">
        <f t="shared" si="194"/>
        <v>0</v>
      </c>
      <c r="IX35" s="539"/>
      <c r="IY35" s="540">
        <f t="shared" si="84"/>
        <v>0</v>
      </c>
      <c r="IZ35" s="541">
        <f t="shared" si="195"/>
        <v>0</v>
      </c>
      <c r="JA35" s="539"/>
      <c r="JB35" s="540">
        <f t="shared" si="85"/>
        <v>0</v>
      </c>
      <c r="JC35" s="541">
        <f t="shared" si="196"/>
        <v>0</v>
      </c>
      <c r="JD35" s="539"/>
      <c r="JE35" s="540">
        <f t="shared" si="86"/>
        <v>0</v>
      </c>
      <c r="JF35" s="541">
        <f t="shared" si="197"/>
        <v>0</v>
      </c>
      <c r="JG35" s="539"/>
      <c r="JH35" s="540">
        <f t="shared" si="87"/>
        <v>0</v>
      </c>
      <c r="JI35" s="541">
        <f t="shared" si="198"/>
        <v>0</v>
      </c>
      <c r="JJ35" s="539"/>
      <c r="JK35" s="541" t="str">
        <f t="shared" si="88"/>
        <v>0</v>
      </c>
      <c r="JL35" s="541" t="str">
        <f t="shared" si="89"/>
        <v>0</v>
      </c>
      <c r="JM35" s="539"/>
      <c r="JN35" s="541" t="str">
        <f t="shared" si="90"/>
        <v>0</v>
      </c>
      <c r="JO35" s="541" t="str">
        <f t="shared" si="91"/>
        <v>0</v>
      </c>
      <c r="JP35" s="539"/>
      <c r="JQ35" s="541" t="str">
        <f t="shared" si="92"/>
        <v>0</v>
      </c>
      <c r="JR35" s="541" t="str">
        <f t="shared" si="93"/>
        <v>0</v>
      </c>
      <c r="JS35" s="539"/>
      <c r="JT35" s="541" t="str">
        <f t="shared" si="94"/>
        <v>0</v>
      </c>
      <c r="JU35" s="541" t="str">
        <f t="shared" si="95"/>
        <v>0</v>
      </c>
      <c r="JV35" s="539"/>
      <c r="JW35" s="541" t="str">
        <f t="shared" si="96"/>
        <v>0</v>
      </c>
      <c r="JX35" s="541" t="str">
        <f t="shared" si="97"/>
        <v>0</v>
      </c>
      <c r="JY35" s="539"/>
      <c r="JZ35" s="541" t="str">
        <f t="shared" si="98"/>
        <v>0</v>
      </c>
      <c r="KA35" s="541" t="str">
        <f t="shared" si="99"/>
        <v>0</v>
      </c>
      <c r="KB35" s="539"/>
      <c r="KC35" s="541" t="str">
        <f t="shared" si="100"/>
        <v>0</v>
      </c>
      <c r="KD35" s="541" t="str">
        <f t="shared" si="101"/>
        <v>0</v>
      </c>
      <c r="KE35" s="539"/>
      <c r="KF35" s="541" t="str">
        <f t="shared" si="102"/>
        <v>0</v>
      </c>
      <c r="KG35" s="541" t="str">
        <f t="shared" si="103"/>
        <v>0</v>
      </c>
      <c r="KH35" s="539"/>
      <c r="KI35" s="541" t="str">
        <f t="shared" si="104"/>
        <v>0</v>
      </c>
      <c r="KJ35" s="541" t="str">
        <f t="shared" si="105"/>
        <v>0</v>
      </c>
      <c r="KK35" s="539"/>
      <c r="KL35" s="541" t="str">
        <f t="shared" si="106"/>
        <v>0</v>
      </c>
      <c r="KM35" s="541" t="str">
        <f t="shared" si="107"/>
        <v>0</v>
      </c>
      <c r="KN35" s="539"/>
      <c r="KO35" s="541" t="str">
        <f t="shared" si="108"/>
        <v>0</v>
      </c>
      <c r="KP35" s="541" t="str">
        <f t="shared" si="109"/>
        <v>0</v>
      </c>
      <c r="KQ35" s="539"/>
      <c r="KR35" s="541" t="str">
        <f t="shared" si="110"/>
        <v>0</v>
      </c>
      <c r="KS35" s="541" t="str">
        <f t="shared" si="111"/>
        <v>0</v>
      </c>
      <c r="KT35" s="541">
        <f t="shared" si="201"/>
        <v>0</v>
      </c>
      <c r="KU35" s="541">
        <f t="shared" si="202"/>
        <v>0</v>
      </c>
      <c r="KV35" s="272">
        <f t="shared" si="199"/>
        <v>473.42703847258139</v>
      </c>
    </row>
    <row r="36" spans="1:308" ht="15" customHeight="1">
      <c r="A36" s="274">
        <f t="shared" si="200"/>
        <v>46140</v>
      </c>
      <c r="B36" s="275" t="str">
        <f>+Report1!B36</f>
        <v>Facial/Sanitary Napkin</v>
      </c>
      <c r="C36" s="417" t="str">
        <f>+Report1!C36</f>
        <v>10,5/13</v>
      </c>
      <c r="D36" s="276">
        <f>+Report1!P36</f>
        <v>54.076999999999998</v>
      </c>
      <c r="E36" s="277">
        <f>+Report1!R36</f>
        <v>49.442999999999998</v>
      </c>
      <c r="F36" s="539"/>
      <c r="G36" s="540">
        <f t="shared" si="0"/>
        <v>0</v>
      </c>
      <c r="H36" s="541">
        <f t="shared" si="112"/>
        <v>0</v>
      </c>
      <c r="I36" s="539">
        <v>267.44186046511618</v>
      </c>
      <c r="J36" s="540">
        <f t="shared" si="1"/>
        <v>5.4090945222805287</v>
      </c>
      <c r="K36" s="541">
        <f t="shared" si="113"/>
        <v>0</v>
      </c>
      <c r="L36" s="539"/>
      <c r="M36" s="540">
        <f t="shared" si="2"/>
        <v>0</v>
      </c>
      <c r="N36" s="541">
        <f t="shared" si="114"/>
        <v>0</v>
      </c>
      <c r="O36" s="539">
        <v>8.9999999999999716</v>
      </c>
      <c r="P36" s="540">
        <f t="shared" si="3"/>
        <v>0.18202778957587468</v>
      </c>
      <c r="Q36" s="541">
        <f t="shared" si="115"/>
        <v>0</v>
      </c>
      <c r="R36" s="539"/>
      <c r="S36" s="540">
        <f t="shared" si="4"/>
        <v>0</v>
      </c>
      <c r="T36" s="541">
        <f t="shared" si="116"/>
        <v>0</v>
      </c>
      <c r="U36" s="539">
        <v>5.1249999999999716</v>
      </c>
      <c r="V36" s="540">
        <f t="shared" si="5"/>
        <v>0.10365471350848394</v>
      </c>
      <c r="W36" s="541">
        <f t="shared" si="117"/>
        <v>0</v>
      </c>
      <c r="X36" s="539"/>
      <c r="Y36" s="540">
        <f t="shared" si="6"/>
        <v>0</v>
      </c>
      <c r="Z36" s="541">
        <f t="shared" si="118"/>
        <v>0</v>
      </c>
      <c r="AA36" s="539"/>
      <c r="AB36" s="540">
        <f t="shared" si="7"/>
        <v>0</v>
      </c>
      <c r="AC36" s="541">
        <f t="shared" si="119"/>
        <v>0</v>
      </c>
      <c r="AD36" s="539"/>
      <c r="AE36" s="540">
        <f t="shared" si="8"/>
        <v>0</v>
      </c>
      <c r="AF36" s="541">
        <f t="shared" si="120"/>
        <v>0</v>
      </c>
      <c r="AG36" s="539"/>
      <c r="AH36" s="540">
        <f t="shared" si="9"/>
        <v>0</v>
      </c>
      <c r="AI36" s="541">
        <f t="shared" si="121"/>
        <v>0</v>
      </c>
      <c r="AJ36" s="539"/>
      <c r="AK36" s="540">
        <f t="shared" si="10"/>
        <v>0</v>
      </c>
      <c r="AL36" s="541">
        <f t="shared" si="122"/>
        <v>0</v>
      </c>
      <c r="AM36" s="539">
        <v>23.653846153846132</v>
      </c>
      <c r="AN36" s="540">
        <f t="shared" si="11"/>
        <v>0.47840637003915887</v>
      </c>
      <c r="AO36" s="541">
        <f t="shared" si="123"/>
        <v>0</v>
      </c>
      <c r="AP36" s="539">
        <v>79.74683544303798</v>
      </c>
      <c r="AQ36" s="540">
        <f t="shared" si="12"/>
        <v>1.6129044645963633</v>
      </c>
      <c r="AR36" s="541">
        <f t="shared" si="124"/>
        <v>0</v>
      </c>
      <c r="AS36" s="539"/>
      <c r="AT36" s="540">
        <f t="shared" si="13"/>
        <v>0</v>
      </c>
      <c r="AU36" s="541">
        <f t="shared" si="125"/>
        <v>0</v>
      </c>
      <c r="AV36" s="539">
        <v>0</v>
      </c>
      <c r="AW36" s="540">
        <f t="shared" si="14"/>
        <v>0</v>
      </c>
      <c r="AX36" s="541">
        <f t="shared" si="126"/>
        <v>0</v>
      </c>
      <c r="AY36" s="539">
        <v>44.333333333333343</v>
      </c>
      <c r="AZ36" s="540">
        <f t="shared" si="15"/>
        <v>0.89665540791079312</v>
      </c>
      <c r="BA36" s="541">
        <f t="shared" si="127"/>
        <v>0</v>
      </c>
      <c r="BB36" s="539">
        <v>0</v>
      </c>
      <c r="BC36" s="540">
        <f t="shared" si="16"/>
        <v>0</v>
      </c>
      <c r="BD36" s="541">
        <f t="shared" si="128"/>
        <v>0</v>
      </c>
      <c r="BE36" s="539"/>
      <c r="BF36" s="540">
        <f t="shared" si="17"/>
        <v>0</v>
      </c>
      <c r="BG36" s="541">
        <f t="shared" si="129"/>
        <v>0</v>
      </c>
      <c r="BH36" s="539"/>
      <c r="BI36" s="540">
        <f t="shared" si="18"/>
        <v>0</v>
      </c>
      <c r="BJ36" s="541">
        <f t="shared" si="130"/>
        <v>0</v>
      </c>
      <c r="BK36" s="539"/>
      <c r="BL36" s="540">
        <f t="shared" si="19"/>
        <v>0</v>
      </c>
      <c r="BM36" s="541">
        <f t="shared" si="131"/>
        <v>0</v>
      </c>
      <c r="BN36" s="539">
        <v>5.0617283950617207</v>
      </c>
      <c r="BO36" s="540">
        <f t="shared" si="20"/>
        <v>0.10237502568739197</v>
      </c>
      <c r="BP36" s="541">
        <f t="shared" si="132"/>
        <v>0</v>
      </c>
      <c r="BQ36" s="539">
        <v>0</v>
      </c>
      <c r="BR36" s="540">
        <f t="shared" si="21"/>
        <v>0</v>
      </c>
      <c r="BS36" s="541">
        <f t="shared" si="133"/>
        <v>0</v>
      </c>
      <c r="BT36" s="539"/>
      <c r="BU36" s="540">
        <f t="shared" si="22"/>
        <v>0</v>
      </c>
      <c r="BV36" s="541">
        <f t="shared" si="134"/>
        <v>0</v>
      </c>
      <c r="BW36" s="539">
        <v>0</v>
      </c>
      <c r="BX36" s="540">
        <f t="shared" si="23"/>
        <v>0</v>
      </c>
      <c r="BY36" s="541">
        <f t="shared" si="135"/>
        <v>0</v>
      </c>
      <c r="BZ36" s="539"/>
      <c r="CA36" s="540">
        <f t="shared" si="24"/>
        <v>0</v>
      </c>
      <c r="CB36" s="541">
        <f t="shared" si="136"/>
        <v>0</v>
      </c>
      <c r="CC36" s="539">
        <v>0</v>
      </c>
      <c r="CD36" s="540">
        <f t="shared" si="25"/>
        <v>0</v>
      </c>
      <c r="CE36" s="541">
        <f t="shared" si="137"/>
        <v>0</v>
      </c>
      <c r="CF36" s="539">
        <v>0.1</v>
      </c>
      <c r="CG36" s="540">
        <f t="shared" si="26"/>
        <v>2.0225309952875028E-3</v>
      </c>
      <c r="CH36" s="541">
        <f t="shared" si="138"/>
        <v>0</v>
      </c>
      <c r="CI36" s="539"/>
      <c r="CJ36" s="540">
        <f t="shared" si="27"/>
        <v>0</v>
      </c>
      <c r="CK36" s="541">
        <f t="shared" si="139"/>
        <v>0</v>
      </c>
      <c r="CL36" s="539"/>
      <c r="CM36" s="540">
        <f t="shared" si="28"/>
        <v>0</v>
      </c>
      <c r="CN36" s="541">
        <f t="shared" si="140"/>
        <v>0</v>
      </c>
      <c r="CO36" s="539"/>
      <c r="CP36" s="540">
        <f t="shared" si="29"/>
        <v>0</v>
      </c>
      <c r="CQ36" s="541">
        <f t="shared" si="141"/>
        <v>0</v>
      </c>
      <c r="CR36" s="539"/>
      <c r="CS36" s="540">
        <f t="shared" si="30"/>
        <v>0</v>
      </c>
      <c r="CT36" s="541">
        <f t="shared" si="142"/>
        <v>0</v>
      </c>
      <c r="CU36" s="539"/>
      <c r="CV36" s="540">
        <f t="shared" si="31"/>
        <v>0</v>
      </c>
      <c r="CW36" s="541">
        <f t="shared" si="143"/>
        <v>0</v>
      </c>
      <c r="CX36" s="539"/>
      <c r="CY36" s="540">
        <f t="shared" si="32"/>
        <v>0</v>
      </c>
      <c r="CZ36" s="541">
        <f t="shared" si="144"/>
        <v>0</v>
      </c>
      <c r="DA36" s="539">
        <v>0</v>
      </c>
      <c r="DB36" s="540">
        <f t="shared" si="33"/>
        <v>0</v>
      </c>
      <c r="DC36" s="541">
        <f t="shared" si="145"/>
        <v>0</v>
      </c>
      <c r="DD36" s="539"/>
      <c r="DE36" s="540">
        <f t="shared" si="34"/>
        <v>0</v>
      </c>
      <c r="DF36" s="541">
        <f t="shared" si="146"/>
        <v>0</v>
      </c>
      <c r="DG36" s="539">
        <v>0</v>
      </c>
      <c r="DH36" s="540">
        <f t="shared" si="35"/>
        <v>0</v>
      </c>
      <c r="DI36" s="541">
        <f t="shared" si="203"/>
        <v>0</v>
      </c>
      <c r="DJ36" s="539"/>
      <c r="DK36" s="540">
        <f t="shared" si="36"/>
        <v>0</v>
      </c>
      <c r="DL36" s="541">
        <f t="shared" si="147"/>
        <v>0</v>
      </c>
      <c r="DM36" s="539"/>
      <c r="DN36" s="540">
        <f t="shared" si="37"/>
        <v>0</v>
      </c>
      <c r="DO36" s="541">
        <f t="shared" si="148"/>
        <v>0</v>
      </c>
      <c r="DP36" s="539"/>
      <c r="DQ36" s="540">
        <f t="shared" si="38"/>
        <v>0</v>
      </c>
      <c r="DR36" s="541">
        <f t="shared" si="149"/>
        <v>0</v>
      </c>
      <c r="DS36" s="539"/>
      <c r="DT36" s="540">
        <f t="shared" si="39"/>
        <v>0</v>
      </c>
      <c r="DU36" s="541">
        <f t="shared" si="150"/>
        <v>0</v>
      </c>
      <c r="DV36" s="539"/>
      <c r="DW36" s="540">
        <f t="shared" si="40"/>
        <v>0</v>
      </c>
      <c r="DX36" s="541">
        <f t="shared" si="151"/>
        <v>0</v>
      </c>
      <c r="DY36" s="539"/>
      <c r="DZ36" s="540">
        <f t="shared" si="41"/>
        <v>0</v>
      </c>
      <c r="EA36" s="541">
        <f t="shared" si="152"/>
        <v>0</v>
      </c>
      <c r="EB36" s="539">
        <v>29.069767441860449</v>
      </c>
      <c r="EC36" s="540">
        <f t="shared" si="42"/>
        <v>0.58794505676962261</v>
      </c>
      <c r="ED36" s="541">
        <f t="shared" si="153"/>
        <v>0</v>
      </c>
      <c r="EE36" s="539">
        <v>1</v>
      </c>
      <c r="EF36" s="540">
        <f t="shared" si="43"/>
        <v>2.0225309952875029E-2</v>
      </c>
      <c r="EG36" s="541">
        <f t="shared" si="154"/>
        <v>0</v>
      </c>
      <c r="EH36" s="539"/>
      <c r="EI36" s="540">
        <f t="shared" si="44"/>
        <v>0</v>
      </c>
      <c r="EJ36" s="541">
        <f t="shared" si="155"/>
        <v>0</v>
      </c>
      <c r="EK36" s="539"/>
      <c r="EL36" s="540">
        <f t="shared" si="45"/>
        <v>0</v>
      </c>
      <c r="EM36" s="541">
        <f t="shared" si="156"/>
        <v>0</v>
      </c>
      <c r="EN36" s="539"/>
      <c r="EO36" s="540">
        <f t="shared" si="46"/>
        <v>0</v>
      </c>
      <c r="EP36" s="541">
        <f t="shared" si="157"/>
        <v>0</v>
      </c>
      <c r="EQ36" s="539"/>
      <c r="ER36" s="540">
        <f t="shared" si="47"/>
        <v>0</v>
      </c>
      <c r="ES36" s="541">
        <f t="shared" si="158"/>
        <v>0</v>
      </c>
      <c r="ET36" s="539"/>
      <c r="EU36" s="540">
        <f t="shared" si="48"/>
        <v>0</v>
      </c>
      <c r="EV36" s="541">
        <f t="shared" si="159"/>
        <v>0</v>
      </c>
      <c r="EW36" s="539"/>
      <c r="EX36" s="540">
        <f t="shared" si="49"/>
        <v>0</v>
      </c>
      <c r="EY36" s="541">
        <f t="shared" si="160"/>
        <v>0</v>
      </c>
      <c r="EZ36" s="539"/>
      <c r="FA36" s="540">
        <f t="shared" si="50"/>
        <v>0</v>
      </c>
      <c r="FB36" s="541">
        <f t="shared" si="161"/>
        <v>0</v>
      </c>
      <c r="FC36" s="539"/>
      <c r="FD36" s="540">
        <f t="shared" si="51"/>
        <v>0</v>
      </c>
      <c r="FE36" s="541">
        <f t="shared" si="162"/>
        <v>0</v>
      </c>
      <c r="FF36" s="539"/>
      <c r="FG36" s="540">
        <f t="shared" si="52"/>
        <v>0</v>
      </c>
      <c r="FH36" s="541">
        <f t="shared" si="163"/>
        <v>0</v>
      </c>
      <c r="FI36" s="539"/>
      <c r="FJ36" s="540">
        <f t="shared" si="53"/>
        <v>0</v>
      </c>
      <c r="FK36" s="541">
        <f t="shared" si="164"/>
        <v>0</v>
      </c>
      <c r="FL36" s="539"/>
      <c r="FM36" s="540">
        <f t="shared" si="54"/>
        <v>0</v>
      </c>
      <c r="FN36" s="541">
        <f t="shared" si="165"/>
        <v>0</v>
      </c>
      <c r="FO36" s="539"/>
      <c r="FP36" s="540">
        <f t="shared" si="55"/>
        <v>0</v>
      </c>
      <c r="FQ36" s="541">
        <f t="shared" si="166"/>
        <v>0</v>
      </c>
      <c r="FR36" s="539"/>
      <c r="FS36" s="540">
        <f t="shared" si="56"/>
        <v>0</v>
      </c>
      <c r="FT36" s="541">
        <f t="shared" si="167"/>
        <v>0</v>
      </c>
      <c r="FU36" s="539"/>
      <c r="FV36" s="540">
        <f t="shared" si="57"/>
        <v>0</v>
      </c>
      <c r="FW36" s="541">
        <f t="shared" si="168"/>
        <v>0</v>
      </c>
      <c r="FX36" s="539"/>
      <c r="FY36" s="540">
        <f t="shared" si="58"/>
        <v>0</v>
      </c>
      <c r="FZ36" s="541">
        <f t="shared" si="169"/>
        <v>0</v>
      </c>
      <c r="GA36" s="539"/>
      <c r="GB36" s="540">
        <f t="shared" si="59"/>
        <v>0</v>
      </c>
      <c r="GC36" s="541">
        <f t="shared" si="170"/>
        <v>0</v>
      </c>
      <c r="GD36" s="539"/>
      <c r="GE36" s="540">
        <f t="shared" si="60"/>
        <v>0</v>
      </c>
      <c r="GF36" s="541">
        <f t="shared" si="171"/>
        <v>0</v>
      </c>
      <c r="GG36" s="539"/>
      <c r="GH36" s="540">
        <f t="shared" si="61"/>
        <v>0</v>
      </c>
      <c r="GI36" s="541">
        <f t="shared" si="172"/>
        <v>0</v>
      </c>
      <c r="GJ36" s="539"/>
      <c r="GK36" s="540">
        <f t="shared" si="62"/>
        <v>0</v>
      </c>
      <c r="GL36" s="541">
        <f t="shared" si="173"/>
        <v>0</v>
      </c>
      <c r="GM36" s="539"/>
      <c r="GN36" s="540">
        <f t="shared" si="63"/>
        <v>0</v>
      </c>
      <c r="GO36" s="541">
        <f t="shared" si="174"/>
        <v>0</v>
      </c>
      <c r="GP36" s="539"/>
      <c r="GQ36" s="540">
        <f t="shared" si="64"/>
        <v>0</v>
      </c>
      <c r="GR36" s="541">
        <f t="shared" si="175"/>
        <v>0</v>
      </c>
      <c r="GS36" s="539"/>
      <c r="GT36" s="540">
        <f t="shared" si="65"/>
        <v>0</v>
      </c>
      <c r="GU36" s="541">
        <f t="shared" si="176"/>
        <v>0</v>
      </c>
      <c r="GV36" s="539"/>
      <c r="GW36" s="540">
        <f t="shared" si="66"/>
        <v>0</v>
      </c>
      <c r="GX36" s="541">
        <f t="shared" si="177"/>
        <v>0</v>
      </c>
      <c r="GY36" s="539"/>
      <c r="GZ36" s="540">
        <f t="shared" si="67"/>
        <v>0</v>
      </c>
      <c r="HA36" s="541">
        <f t="shared" si="178"/>
        <v>0</v>
      </c>
      <c r="HB36" s="539"/>
      <c r="HC36" s="540">
        <f t="shared" si="68"/>
        <v>0</v>
      </c>
      <c r="HD36" s="541">
        <f t="shared" si="179"/>
        <v>0</v>
      </c>
      <c r="HE36" s="539"/>
      <c r="HF36" s="540">
        <f t="shared" si="69"/>
        <v>0</v>
      </c>
      <c r="HG36" s="541">
        <f t="shared" si="180"/>
        <v>0</v>
      </c>
      <c r="HH36" s="539"/>
      <c r="HI36" s="540">
        <f t="shared" si="70"/>
        <v>0</v>
      </c>
      <c r="HJ36" s="541">
        <f t="shared" si="181"/>
        <v>0</v>
      </c>
      <c r="HK36" s="539"/>
      <c r="HL36" s="540">
        <f t="shared" si="71"/>
        <v>0</v>
      </c>
      <c r="HM36" s="541">
        <f t="shared" si="182"/>
        <v>0</v>
      </c>
      <c r="HN36" s="539"/>
      <c r="HO36" s="540">
        <f t="shared" si="72"/>
        <v>0</v>
      </c>
      <c r="HP36" s="541">
        <f t="shared" si="183"/>
        <v>0</v>
      </c>
      <c r="HQ36" s="539"/>
      <c r="HR36" s="540">
        <f t="shared" si="73"/>
        <v>0</v>
      </c>
      <c r="HS36" s="541">
        <f t="shared" si="184"/>
        <v>0</v>
      </c>
      <c r="HT36" s="539"/>
      <c r="HU36" s="540">
        <f t="shared" si="74"/>
        <v>0</v>
      </c>
      <c r="HV36" s="541">
        <f t="shared" si="185"/>
        <v>0</v>
      </c>
      <c r="HW36" s="539"/>
      <c r="HX36" s="540">
        <f t="shared" si="75"/>
        <v>0</v>
      </c>
      <c r="HY36" s="541">
        <f t="shared" si="186"/>
        <v>0</v>
      </c>
      <c r="HZ36" s="539"/>
      <c r="IA36" s="540">
        <f t="shared" si="76"/>
        <v>0</v>
      </c>
      <c r="IB36" s="541">
        <f t="shared" si="187"/>
        <v>0</v>
      </c>
      <c r="IC36" s="539"/>
      <c r="ID36" s="540">
        <f t="shared" si="77"/>
        <v>0</v>
      </c>
      <c r="IE36" s="541">
        <f t="shared" si="188"/>
        <v>0</v>
      </c>
      <c r="IF36" s="539"/>
      <c r="IG36" s="540">
        <f t="shared" si="78"/>
        <v>0</v>
      </c>
      <c r="IH36" s="541">
        <f t="shared" si="189"/>
        <v>0</v>
      </c>
      <c r="II36" s="539"/>
      <c r="IJ36" s="540">
        <f t="shared" si="79"/>
        <v>0</v>
      </c>
      <c r="IK36" s="541">
        <f t="shared" si="190"/>
        <v>0</v>
      </c>
      <c r="IL36" s="539"/>
      <c r="IM36" s="540">
        <f t="shared" si="80"/>
        <v>0</v>
      </c>
      <c r="IN36" s="541">
        <f t="shared" si="191"/>
        <v>0</v>
      </c>
      <c r="IO36" s="539"/>
      <c r="IP36" s="540">
        <f t="shared" si="81"/>
        <v>0</v>
      </c>
      <c r="IQ36" s="541">
        <f t="shared" si="192"/>
        <v>0</v>
      </c>
      <c r="IR36" s="539"/>
      <c r="IS36" s="540">
        <f t="shared" si="82"/>
        <v>0</v>
      </c>
      <c r="IT36" s="541">
        <f t="shared" si="193"/>
        <v>0</v>
      </c>
      <c r="IU36" s="539"/>
      <c r="IV36" s="540">
        <f t="shared" si="83"/>
        <v>0</v>
      </c>
      <c r="IW36" s="541">
        <f t="shared" si="194"/>
        <v>0</v>
      </c>
      <c r="IX36" s="539"/>
      <c r="IY36" s="540">
        <f t="shared" si="84"/>
        <v>0</v>
      </c>
      <c r="IZ36" s="541">
        <f t="shared" si="195"/>
        <v>0</v>
      </c>
      <c r="JA36" s="539"/>
      <c r="JB36" s="540">
        <f t="shared" si="85"/>
        <v>0</v>
      </c>
      <c r="JC36" s="541">
        <f t="shared" si="196"/>
        <v>0</v>
      </c>
      <c r="JD36" s="539"/>
      <c r="JE36" s="540">
        <f t="shared" si="86"/>
        <v>0</v>
      </c>
      <c r="JF36" s="541">
        <f t="shared" si="197"/>
        <v>0</v>
      </c>
      <c r="JG36" s="539"/>
      <c r="JH36" s="540">
        <f t="shared" si="87"/>
        <v>0</v>
      </c>
      <c r="JI36" s="541">
        <f t="shared" si="198"/>
        <v>0</v>
      </c>
      <c r="JJ36" s="539"/>
      <c r="JK36" s="541" t="str">
        <f t="shared" si="88"/>
        <v>0</v>
      </c>
      <c r="JL36" s="541" t="str">
        <f t="shared" si="89"/>
        <v>0</v>
      </c>
      <c r="JM36" s="539"/>
      <c r="JN36" s="541" t="str">
        <f t="shared" si="90"/>
        <v>0</v>
      </c>
      <c r="JO36" s="541" t="str">
        <f t="shared" si="91"/>
        <v>0</v>
      </c>
      <c r="JP36" s="539"/>
      <c r="JQ36" s="541" t="str">
        <f t="shared" si="92"/>
        <v>0</v>
      </c>
      <c r="JR36" s="541" t="str">
        <f t="shared" si="93"/>
        <v>0</v>
      </c>
      <c r="JS36" s="539"/>
      <c r="JT36" s="541" t="str">
        <f t="shared" si="94"/>
        <v>0</v>
      </c>
      <c r="JU36" s="541" t="str">
        <f t="shared" si="95"/>
        <v>0</v>
      </c>
      <c r="JV36" s="539"/>
      <c r="JW36" s="541" t="str">
        <f t="shared" si="96"/>
        <v>0</v>
      </c>
      <c r="JX36" s="541" t="str">
        <f t="shared" si="97"/>
        <v>0</v>
      </c>
      <c r="JY36" s="539"/>
      <c r="JZ36" s="541" t="str">
        <f t="shared" si="98"/>
        <v>0</v>
      </c>
      <c r="KA36" s="541" t="str">
        <f t="shared" si="99"/>
        <v>0</v>
      </c>
      <c r="KB36" s="539"/>
      <c r="KC36" s="541" t="str">
        <f t="shared" si="100"/>
        <v>0</v>
      </c>
      <c r="KD36" s="541" t="str">
        <f t="shared" si="101"/>
        <v>0</v>
      </c>
      <c r="KE36" s="539"/>
      <c r="KF36" s="541" t="str">
        <f t="shared" si="102"/>
        <v>0</v>
      </c>
      <c r="KG36" s="541" t="str">
        <f t="shared" si="103"/>
        <v>0</v>
      </c>
      <c r="KH36" s="539"/>
      <c r="KI36" s="541" t="str">
        <f t="shared" si="104"/>
        <v>0</v>
      </c>
      <c r="KJ36" s="541" t="str">
        <f t="shared" si="105"/>
        <v>0</v>
      </c>
      <c r="KK36" s="539"/>
      <c r="KL36" s="541" t="str">
        <f t="shared" si="106"/>
        <v>0</v>
      </c>
      <c r="KM36" s="541" t="str">
        <f t="shared" si="107"/>
        <v>0</v>
      </c>
      <c r="KN36" s="539"/>
      <c r="KO36" s="541" t="str">
        <f t="shared" si="108"/>
        <v>0</v>
      </c>
      <c r="KP36" s="541" t="str">
        <f t="shared" si="109"/>
        <v>0</v>
      </c>
      <c r="KQ36" s="539"/>
      <c r="KR36" s="541" t="str">
        <f t="shared" si="110"/>
        <v>0</v>
      </c>
      <c r="KS36" s="541" t="str">
        <f t="shared" si="111"/>
        <v>0</v>
      </c>
      <c r="KT36" s="541">
        <f t="shared" si="201"/>
        <v>0</v>
      </c>
      <c r="KU36" s="541">
        <f t="shared" si="202"/>
        <v>0</v>
      </c>
      <c r="KV36" s="272">
        <f t="shared" si="199"/>
        <v>464.5323712322558</v>
      </c>
    </row>
    <row r="37" spans="1:308" ht="15" customHeight="1">
      <c r="A37" s="274">
        <f t="shared" si="200"/>
        <v>46141</v>
      </c>
      <c r="B37" s="275" t="str">
        <f>+Report1!B37</f>
        <v>Sanitary Napkin</v>
      </c>
      <c r="C37" s="417" t="str">
        <f>+Report1!C37</f>
        <v>13</v>
      </c>
      <c r="D37" s="276">
        <f>+Report1!P37</f>
        <v>48.198</v>
      </c>
      <c r="E37" s="277">
        <f>+Report1!R37</f>
        <v>49.027999999999999</v>
      </c>
      <c r="F37" s="539"/>
      <c r="G37" s="540">
        <f t="shared" si="0"/>
        <v>0</v>
      </c>
      <c r="H37" s="541">
        <f t="shared" si="112"/>
        <v>0</v>
      </c>
      <c r="I37" s="539">
        <v>325.58139534883708</v>
      </c>
      <c r="J37" s="540">
        <f t="shared" si="1"/>
        <v>6.6407235732405381</v>
      </c>
      <c r="K37" s="541">
        <f t="shared" si="113"/>
        <v>0</v>
      </c>
      <c r="L37" s="539"/>
      <c r="M37" s="540">
        <f t="shared" si="2"/>
        <v>0</v>
      </c>
      <c r="N37" s="541">
        <f t="shared" si="114"/>
        <v>0</v>
      </c>
      <c r="O37" s="539">
        <v>9</v>
      </c>
      <c r="P37" s="540">
        <f t="shared" si="3"/>
        <v>0.18356857306029209</v>
      </c>
      <c r="Q37" s="541">
        <f t="shared" si="115"/>
        <v>0</v>
      </c>
      <c r="R37" s="539"/>
      <c r="S37" s="540">
        <f t="shared" si="4"/>
        <v>0</v>
      </c>
      <c r="T37" s="541">
        <f t="shared" si="116"/>
        <v>0</v>
      </c>
      <c r="U37" s="539">
        <v>5.1250000000000284</v>
      </c>
      <c r="V37" s="540">
        <f t="shared" si="5"/>
        <v>0.10453210410377801</v>
      </c>
      <c r="W37" s="541">
        <f t="shared" si="117"/>
        <v>0</v>
      </c>
      <c r="X37" s="539"/>
      <c r="Y37" s="540">
        <f t="shared" si="6"/>
        <v>0</v>
      </c>
      <c r="Z37" s="541">
        <f t="shared" si="118"/>
        <v>0</v>
      </c>
      <c r="AA37" s="539"/>
      <c r="AB37" s="540">
        <f t="shared" si="7"/>
        <v>0</v>
      </c>
      <c r="AC37" s="541">
        <f t="shared" si="119"/>
        <v>0</v>
      </c>
      <c r="AD37" s="539"/>
      <c r="AE37" s="540">
        <f t="shared" si="8"/>
        <v>0</v>
      </c>
      <c r="AF37" s="541">
        <f t="shared" si="120"/>
        <v>0</v>
      </c>
      <c r="AG37" s="539"/>
      <c r="AH37" s="540">
        <f t="shared" si="9"/>
        <v>0</v>
      </c>
      <c r="AI37" s="541">
        <f t="shared" si="121"/>
        <v>0</v>
      </c>
      <c r="AJ37" s="539"/>
      <c r="AK37" s="540">
        <f t="shared" si="10"/>
        <v>0</v>
      </c>
      <c r="AL37" s="541">
        <f t="shared" si="122"/>
        <v>0</v>
      </c>
      <c r="AM37" s="539">
        <v>52.564102564102598</v>
      </c>
      <c r="AN37" s="540">
        <f t="shared" si="11"/>
        <v>1.0721241446541283</v>
      </c>
      <c r="AO37" s="541">
        <f t="shared" si="123"/>
        <v>0</v>
      </c>
      <c r="AP37" s="539">
        <v>0</v>
      </c>
      <c r="AQ37" s="540">
        <f t="shared" si="12"/>
        <v>0</v>
      </c>
      <c r="AR37" s="541">
        <f t="shared" si="124"/>
        <v>0</v>
      </c>
      <c r="AS37" s="539"/>
      <c r="AT37" s="540">
        <f t="shared" si="13"/>
        <v>0</v>
      </c>
      <c r="AU37" s="541">
        <f t="shared" si="125"/>
        <v>0</v>
      </c>
      <c r="AV37" s="539">
        <v>8.3250000000000028</v>
      </c>
      <c r="AW37" s="540">
        <f t="shared" si="14"/>
        <v>0.16980093008077024</v>
      </c>
      <c r="AX37" s="541">
        <f t="shared" si="126"/>
        <v>0</v>
      </c>
      <c r="AY37" s="539">
        <v>34.999999999999972</v>
      </c>
      <c r="AZ37" s="540">
        <f t="shared" si="15"/>
        <v>0.71387778412335756</v>
      </c>
      <c r="BA37" s="541">
        <f t="shared" si="127"/>
        <v>0</v>
      </c>
      <c r="BB37" s="539">
        <v>0</v>
      </c>
      <c r="BC37" s="540">
        <f t="shared" si="16"/>
        <v>0</v>
      </c>
      <c r="BD37" s="541">
        <f t="shared" si="128"/>
        <v>0</v>
      </c>
      <c r="BE37" s="539"/>
      <c r="BF37" s="540">
        <f t="shared" si="17"/>
        <v>0</v>
      </c>
      <c r="BG37" s="541">
        <f t="shared" si="129"/>
        <v>0</v>
      </c>
      <c r="BH37" s="539"/>
      <c r="BI37" s="540">
        <f t="shared" si="18"/>
        <v>0</v>
      </c>
      <c r="BJ37" s="541">
        <f t="shared" si="130"/>
        <v>0</v>
      </c>
      <c r="BK37" s="539"/>
      <c r="BL37" s="540">
        <f t="shared" si="19"/>
        <v>0</v>
      </c>
      <c r="BM37" s="541">
        <f t="shared" si="131"/>
        <v>0</v>
      </c>
      <c r="BN37" s="539">
        <v>7.5925925925926094</v>
      </c>
      <c r="BO37" s="540">
        <f t="shared" si="20"/>
        <v>0.154862376450041</v>
      </c>
      <c r="BP37" s="541">
        <f t="shared" si="132"/>
        <v>0</v>
      </c>
      <c r="BQ37" s="539">
        <v>0</v>
      </c>
      <c r="BR37" s="540">
        <f t="shared" si="21"/>
        <v>0</v>
      </c>
      <c r="BS37" s="541">
        <f t="shared" si="133"/>
        <v>0</v>
      </c>
      <c r="BT37" s="539"/>
      <c r="BU37" s="540">
        <f t="shared" si="22"/>
        <v>0</v>
      </c>
      <c r="BV37" s="541">
        <f t="shared" si="134"/>
        <v>0</v>
      </c>
      <c r="BW37" s="539">
        <v>0</v>
      </c>
      <c r="BX37" s="540">
        <f t="shared" si="23"/>
        <v>0</v>
      </c>
      <c r="BY37" s="541">
        <f t="shared" si="135"/>
        <v>0</v>
      </c>
      <c r="BZ37" s="539"/>
      <c r="CA37" s="540">
        <f t="shared" si="24"/>
        <v>0</v>
      </c>
      <c r="CB37" s="541">
        <f t="shared" si="136"/>
        <v>0</v>
      </c>
      <c r="CC37" s="539">
        <v>0</v>
      </c>
      <c r="CD37" s="540">
        <f t="shared" si="25"/>
        <v>0</v>
      </c>
      <c r="CE37" s="541">
        <f t="shared" si="137"/>
        <v>0</v>
      </c>
      <c r="CF37" s="539">
        <v>9.9999999999999645E-2</v>
      </c>
      <c r="CG37" s="540">
        <f t="shared" si="26"/>
        <v>2.0396508117810157E-3</v>
      </c>
      <c r="CH37" s="541">
        <f t="shared" si="138"/>
        <v>0</v>
      </c>
      <c r="CI37" s="539"/>
      <c r="CJ37" s="540">
        <f t="shared" si="27"/>
        <v>0</v>
      </c>
      <c r="CK37" s="541">
        <f t="shared" si="139"/>
        <v>0</v>
      </c>
      <c r="CL37" s="539"/>
      <c r="CM37" s="540">
        <f t="shared" si="28"/>
        <v>0</v>
      </c>
      <c r="CN37" s="541">
        <f t="shared" si="140"/>
        <v>0</v>
      </c>
      <c r="CO37" s="539"/>
      <c r="CP37" s="540">
        <f t="shared" si="29"/>
        <v>0</v>
      </c>
      <c r="CQ37" s="541">
        <f t="shared" si="141"/>
        <v>0</v>
      </c>
      <c r="CR37" s="539"/>
      <c r="CS37" s="540">
        <f t="shared" si="30"/>
        <v>0</v>
      </c>
      <c r="CT37" s="541">
        <f t="shared" si="142"/>
        <v>0</v>
      </c>
      <c r="CU37" s="539"/>
      <c r="CV37" s="540">
        <f t="shared" si="31"/>
        <v>0</v>
      </c>
      <c r="CW37" s="541">
        <f t="shared" si="143"/>
        <v>0</v>
      </c>
      <c r="CX37" s="539"/>
      <c r="CY37" s="540">
        <f t="shared" si="32"/>
        <v>0</v>
      </c>
      <c r="CZ37" s="541">
        <f t="shared" si="144"/>
        <v>0</v>
      </c>
      <c r="DA37" s="539">
        <v>0</v>
      </c>
      <c r="DB37" s="540">
        <f t="shared" si="33"/>
        <v>0</v>
      </c>
      <c r="DC37" s="541">
        <f t="shared" si="145"/>
        <v>0</v>
      </c>
      <c r="DD37" s="539"/>
      <c r="DE37" s="540">
        <f t="shared" si="34"/>
        <v>0</v>
      </c>
      <c r="DF37" s="541">
        <f t="shared" si="146"/>
        <v>0</v>
      </c>
      <c r="DG37" s="539">
        <v>0</v>
      </c>
      <c r="DH37" s="540">
        <f t="shared" si="35"/>
        <v>0</v>
      </c>
      <c r="DI37" s="541">
        <f t="shared" si="203"/>
        <v>0</v>
      </c>
      <c r="DJ37" s="539"/>
      <c r="DK37" s="540">
        <f t="shared" si="36"/>
        <v>0</v>
      </c>
      <c r="DL37" s="541">
        <f t="shared" si="147"/>
        <v>0</v>
      </c>
      <c r="DM37" s="539"/>
      <c r="DN37" s="540">
        <f t="shared" si="37"/>
        <v>0</v>
      </c>
      <c r="DO37" s="541">
        <f t="shared" si="148"/>
        <v>0</v>
      </c>
      <c r="DP37" s="539"/>
      <c r="DQ37" s="540">
        <f t="shared" si="38"/>
        <v>0</v>
      </c>
      <c r="DR37" s="541">
        <f t="shared" si="149"/>
        <v>0</v>
      </c>
      <c r="DS37" s="539"/>
      <c r="DT37" s="540">
        <f t="shared" si="39"/>
        <v>0</v>
      </c>
      <c r="DU37" s="541">
        <f t="shared" si="150"/>
        <v>0</v>
      </c>
      <c r="DV37" s="539"/>
      <c r="DW37" s="540">
        <f t="shared" si="40"/>
        <v>0</v>
      </c>
      <c r="DX37" s="541">
        <f t="shared" si="151"/>
        <v>0</v>
      </c>
      <c r="DY37" s="539"/>
      <c r="DZ37" s="540">
        <f t="shared" si="41"/>
        <v>0</v>
      </c>
      <c r="EA37" s="541">
        <f t="shared" si="152"/>
        <v>0</v>
      </c>
      <c r="EB37" s="539">
        <v>14.534883720930111</v>
      </c>
      <c r="EC37" s="540">
        <f t="shared" si="42"/>
        <v>0.29646087380537878</v>
      </c>
      <c r="ED37" s="541">
        <f t="shared" si="153"/>
        <v>0</v>
      </c>
      <c r="EE37" s="539">
        <v>1</v>
      </c>
      <c r="EF37" s="540">
        <f t="shared" si="43"/>
        <v>2.0396508117810231E-2</v>
      </c>
      <c r="EG37" s="541">
        <f t="shared" si="154"/>
        <v>0</v>
      </c>
      <c r="EH37" s="539"/>
      <c r="EI37" s="540">
        <f t="shared" si="44"/>
        <v>0</v>
      </c>
      <c r="EJ37" s="541">
        <f t="shared" si="155"/>
        <v>0</v>
      </c>
      <c r="EK37" s="539"/>
      <c r="EL37" s="540">
        <f t="shared" si="45"/>
        <v>0</v>
      </c>
      <c r="EM37" s="541">
        <f t="shared" si="156"/>
        <v>0</v>
      </c>
      <c r="EN37" s="539"/>
      <c r="EO37" s="540">
        <f t="shared" si="46"/>
        <v>0</v>
      </c>
      <c r="EP37" s="541">
        <f t="shared" si="157"/>
        <v>0</v>
      </c>
      <c r="EQ37" s="539"/>
      <c r="ER37" s="540">
        <f t="shared" si="47"/>
        <v>0</v>
      </c>
      <c r="ES37" s="541">
        <f t="shared" si="158"/>
        <v>0</v>
      </c>
      <c r="ET37" s="539"/>
      <c r="EU37" s="540">
        <f t="shared" si="48"/>
        <v>0</v>
      </c>
      <c r="EV37" s="541">
        <f t="shared" si="159"/>
        <v>0</v>
      </c>
      <c r="EW37" s="539"/>
      <c r="EX37" s="540">
        <f t="shared" si="49"/>
        <v>0</v>
      </c>
      <c r="EY37" s="541">
        <f t="shared" si="160"/>
        <v>0</v>
      </c>
      <c r="EZ37" s="539"/>
      <c r="FA37" s="540">
        <f t="shared" si="50"/>
        <v>0</v>
      </c>
      <c r="FB37" s="541">
        <f t="shared" si="161"/>
        <v>0</v>
      </c>
      <c r="FC37" s="539"/>
      <c r="FD37" s="540">
        <f t="shared" si="51"/>
        <v>0</v>
      </c>
      <c r="FE37" s="541">
        <f t="shared" si="162"/>
        <v>0</v>
      </c>
      <c r="FF37" s="539"/>
      <c r="FG37" s="540">
        <f t="shared" si="52"/>
        <v>0</v>
      </c>
      <c r="FH37" s="541">
        <f t="shared" si="163"/>
        <v>0</v>
      </c>
      <c r="FI37" s="539"/>
      <c r="FJ37" s="540">
        <f t="shared" si="53"/>
        <v>0</v>
      </c>
      <c r="FK37" s="541">
        <f t="shared" si="164"/>
        <v>0</v>
      </c>
      <c r="FL37" s="539"/>
      <c r="FM37" s="540">
        <f t="shared" si="54"/>
        <v>0</v>
      </c>
      <c r="FN37" s="541">
        <f t="shared" si="165"/>
        <v>0</v>
      </c>
      <c r="FO37" s="539"/>
      <c r="FP37" s="540">
        <f t="shared" si="55"/>
        <v>0</v>
      </c>
      <c r="FQ37" s="541">
        <f t="shared" si="166"/>
        <v>0</v>
      </c>
      <c r="FR37" s="539"/>
      <c r="FS37" s="540">
        <f t="shared" si="56"/>
        <v>0</v>
      </c>
      <c r="FT37" s="541">
        <f t="shared" si="167"/>
        <v>0</v>
      </c>
      <c r="FU37" s="539"/>
      <c r="FV37" s="540">
        <f t="shared" si="57"/>
        <v>0</v>
      </c>
      <c r="FW37" s="541">
        <f t="shared" si="168"/>
        <v>0</v>
      </c>
      <c r="FX37" s="539"/>
      <c r="FY37" s="540">
        <f t="shared" si="58"/>
        <v>0</v>
      </c>
      <c r="FZ37" s="541">
        <f t="shared" si="169"/>
        <v>0</v>
      </c>
      <c r="GA37" s="539"/>
      <c r="GB37" s="540">
        <f t="shared" si="59"/>
        <v>0</v>
      </c>
      <c r="GC37" s="541">
        <f t="shared" si="170"/>
        <v>0</v>
      </c>
      <c r="GD37" s="539"/>
      <c r="GE37" s="540">
        <f t="shared" si="60"/>
        <v>0</v>
      </c>
      <c r="GF37" s="541">
        <f t="shared" si="171"/>
        <v>0</v>
      </c>
      <c r="GG37" s="539"/>
      <c r="GH37" s="540">
        <f t="shared" si="61"/>
        <v>0</v>
      </c>
      <c r="GI37" s="541">
        <f t="shared" si="172"/>
        <v>0</v>
      </c>
      <c r="GJ37" s="539"/>
      <c r="GK37" s="540">
        <f t="shared" si="62"/>
        <v>0</v>
      </c>
      <c r="GL37" s="541">
        <f t="shared" si="173"/>
        <v>0</v>
      </c>
      <c r="GM37" s="539"/>
      <c r="GN37" s="540">
        <f t="shared" si="63"/>
        <v>0</v>
      </c>
      <c r="GO37" s="541">
        <f t="shared" si="174"/>
        <v>0</v>
      </c>
      <c r="GP37" s="539"/>
      <c r="GQ37" s="540">
        <f t="shared" si="64"/>
        <v>0</v>
      </c>
      <c r="GR37" s="541">
        <f t="shared" si="175"/>
        <v>0</v>
      </c>
      <c r="GS37" s="539"/>
      <c r="GT37" s="540">
        <f t="shared" si="65"/>
        <v>0</v>
      </c>
      <c r="GU37" s="541">
        <f t="shared" si="176"/>
        <v>0</v>
      </c>
      <c r="GV37" s="539"/>
      <c r="GW37" s="540">
        <f t="shared" si="66"/>
        <v>0</v>
      </c>
      <c r="GX37" s="541">
        <f t="shared" si="177"/>
        <v>0</v>
      </c>
      <c r="GY37" s="539"/>
      <c r="GZ37" s="540">
        <f t="shared" si="67"/>
        <v>0</v>
      </c>
      <c r="HA37" s="541">
        <f t="shared" si="178"/>
        <v>0</v>
      </c>
      <c r="HB37" s="539"/>
      <c r="HC37" s="540">
        <f t="shared" si="68"/>
        <v>0</v>
      </c>
      <c r="HD37" s="541">
        <f t="shared" si="179"/>
        <v>0</v>
      </c>
      <c r="HE37" s="539"/>
      <c r="HF37" s="540">
        <f t="shared" si="69"/>
        <v>0</v>
      </c>
      <c r="HG37" s="541">
        <f t="shared" si="180"/>
        <v>0</v>
      </c>
      <c r="HH37" s="539"/>
      <c r="HI37" s="540">
        <f t="shared" si="70"/>
        <v>0</v>
      </c>
      <c r="HJ37" s="541">
        <f t="shared" si="181"/>
        <v>0</v>
      </c>
      <c r="HK37" s="539"/>
      <c r="HL37" s="540">
        <f t="shared" si="71"/>
        <v>0</v>
      </c>
      <c r="HM37" s="541">
        <f t="shared" si="182"/>
        <v>0</v>
      </c>
      <c r="HN37" s="539"/>
      <c r="HO37" s="540">
        <f t="shared" si="72"/>
        <v>0</v>
      </c>
      <c r="HP37" s="541">
        <f t="shared" si="183"/>
        <v>0</v>
      </c>
      <c r="HQ37" s="539"/>
      <c r="HR37" s="540">
        <f t="shared" si="73"/>
        <v>0</v>
      </c>
      <c r="HS37" s="541">
        <f t="shared" si="184"/>
        <v>0</v>
      </c>
      <c r="HT37" s="539"/>
      <c r="HU37" s="540">
        <f t="shared" si="74"/>
        <v>0</v>
      </c>
      <c r="HV37" s="541">
        <f t="shared" si="185"/>
        <v>0</v>
      </c>
      <c r="HW37" s="539"/>
      <c r="HX37" s="540">
        <f t="shared" si="75"/>
        <v>0</v>
      </c>
      <c r="HY37" s="541">
        <f t="shared" si="186"/>
        <v>0</v>
      </c>
      <c r="HZ37" s="539"/>
      <c r="IA37" s="540">
        <f t="shared" si="76"/>
        <v>0</v>
      </c>
      <c r="IB37" s="541">
        <f t="shared" si="187"/>
        <v>0</v>
      </c>
      <c r="IC37" s="539"/>
      <c r="ID37" s="540">
        <f t="shared" si="77"/>
        <v>0</v>
      </c>
      <c r="IE37" s="541">
        <f t="shared" si="188"/>
        <v>0</v>
      </c>
      <c r="IF37" s="539"/>
      <c r="IG37" s="540">
        <f t="shared" si="78"/>
        <v>0</v>
      </c>
      <c r="IH37" s="541">
        <f t="shared" si="189"/>
        <v>0</v>
      </c>
      <c r="II37" s="539"/>
      <c r="IJ37" s="540">
        <f t="shared" si="79"/>
        <v>0</v>
      </c>
      <c r="IK37" s="541">
        <f t="shared" si="190"/>
        <v>0</v>
      </c>
      <c r="IL37" s="539"/>
      <c r="IM37" s="540">
        <f t="shared" si="80"/>
        <v>0</v>
      </c>
      <c r="IN37" s="541">
        <f t="shared" si="191"/>
        <v>0</v>
      </c>
      <c r="IO37" s="539"/>
      <c r="IP37" s="540">
        <f t="shared" si="81"/>
        <v>0</v>
      </c>
      <c r="IQ37" s="541">
        <f t="shared" si="192"/>
        <v>0</v>
      </c>
      <c r="IR37" s="539"/>
      <c r="IS37" s="540">
        <f t="shared" si="82"/>
        <v>0</v>
      </c>
      <c r="IT37" s="541">
        <f t="shared" si="193"/>
        <v>0</v>
      </c>
      <c r="IU37" s="539"/>
      <c r="IV37" s="540">
        <f t="shared" si="83"/>
        <v>0</v>
      </c>
      <c r="IW37" s="541">
        <f t="shared" si="194"/>
        <v>0</v>
      </c>
      <c r="IX37" s="539"/>
      <c r="IY37" s="540">
        <f t="shared" si="84"/>
        <v>0</v>
      </c>
      <c r="IZ37" s="541">
        <f t="shared" si="195"/>
        <v>0</v>
      </c>
      <c r="JA37" s="539"/>
      <c r="JB37" s="540">
        <f t="shared" si="85"/>
        <v>0</v>
      </c>
      <c r="JC37" s="541">
        <f t="shared" si="196"/>
        <v>0</v>
      </c>
      <c r="JD37" s="539"/>
      <c r="JE37" s="540">
        <f t="shared" si="86"/>
        <v>0</v>
      </c>
      <c r="JF37" s="541">
        <f t="shared" si="197"/>
        <v>0</v>
      </c>
      <c r="JG37" s="539"/>
      <c r="JH37" s="540">
        <f t="shared" si="87"/>
        <v>0</v>
      </c>
      <c r="JI37" s="541">
        <f t="shared" si="198"/>
        <v>0</v>
      </c>
      <c r="JJ37" s="539"/>
      <c r="JK37" s="541" t="str">
        <f t="shared" si="88"/>
        <v>0</v>
      </c>
      <c r="JL37" s="541" t="str">
        <f t="shared" si="89"/>
        <v>0</v>
      </c>
      <c r="JM37" s="539"/>
      <c r="JN37" s="541" t="str">
        <f t="shared" si="90"/>
        <v>0</v>
      </c>
      <c r="JO37" s="541" t="str">
        <f t="shared" si="91"/>
        <v>0</v>
      </c>
      <c r="JP37" s="539"/>
      <c r="JQ37" s="541" t="str">
        <f t="shared" si="92"/>
        <v>0</v>
      </c>
      <c r="JR37" s="541" t="str">
        <f t="shared" si="93"/>
        <v>0</v>
      </c>
      <c r="JS37" s="539"/>
      <c r="JT37" s="541" t="str">
        <f t="shared" si="94"/>
        <v>0</v>
      </c>
      <c r="JU37" s="541" t="str">
        <f t="shared" si="95"/>
        <v>0</v>
      </c>
      <c r="JV37" s="539"/>
      <c r="JW37" s="541" t="str">
        <f t="shared" si="96"/>
        <v>0</v>
      </c>
      <c r="JX37" s="541" t="str">
        <f t="shared" si="97"/>
        <v>0</v>
      </c>
      <c r="JY37" s="539"/>
      <c r="JZ37" s="541" t="str">
        <f t="shared" si="98"/>
        <v>0</v>
      </c>
      <c r="KA37" s="541" t="str">
        <f t="shared" si="99"/>
        <v>0</v>
      </c>
      <c r="KB37" s="539"/>
      <c r="KC37" s="541" t="str">
        <f t="shared" si="100"/>
        <v>0</v>
      </c>
      <c r="KD37" s="541" t="str">
        <f t="shared" si="101"/>
        <v>0</v>
      </c>
      <c r="KE37" s="539"/>
      <c r="KF37" s="541" t="str">
        <f t="shared" si="102"/>
        <v>0</v>
      </c>
      <c r="KG37" s="541" t="str">
        <f t="shared" si="103"/>
        <v>0</v>
      </c>
      <c r="KH37" s="539"/>
      <c r="KI37" s="541" t="str">
        <f t="shared" si="104"/>
        <v>0</v>
      </c>
      <c r="KJ37" s="541" t="str">
        <f t="shared" si="105"/>
        <v>0</v>
      </c>
      <c r="KK37" s="539"/>
      <c r="KL37" s="541" t="str">
        <f t="shared" si="106"/>
        <v>0</v>
      </c>
      <c r="KM37" s="541" t="str">
        <f t="shared" si="107"/>
        <v>0</v>
      </c>
      <c r="KN37" s="539"/>
      <c r="KO37" s="541" t="str">
        <f t="shared" si="108"/>
        <v>0</v>
      </c>
      <c r="KP37" s="541" t="str">
        <f t="shared" si="109"/>
        <v>0</v>
      </c>
      <c r="KQ37" s="539"/>
      <c r="KR37" s="541" t="str">
        <f t="shared" si="110"/>
        <v>0</v>
      </c>
      <c r="KS37" s="541" t="str">
        <f t="shared" si="111"/>
        <v>0</v>
      </c>
      <c r="KT37" s="541">
        <f t="shared" si="201"/>
        <v>0</v>
      </c>
      <c r="KU37" s="541">
        <f t="shared" si="202"/>
        <v>0</v>
      </c>
      <c r="KV37" s="272">
        <f t="shared" si="199"/>
        <v>458.82297422646241</v>
      </c>
    </row>
    <row r="38" spans="1:308" ht="15" customHeight="1">
      <c r="A38" s="274">
        <f t="shared" si="200"/>
        <v>46142</v>
      </c>
      <c r="B38" s="275" t="str">
        <f>+Report1!B38</f>
        <v>Sanitary Napkin</v>
      </c>
      <c r="C38" s="417" t="str">
        <f>+Report1!C38</f>
        <v>13</v>
      </c>
      <c r="D38" s="276">
        <f>+Report1!P38</f>
        <v>50.679000000000002</v>
      </c>
      <c r="E38" s="277">
        <f>+Report1!R38</f>
        <v>51.228000000000002</v>
      </c>
      <c r="F38" s="539"/>
      <c r="G38" s="540">
        <f t="shared" si="0"/>
        <v>0</v>
      </c>
      <c r="H38" s="541">
        <f t="shared" si="112"/>
        <v>0</v>
      </c>
      <c r="I38" s="539">
        <v>440.58896744186075</v>
      </c>
      <c r="J38" s="540">
        <f t="shared" si="1"/>
        <v>8.6005498446525479</v>
      </c>
      <c r="K38" s="541">
        <f t="shared" si="113"/>
        <v>0</v>
      </c>
      <c r="L38" s="539"/>
      <c r="M38" s="540">
        <f t="shared" si="2"/>
        <v>0</v>
      </c>
      <c r="N38" s="541">
        <f t="shared" si="114"/>
        <v>0</v>
      </c>
      <c r="O38" s="539">
        <v>12.120800000000031</v>
      </c>
      <c r="P38" s="540">
        <f t="shared" si="3"/>
        <v>0.23660498165066041</v>
      </c>
      <c r="Q38" s="541">
        <f t="shared" si="115"/>
        <v>0</v>
      </c>
      <c r="R38" s="539"/>
      <c r="S38" s="540">
        <f t="shared" si="4"/>
        <v>0</v>
      </c>
      <c r="T38" s="541">
        <f t="shared" si="116"/>
        <v>0</v>
      </c>
      <c r="U38" s="539">
        <v>18.129900000000021</v>
      </c>
      <c r="V38" s="540">
        <f t="shared" si="5"/>
        <v>0.35390606699461269</v>
      </c>
      <c r="W38" s="541">
        <f t="shared" si="117"/>
        <v>0</v>
      </c>
      <c r="X38" s="539"/>
      <c r="Y38" s="540">
        <f t="shared" si="6"/>
        <v>0</v>
      </c>
      <c r="Z38" s="541">
        <f t="shared" si="118"/>
        <v>0</v>
      </c>
      <c r="AA38" s="539"/>
      <c r="AB38" s="540">
        <f t="shared" si="7"/>
        <v>0</v>
      </c>
      <c r="AC38" s="541">
        <f t="shared" si="119"/>
        <v>0</v>
      </c>
      <c r="AD38" s="539"/>
      <c r="AE38" s="540">
        <f t="shared" si="8"/>
        <v>0</v>
      </c>
      <c r="AF38" s="541">
        <f t="shared" si="120"/>
        <v>0</v>
      </c>
      <c r="AG38" s="539"/>
      <c r="AH38" s="540">
        <f t="shared" si="9"/>
        <v>0</v>
      </c>
      <c r="AI38" s="541">
        <f t="shared" si="121"/>
        <v>0</v>
      </c>
      <c r="AJ38" s="539"/>
      <c r="AK38" s="540">
        <f t="shared" si="10"/>
        <v>0</v>
      </c>
      <c r="AL38" s="541">
        <f t="shared" si="122"/>
        <v>0</v>
      </c>
      <c r="AM38" s="539">
        <v>53.115630769230677</v>
      </c>
      <c r="AN38" s="540">
        <f t="shared" si="11"/>
        <v>1.0368476374098281</v>
      </c>
      <c r="AO38" s="541">
        <f t="shared" si="123"/>
        <v>0</v>
      </c>
      <c r="AP38" s="539">
        <v>0</v>
      </c>
      <c r="AQ38" s="540">
        <f t="shared" si="12"/>
        <v>0</v>
      </c>
      <c r="AR38" s="541">
        <f t="shared" si="124"/>
        <v>0</v>
      </c>
      <c r="AS38" s="539"/>
      <c r="AT38" s="540">
        <f t="shared" si="13"/>
        <v>0</v>
      </c>
      <c r="AU38" s="541">
        <f t="shared" si="125"/>
        <v>0</v>
      </c>
      <c r="AV38" s="539">
        <v>4.2095000000000198</v>
      </c>
      <c r="AW38" s="540">
        <f t="shared" si="14"/>
        <v>8.2171859139533454E-2</v>
      </c>
      <c r="AX38" s="541">
        <f t="shared" si="126"/>
        <v>0</v>
      </c>
      <c r="AY38" s="539">
        <v>36.549200000000042</v>
      </c>
      <c r="AZ38" s="540">
        <f t="shared" si="15"/>
        <v>0.71346138830327244</v>
      </c>
      <c r="BA38" s="541">
        <f t="shared" si="127"/>
        <v>0</v>
      </c>
      <c r="BB38" s="539">
        <v>0</v>
      </c>
      <c r="BC38" s="540">
        <f t="shared" si="16"/>
        <v>0</v>
      </c>
      <c r="BD38" s="541">
        <f t="shared" si="128"/>
        <v>0</v>
      </c>
      <c r="BE38" s="539"/>
      <c r="BF38" s="540">
        <f t="shared" si="17"/>
        <v>0</v>
      </c>
      <c r="BG38" s="541">
        <f t="shared" si="129"/>
        <v>0</v>
      </c>
      <c r="BH38" s="539"/>
      <c r="BI38" s="540">
        <f t="shared" si="18"/>
        <v>0</v>
      </c>
      <c r="BJ38" s="541">
        <f t="shared" si="130"/>
        <v>0</v>
      </c>
      <c r="BK38" s="539"/>
      <c r="BL38" s="540">
        <f t="shared" si="19"/>
        <v>0</v>
      </c>
      <c r="BM38" s="541">
        <f t="shared" si="131"/>
        <v>0</v>
      </c>
      <c r="BN38" s="539">
        <v>11.504200000000026</v>
      </c>
      <c r="BO38" s="540">
        <f t="shared" si="20"/>
        <v>0.22456859529944612</v>
      </c>
      <c r="BP38" s="541">
        <f t="shared" si="132"/>
        <v>0</v>
      </c>
      <c r="BQ38" s="539">
        <v>0</v>
      </c>
      <c r="BR38" s="540">
        <f t="shared" si="21"/>
        <v>0</v>
      </c>
      <c r="BS38" s="541">
        <f t="shared" si="133"/>
        <v>0</v>
      </c>
      <c r="BT38" s="539"/>
      <c r="BU38" s="540">
        <f t="shared" si="22"/>
        <v>0</v>
      </c>
      <c r="BV38" s="541">
        <f t="shared" si="134"/>
        <v>0</v>
      </c>
      <c r="BW38" s="539">
        <v>0</v>
      </c>
      <c r="BX38" s="540">
        <f t="shared" si="23"/>
        <v>0</v>
      </c>
      <c r="BY38" s="541">
        <f t="shared" si="135"/>
        <v>0</v>
      </c>
      <c r="BZ38" s="539"/>
      <c r="CA38" s="540">
        <f t="shared" si="24"/>
        <v>0</v>
      </c>
      <c r="CB38" s="541">
        <f t="shared" si="136"/>
        <v>0</v>
      </c>
      <c r="CC38" s="539">
        <v>0</v>
      </c>
      <c r="CD38" s="540">
        <f t="shared" si="25"/>
        <v>0</v>
      </c>
      <c r="CE38" s="541">
        <f t="shared" si="137"/>
        <v>0</v>
      </c>
      <c r="CF38" s="539">
        <v>4.9999999999999822E-2</v>
      </c>
      <c r="CG38" s="540">
        <f t="shared" si="26"/>
        <v>9.7602873428593391E-4</v>
      </c>
      <c r="CH38" s="541">
        <f t="shared" si="138"/>
        <v>0</v>
      </c>
      <c r="CI38" s="539"/>
      <c r="CJ38" s="540">
        <f t="shared" si="27"/>
        <v>0</v>
      </c>
      <c r="CK38" s="541">
        <f t="shared" si="139"/>
        <v>0</v>
      </c>
      <c r="CL38" s="539"/>
      <c r="CM38" s="540">
        <f t="shared" si="28"/>
        <v>0</v>
      </c>
      <c r="CN38" s="541">
        <f t="shared" si="140"/>
        <v>0</v>
      </c>
      <c r="CO38" s="539"/>
      <c r="CP38" s="540">
        <f t="shared" si="29"/>
        <v>0</v>
      </c>
      <c r="CQ38" s="541">
        <f t="shared" si="141"/>
        <v>0</v>
      </c>
      <c r="CR38" s="539"/>
      <c r="CS38" s="540">
        <f t="shared" si="30"/>
        <v>0</v>
      </c>
      <c r="CT38" s="541">
        <f t="shared" si="142"/>
        <v>0</v>
      </c>
      <c r="CU38" s="539"/>
      <c r="CV38" s="540">
        <f t="shared" si="31"/>
        <v>0</v>
      </c>
      <c r="CW38" s="541">
        <f t="shared" si="143"/>
        <v>0</v>
      </c>
      <c r="CX38" s="539"/>
      <c r="CY38" s="540">
        <f t="shared" si="32"/>
        <v>0</v>
      </c>
      <c r="CZ38" s="541">
        <f t="shared" si="144"/>
        <v>0</v>
      </c>
      <c r="DA38" s="539">
        <v>0</v>
      </c>
      <c r="DB38" s="540">
        <f t="shared" si="33"/>
        <v>0</v>
      </c>
      <c r="DC38" s="541">
        <f t="shared" si="145"/>
        <v>0</v>
      </c>
      <c r="DD38" s="539"/>
      <c r="DE38" s="540">
        <f t="shared" si="34"/>
        <v>0</v>
      </c>
      <c r="DF38" s="541">
        <f t="shared" si="146"/>
        <v>0</v>
      </c>
      <c r="DG38" s="539">
        <v>0</v>
      </c>
      <c r="DH38" s="540">
        <f t="shared" si="35"/>
        <v>0</v>
      </c>
      <c r="DI38" s="541">
        <f t="shared" si="203"/>
        <v>0</v>
      </c>
      <c r="DJ38" s="539"/>
      <c r="DK38" s="540">
        <f t="shared" si="36"/>
        <v>0</v>
      </c>
      <c r="DL38" s="541">
        <f t="shared" si="147"/>
        <v>0</v>
      </c>
      <c r="DM38" s="539"/>
      <c r="DN38" s="540">
        <f t="shared" si="37"/>
        <v>0</v>
      </c>
      <c r="DO38" s="541">
        <f t="shared" si="148"/>
        <v>0</v>
      </c>
      <c r="DP38" s="539"/>
      <c r="DQ38" s="540">
        <f t="shared" si="38"/>
        <v>0</v>
      </c>
      <c r="DR38" s="541">
        <f t="shared" si="149"/>
        <v>0</v>
      </c>
      <c r="DS38" s="539"/>
      <c r="DT38" s="540">
        <f t="shared" si="39"/>
        <v>0</v>
      </c>
      <c r="DU38" s="541">
        <f t="shared" si="150"/>
        <v>0</v>
      </c>
      <c r="DV38" s="539"/>
      <c r="DW38" s="540">
        <f t="shared" si="40"/>
        <v>0</v>
      </c>
      <c r="DX38" s="541">
        <f t="shared" si="151"/>
        <v>0</v>
      </c>
      <c r="DY38" s="539"/>
      <c r="DZ38" s="540">
        <f t="shared" si="41"/>
        <v>0</v>
      </c>
      <c r="EA38" s="541">
        <f t="shared" si="152"/>
        <v>0</v>
      </c>
      <c r="EB38" s="539">
        <v>22.031348837209521</v>
      </c>
      <c r="EC38" s="540">
        <f t="shared" si="42"/>
        <v>0.43006459040387135</v>
      </c>
      <c r="ED38" s="541">
        <f t="shared" si="153"/>
        <v>0</v>
      </c>
      <c r="EE38" s="539">
        <v>1</v>
      </c>
      <c r="EF38" s="540">
        <f t="shared" si="43"/>
        <v>1.9520574685718748E-2</v>
      </c>
      <c r="EG38" s="541">
        <f t="shared" si="154"/>
        <v>0</v>
      </c>
      <c r="EH38" s="539"/>
      <c r="EI38" s="540">
        <f t="shared" si="44"/>
        <v>0</v>
      </c>
      <c r="EJ38" s="541">
        <f t="shared" si="155"/>
        <v>0</v>
      </c>
      <c r="EK38" s="539"/>
      <c r="EL38" s="540">
        <f t="shared" si="45"/>
        <v>0</v>
      </c>
      <c r="EM38" s="541">
        <f t="shared" si="156"/>
        <v>0</v>
      </c>
      <c r="EN38" s="539"/>
      <c r="EO38" s="540">
        <f t="shared" si="46"/>
        <v>0</v>
      </c>
      <c r="EP38" s="541">
        <f t="shared" si="157"/>
        <v>0</v>
      </c>
      <c r="EQ38" s="539"/>
      <c r="ER38" s="540">
        <f t="shared" si="47"/>
        <v>0</v>
      </c>
      <c r="ES38" s="541">
        <f t="shared" si="158"/>
        <v>0</v>
      </c>
      <c r="ET38" s="539"/>
      <c r="EU38" s="540">
        <f t="shared" si="48"/>
        <v>0</v>
      </c>
      <c r="EV38" s="541">
        <f t="shared" si="159"/>
        <v>0</v>
      </c>
      <c r="EW38" s="539"/>
      <c r="EX38" s="540">
        <f t="shared" si="49"/>
        <v>0</v>
      </c>
      <c r="EY38" s="541">
        <f t="shared" si="160"/>
        <v>0</v>
      </c>
      <c r="EZ38" s="539"/>
      <c r="FA38" s="540">
        <f t="shared" si="50"/>
        <v>0</v>
      </c>
      <c r="FB38" s="541">
        <f t="shared" si="161"/>
        <v>0</v>
      </c>
      <c r="FC38" s="539"/>
      <c r="FD38" s="540">
        <f t="shared" si="51"/>
        <v>0</v>
      </c>
      <c r="FE38" s="541">
        <f t="shared" si="162"/>
        <v>0</v>
      </c>
      <c r="FF38" s="539"/>
      <c r="FG38" s="540">
        <f t="shared" si="52"/>
        <v>0</v>
      </c>
      <c r="FH38" s="541">
        <f t="shared" si="163"/>
        <v>0</v>
      </c>
      <c r="FI38" s="539"/>
      <c r="FJ38" s="540">
        <f t="shared" si="53"/>
        <v>0</v>
      </c>
      <c r="FK38" s="541">
        <f t="shared" si="164"/>
        <v>0</v>
      </c>
      <c r="FL38" s="539"/>
      <c r="FM38" s="540">
        <f t="shared" si="54"/>
        <v>0</v>
      </c>
      <c r="FN38" s="541">
        <f t="shared" si="165"/>
        <v>0</v>
      </c>
      <c r="FO38" s="539"/>
      <c r="FP38" s="540">
        <f t="shared" si="55"/>
        <v>0</v>
      </c>
      <c r="FQ38" s="541">
        <f t="shared" si="166"/>
        <v>0</v>
      </c>
      <c r="FR38" s="539"/>
      <c r="FS38" s="540">
        <f t="shared" si="56"/>
        <v>0</v>
      </c>
      <c r="FT38" s="541">
        <f t="shared" si="167"/>
        <v>0</v>
      </c>
      <c r="FU38" s="539"/>
      <c r="FV38" s="540">
        <f t="shared" si="57"/>
        <v>0</v>
      </c>
      <c r="FW38" s="541">
        <f t="shared" si="168"/>
        <v>0</v>
      </c>
      <c r="FX38" s="539"/>
      <c r="FY38" s="540">
        <f t="shared" si="58"/>
        <v>0</v>
      </c>
      <c r="FZ38" s="541">
        <f t="shared" si="169"/>
        <v>0</v>
      </c>
      <c r="GA38" s="539"/>
      <c r="GB38" s="540">
        <f t="shared" si="59"/>
        <v>0</v>
      </c>
      <c r="GC38" s="541">
        <f t="shared" si="170"/>
        <v>0</v>
      </c>
      <c r="GD38" s="539"/>
      <c r="GE38" s="540">
        <f t="shared" si="60"/>
        <v>0</v>
      </c>
      <c r="GF38" s="541">
        <f t="shared" si="171"/>
        <v>0</v>
      </c>
      <c r="GG38" s="539"/>
      <c r="GH38" s="540">
        <f t="shared" si="61"/>
        <v>0</v>
      </c>
      <c r="GI38" s="541">
        <f t="shared" si="172"/>
        <v>0</v>
      </c>
      <c r="GJ38" s="539"/>
      <c r="GK38" s="540">
        <f t="shared" si="62"/>
        <v>0</v>
      </c>
      <c r="GL38" s="541">
        <f t="shared" si="173"/>
        <v>0</v>
      </c>
      <c r="GM38" s="539"/>
      <c r="GN38" s="540">
        <f t="shared" si="63"/>
        <v>0</v>
      </c>
      <c r="GO38" s="541">
        <f t="shared" si="174"/>
        <v>0</v>
      </c>
      <c r="GP38" s="539"/>
      <c r="GQ38" s="540">
        <f t="shared" si="64"/>
        <v>0</v>
      </c>
      <c r="GR38" s="541">
        <f t="shared" si="175"/>
        <v>0</v>
      </c>
      <c r="GS38" s="539"/>
      <c r="GT38" s="540">
        <f t="shared" si="65"/>
        <v>0</v>
      </c>
      <c r="GU38" s="541">
        <f t="shared" si="176"/>
        <v>0</v>
      </c>
      <c r="GV38" s="539"/>
      <c r="GW38" s="540">
        <f t="shared" si="66"/>
        <v>0</v>
      </c>
      <c r="GX38" s="541">
        <f t="shared" si="177"/>
        <v>0</v>
      </c>
      <c r="GY38" s="539"/>
      <c r="GZ38" s="540">
        <f t="shared" si="67"/>
        <v>0</v>
      </c>
      <c r="HA38" s="541">
        <f t="shared" si="178"/>
        <v>0</v>
      </c>
      <c r="HB38" s="539"/>
      <c r="HC38" s="540">
        <f t="shared" si="68"/>
        <v>0</v>
      </c>
      <c r="HD38" s="541">
        <f t="shared" si="179"/>
        <v>0</v>
      </c>
      <c r="HE38" s="539"/>
      <c r="HF38" s="540">
        <f t="shared" si="69"/>
        <v>0</v>
      </c>
      <c r="HG38" s="541">
        <f t="shared" si="180"/>
        <v>0</v>
      </c>
      <c r="HH38" s="539"/>
      <c r="HI38" s="540">
        <f t="shared" si="70"/>
        <v>0</v>
      </c>
      <c r="HJ38" s="541">
        <f t="shared" si="181"/>
        <v>0</v>
      </c>
      <c r="HK38" s="539"/>
      <c r="HL38" s="540">
        <f t="shared" si="71"/>
        <v>0</v>
      </c>
      <c r="HM38" s="541">
        <f t="shared" si="182"/>
        <v>0</v>
      </c>
      <c r="HN38" s="539"/>
      <c r="HO38" s="540">
        <f t="shared" si="72"/>
        <v>0</v>
      </c>
      <c r="HP38" s="541">
        <f t="shared" si="183"/>
        <v>0</v>
      </c>
      <c r="HQ38" s="539"/>
      <c r="HR38" s="540">
        <f t="shared" si="73"/>
        <v>0</v>
      </c>
      <c r="HS38" s="541">
        <f t="shared" si="184"/>
        <v>0</v>
      </c>
      <c r="HT38" s="539"/>
      <c r="HU38" s="540">
        <f t="shared" si="74"/>
        <v>0</v>
      </c>
      <c r="HV38" s="541">
        <f t="shared" si="185"/>
        <v>0</v>
      </c>
      <c r="HW38" s="539"/>
      <c r="HX38" s="540">
        <f t="shared" si="75"/>
        <v>0</v>
      </c>
      <c r="HY38" s="541">
        <f t="shared" si="186"/>
        <v>0</v>
      </c>
      <c r="HZ38" s="539"/>
      <c r="IA38" s="540">
        <f t="shared" si="76"/>
        <v>0</v>
      </c>
      <c r="IB38" s="541">
        <f t="shared" si="187"/>
        <v>0</v>
      </c>
      <c r="IC38" s="539"/>
      <c r="ID38" s="540">
        <f t="shared" si="77"/>
        <v>0</v>
      </c>
      <c r="IE38" s="541">
        <f t="shared" si="188"/>
        <v>0</v>
      </c>
      <c r="IF38" s="539"/>
      <c r="IG38" s="540">
        <f t="shared" si="78"/>
        <v>0</v>
      </c>
      <c r="IH38" s="541">
        <f t="shared" si="189"/>
        <v>0</v>
      </c>
      <c r="II38" s="539"/>
      <c r="IJ38" s="540">
        <f t="shared" si="79"/>
        <v>0</v>
      </c>
      <c r="IK38" s="541">
        <f t="shared" si="190"/>
        <v>0</v>
      </c>
      <c r="IL38" s="539"/>
      <c r="IM38" s="540">
        <f t="shared" si="80"/>
        <v>0</v>
      </c>
      <c r="IN38" s="541">
        <f t="shared" si="191"/>
        <v>0</v>
      </c>
      <c r="IO38" s="539"/>
      <c r="IP38" s="540">
        <f t="shared" si="81"/>
        <v>0</v>
      </c>
      <c r="IQ38" s="541">
        <f t="shared" si="192"/>
        <v>0</v>
      </c>
      <c r="IR38" s="539"/>
      <c r="IS38" s="540">
        <f t="shared" si="82"/>
        <v>0</v>
      </c>
      <c r="IT38" s="541">
        <f t="shared" si="193"/>
        <v>0</v>
      </c>
      <c r="IU38" s="539"/>
      <c r="IV38" s="540">
        <f t="shared" si="83"/>
        <v>0</v>
      </c>
      <c r="IW38" s="541">
        <f t="shared" si="194"/>
        <v>0</v>
      </c>
      <c r="IX38" s="539"/>
      <c r="IY38" s="540">
        <f t="shared" si="84"/>
        <v>0</v>
      </c>
      <c r="IZ38" s="541">
        <f t="shared" si="195"/>
        <v>0</v>
      </c>
      <c r="JA38" s="539"/>
      <c r="JB38" s="540">
        <f t="shared" si="85"/>
        <v>0</v>
      </c>
      <c r="JC38" s="541">
        <f t="shared" si="196"/>
        <v>0</v>
      </c>
      <c r="JD38" s="539"/>
      <c r="JE38" s="540">
        <f t="shared" si="86"/>
        <v>0</v>
      </c>
      <c r="JF38" s="541">
        <f t="shared" si="197"/>
        <v>0</v>
      </c>
      <c r="JG38" s="539"/>
      <c r="JH38" s="540">
        <f t="shared" si="87"/>
        <v>0</v>
      </c>
      <c r="JI38" s="541">
        <f t="shared" si="198"/>
        <v>0</v>
      </c>
      <c r="JJ38" s="539"/>
      <c r="JK38" s="541" t="str">
        <f t="shared" si="88"/>
        <v>0</v>
      </c>
      <c r="JL38" s="541" t="str">
        <f t="shared" si="89"/>
        <v>0</v>
      </c>
      <c r="JM38" s="539"/>
      <c r="JN38" s="541" t="str">
        <f t="shared" si="90"/>
        <v>0</v>
      </c>
      <c r="JO38" s="541" t="str">
        <f t="shared" si="91"/>
        <v>0</v>
      </c>
      <c r="JP38" s="539"/>
      <c r="JQ38" s="541" t="str">
        <f t="shared" si="92"/>
        <v>0</v>
      </c>
      <c r="JR38" s="541" t="str">
        <f t="shared" si="93"/>
        <v>0</v>
      </c>
      <c r="JS38" s="539"/>
      <c r="JT38" s="541" t="str">
        <f t="shared" si="94"/>
        <v>0</v>
      </c>
      <c r="JU38" s="541" t="str">
        <f t="shared" si="95"/>
        <v>0</v>
      </c>
      <c r="JV38" s="539"/>
      <c r="JW38" s="541" t="str">
        <f t="shared" si="96"/>
        <v>0</v>
      </c>
      <c r="JX38" s="541" t="str">
        <f t="shared" si="97"/>
        <v>0</v>
      </c>
      <c r="JY38" s="539"/>
      <c r="JZ38" s="541" t="str">
        <f t="shared" si="98"/>
        <v>0</v>
      </c>
      <c r="KA38" s="541" t="str">
        <f t="shared" si="99"/>
        <v>0</v>
      </c>
      <c r="KB38" s="539"/>
      <c r="KC38" s="541" t="str">
        <f t="shared" si="100"/>
        <v>0</v>
      </c>
      <c r="KD38" s="541" t="str">
        <f t="shared" si="101"/>
        <v>0</v>
      </c>
      <c r="KE38" s="539"/>
      <c r="KF38" s="541" t="str">
        <f t="shared" si="102"/>
        <v>0</v>
      </c>
      <c r="KG38" s="541" t="str">
        <f t="shared" si="103"/>
        <v>0</v>
      </c>
      <c r="KH38" s="539"/>
      <c r="KI38" s="541" t="str">
        <f t="shared" si="104"/>
        <v>0</v>
      </c>
      <c r="KJ38" s="541" t="str">
        <f t="shared" si="105"/>
        <v>0</v>
      </c>
      <c r="KK38" s="539"/>
      <c r="KL38" s="541" t="str">
        <f t="shared" si="106"/>
        <v>0</v>
      </c>
      <c r="KM38" s="541" t="str">
        <f t="shared" si="107"/>
        <v>0</v>
      </c>
      <c r="KN38" s="539"/>
      <c r="KO38" s="541" t="str">
        <f t="shared" si="108"/>
        <v>0</v>
      </c>
      <c r="KP38" s="541" t="str">
        <f t="shared" si="109"/>
        <v>0</v>
      </c>
      <c r="KQ38" s="539"/>
      <c r="KR38" s="541" t="str">
        <f t="shared" si="110"/>
        <v>0</v>
      </c>
      <c r="KS38" s="541" t="str">
        <f t="shared" si="111"/>
        <v>0</v>
      </c>
      <c r="KT38" s="541">
        <f t="shared" si="201"/>
        <v>0</v>
      </c>
      <c r="KU38" s="541">
        <f t="shared" si="202"/>
        <v>0</v>
      </c>
      <c r="KV38" s="272">
        <f t="shared" si="199"/>
        <v>599.29954704830118</v>
      </c>
    </row>
    <row r="39" spans="1:308" ht="15" customHeight="1">
      <c r="A39" s="274"/>
      <c r="B39" s="275"/>
      <c r="C39" s="417"/>
      <c r="D39" s="276"/>
      <c r="E39" s="277"/>
      <c r="F39" s="539"/>
      <c r="G39" s="540"/>
      <c r="H39" s="541"/>
      <c r="I39" s="539"/>
      <c r="J39" s="540"/>
      <c r="K39" s="541"/>
      <c r="L39" s="539"/>
      <c r="M39" s="540"/>
      <c r="N39" s="541"/>
      <c r="O39" s="539"/>
      <c r="P39" s="540"/>
      <c r="Q39" s="541"/>
      <c r="R39" s="539"/>
      <c r="S39" s="540"/>
      <c r="T39" s="541"/>
      <c r="U39" s="539"/>
      <c r="V39" s="540"/>
      <c r="W39" s="541"/>
      <c r="X39" s="539"/>
      <c r="Y39" s="540"/>
      <c r="Z39" s="541"/>
      <c r="AA39" s="539"/>
      <c r="AB39" s="540"/>
      <c r="AC39" s="541"/>
      <c r="AD39" s="539"/>
      <c r="AE39" s="540"/>
      <c r="AF39" s="541"/>
      <c r="AG39" s="539"/>
      <c r="AH39" s="540"/>
      <c r="AI39" s="541"/>
      <c r="AJ39" s="539"/>
      <c r="AK39" s="540"/>
      <c r="AL39" s="541"/>
      <c r="AM39" s="539"/>
      <c r="AN39" s="540"/>
      <c r="AO39" s="541"/>
      <c r="AP39" s="539"/>
      <c r="AQ39" s="540"/>
      <c r="AR39" s="541"/>
      <c r="AS39" s="539"/>
      <c r="AT39" s="540"/>
      <c r="AU39" s="541"/>
      <c r="AV39" s="539"/>
      <c r="AW39" s="540"/>
      <c r="AX39" s="541"/>
      <c r="AY39" s="539"/>
      <c r="AZ39" s="540"/>
      <c r="BA39" s="541"/>
      <c r="BB39" s="539"/>
      <c r="BC39" s="540"/>
      <c r="BD39" s="541"/>
      <c r="BE39" s="539"/>
      <c r="BF39" s="540"/>
      <c r="BG39" s="541"/>
      <c r="BH39" s="539"/>
      <c r="BI39" s="540"/>
      <c r="BJ39" s="541"/>
      <c r="BK39" s="539"/>
      <c r="BL39" s="540"/>
      <c r="BM39" s="541"/>
      <c r="BN39" s="539"/>
      <c r="BO39" s="540"/>
      <c r="BP39" s="541"/>
      <c r="BQ39" s="539"/>
      <c r="BR39" s="540"/>
      <c r="BS39" s="541"/>
      <c r="BT39" s="539"/>
      <c r="BU39" s="540"/>
      <c r="BV39" s="541"/>
      <c r="BW39" s="539"/>
      <c r="BX39" s="540"/>
      <c r="BY39" s="541"/>
      <c r="BZ39" s="539"/>
      <c r="CA39" s="540"/>
      <c r="CB39" s="541"/>
      <c r="CC39" s="539"/>
      <c r="CD39" s="540"/>
      <c r="CE39" s="541"/>
      <c r="CF39" s="539"/>
      <c r="CG39" s="540"/>
      <c r="CH39" s="541"/>
      <c r="CI39" s="539"/>
      <c r="CJ39" s="540"/>
      <c r="CK39" s="541"/>
      <c r="CL39" s="539"/>
      <c r="CM39" s="540"/>
      <c r="CN39" s="541"/>
      <c r="CO39" s="539"/>
      <c r="CP39" s="540"/>
      <c r="CQ39" s="541"/>
      <c r="CR39" s="539"/>
      <c r="CS39" s="540"/>
      <c r="CT39" s="541"/>
      <c r="CU39" s="539"/>
      <c r="CV39" s="540"/>
      <c r="CW39" s="541"/>
      <c r="CX39" s="539"/>
      <c r="CY39" s="540"/>
      <c r="CZ39" s="541"/>
      <c r="DA39" s="539"/>
      <c r="DB39" s="540"/>
      <c r="DC39" s="541"/>
      <c r="DD39" s="539"/>
      <c r="DE39" s="540"/>
      <c r="DF39" s="541"/>
      <c r="DG39" s="539"/>
      <c r="DH39" s="540"/>
      <c r="DI39" s="541"/>
      <c r="DJ39" s="539"/>
      <c r="DK39" s="540"/>
      <c r="DL39" s="541"/>
      <c r="DM39" s="539"/>
      <c r="DN39" s="540"/>
      <c r="DO39" s="541"/>
      <c r="DP39" s="539"/>
      <c r="DQ39" s="540"/>
      <c r="DR39" s="541"/>
      <c r="DS39" s="539"/>
      <c r="DT39" s="540"/>
      <c r="DU39" s="541"/>
      <c r="DV39" s="539"/>
      <c r="DW39" s="540"/>
      <c r="DX39" s="541"/>
      <c r="DY39" s="539"/>
      <c r="DZ39" s="540"/>
      <c r="EA39" s="541"/>
      <c r="EB39" s="539"/>
      <c r="EC39" s="540"/>
      <c r="ED39" s="541"/>
      <c r="EE39" s="539"/>
      <c r="EF39" s="540"/>
      <c r="EG39" s="541"/>
      <c r="EH39" s="539"/>
      <c r="EI39" s="540"/>
      <c r="EJ39" s="541"/>
      <c r="EK39" s="539"/>
      <c r="EL39" s="540"/>
      <c r="EM39" s="541"/>
      <c r="EN39" s="539"/>
      <c r="EO39" s="540"/>
      <c r="EP39" s="541"/>
      <c r="EQ39" s="539"/>
      <c r="ER39" s="540"/>
      <c r="ES39" s="541"/>
      <c r="ET39" s="539"/>
      <c r="EU39" s="540"/>
      <c r="EV39" s="541"/>
      <c r="EW39" s="539"/>
      <c r="EX39" s="540"/>
      <c r="EY39" s="541"/>
      <c r="EZ39" s="539"/>
      <c r="FA39" s="540"/>
      <c r="FB39" s="541"/>
      <c r="FC39" s="539"/>
      <c r="FD39" s="540"/>
      <c r="FE39" s="541"/>
      <c r="FF39" s="539"/>
      <c r="FG39" s="540"/>
      <c r="FH39" s="541"/>
      <c r="FI39" s="539"/>
      <c r="FJ39" s="540"/>
      <c r="FK39" s="541"/>
      <c r="FL39" s="539"/>
      <c r="FM39" s="540"/>
      <c r="FN39" s="541"/>
      <c r="FO39" s="539"/>
      <c r="FP39" s="540"/>
      <c r="FQ39" s="541"/>
      <c r="FR39" s="539"/>
      <c r="FS39" s="540"/>
      <c r="FT39" s="541"/>
      <c r="FU39" s="539"/>
      <c r="FV39" s="540"/>
      <c r="FW39" s="541"/>
      <c r="FX39" s="539"/>
      <c r="FY39" s="540"/>
      <c r="FZ39" s="541"/>
      <c r="GA39" s="539"/>
      <c r="GB39" s="540"/>
      <c r="GC39" s="541"/>
      <c r="GD39" s="539"/>
      <c r="GE39" s="540"/>
      <c r="GF39" s="541"/>
      <c r="GG39" s="539"/>
      <c r="GH39" s="540"/>
      <c r="GI39" s="541"/>
      <c r="GJ39" s="539"/>
      <c r="GK39" s="540"/>
      <c r="GL39" s="541"/>
      <c r="GM39" s="539"/>
      <c r="GN39" s="540"/>
      <c r="GO39" s="541"/>
      <c r="GP39" s="539"/>
      <c r="GQ39" s="540"/>
      <c r="GR39" s="541"/>
      <c r="GS39" s="539"/>
      <c r="GT39" s="540"/>
      <c r="GU39" s="541"/>
      <c r="GV39" s="539"/>
      <c r="GW39" s="540"/>
      <c r="GX39" s="541"/>
      <c r="GY39" s="539"/>
      <c r="GZ39" s="540"/>
      <c r="HA39" s="541"/>
      <c r="HB39" s="539"/>
      <c r="HC39" s="540"/>
      <c r="HD39" s="541"/>
      <c r="HE39" s="539"/>
      <c r="HF39" s="540"/>
      <c r="HG39" s="541"/>
      <c r="HH39" s="539"/>
      <c r="HI39" s="540"/>
      <c r="HJ39" s="541"/>
      <c r="HK39" s="539"/>
      <c r="HL39" s="540"/>
      <c r="HM39" s="541"/>
      <c r="HN39" s="539"/>
      <c r="HO39" s="540"/>
      <c r="HP39" s="541"/>
      <c r="HQ39" s="539"/>
      <c r="HR39" s="540"/>
      <c r="HS39" s="541"/>
      <c r="HT39" s="539"/>
      <c r="HU39" s="540"/>
      <c r="HV39" s="541"/>
      <c r="HW39" s="539"/>
      <c r="HX39" s="540"/>
      <c r="HY39" s="541"/>
      <c r="HZ39" s="539"/>
      <c r="IA39" s="540"/>
      <c r="IB39" s="541"/>
      <c r="IC39" s="539"/>
      <c r="ID39" s="540"/>
      <c r="IE39" s="541"/>
      <c r="IF39" s="539"/>
      <c r="IG39" s="540"/>
      <c r="IH39" s="541"/>
      <c r="II39" s="539"/>
      <c r="IJ39" s="540"/>
      <c r="IK39" s="541"/>
      <c r="IL39" s="539"/>
      <c r="IM39" s="540"/>
      <c r="IN39" s="541"/>
      <c r="IO39" s="539"/>
      <c r="IP39" s="540"/>
      <c r="IQ39" s="541"/>
      <c r="IR39" s="539"/>
      <c r="IS39" s="540"/>
      <c r="IT39" s="541"/>
      <c r="IU39" s="539"/>
      <c r="IV39" s="540"/>
      <c r="IW39" s="541"/>
      <c r="IX39" s="539"/>
      <c r="IY39" s="540"/>
      <c r="IZ39" s="541"/>
      <c r="JA39" s="539"/>
      <c r="JB39" s="540"/>
      <c r="JC39" s="541"/>
      <c r="JD39" s="539"/>
      <c r="JE39" s="540"/>
      <c r="JF39" s="541"/>
      <c r="JG39" s="539"/>
      <c r="JH39" s="540"/>
      <c r="JI39" s="541"/>
      <c r="JJ39" s="539"/>
      <c r="JK39" s="541"/>
      <c r="JL39" s="541"/>
      <c r="JM39" s="539"/>
      <c r="JN39" s="541"/>
      <c r="JO39" s="541"/>
      <c r="JP39" s="539"/>
      <c r="JQ39" s="541"/>
      <c r="JR39" s="541"/>
      <c r="JS39" s="539"/>
      <c r="JT39" s="541"/>
      <c r="JU39" s="541"/>
      <c r="JV39" s="539"/>
      <c r="JW39" s="541"/>
      <c r="JX39" s="541"/>
      <c r="JY39" s="539"/>
      <c r="JZ39" s="541"/>
      <c r="KA39" s="541"/>
      <c r="KB39" s="539"/>
      <c r="KC39" s="541"/>
      <c r="KD39" s="541"/>
      <c r="KE39" s="539"/>
      <c r="KF39" s="541"/>
      <c r="KG39" s="541"/>
      <c r="KH39" s="539"/>
      <c r="KI39" s="541"/>
      <c r="KJ39" s="541"/>
      <c r="KK39" s="539"/>
      <c r="KL39" s="541"/>
      <c r="KM39" s="541"/>
      <c r="KN39" s="539"/>
      <c r="KO39" s="541"/>
      <c r="KP39" s="541"/>
      <c r="KQ39" s="539"/>
      <c r="KR39" s="541"/>
      <c r="KS39" s="541"/>
      <c r="KT39" s="541"/>
      <c r="KU39" s="541"/>
      <c r="KV39" s="272"/>
    </row>
    <row r="40" spans="1:308" ht="15" customHeight="1" thickBot="1">
      <c r="A40" s="279"/>
      <c r="B40" s="280"/>
      <c r="C40" s="281"/>
      <c r="D40" s="281"/>
      <c r="E40" s="277">
        <f>+Report1!R40</f>
        <v>0</v>
      </c>
      <c r="F40" s="539"/>
      <c r="G40" s="540"/>
      <c r="H40" s="541"/>
      <c r="I40" s="539"/>
      <c r="J40" s="540"/>
      <c r="K40" s="541"/>
      <c r="L40" s="539"/>
      <c r="M40" s="540"/>
      <c r="N40" s="541"/>
      <c r="O40" s="539"/>
      <c r="P40" s="540"/>
      <c r="Q40" s="541"/>
      <c r="R40" s="539"/>
      <c r="S40" s="540"/>
      <c r="T40" s="541"/>
      <c r="U40" s="539"/>
      <c r="V40" s="540"/>
      <c r="W40" s="541"/>
      <c r="X40" s="539"/>
      <c r="Y40" s="540"/>
      <c r="Z40" s="541"/>
      <c r="AA40" s="539"/>
      <c r="AB40" s="540"/>
      <c r="AC40" s="541"/>
      <c r="AD40" s="539"/>
      <c r="AE40" s="540"/>
      <c r="AF40" s="541"/>
      <c r="AG40" s="539"/>
      <c r="AH40" s="540"/>
      <c r="AI40" s="541"/>
      <c r="AJ40" s="539"/>
      <c r="AK40" s="540"/>
      <c r="AL40" s="541"/>
      <c r="AM40" s="539"/>
      <c r="AN40" s="540"/>
      <c r="AO40" s="541"/>
      <c r="AP40" s="539"/>
      <c r="AQ40" s="540"/>
      <c r="AR40" s="541"/>
      <c r="AS40" s="539"/>
      <c r="AT40" s="540"/>
      <c r="AU40" s="541"/>
      <c r="AV40" s="539"/>
      <c r="AW40" s="540"/>
      <c r="AX40" s="541"/>
      <c r="AY40" s="539"/>
      <c r="AZ40" s="540"/>
      <c r="BA40" s="541"/>
      <c r="BB40" s="539"/>
      <c r="BC40" s="540"/>
      <c r="BD40" s="541"/>
      <c r="BE40" s="539"/>
      <c r="BF40" s="540"/>
      <c r="BG40" s="541"/>
      <c r="BH40" s="539"/>
      <c r="BI40" s="540"/>
      <c r="BJ40" s="541"/>
      <c r="BK40" s="539"/>
      <c r="BL40" s="540"/>
      <c r="BM40" s="541"/>
      <c r="BN40" s="539"/>
      <c r="BO40" s="540"/>
      <c r="BP40" s="541"/>
      <c r="BQ40" s="539"/>
      <c r="BR40" s="540"/>
      <c r="BS40" s="541"/>
      <c r="BT40" s="539"/>
      <c r="BU40" s="540"/>
      <c r="BV40" s="541"/>
      <c r="BW40" s="539"/>
      <c r="BX40" s="540"/>
      <c r="BY40" s="541"/>
      <c r="BZ40" s="539"/>
      <c r="CA40" s="540"/>
      <c r="CB40" s="541"/>
      <c r="CC40" s="539"/>
      <c r="CD40" s="540"/>
      <c r="CE40" s="541"/>
      <c r="CF40" s="539"/>
      <c r="CG40" s="540"/>
      <c r="CH40" s="541"/>
      <c r="CI40" s="539"/>
      <c r="CJ40" s="540"/>
      <c r="CK40" s="541"/>
      <c r="CL40" s="539"/>
      <c r="CM40" s="540"/>
      <c r="CN40" s="541"/>
      <c r="CO40" s="539"/>
      <c r="CP40" s="540"/>
      <c r="CQ40" s="541"/>
      <c r="CR40" s="539"/>
      <c r="CS40" s="540"/>
      <c r="CT40" s="541"/>
      <c r="CU40" s="539"/>
      <c r="CV40" s="540"/>
      <c r="CW40" s="541"/>
      <c r="CX40" s="539"/>
      <c r="CY40" s="540"/>
      <c r="CZ40" s="541"/>
      <c r="DA40" s="539"/>
      <c r="DB40" s="540"/>
      <c r="DC40" s="541"/>
      <c r="DD40" s="539"/>
      <c r="DE40" s="540"/>
      <c r="DF40" s="541"/>
      <c r="DG40" s="539"/>
      <c r="DH40" s="540"/>
      <c r="DI40" s="541"/>
      <c r="DJ40" s="539"/>
      <c r="DK40" s="540"/>
      <c r="DL40" s="541"/>
      <c r="DM40" s="539"/>
      <c r="DN40" s="540"/>
      <c r="DO40" s="541"/>
      <c r="DP40" s="539"/>
      <c r="DQ40" s="540"/>
      <c r="DR40" s="541"/>
      <c r="DS40" s="539"/>
      <c r="DT40" s="540"/>
      <c r="DU40" s="541"/>
      <c r="DV40" s="539"/>
      <c r="DW40" s="540"/>
      <c r="DX40" s="541"/>
      <c r="DY40" s="539"/>
      <c r="DZ40" s="540"/>
      <c r="EA40" s="541"/>
      <c r="EB40" s="539"/>
      <c r="EC40" s="540"/>
      <c r="ED40" s="541"/>
      <c r="EE40" s="539"/>
      <c r="EF40" s="540"/>
      <c r="EG40" s="541"/>
      <c r="EH40" s="539"/>
      <c r="EI40" s="540"/>
      <c r="EJ40" s="541"/>
      <c r="EK40" s="539"/>
      <c r="EL40" s="540"/>
      <c r="EM40" s="541"/>
      <c r="EN40" s="539"/>
      <c r="EO40" s="540"/>
      <c r="EP40" s="541"/>
      <c r="EQ40" s="539"/>
      <c r="ER40" s="540"/>
      <c r="ES40" s="541"/>
      <c r="ET40" s="539"/>
      <c r="EU40" s="540"/>
      <c r="EV40" s="541"/>
      <c r="EW40" s="539"/>
      <c r="EX40" s="540"/>
      <c r="EY40" s="541"/>
      <c r="EZ40" s="539"/>
      <c r="FA40" s="540"/>
      <c r="FB40" s="541"/>
      <c r="FC40" s="539"/>
      <c r="FD40" s="540"/>
      <c r="FE40" s="541"/>
      <c r="FF40" s="539"/>
      <c r="FG40" s="540"/>
      <c r="FH40" s="541"/>
      <c r="FI40" s="539"/>
      <c r="FJ40" s="540"/>
      <c r="FK40" s="541"/>
      <c r="FL40" s="539"/>
      <c r="FM40" s="540"/>
      <c r="FN40" s="541"/>
      <c r="FO40" s="539"/>
      <c r="FP40" s="540"/>
      <c r="FQ40" s="541"/>
      <c r="FR40" s="539"/>
      <c r="FS40" s="540"/>
      <c r="FT40" s="541"/>
      <c r="FU40" s="539"/>
      <c r="FV40" s="540"/>
      <c r="FW40" s="541"/>
      <c r="FX40" s="539"/>
      <c r="FY40" s="540"/>
      <c r="FZ40" s="541"/>
      <c r="GA40" s="539"/>
      <c r="GB40" s="540"/>
      <c r="GC40" s="541"/>
      <c r="GD40" s="539"/>
      <c r="GE40" s="540"/>
      <c r="GF40" s="541"/>
      <c r="GG40" s="539"/>
      <c r="GH40" s="540"/>
      <c r="GI40" s="541"/>
      <c r="GJ40" s="539"/>
      <c r="GK40" s="540"/>
      <c r="GL40" s="541"/>
      <c r="GM40" s="539"/>
      <c r="GN40" s="540"/>
      <c r="GO40" s="541"/>
      <c r="GP40" s="539"/>
      <c r="GQ40" s="540"/>
      <c r="GR40" s="541"/>
      <c r="GS40" s="539"/>
      <c r="GT40" s="540"/>
      <c r="GU40" s="541"/>
      <c r="GV40" s="539"/>
      <c r="GW40" s="540"/>
      <c r="GX40" s="541"/>
      <c r="GY40" s="539"/>
      <c r="GZ40" s="540"/>
      <c r="HA40" s="541"/>
      <c r="HB40" s="539"/>
      <c r="HC40" s="540"/>
      <c r="HD40" s="541"/>
      <c r="HE40" s="539"/>
      <c r="HF40" s="540"/>
      <c r="HG40" s="541"/>
      <c r="HH40" s="539"/>
      <c r="HI40" s="540"/>
      <c r="HJ40" s="541"/>
      <c r="HK40" s="539"/>
      <c r="HL40" s="540"/>
      <c r="HM40" s="541"/>
      <c r="HN40" s="539"/>
      <c r="HO40" s="540"/>
      <c r="HP40" s="541"/>
      <c r="HQ40" s="539"/>
      <c r="HR40" s="540"/>
      <c r="HS40" s="541"/>
      <c r="HT40" s="539"/>
      <c r="HU40" s="540"/>
      <c r="HV40" s="541"/>
      <c r="HW40" s="539"/>
      <c r="HX40" s="540"/>
      <c r="HY40" s="541"/>
      <c r="HZ40" s="539"/>
      <c r="IA40" s="540"/>
      <c r="IB40" s="541"/>
      <c r="IC40" s="539"/>
      <c r="ID40" s="540"/>
      <c r="IE40" s="541"/>
      <c r="IF40" s="539"/>
      <c r="IG40" s="540"/>
      <c r="IH40" s="541"/>
      <c r="II40" s="539"/>
      <c r="IJ40" s="540"/>
      <c r="IK40" s="541"/>
      <c r="IL40" s="539"/>
      <c r="IM40" s="540"/>
      <c r="IN40" s="541"/>
      <c r="IO40" s="539"/>
      <c r="IP40" s="540"/>
      <c r="IQ40" s="541"/>
      <c r="IR40" s="539"/>
      <c r="IS40" s="540"/>
      <c r="IT40" s="541"/>
      <c r="IU40" s="539"/>
      <c r="IV40" s="540"/>
      <c r="IW40" s="541"/>
      <c r="IX40" s="539"/>
      <c r="IY40" s="540"/>
      <c r="IZ40" s="541"/>
      <c r="JA40" s="539"/>
      <c r="JB40" s="540"/>
      <c r="JC40" s="541"/>
      <c r="JD40" s="539"/>
      <c r="JE40" s="540"/>
      <c r="JF40" s="541"/>
      <c r="JG40" s="539"/>
      <c r="JH40" s="540"/>
      <c r="JI40" s="541"/>
      <c r="JJ40" s="539"/>
      <c r="JK40" s="541"/>
      <c r="JL40" s="541"/>
      <c r="JM40" s="539"/>
      <c r="JN40" s="541"/>
      <c r="JO40" s="541"/>
      <c r="JP40" s="539"/>
      <c r="JQ40" s="541"/>
      <c r="JR40" s="541"/>
      <c r="JS40" s="539"/>
      <c r="JT40" s="541"/>
      <c r="JU40" s="541"/>
      <c r="JV40" s="539"/>
      <c r="JW40" s="541"/>
      <c r="JX40" s="541"/>
      <c r="JY40" s="539"/>
      <c r="JZ40" s="541"/>
      <c r="KA40" s="541"/>
      <c r="KB40" s="539"/>
      <c r="KC40" s="541"/>
      <c r="KD40" s="541"/>
      <c r="KE40" s="539"/>
      <c r="KF40" s="541"/>
      <c r="KG40" s="541"/>
      <c r="KH40" s="539"/>
      <c r="KI40" s="541"/>
      <c r="KJ40" s="541"/>
      <c r="KK40" s="539"/>
      <c r="KL40" s="541"/>
      <c r="KM40" s="541"/>
      <c r="KN40" s="539"/>
      <c r="KO40" s="541"/>
      <c r="KP40" s="541"/>
      <c r="KQ40" s="539"/>
      <c r="KR40" s="541"/>
      <c r="KS40" s="541"/>
      <c r="KT40" s="541"/>
      <c r="KU40" s="541"/>
      <c r="KV40" s="272"/>
    </row>
    <row r="41" spans="1:308" s="278" customFormat="1" ht="15" customHeight="1" thickTop="1" thickBot="1">
      <c r="A41" s="979" t="s">
        <v>27</v>
      </c>
      <c r="B41" s="980"/>
      <c r="C41" s="981"/>
      <c r="D41" s="282">
        <f>SUM(D9:D40)</f>
        <v>2011.0520000000001</v>
      </c>
      <c r="E41" s="282">
        <f>SUM(E9:E40)</f>
        <v>1962.1950000000002</v>
      </c>
      <c r="F41" s="536">
        <f>SUM(F9:F39)</f>
        <v>0</v>
      </c>
      <c r="G41" s="536">
        <f>IFERROR((F41/$L$41),0)</f>
        <v>0</v>
      </c>
      <c r="H41" s="536">
        <f>IFERROR(((F41*H$8)/$L$41),0)</f>
        <v>0</v>
      </c>
      <c r="I41" s="536">
        <f>SUM(I9:I39)</f>
        <v>13603.379665116281</v>
      </c>
      <c r="J41" s="536">
        <f>IFERROR((I41/$L$41),0)</f>
        <v>0</v>
      </c>
      <c r="K41" s="536">
        <f>IFERROR(((I41*K$8)/$L$41),0)</f>
        <v>0</v>
      </c>
      <c r="L41" s="536">
        <f>SUM(L9:L39)</f>
        <v>0</v>
      </c>
      <c r="M41" s="536">
        <f>IFERROR((L41/$L$41),0)</f>
        <v>0</v>
      </c>
      <c r="N41" s="536">
        <f>IFERROR(((L41*N$8)/$L$41),0)</f>
        <v>0</v>
      </c>
      <c r="O41" s="536">
        <f>SUM(O9:O39)</f>
        <v>264.12080000000003</v>
      </c>
      <c r="P41" s="536">
        <f>IFERROR((O41/$L$41),0)</f>
        <v>0</v>
      </c>
      <c r="Q41" s="536">
        <f>IFERROR(((O41*Q$8)/$L$41),0)</f>
        <v>0</v>
      </c>
      <c r="R41" s="536">
        <f>SUM(R9:R39)</f>
        <v>0</v>
      </c>
      <c r="S41" s="536">
        <f>IFERROR((R41/$L$41),0)</f>
        <v>0</v>
      </c>
      <c r="T41" s="536">
        <f>IFERROR(((R41*T$8)/$L$41),0)</f>
        <v>0</v>
      </c>
      <c r="U41" s="536">
        <f>SUM(U9:U39)</f>
        <v>243.62990000000002</v>
      </c>
      <c r="V41" s="536">
        <f>IFERROR((U41/$L$41),0)</f>
        <v>0</v>
      </c>
      <c r="W41" s="536">
        <f>IFERROR(((U41*W$8)/$L$41),0)</f>
        <v>0</v>
      </c>
      <c r="X41" s="536">
        <f>SUM(X9:X39)</f>
        <v>0</v>
      </c>
      <c r="Y41" s="536">
        <f>IFERROR((X41/$L$41),0)</f>
        <v>0</v>
      </c>
      <c r="Z41" s="536">
        <f>IFERROR(((X41*Z$8)/$L$41),0)</f>
        <v>0</v>
      </c>
      <c r="AA41" s="536">
        <f>SUM(AA9:AA39)</f>
        <v>0</v>
      </c>
      <c r="AB41" s="536">
        <f>IFERROR((AA41/$L$41),0)</f>
        <v>0</v>
      </c>
      <c r="AC41" s="536">
        <f>IFERROR(((AA41*AC$8)/$L$41),0)</f>
        <v>0</v>
      </c>
      <c r="AD41" s="536">
        <f>SUM(AD9:AD39)</f>
        <v>0</v>
      </c>
      <c r="AE41" s="536">
        <f>IFERROR((AD41/$L$41),0)</f>
        <v>0</v>
      </c>
      <c r="AF41" s="536">
        <f>IFERROR(((AD41*AF$8)/$L$41),0)</f>
        <v>0</v>
      </c>
      <c r="AG41" s="536">
        <f>SUM(AG9:AG39)</f>
        <v>0</v>
      </c>
      <c r="AH41" s="536">
        <f>IFERROR((AG41/$L$41),0)</f>
        <v>0</v>
      </c>
      <c r="AI41" s="536">
        <f>IFERROR(((AG41*AI$8)/$L$41),0)</f>
        <v>0</v>
      </c>
      <c r="AJ41" s="536">
        <f>SUM(AJ9:AJ39)</f>
        <v>0</v>
      </c>
      <c r="AK41" s="536">
        <f>IFERROR((AJ41/$L$41),0)</f>
        <v>0</v>
      </c>
      <c r="AL41" s="536">
        <f>IFERROR(((AJ41*AL$8)/$L$41),0)</f>
        <v>0</v>
      </c>
      <c r="AM41" s="536">
        <f>SUM(AM9:AM39)</f>
        <v>129.33357948717941</v>
      </c>
      <c r="AN41" s="536">
        <f>IFERROR((AM41/$L$41),0)</f>
        <v>0</v>
      </c>
      <c r="AO41" s="536">
        <f>IFERROR(((AM41*AO$8)/$L$41),0)</f>
        <v>0</v>
      </c>
      <c r="AP41" s="536">
        <f>SUM(AP9:AP39)</f>
        <v>865.82278481012668</v>
      </c>
      <c r="AQ41" s="536">
        <f>IFERROR((AP41/$L$41),0)</f>
        <v>0</v>
      </c>
      <c r="AR41" s="536">
        <f>IFERROR(((AP41*AR$8)/$L$41),0)</f>
        <v>0</v>
      </c>
      <c r="AS41" s="536">
        <f>SUM(AS9:AS39)</f>
        <v>0</v>
      </c>
      <c r="AT41" s="536">
        <f>IFERROR((AS41/$L$41),0)</f>
        <v>0</v>
      </c>
      <c r="AU41" s="536">
        <f>IFERROR(((AS41*AU$8)/$L$41),0)</f>
        <v>0</v>
      </c>
      <c r="AV41" s="536">
        <f>SUM(AV9:AV39)</f>
        <v>184.58449999999996</v>
      </c>
      <c r="AW41" s="536">
        <f>IFERROR((AV41/$L$41),0)</f>
        <v>0</v>
      </c>
      <c r="AX41" s="536">
        <f>IFERROR(((AV41*AX$8)/$L$41),0)</f>
        <v>0</v>
      </c>
      <c r="AY41" s="536">
        <f>SUM(AY9:AY39)</f>
        <v>521.88253333333341</v>
      </c>
      <c r="AZ41" s="536">
        <f>IFERROR((AY41/$L$41),0)</f>
        <v>0</v>
      </c>
      <c r="BA41" s="536">
        <f>IFERROR(((AY41*BA$8)/$L$41),0)</f>
        <v>0</v>
      </c>
      <c r="BB41" s="536">
        <f>SUM(BB9:BB39)</f>
        <v>1110.6666666666665</v>
      </c>
      <c r="BC41" s="536">
        <f>IFERROR((BB41/$L$41),0)</f>
        <v>0</v>
      </c>
      <c r="BD41" s="536">
        <f>IFERROR(((BB41*BD$8)/$L$41),0)</f>
        <v>0</v>
      </c>
      <c r="BE41" s="536">
        <f>SUM(BE9:BE39)</f>
        <v>0</v>
      </c>
      <c r="BF41" s="536">
        <f>IFERROR((BE41/$L$41),0)</f>
        <v>0</v>
      </c>
      <c r="BG41" s="536">
        <f>IFERROR(((BE41*BG$8)/$L$41),0)</f>
        <v>0</v>
      </c>
      <c r="BH41" s="536">
        <f>SUM(BH9:BH39)</f>
        <v>0</v>
      </c>
      <c r="BI41" s="536">
        <f>IFERROR((BH41/$L$41),0)</f>
        <v>0</v>
      </c>
      <c r="BJ41" s="536">
        <f>IFERROR(((BH41*BJ$8)/$L$41),0)</f>
        <v>0</v>
      </c>
      <c r="BK41" s="536">
        <f>SUM(BK9:BK39)</f>
        <v>0</v>
      </c>
      <c r="BL41" s="536">
        <f>IFERROR((BK41/$L$41),0)</f>
        <v>0</v>
      </c>
      <c r="BM41" s="536">
        <f>IFERROR(((BK41*BM$8)/$L$41),0)</f>
        <v>0</v>
      </c>
      <c r="BN41" s="536">
        <f>SUM(BN9:BN39)</f>
        <v>413.91160740740747</v>
      </c>
      <c r="BO41" s="536">
        <f>IFERROR((BN41/$L$41),0)</f>
        <v>0</v>
      </c>
      <c r="BP41" s="536">
        <f>IFERROR(((BN41*BP$8)/$L$41),0)</f>
        <v>0</v>
      </c>
      <c r="BQ41" s="536">
        <f>SUM(BQ9:BQ39)</f>
        <v>46.153846153846132</v>
      </c>
      <c r="BR41" s="536">
        <f>IFERROR((BQ41/$L$41),0)</f>
        <v>0</v>
      </c>
      <c r="BS41" s="536">
        <f>IFERROR(((BQ41*BS$8)/$L$41),0)</f>
        <v>0</v>
      </c>
      <c r="BT41" s="536">
        <f>SUM(BT9:BT39)</f>
        <v>0</v>
      </c>
      <c r="BU41" s="536">
        <f>IFERROR((BT41/$L$41),0)</f>
        <v>0</v>
      </c>
      <c r="BV41" s="536">
        <f>IFERROR(((BT41*BV$8)/$L$41),0)</f>
        <v>0</v>
      </c>
      <c r="BW41" s="536">
        <f>SUM(BW9:BW39)</f>
        <v>5.4400000000000013</v>
      </c>
      <c r="BX41" s="536">
        <f>IFERROR((BW41/$L$41),0)</f>
        <v>0</v>
      </c>
      <c r="BY41" s="536">
        <f>IFERROR(((BW41*BY$8)/$L$41),0)</f>
        <v>0</v>
      </c>
      <c r="BZ41" s="536">
        <f>SUM(BZ9:BZ39)</f>
        <v>0</v>
      </c>
      <c r="CA41" s="536">
        <f>IFERROR((BZ41/$L$41),0)</f>
        <v>0</v>
      </c>
      <c r="CB41" s="536">
        <f>IFERROR(((BZ41*CB$8)/$L$41),0)</f>
        <v>0</v>
      </c>
      <c r="CC41" s="536">
        <f>SUM(CC9:CC39)</f>
        <v>106.25</v>
      </c>
      <c r="CD41" s="536">
        <f>IFERROR((CC41/$L$41),0)</f>
        <v>0</v>
      </c>
      <c r="CE41" s="536">
        <f>IFERROR(((CC41*CE$8)/$L$41),0)</f>
        <v>0</v>
      </c>
      <c r="CF41" s="536">
        <f>SUM(CF9:CF39)</f>
        <v>7.5499999999999963</v>
      </c>
      <c r="CG41" s="536">
        <f>IFERROR((CF41/$L$41),0)</f>
        <v>0</v>
      </c>
      <c r="CH41" s="536">
        <f>IFERROR(((CF41*CH$8)/$L$41),0)</f>
        <v>0</v>
      </c>
      <c r="CI41" s="536">
        <f>SUM(CI9:CI39)</f>
        <v>0</v>
      </c>
      <c r="CJ41" s="536">
        <f>IFERROR((CI41/$L$41),0)</f>
        <v>0</v>
      </c>
      <c r="CK41" s="536">
        <f>IFERROR(((CI41*CK$8)/$L$41),0)</f>
        <v>0</v>
      </c>
      <c r="CL41" s="536">
        <f>SUM(CL9:CL39)</f>
        <v>0</v>
      </c>
      <c r="CM41" s="536">
        <f>IFERROR((CL41/$L$41),0)</f>
        <v>0</v>
      </c>
      <c r="CN41" s="536">
        <f>IFERROR(((CL41*CN$8)/$L$41),0)</f>
        <v>0</v>
      </c>
      <c r="CO41" s="536">
        <f>SUM(CO9:CO39)</f>
        <v>0</v>
      </c>
      <c r="CP41" s="536">
        <f>IFERROR((CO41/$L$41),0)</f>
        <v>0</v>
      </c>
      <c r="CQ41" s="536">
        <f>IFERROR(((CO41*CQ$8)/$L$41),0)</f>
        <v>0</v>
      </c>
      <c r="CR41" s="536">
        <f>SUM(CR9:CR39)</f>
        <v>0</v>
      </c>
      <c r="CS41" s="536">
        <f>IFERROR((CR41/$L$41),0)</f>
        <v>0</v>
      </c>
      <c r="CT41" s="536">
        <f>IFERROR(((CR41*CT$8)/$L$41),0)</f>
        <v>0</v>
      </c>
      <c r="CU41" s="536">
        <f>SUM(CU9:CU39)</f>
        <v>0</v>
      </c>
      <c r="CV41" s="536">
        <f>IFERROR((CU41/$L$41),0)</f>
        <v>0</v>
      </c>
      <c r="CW41" s="536">
        <f>IFERROR(((CU41*CW$8)/$L$41),0)</f>
        <v>0</v>
      </c>
      <c r="CX41" s="536">
        <f>SUM(CX9:CX39)</f>
        <v>0</v>
      </c>
      <c r="CY41" s="536">
        <f>IFERROR((CX41/$L$41),0)</f>
        <v>0</v>
      </c>
      <c r="CZ41" s="536">
        <f>IFERROR(((CX41*CZ$8)/$L$41),0)</f>
        <v>0</v>
      </c>
      <c r="DA41" s="536">
        <f>SUM(DA9:DA39)</f>
        <v>859.37800000000027</v>
      </c>
      <c r="DB41" s="536">
        <f>IFERROR((DA41/$L$41),0)</f>
        <v>0</v>
      </c>
      <c r="DC41" s="536">
        <f>IFERROR(((DA41*DC$8)/$L$41),0)</f>
        <v>0</v>
      </c>
      <c r="DD41" s="536">
        <f>SUM(DD9:DD39)</f>
        <v>0</v>
      </c>
      <c r="DE41" s="536">
        <f>IFERROR((DD41/$L$41),0)</f>
        <v>0</v>
      </c>
      <c r="DF41" s="536">
        <f>IFERROR(((DD41*DF$8)/$L$41),0)</f>
        <v>0</v>
      </c>
      <c r="DG41" s="536">
        <f>SUM(DG14:DG39)</f>
        <v>32.801000000000002</v>
      </c>
      <c r="DH41" s="536">
        <f>IFERROR((DG41/$L$41),0)</f>
        <v>0</v>
      </c>
      <c r="DI41" s="536">
        <f>IFERROR(((DG41*DI$8)/$L$41),0)</f>
        <v>0</v>
      </c>
      <c r="DJ41" s="536">
        <f>SUM(DJ9:DJ39)</f>
        <v>0</v>
      </c>
      <c r="DK41" s="536">
        <f>IFERROR((DJ41/$L$41),0)</f>
        <v>0</v>
      </c>
      <c r="DL41" s="536">
        <f>IFERROR(((DJ41*DL$8)/$L$41),0)</f>
        <v>0</v>
      </c>
      <c r="DM41" s="536">
        <f>SUM(DM9:DM39)</f>
        <v>0</v>
      </c>
      <c r="DN41" s="536">
        <f>IFERROR((DM41/$L$41),0)</f>
        <v>0</v>
      </c>
      <c r="DO41" s="536">
        <f>IFERROR(((DM41*DO$8)/$L$41),0)</f>
        <v>0</v>
      </c>
      <c r="DP41" s="536">
        <f>SUM(DP9:DP39)</f>
        <v>0</v>
      </c>
      <c r="DQ41" s="536">
        <f>IFERROR((DP41/$L$41),0)</f>
        <v>0</v>
      </c>
      <c r="DR41" s="536">
        <f>IFERROR(((DP41*DR$8)/$L$41),0)</f>
        <v>0</v>
      </c>
      <c r="DS41" s="536">
        <f>SUM(DS9:DS39)</f>
        <v>0</v>
      </c>
      <c r="DT41" s="536">
        <f>IFERROR((DS41/$L$41),0)</f>
        <v>0</v>
      </c>
      <c r="DU41" s="536">
        <f>IFERROR(((DS41*DU$8)/$L$41),0)</f>
        <v>0</v>
      </c>
      <c r="DV41" s="536">
        <f>SUM(DV9:DV39)</f>
        <v>0</v>
      </c>
      <c r="DW41" s="536">
        <f>IFERROR((DV41/$L$41),0)</f>
        <v>0</v>
      </c>
      <c r="DX41" s="536">
        <f>IFERROR(((DV41*DX$8)/$L$41),0)</f>
        <v>0</v>
      </c>
      <c r="DY41" s="536">
        <f>SUM(DY9:DY39)</f>
        <v>0</v>
      </c>
      <c r="DZ41" s="536">
        <f>IFERROR((DY41/$L$41),0)</f>
        <v>0</v>
      </c>
      <c r="EA41" s="536">
        <f>IFERROR(((DY41*EA$8)/$L$41),0)</f>
        <v>0</v>
      </c>
      <c r="EB41" s="536">
        <f>SUM(EB9:EB39)</f>
        <v>501.68251162790727</v>
      </c>
      <c r="EC41" s="536">
        <f>IFERROR((EB41/$L$41),0)</f>
        <v>0</v>
      </c>
      <c r="ED41" s="536">
        <f>IFERROR(((EB41*ED$8)/$L$41),0)</f>
        <v>0</v>
      </c>
      <c r="EE41" s="536">
        <f>SUM(EE9:EE39)</f>
        <v>37</v>
      </c>
      <c r="EF41" s="536">
        <f>IFERROR((EE41/$L$41),0)</f>
        <v>0</v>
      </c>
      <c r="EG41" s="536">
        <f>IFERROR(((EE41*EG$8)/$L$41),0)</f>
        <v>0</v>
      </c>
      <c r="EH41" s="536">
        <f>SUM(EH9:EH39)</f>
        <v>0</v>
      </c>
      <c r="EI41" s="536">
        <f>IFERROR((EH41/$L$41),0)</f>
        <v>0</v>
      </c>
      <c r="EJ41" s="536">
        <f>IFERROR(((EH41*EJ$8)/$L$41),0)</f>
        <v>0</v>
      </c>
      <c r="EK41" s="536">
        <f>SUM(EK9:EK39)</f>
        <v>0</v>
      </c>
      <c r="EL41" s="536">
        <f>IFERROR((EK41/$L$41),0)</f>
        <v>0</v>
      </c>
      <c r="EM41" s="536">
        <f>IFERROR(((EK41*EM$8)/$L$41),0)</f>
        <v>0</v>
      </c>
      <c r="EN41" s="536">
        <f>SUM(EN9:EN39)</f>
        <v>0</v>
      </c>
      <c r="EO41" s="536">
        <f>IFERROR((EN41/$L$41),0)</f>
        <v>0</v>
      </c>
      <c r="EP41" s="536">
        <f>IFERROR(((EN41*EP$8)/$L$41),0)</f>
        <v>0</v>
      </c>
      <c r="EQ41" s="536">
        <f>SUM(EQ9:EQ39)</f>
        <v>0</v>
      </c>
      <c r="ER41" s="536">
        <f>IFERROR((EQ41/$L$41),0)</f>
        <v>0</v>
      </c>
      <c r="ES41" s="536">
        <f>IFERROR(((EQ41*ES$8)/$L$41),0)</f>
        <v>0</v>
      </c>
      <c r="ET41" s="536">
        <f>SUM(ET9:ET39)</f>
        <v>0</v>
      </c>
      <c r="EU41" s="536">
        <f>IFERROR((ET41/$L$41),0)</f>
        <v>0</v>
      </c>
      <c r="EV41" s="536">
        <f>IFERROR(((ET41*EV$8)/$L$41),0)</f>
        <v>0</v>
      </c>
      <c r="EW41" s="536">
        <f>SUM(EW9:EW39)</f>
        <v>0</v>
      </c>
      <c r="EX41" s="536">
        <f>IFERROR((EW41/$L$41),0)</f>
        <v>0</v>
      </c>
      <c r="EY41" s="536">
        <f>IFERROR(((EW41*EY$8)/$L$41),0)</f>
        <v>0</v>
      </c>
      <c r="EZ41" s="536">
        <f>SUM(EZ9:EZ39)</f>
        <v>0</v>
      </c>
      <c r="FA41" s="536">
        <f>IFERROR((EZ41/$L$41),0)</f>
        <v>0</v>
      </c>
      <c r="FB41" s="536">
        <f>IFERROR(((EZ41*FB$8)/$L$41),0)</f>
        <v>0</v>
      </c>
      <c r="FC41" s="536">
        <f>SUM(FC9:FC39)</f>
        <v>0</v>
      </c>
      <c r="FD41" s="536">
        <f>IFERROR((FC41/$L$41),0)</f>
        <v>0</v>
      </c>
      <c r="FE41" s="536">
        <f>IFERROR(((FC41*FE$8)/$L$41),0)</f>
        <v>0</v>
      </c>
      <c r="FF41" s="536">
        <f>SUM(FF9:FF39)</f>
        <v>0</v>
      </c>
      <c r="FG41" s="536">
        <f>IFERROR((FF41/$L$41),0)</f>
        <v>0</v>
      </c>
      <c r="FH41" s="536">
        <f>IFERROR(((FF41*FH$8)/$L$41),0)</f>
        <v>0</v>
      </c>
      <c r="FI41" s="536">
        <f>SUM(FI9:FI39)</f>
        <v>0</v>
      </c>
      <c r="FJ41" s="536">
        <f>IFERROR((FI41/$L$41),0)</f>
        <v>0</v>
      </c>
      <c r="FK41" s="536">
        <f>IFERROR(((FI41*FK$8)/$L$41),0)</f>
        <v>0</v>
      </c>
      <c r="FL41" s="536">
        <f>SUM(FL9:FL39)</f>
        <v>0</v>
      </c>
      <c r="FM41" s="536">
        <f>IFERROR((FL41/$L$41),0)</f>
        <v>0</v>
      </c>
      <c r="FN41" s="536">
        <f>IFERROR(((FL41*FN$8)/$L$41),0)</f>
        <v>0</v>
      </c>
      <c r="FO41" s="536">
        <f>SUM(FO9:FO39)</f>
        <v>0</v>
      </c>
      <c r="FP41" s="536">
        <f>IFERROR((FO41/$L$41),0)</f>
        <v>0</v>
      </c>
      <c r="FQ41" s="536">
        <f>IFERROR(((FO41*FQ$8)/$L$41),0)</f>
        <v>0</v>
      </c>
      <c r="FR41" s="536">
        <f>SUM(FR9:FR39)</f>
        <v>0</v>
      </c>
      <c r="FS41" s="536">
        <f>IFERROR((FR41/$L$41),0)</f>
        <v>0</v>
      </c>
      <c r="FT41" s="536">
        <f>IFERROR(((FR41*FT$8)/$L$41),0)</f>
        <v>0</v>
      </c>
      <c r="FU41" s="536">
        <f>SUM(FU9:FU39)</f>
        <v>0</v>
      </c>
      <c r="FV41" s="536">
        <f>IFERROR((FU41/$L$41),0)</f>
        <v>0</v>
      </c>
      <c r="FW41" s="536">
        <f>IFERROR(((FU41*FW$8)/$L$41),0)</f>
        <v>0</v>
      </c>
      <c r="FX41" s="536">
        <f>SUM(FX9:FX39)</f>
        <v>0</v>
      </c>
      <c r="FY41" s="536">
        <f>IFERROR((FX41/$L$41),0)</f>
        <v>0</v>
      </c>
      <c r="FZ41" s="536">
        <f>IFERROR(((FX41*FZ$8)/$L$41),0)</f>
        <v>0</v>
      </c>
      <c r="GA41" s="536">
        <f>SUM(GA9:GA39)</f>
        <v>0</v>
      </c>
      <c r="GB41" s="536">
        <f>IFERROR((GA41/$L$41),0)</f>
        <v>0</v>
      </c>
      <c r="GC41" s="536">
        <f>IFERROR(((GA41*GC$8)/$L$41),0)</f>
        <v>0</v>
      </c>
      <c r="GD41" s="536">
        <f>SUM(GD9:GD39)</f>
        <v>0</v>
      </c>
      <c r="GE41" s="536">
        <f>IFERROR((GD41/$L$41),0)</f>
        <v>0</v>
      </c>
      <c r="GF41" s="536">
        <f>IFERROR(((GD41*GF$8)/$L$41),0)</f>
        <v>0</v>
      </c>
      <c r="GG41" s="536">
        <f>SUM(GG9:GG39)</f>
        <v>0</v>
      </c>
      <c r="GH41" s="536">
        <f>IFERROR((GG41/$L$41),0)</f>
        <v>0</v>
      </c>
      <c r="GI41" s="536">
        <f>IFERROR(((GG41*GI$8)/$L$41),0)</f>
        <v>0</v>
      </c>
      <c r="GJ41" s="536">
        <f>SUM(GJ9:GJ39)</f>
        <v>0</v>
      </c>
      <c r="GK41" s="536">
        <f>IFERROR((GJ41/$L$41),0)</f>
        <v>0</v>
      </c>
      <c r="GL41" s="536">
        <f>IFERROR(((GJ41*GL$8)/$L$41),0)</f>
        <v>0</v>
      </c>
      <c r="GM41" s="536">
        <f>SUM(GM9:GM39)</f>
        <v>0</v>
      </c>
      <c r="GN41" s="536">
        <f>IFERROR((GM41/$L$41),0)</f>
        <v>0</v>
      </c>
      <c r="GO41" s="536">
        <f>IFERROR(((GM41*GO$8)/$L$41),0)</f>
        <v>0</v>
      </c>
      <c r="GP41" s="536">
        <f>SUM(GP9:GP39)</f>
        <v>0</v>
      </c>
      <c r="GQ41" s="536">
        <f>IFERROR((GP41/$L$41),0)</f>
        <v>0</v>
      </c>
      <c r="GR41" s="536">
        <f>IFERROR(((GP41*GR$8)/$L$41),0)</f>
        <v>0</v>
      </c>
      <c r="GS41" s="536">
        <f>SUM(GS9:GS39)</f>
        <v>0</v>
      </c>
      <c r="GT41" s="536">
        <f>IFERROR((GS41/$L$41),0)</f>
        <v>0</v>
      </c>
      <c r="GU41" s="536">
        <f>IFERROR(((GS41*GU$8)/$L$41),0)</f>
        <v>0</v>
      </c>
      <c r="GV41" s="536">
        <f>SUM(GV9:GV39)</f>
        <v>0</v>
      </c>
      <c r="GW41" s="536">
        <f>IFERROR((GV41/$L$41),0)</f>
        <v>0</v>
      </c>
      <c r="GX41" s="536">
        <f>IFERROR(((GV41*GX$8)/$L$41),0)</f>
        <v>0</v>
      </c>
      <c r="GY41" s="536">
        <f>SUM(GY9:GY39)</f>
        <v>0</v>
      </c>
      <c r="GZ41" s="536">
        <f>IFERROR((GY41/$L$41),0)</f>
        <v>0</v>
      </c>
      <c r="HA41" s="536">
        <f>IFERROR(((GY41*HA$8)/$L$41),0)</f>
        <v>0</v>
      </c>
      <c r="HB41" s="536">
        <f>SUM(HB9:HB39)</f>
        <v>0</v>
      </c>
      <c r="HC41" s="536">
        <f>IFERROR((HB41/$L$41),0)</f>
        <v>0</v>
      </c>
      <c r="HD41" s="536">
        <f>IFERROR(((HB41*HD$8)/$L$41),0)</f>
        <v>0</v>
      </c>
      <c r="HE41" s="536">
        <f>SUM(HE9:HE39)</f>
        <v>0</v>
      </c>
      <c r="HF41" s="536">
        <f>IFERROR((HE41/$L$41),0)</f>
        <v>0</v>
      </c>
      <c r="HG41" s="536">
        <f>IFERROR(((HE41*HG$8)/$L$41),0)</f>
        <v>0</v>
      </c>
      <c r="HH41" s="536">
        <f>SUM(HH9:HH39)</f>
        <v>0</v>
      </c>
      <c r="HI41" s="536">
        <f>IFERROR((HH41/$L$41),0)</f>
        <v>0</v>
      </c>
      <c r="HJ41" s="536">
        <f>IFERROR(((HH41*HJ$8)/$L$41),0)</f>
        <v>0</v>
      </c>
      <c r="HK41" s="536">
        <f>SUM(HK9:HK39)</f>
        <v>0</v>
      </c>
      <c r="HL41" s="536">
        <f>IFERROR((HK41/$L$41),0)</f>
        <v>0</v>
      </c>
      <c r="HM41" s="536">
        <f>IFERROR(((HK41*HM$8)/$L$41),0)</f>
        <v>0</v>
      </c>
      <c r="HN41" s="536">
        <f>SUM(HN9:HN39)</f>
        <v>0</v>
      </c>
      <c r="HO41" s="536">
        <f>IFERROR((HN41/$L$41),0)</f>
        <v>0</v>
      </c>
      <c r="HP41" s="536">
        <f>IFERROR(((HN41*HP$8)/$L$41),0)</f>
        <v>0</v>
      </c>
      <c r="HQ41" s="536">
        <f>SUM(HQ9:HQ39)</f>
        <v>0</v>
      </c>
      <c r="HR41" s="536">
        <f>IFERROR((HQ41/$L$41),0)</f>
        <v>0</v>
      </c>
      <c r="HS41" s="536">
        <f>IFERROR(((HQ41*HS$8)/$L$41),0)</f>
        <v>0</v>
      </c>
      <c r="HT41" s="536">
        <f>SUM(HT9:HT39)</f>
        <v>0</v>
      </c>
      <c r="HU41" s="536">
        <f>IFERROR((HT41/$L$41),0)</f>
        <v>0</v>
      </c>
      <c r="HV41" s="536">
        <f>IFERROR(((HT41*HV$8)/$L$41),0)</f>
        <v>0</v>
      </c>
      <c r="HW41" s="536">
        <f>SUM(HW9:HW39)</f>
        <v>0</v>
      </c>
      <c r="HX41" s="536">
        <f>IFERROR((HW41/$L$41),0)</f>
        <v>0</v>
      </c>
      <c r="HY41" s="536">
        <f>IFERROR(((HW41*HY$8)/$L$41),0)</f>
        <v>0</v>
      </c>
      <c r="HZ41" s="536">
        <f>SUM(HZ9:HZ39)</f>
        <v>0</v>
      </c>
      <c r="IA41" s="536">
        <f>IFERROR((HZ41/$L$41),0)</f>
        <v>0</v>
      </c>
      <c r="IB41" s="536">
        <f>IFERROR(((HZ41*IB$8)/$L$41),0)</f>
        <v>0</v>
      </c>
      <c r="IC41" s="536">
        <f>SUM(IC9:IC39)</f>
        <v>0</v>
      </c>
      <c r="ID41" s="536">
        <f>IFERROR((IC41/$L$41),0)</f>
        <v>0</v>
      </c>
      <c r="IE41" s="536">
        <f>IFERROR(((IC41*IE$8)/$L$41),0)</f>
        <v>0</v>
      </c>
      <c r="IF41" s="536">
        <f>SUM(IF9:IF39)</f>
        <v>0</v>
      </c>
      <c r="IG41" s="536">
        <f>IFERROR((IF41/$L$41),0)</f>
        <v>0</v>
      </c>
      <c r="IH41" s="536">
        <f>IFERROR(((IF41*IH$8)/$L$41),0)</f>
        <v>0</v>
      </c>
      <c r="II41" s="536">
        <f>SUM(II9:II39)</f>
        <v>0</v>
      </c>
      <c r="IJ41" s="536">
        <f>IFERROR((II41/$L$41),0)</f>
        <v>0</v>
      </c>
      <c r="IK41" s="536">
        <f>IFERROR(((II41*IK$8)/$L$41),0)</f>
        <v>0</v>
      </c>
      <c r="IL41" s="536">
        <f>SUM(IL9:IL39)</f>
        <v>0</v>
      </c>
      <c r="IM41" s="536">
        <f>IFERROR((IL41/$L$41),0)</f>
        <v>0</v>
      </c>
      <c r="IN41" s="536">
        <f>IFERROR(((IL41*IN$8)/$L$41),0)</f>
        <v>0</v>
      </c>
      <c r="IO41" s="536">
        <f>SUM(IO9:IO39)</f>
        <v>0</v>
      </c>
      <c r="IP41" s="536">
        <f>IFERROR((IO41/$L$41),0)</f>
        <v>0</v>
      </c>
      <c r="IQ41" s="536">
        <f>IFERROR(((IO41*IQ$8)/$L$41),0)</f>
        <v>0</v>
      </c>
      <c r="IR41" s="536">
        <f>SUM(IR9:IR39)</f>
        <v>0</v>
      </c>
      <c r="IS41" s="536">
        <f>IFERROR((IR41/$L$41),0)</f>
        <v>0</v>
      </c>
      <c r="IT41" s="536">
        <f>IFERROR(((IR41*IT$8)/$L$41),0)</f>
        <v>0</v>
      </c>
      <c r="IU41" s="536">
        <f>SUM(IU9:IU39)</f>
        <v>0</v>
      </c>
      <c r="IV41" s="536">
        <f>IFERROR((IU41/$L$41),0)</f>
        <v>0</v>
      </c>
      <c r="IW41" s="536">
        <f>IFERROR(((IU41*IW$8)/$L$41),0)</f>
        <v>0</v>
      </c>
      <c r="IX41" s="536">
        <f>SUM(IX9:IX39)</f>
        <v>0</v>
      </c>
      <c r="IY41" s="536">
        <f>IFERROR((IX41/$L$41),0)</f>
        <v>0</v>
      </c>
      <c r="IZ41" s="536">
        <f>IFERROR(((IX41*IZ$8)/$L$41),0)</f>
        <v>0</v>
      </c>
      <c r="JA41" s="536">
        <f>SUM(JA9:JA39)</f>
        <v>0</v>
      </c>
      <c r="JB41" s="536">
        <f>IFERROR((JA41/$L$41),0)</f>
        <v>0</v>
      </c>
      <c r="JC41" s="536">
        <f>IFERROR(((JA41*JC$8)/$L$41),0)</f>
        <v>0</v>
      </c>
      <c r="JD41" s="536">
        <f>SUM(JD9:JD39)</f>
        <v>0</v>
      </c>
      <c r="JE41" s="536">
        <f>IFERROR((JD41/$L$41),0)</f>
        <v>0</v>
      </c>
      <c r="JF41" s="536">
        <f>IFERROR(((JD41*JF$8)/$L$41),0)</f>
        <v>0</v>
      </c>
      <c r="JG41" s="536">
        <f>SUM(JG9:JG39)</f>
        <v>0</v>
      </c>
      <c r="JH41" s="536">
        <f>IFERROR((JG41/$L$41),0)</f>
        <v>0</v>
      </c>
      <c r="JI41" s="536">
        <f>IFERROR(((JG41*JI$8)/$L$41),0)</f>
        <v>0</v>
      </c>
      <c r="JJ41" s="536">
        <f>SUM(JJ9:JJ39)</f>
        <v>0</v>
      </c>
      <c r="JK41" s="536">
        <f>IFERROR((JJ41/$L$41),0)</f>
        <v>0</v>
      </c>
      <c r="JL41" s="536">
        <f>IFERROR(((JJ41*JL$8)/$L$41),0)</f>
        <v>0</v>
      </c>
      <c r="JM41" s="536">
        <f>SUM(JM9:JM39)</f>
        <v>0</v>
      </c>
      <c r="JN41" s="536">
        <f>IFERROR((JM41/$L$41),0)</f>
        <v>0</v>
      </c>
      <c r="JO41" s="536">
        <f>IFERROR(((JM41*JO$8)/$L$41),0)</f>
        <v>0</v>
      </c>
      <c r="JP41" s="536">
        <f>SUM(JP9:JP39)</f>
        <v>0</v>
      </c>
      <c r="JQ41" s="536">
        <f>IFERROR((JP41/$L$41),0)</f>
        <v>0</v>
      </c>
      <c r="JR41" s="536">
        <f>IFERROR(((JP41*JR$8)/$L$41),0)</f>
        <v>0</v>
      </c>
      <c r="JS41" s="536">
        <f>SUM(JS9:JS39)</f>
        <v>0</v>
      </c>
      <c r="JT41" s="536">
        <f>IFERROR((JS41/$L$41),0)</f>
        <v>0</v>
      </c>
      <c r="JU41" s="536">
        <f>IFERROR(((JS41*JU$8)/$L$41),0)</f>
        <v>0</v>
      </c>
      <c r="JV41" s="536">
        <f>SUM(JV9:JV39)</f>
        <v>0</v>
      </c>
      <c r="JW41" s="536">
        <f>IFERROR((JV41/$L$41),0)</f>
        <v>0</v>
      </c>
      <c r="JX41" s="536">
        <f>IFERROR(((JV41*JX$8)/$L$41),0)</f>
        <v>0</v>
      </c>
      <c r="JY41" s="536">
        <f>SUM(JY9:JY39)</f>
        <v>0</v>
      </c>
      <c r="JZ41" s="536">
        <f>IFERROR((JY41/$L$41),0)</f>
        <v>0</v>
      </c>
      <c r="KA41" s="536">
        <f>IFERROR(((JY41*KA$8)/$L$41),0)</f>
        <v>0</v>
      </c>
      <c r="KB41" s="536">
        <f>SUM(KB9:KB39)</f>
        <v>0</v>
      </c>
      <c r="KC41" s="536">
        <f>IFERROR((KB41/$L$41),0)</f>
        <v>0</v>
      </c>
      <c r="KD41" s="536">
        <f>IFERROR(((KB41*KD$8)/$L$41),0)</f>
        <v>0</v>
      </c>
      <c r="KE41" s="536">
        <f>SUM(KE9:KE39)</f>
        <v>0</v>
      </c>
      <c r="KF41" s="536">
        <f>IFERROR((KE41/$L$41),0)</f>
        <v>0</v>
      </c>
      <c r="KG41" s="536">
        <f>IFERROR(((KE41*KG$8)/$L$41),0)</f>
        <v>0</v>
      </c>
      <c r="KH41" s="536">
        <f>SUM(KH9:KH39)</f>
        <v>0</v>
      </c>
      <c r="KI41" s="536">
        <f>IFERROR((KH41/$L$41),0)</f>
        <v>0</v>
      </c>
      <c r="KJ41" s="536">
        <f>IFERROR(((KH41*KJ$8)/$L$41),0)</f>
        <v>0</v>
      </c>
      <c r="KK41" s="536">
        <f>SUM(KK9:KK39)</f>
        <v>0</v>
      </c>
      <c r="KL41" s="536">
        <f>IFERROR((KK41/$L$41),0)</f>
        <v>0</v>
      </c>
      <c r="KM41" s="536">
        <f>IFERROR(((KK41*KM$8)/$L$41),0)</f>
        <v>0</v>
      </c>
      <c r="KN41" s="536">
        <f>SUM(KN9:KN39)</f>
        <v>0</v>
      </c>
      <c r="KO41" s="536">
        <f>IFERROR((KN41/$L$41),0)</f>
        <v>0</v>
      </c>
      <c r="KP41" s="536">
        <f>IFERROR(((KN41*KP$8)/$L$41),0)</f>
        <v>0</v>
      </c>
      <c r="KQ41" s="536">
        <f>SUM(KQ9:KQ39)</f>
        <v>0</v>
      </c>
      <c r="KR41" s="536">
        <f>IFERROR((KQ41/$L$41),0)</f>
        <v>0</v>
      </c>
      <c r="KS41" s="536">
        <f>IFERROR(((KQ41*KS$8)/$L$41),0)</f>
        <v>0</v>
      </c>
      <c r="KT41" s="537">
        <f t="shared" si="201"/>
        <v>0</v>
      </c>
      <c r="KU41" s="537">
        <f t="shared" si="202"/>
        <v>0</v>
      </c>
      <c r="KV41" s="272">
        <f t="shared" si="199"/>
        <v>18933.58739460275</v>
      </c>
    </row>
    <row r="43" spans="1:308" ht="15" customHeight="1">
      <c r="A43" s="283" t="s">
        <v>137</v>
      </c>
      <c r="B43" s="284" t="s">
        <v>138</v>
      </c>
      <c r="C43" s="285" t="s">
        <v>152</v>
      </c>
      <c r="D43" s="269"/>
      <c r="E43" s="269"/>
    </row>
    <row r="44" spans="1:308" ht="15" customHeight="1">
      <c r="A44" s="286"/>
      <c r="B44" s="284" t="s">
        <v>139</v>
      </c>
      <c r="C44" s="285" t="s">
        <v>145</v>
      </c>
      <c r="D44" s="269"/>
      <c r="E44" s="269"/>
    </row>
    <row r="45" spans="1:308" ht="15" customHeight="1">
      <c r="A45" s="286"/>
      <c r="B45" s="287" t="s">
        <v>140</v>
      </c>
      <c r="C45" s="285" t="s">
        <v>141</v>
      </c>
      <c r="D45" s="269"/>
      <c r="E45" s="269"/>
    </row>
  </sheetData>
  <mergeCells count="210">
    <mergeCell ref="CL7:CM7"/>
    <mergeCell ref="CO7:CP7"/>
    <mergeCell ref="B6:B8"/>
    <mergeCell ref="AJ7:AK7"/>
    <mergeCell ref="BN7:BO7"/>
    <mergeCell ref="BZ7:CA7"/>
    <mergeCell ref="CC7:CD7"/>
    <mergeCell ref="CF7:CG7"/>
    <mergeCell ref="CI7:CJ7"/>
    <mergeCell ref="AV6:AX6"/>
    <mergeCell ref="AY7:AZ7"/>
    <mergeCell ref="AY6:BA6"/>
    <mergeCell ref="BB6:BD6"/>
    <mergeCell ref="BE6:BG6"/>
    <mergeCell ref="A41:C41"/>
    <mergeCell ref="F7:G7"/>
    <mergeCell ref="C6:C8"/>
    <mergeCell ref="E6:E8"/>
    <mergeCell ref="D6:D8"/>
    <mergeCell ref="A6:A8"/>
    <mergeCell ref="F5:GC5"/>
    <mergeCell ref="GD5:KS5"/>
    <mergeCell ref="KT5:KT8"/>
    <mergeCell ref="CF6:CH6"/>
    <mergeCell ref="CI6:CK6"/>
    <mergeCell ref="BH6:BJ6"/>
    <mergeCell ref="BK6:BM6"/>
    <mergeCell ref="BN6:BP6"/>
    <mergeCell ref="BQ6:BS6"/>
    <mergeCell ref="BT6:BV6"/>
    <mergeCell ref="DA6:DC6"/>
    <mergeCell ref="DD6:DF6"/>
    <mergeCell ref="DG6:DI6"/>
    <mergeCell ref="DJ6:DL6"/>
    <mergeCell ref="DM6:DO6"/>
    <mergeCell ref="CL6:CN6"/>
    <mergeCell ref="CO6:CQ6"/>
    <mergeCell ref="CR6:CT6"/>
    <mergeCell ref="KU5:KU8"/>
    <mergeCell ref="F6:H6"/>
    <mergeCell ref="I6:K6"/>
    <mergeCell ref="L6:N6"/>
    <mergeCell ref="O6:Q6"/>
    <mergeCell ref="R6:T6"/>
    <mergeCell ref="U6:W6"/>
    <mergeCell ref="X6:Z6"/>
    <mergeCell ref="AA6:AC6"/>
    <mergeCell ref="AD6:AF6"/>
    <mergeCell ref="AG6:AI6"/>
    <mergeCell ref="AJ6:AL6"/>
    <mergeCell ref="AM6:AO6"/>
    <mergeCell ref="BT7:BU7"/>
    <mergeCell ref="BK7:BL7"/>
    <mergeCell ref="R7:S7"/>
    <mergeCell ref="U7:V7"/>
    <mergeCell ref="AG7:AH7"/>
    <mergeCell ref="AV7:AW7"/>
    <mergeCell ref="AP6:AR6"/>
    <mergeCell ref="AS6:AU6"/>
    <mergeCell ref="BW6:BY6"/>
    <mergeCell ref="BZ6:CB6"/>
    <mergeCell ref="CC6:CE6"/>
    <mergeCell ref="CU6:CW6"/>
    <mergeCell ref="CX6:CZ6"/>
    <mergeCell ref="EE6:EG6"/>
    <mergeCell ref="EH6:EJ6"/>
    <mergeCell ref="EK6:EM6"/>
    <mergeCell ref="EN6:EP6"/>
    <mergeCell ref="EQ6:ES6"/>
    <mergeCell ref="DP6:DR6"/>
    <mergeCell ref="DS6:DU6"/>
    <mergeCell ref="DV6:DX6"/>
    <mergeCell ref="DY6:EA6"/>
    <mergeCell ref="EB6:ED6"/>
    <mergeCell ref="FI6:FK6"/>
    <mergeCell ref="FL6:FN6"/>
    <mergeCell ref="FO6:FQ6"/>
    <mergeCell ref="FR6:FT6"/>
    <mergeCell ref="FU6:FW6"/>
    <mergeCell ref="ET6:EV6"/>
    <mergeCell ref="EW6:EY6"/>
    <mergeCell ref="EZ6:FB6"/>
    <mergeCell ref="FC6:FE6"/>
    <mergeCell ref="FF6:FH6"/>
    <mergeCell ref="GM6:GO6"/>
    <mergeCell ref="GP6:GR6"/>
    <mergeCell ref="GS6:GU6"/>
    <mergeCell ref="GV6:GX6"/>
    <mergeCell ref="GY6:HA6"/>
    <mergeCell ref="FX6:FZ6"/>
    <mergeCell ref="GA6:GC6"/>
    <mergeCell ref="GD6:GF6"/>
    <mergeCell ref="GG6:GI6"/>
    <mergeCell ref="GJ6:GL6"/>
    <mergeCell ref="HQ6:HS6"/>
    <mergeCell ref="HT6:HV6"/>
    <mergeCell ref="HW6:HY6"/>
    <mergeCell ref="HZ6:IB6"/>
    <mergeCell ref="IC6:IE6"/>
    <mergeCell ref="HB6:HD6"/>
    <mergeCell ref="HE6:HG6"/>
    <mergeCell ref="HH6:HJ6"/>
    <mergeCell ref="HK6:HM6"/>
    <mergeCell ref="HN6:HP6"/>
    <mergeCell ref="JS6:JU6"/>
    <mergeCell ref="JV6:JX6"/>
    <mergeCell ref="IU6:IW6"/>
    <mergeCell ref="IX6:IZ6"/>
    <mergeCell ref="JA6:JC6"/>
    <mergeCell ref="JD6:JF6"/>
    <mergeCell ref="JG6:JI6"/>
    <mergeCell ref="IF6:IH6"/>
    <mergeCell ref="II6:IK6"/>
    <mergeCell ref="IL6:IN6"/>
    <mergeCell ref="IO6:IQ6"/>
    <mergeCell ref="IR6:IT6"/>
    <mergeCell ref="KN6:KP6"/>
    <mergeCell ref="KQ6:KS6"/>
    <mergeCell ref="I7:J7"/>
    <mergeCell ref="L7:M7"/>
    <mergeCell ref="O7:P7"/>
    <mergeCell ref="X7:Y7"/>
    <mergeCell ref="AA7:AB7"/>
    <mergeCell ref="AD7:AE7"/>
    <mergeCell ref="AM7:AN7"/>
    <mergeCell ref="AP7:AQ7"/>
    <mergeCell ref="AS7:AT7"/>
    <mergeCell ref="BB7:BC7"/>
    <mergeCell ref="BE7:BF7"/>
    <mergeCell ref="BH7:BI7"/>
    <mergeCell ref="BQ7:BR7"/>
    <mergeCell ref="BW7:BX7"/>
    <mergeCell ref="JY6:KA6"/>
    <mergeCell ref="KB6:KD6"/>
    <mergeCell ref="KE6:KG6"/>
    <mergeCell ref="KH6:KJ6"/>
    <mergeCell ref="KK6:KM6"/>
    <mergeCell ref="JJ6:JL6"/>
    <mergeCell ref="JM6:JO6"/>
    <mergeCell ref="JP6:JR6"/>
    <mergeCell ref="DG7:DH7"/>
    <mergeCell ref="DJ7:DK7"/>
    <mergeCell ref="DM7:DN7"/>
    <mergeCell ref="DP7:DQ7"/>
    <mergeCell ref="DS7:DT7"/>
    <mergeCell ref="CR7:CS7"/>
    <mergeCell ref="CU7:CV7"/>
    <mergeCell ref="CX7:CY7"/>
    <mergeCell ref="DA7:DB7"/>
    <mergeCell ref="DD7:DE7"/>
    <mergeCell ref="EK7:EL7"/>
    <mergeCell ref="EN7:EO7"/>
    <mergeCell ref="EQ7:ER7"/>
    <mergeCell ref="ET7:EU7"/>
    <mergeCell ref="EW7:EX7"/>
    <mergeCell ref="DV7:DW7"/>
    <mergeCell ref="DY7:DZ7"/>
    <mergeCell ref="EB7:EC7"/>
    <mergeCell ref="EE7:EF7"/>
    <mergeCell ref="EH7:EI7"/>
    <mergeCell ref="FO7:FP7"/>
    <mergeCell ref="FR7:FS7"/>
    <mergeCell ref="FU7:FV7"/>
    <mergeCell ref="FX7:FY7"/>
    <mergeCell ref="GA7:GB7"/>
    <mergeCell ref="EZ7:FA7"/>
    <mergeCell ref="FC7:FD7"/>
    <mergeCell ref="FF7:FG7"/>
    <mergeCell ref="FI7:FJ7"/>
    <mergeCell ref="FL7:FM7"/>
    <mergeCell ref="GS7:GT7"/>
    <mergeCell ref="GV7:GW7"/>
    <mergeCell ref="GY7:GZ7"/>
    <mergeCell ref="HB7:HC7"/>
    <mergeCell ref="HE7:HF7"/>
    <mergeCell ref="GD7:GE7"/>
    <mergeCell ref="GG7:GH7"/>
    <mergeCell ref="GJ7:GK7"/>
    <mergeCell ref="GM7:GN7"/>
    <mergeCell ref="GP7:GQ7"/>
    <mergeCell ref="HW7:HX7"/>
    <mergeCell ref="HZ7:IA7"/>
    <mergeCell ref="IC7:ID7"/>
    <mergeCell ref="IF7:IG7"/>
    <mergeCell ref="II7:IJ7"/>
    <mergeCell ref="HH7:HI7"/>
    <mergeCell ref="HK7:HL7"/>
    <mergeCell ref="HN7:HO7"/>
    <mergeCell ref="HQ7:HR7"/>
    <mergeCell ref="HT7:HU7"/>
    <mergeCell ref="JA7:JB7"/>
    <mergeCell ref="JD7:JE7"/>
    <mergeCell ref="JG7:JH7"/>
    <mergeCell ref="JJ7:JK7"/>
    <mergeCell ref="JM7:JN7"/>
    <mergeCell ref="IL7:IM7"/>
    <mergeCell ref="IO7:IP7"/>
    <mergeCell ref="IR7:IS7"/>
    <mergeCell ref="IU7:IV7"/>
    <mergeCell ref="IX7:IY7"/>
    <mergeCell ref="KE7:KF7"/>
    <mergeCell ref="KH7:KI7"/>
    <mergeCell ref="KK7:KL7"/>
    <mergeCell ref="KN7:KO7"/>
    <mergeCell ref="KQ7:KR7"/>
    <mergeCell ref="JP7:JQ7"/>
    <mergeCell ref="JS7:JT7"/>
    <mergeCell ref="JV7:JW7"/>
    <mergeCell ref="JY7:JZ7"/>
    <mergeCell ref="KB7:KC7"/>
  </mergeCells>
  <phoneticPr fontId="31" type="noConversion"/>
  <printOptions horizontalCentered="1"/>
  <pageMargins left="7.7777777777777779E-2" right="7.7777777777777779E-2" top="0.39027777777777778" bottom="0.39027777777777778" header="0" footer="0"/>
  <pageSetup firstPageNumber="4294963191" orientation="landscape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39"/>
  <sheetViews>
    <sheetView workbookViewId="0">
      <selection activeCell="AD12" sqref="AD12"/>
    </sheetView>
  </sheetViews>
  <sheetFormatPr defaultRowHeight="12.75"/>
  <cols>
    <col min="1" max="1" width="17.5703125" bestFit="1" customWidth="1"/>
    <col min="2" max="13" width="9.140625" hidden="1" customWidth="1"/>
    <col min="14" max="14" width="9.42578125" hidden="1" customWidth="1"/>
    <col min="15" max="21" width="9.140625" hidden="1" customWidth="1"/>
    <col min="22" max="32" width="9.140625" customWidth="1"/>
    <col min="34" max="34" width="10.85546875" bestFit="1" customWidth="1"/>
    <col min="35" max="35" width="16.28515625" bestFit="1" customWidth="1"/>
  </cols>
  <sheetData>
    <row r="1" spans="1:35">
      <c r="B1">
        <v>6000</v>
      </c>
      <c r="C1">
        <v>5000</v>
      </c>
      <c r="D1">
        <v>5800</v>
      </c>
      <c r="E1">
        <v>6200</v>
      </c>
      <c r="F1">
        <v>5700</v>
      </c>
      <c r="G1">
        <v>6800</v>
      </c>
      <c r="H1">
        <v>6600</v>
      </c>
      <c r="I1">
        <v>5900</v>
      </c>
      <c r="J1">
        <v>6300</v>
      </c>
      <c r="K1">
        <v>8900</v>
      </c>
      <c r="L1">
        <v>8900</v>
      </c>
      <c r="M1">
        <v>7700</v>
      </c>
      <c r="N1">
        <v>6800</v>
      </c>
      <c r="O1">
        <v>7700</v>
      </c>
      <c r="P1">
        <v>6900</v>
      </c>
      <c r="Q1">
        <v>6400</v>
      </c>
      <c r="R1">
        <v>7600</v>
      </c>
      <c r="S1">
        <v>6800</v>
      </c>
      <c r="T1">
        <v>6100</v>
      </c>
      <c r="U1">
        <v>7400</v>
      </c>
      <c r="V1">
        <v>5600</v>
      </c>
      <c r="W1">
        <v>7700</v>
      </c>
      <c r="X1">
        <v>8200</v>
      </c>
      <c r="Y1">
        <v>7700</v>
      </c>
      <c r="Z1">
        <v>7700</v>
      </c>
      <c r="AA1">
        <v>7300</v>
      </c>
      <c r="AB1">
        <v>5700</v>
      </c>
      <c r="AC1">
        <v>7800</v>
      </c>
      <c r="AD1">
        <v>7900</v>
      </c>
      <c r="AE1">
        <v>8300</v>
      </c>
    </row>
    <row r="2" spans="1:35" ht="15">
      <c r="A2" s="6"/>
      <c r="B2" s="6">
        <v>1</v>
      </c>
      <c r="C2" s="6">
        <v>2</v>
      </c>
      <c r="D2" s="6">
        <v>3</v>
      </c>
      <c r="E2" s="6">
        <v>4</v>
      </c>
      <c r="F2" s="6">
        <v>5</v>
      </c>
      <c r="G2" s="6">
        <v>6</v>
      </c>
      <c r="H2" s="6">
        <v>7</v>
      </c>
      <c r="I2" s="6">
        <v>8</v>
      </c>
      <c r="J2" s="6">
        <v>9</v>
      </c>
      <c r="K2" s="6">
        <v>10</v>
      </c>
      <c r="L2" s="6">
        <v>11</v>
      </c>
      <c r="M2" s="6">
        <v>12</v>
      </c>
      <c r="N2" s="6">
        <v>13</v>
      </c>
      <c r="O2" s="6">
        <v>14</v>
      </c>
      <c r="P2" s="6">
        <v>15</v>
      </c>
      <c r="Q2" s="6">
        <v>16</v>
      </c>
      <c r="R2" s="6">
        <v>17</v>
      </c>
      <c r="S2" s="6">
        <v>18</v>
      </c>
      <c r="T2" s="6">
        <v>19</v>
      </c>
      <c r="U2" s="6">
        <v>20</v>
      </c>
      <c r="V2" s="6">
        <v>21</v>
      </c>
      <c r="W2" s="6">
        <v>22</v>
      </c>
      <c r="X2" s="6">
        <v>23</v>
      </c>
      <c r="Y2" s="6">
        <v>24</v>
      </c>
      <c r="Z2" s="6">
        <v>25</v>
      </c>
      <c r="AA2" s="6">
        <v>26</v>
      </c>
      <c r="AB2" s="6">
        <v>27</v>
      </c>
      <c r="AC2" s="6">
        <v>28</v>
      </c>
      <c r="AD2" s="6">
        <v>29</v>
      </c>
      <c r="AE2" s="6">
        <v>30</v>
      </c>
      <c r="AF2" s="6">
        <v>31</v>
      </c>
      <c r="AG2" s="487" t="s">
        <v>278</v>
      </c>
      <c r="AH2" s="488" t="s">
        <v>279</v>
      </c>
      <c r="AI2" s="489" t="s">
        <v>280</v>
      </c>
    </row>
    <row r="3" spans="1:35">
      <c r="A3" s="490" t="s">
        <v>281</v>
      </c>
      <c r="B3" s="6">
        <v>4</v>
      </c>
      <c r="C3" s="6">
        <v>7.3</v>
      </c>
      <c r="D3" s="6">
        <v>4.4000000000000004</v>
      </c>
      <c r="E3" s="507">
        <v>6.4</v>
      </c>
      <c r="F3" s="6">
        <v>5.3</v>
      </c>
      <c r="G3" s="6">
        <f>0.5+2.5</f>
        <v>3</v>
      </c>
      <c r="H3" s="6">
        <v>3</v>
      </c>
      <c r="I3" s="6">
        <f>4.4+0.52</f>
        <v>4.92</v>
      </c>
      <c r="J3" s="6">
        <v>4</v>
      </c>
      <c r="K3" s="6">
        <f>8+3.6</f>
        <v>11.6</v>
      </c>
      <c r="L3" s="6">
        <f>8+3.6</f>
        <v>11.6</v>
      </c>
      <c r="M3" s="6">
        <f>11.1+3.6</f>
        <v>14.7</v>
      </c>
      <c r="N3" s="6">
        <v>5.6</v>
      </c>
      <c r="O3" s="6">
        <v>6.6</v>
      </c>
      <c r="P3" s="6">
        <v>9.1999999999999993</v>
      </c>
      <c r="Q3" s="6">
        <v>10.199999999999999</v>
      </c>
      <c r="R3" s="6">
        <v>9</v>
      </c>
      <c r="S3" s="6">
        <v>13.5</v>
      </c>
      <c r="T3" s="6">
        <v>11</v>
      </c>
      <c r="U3" s="6">
        <v>7.1</v>
      </c>
      <c r="V3" s="6">
        <f>5.7+8</f>
        <v>13.7</v>
      </c>
      <c r="W3" s="6">
        <v>6</v>
      </c>
      <c r="X3" s="6">
        <v>4.8</v>
      </c>
      <c r="Y3" s="6">
        <v>2.7</v>
      </c>
      <c r="Z3" s="6">
        <v>5.5</v>
      </c>
      <c r="AA3" s="6">
        <v>4.0999999999999996</v>
      </c>
      <c r="AB3" s="6">
        <v>2.6</v>
      </c>
      <c r="AC3" s="6">
        <v>8.4</v>
      </c>
      <c r="AD3" s="6">
        <v>7.3</v>
      </c>
      <c r="AE3" s="6">
        <v>6.9</v>
      </c>
      <c r="AF3" s="6"/>
      <c r="AG3" s="6">
        <f>+AE3</f>
        <v>6.9</v>
      </c>
      <c r="AH3" s="483">
        <f>+AG3/Efficiency1!$K$146</f>
        <v>3.2691306228274609E-3</v>
      </c>
      <c r="AI3" s="997">
        <f>SUM(AH3:AH4)</f>
        <v>3.2691306228274609E-3</v>
      </c>
    </row>
    <row r="4" spans="1:35">
      <c r="A4" s="490" t="s">
        <v>282</v>
      </c>
      <c r="B4" s="6">
        <v>2.0819999999999999</v>
      </c>
      <c r="C4" s="6">
        <v>0.83699999999999997</v>
      </c>
      <c r="D4" s="6">
        <v>0.61199999999999999</v>
      </c>
      <c r="E4" s="507">
        <v>2.09</v>
      </c>
      <c r="F4" s="6">
        <v>0.76900000000000002</v>
      </c>
      <c r="G4" s="6">
        <v>1.1659999999999999</v>
      </c>
      <c r="H4" s="6">
        <v>1.53</v>
      </c>
      <c r="I4" s="6">
        <v>0.56000000000000005</v>
      </c>
      <c r="J4" s="6">
        <v>1.5940000000000001</v>
      </c>
      <c r="K4" s="6">
        <v>1.629</v>
      </c>
      <c r="L4" s="6">
        <v>1.629</v>
      </c>
      <c r="M4" s="6">
        <v>2.8839999999999999</v>
      </c>
      <c r="N4" s="491">
        <v>2.34</v>
      </c>
      <c r="O4" s="491">
        <v>1.071</v>
      </c>
      <c r="P4" s="6">
        <v>2.2999999999999998</v>
      </c>
      <c r="Q4" s="6">
        <v>1.2</v>
      </c>
      <c r="R4" s="6">
        <v>2.5</v>
      </c>
      <c r="S4" s="6">
        <v>0.747</v>
      </c>
      <c r="T4" s="6">
        <v>2.2999999999999998</v>
      </c>
      <c r="U4" s="6">
        <v>0.88</v>
      </c>
      <c r="V4" s="6">
        <v>0.82299999999999995</v>
      </c>
      <c r="W4" s="491">
        <v>0.22500000000000001</v>
      </c>
      <c r="X4" s="6">
        <v>0.3</v>
      </c>
      <c r="Y4" s="6">
        <v>1.8080000000000001</v>
      </c>
      <c r="Z4" s="6">
        <v>0.72299999999999998</v>
      </c>
      <c r="AA4" s="6">
        <v>1.9750000000000001</v>
      </c>
      <c r="AB4" s="6">
        <v>2.6</v>
      </c>
      <c r="AC4" s="6">
        <v>1.014</v>
      </c>
      <c r="AD4" s="6">
        <v>1.1830000000000001</v>
      </c>
      <c r="AE4" s="6">
        <v>0</v>
      </c>
      <c r="AF4" s="6"/>
      <c r="AG4" s="6">
        <f>+AE4</f>
        <v>0</v>
      </c>
      <c r="AH4" s="483">
        <f>+AG4/Efficiency1!$K$146</f>
        <v>0</v>
      </c>
      <c r="AI4" s="998"/>
    </row>
    <row r="5" spans="1:35">
      <c r="A5" s="492"/>
      <c r="B5" s="493"/>
      <c r="C5" s="493"/>
      <c r="D5" s="493"/>
      <c r="E5" s="493"/>
      <c r="F5" s="493"/>
      <c r="G5" s="493"/>
      <c r="H5" s="493"/>
      <c r="I5" s="493"/>
      <c r="J5" s="493"/>
      <c r="K5" s="493"/>
      <c r="L5" s="493"/>
      <c r="M5" s="493"/>
      <c r="N5" s="494"/>
      <c r="O5" s="494"/>
      <c r="P5" s="493"/>
      <c r="Q5" s="493"/>
      <c r="R5" s="493"/>
      <c r="S5" s="493"/>
      <c r="T5" s="493"/>
      <c r="U5" s="493"/>
      <c r="V5" s="493"/>
      <c r="W5" s="494"/>
      <c r="X5" s="493"/>
      <c r="Y5" s="493"/>
      <c r="Z5" s="493"/>
      <c r="AA5" s="493"/>
      <c r="AB5" s="493"/>
      <c r="AC5" s="493"/>
      <c r="AD5" s="493"/>
      <c r="AE5" s="493"/>
      <c r="AF5" s="493"/>
      <c r="AG5" s="493"/>
      <c r="AH5" s="495"/>
    </row>
    <row r="6" spans="1:35">
      <c r="A6" s="490" t="s">
        <v>283</v>
      </c>
      <c r="B6" s="491">
        <f>0.346+0.288+0.3</f>
        <v>0.93399999999999994</v>
      </c>
      <c r="C6" s="6">
        <f>0.355+0.256+0.15</f>
        <v>0.76100000000000001</v>
      </c>
      <c r="D6" s="6">
        <f>0.331+0.175+0.165</f>
        <v>0.67100000000000004</v>
      </c>
      <c r="E6" s="6">
        <f>0.195+0.1+0.25</f>
        <v>0.54500000000000004</v>
      </c>
      <c r="F6" s="6">
        <f>0.384+0.27+0.2</f>
        <v>0.85400000000000009</v>
      </c>
      <c r="G6" s="6">
        <f>0.15+0.2+0.1</f>
        <v>0.44999999999999996</v>
      </c>
      <c r="H6" s="6">
        <f>0.382+0.1+0.15</f>
        <v>0.63200000000000001</v>
      </c>
      <c r="I6" s="6">
        <f>0.523+0.2+0.166</f>
        <v>0.88900000000000012</v>
      </c>
      <c r="J6" s="6">
        <f>0.264+0.15+0.18</f>
        <v>0.59400000000000008</v>
      </c>
      <c r="K6" s="6">
        <f>0.323+0.23+0.16</f>
        <v>0.71300000000000008</v>
      </c>
      <c r="L6" s="6">
        <f>0.323+0.23+0.16</f>
        <v>0.71300000000000008</v>
      </c>
      <c r="M6" s="6">
        <f>0.395+0.25+0.155</f>
        <v>0.8</v>
      </c>
      <c r="N6" s="6">
        <f>0.1+0.1+0.102</f>
        <v>0.30199999999999999</v>
      </c>
      <c r="O6" s="6">
        <f>0.1+0.1+0.275</f>
        <v>0.47500000000000003</v>
      </c>
      <c r="P6" s="6">
        <f>0.1+0.1+0.113</f>
        <v>0.313</v>
      </c>
      <c r="Q6" s="6">
        <f>0.209+0.133+0.05</f>
        <v>0.39199999999999996</v>
      </c>
      <c r="R6" s="6">
        <f>0.1+0.191+0.196</f>
        <v>0.48700000000000004</v>
      </c>
      <c r="S6" s="6">
        <v>0.17</v>
      </c>
      <c r="T6" s="6">
        <f>0.15+0.154+0.483+0.196</f>
        <v>0.98299999999999987</v>
      </c>
      <c r="U6" s="6">
        <f>0.4+0.194+0.1</f>
        <v>0.69400000000000006</v>
      </c>
      <c r="V6" s="6">
        <f>0.1+0.169+0.3</f>
        <v>0.56899999999999995</v>
      </c>
      <c r="W6" s="491">
        <f>0.4+0.194+0.3</f>
        <v>0.89400000000000013</v>
      </c>
      <c r="X6" s="6">
        <f>0.78+0.425+0.1</f>
        <v>1.3050000000000002</v>
      </c>
      <c r="Y6" s="6">
        <f>0.214+0.166+0.1</f>
        <v>0.48</v>
      </c>
      <c r="Z6" s="491">
        <f>0.25+0.316+0.2</f>
        <v>0.76600000000000001</v>
      </c>
      <c r="AA6" s="6">
        <f>0.11+0.103+0.15</f>
        <v>0.36299999999999999</v>
      </c>
      <c r="AB6" s="6">
        <f>0.151+0.342+0.13</f>
        <v>0.623</v>
      </c>
      <c r="AC6" s="6">
        <f>0.214+0.1</f>
        <v>0.314</v>
      </c>
      <c r="AD6" s="6">
        <f>0.1+0.1+0.1</f>
        <v>0.30000000000000004</v>
      </c>
      <c r="AE6" s="6">
        <f>0.126+0.1+0.15</f>
        <v>0.376</v>
      </c>
      <c r="AF6" s="6"/>
      <c r="AG6" s="6">
        <f t="shared" ref="AG6:AG37" si="0">+SUM(B6:AF6)</f>
        <v>18.362000000000005</v>
      </c>
      <c r="AH6" s="496">
        <f t="shared" ref="AH6:AH36" si="1">+AG6/$AG$39</f>
        <v>0.45121022238604258</v>
      </c>
    </row>
    <row r="7" spans="1:35">
      <c r="A7" s="490" t="s">
        <v>284</v>
      </c>
      <c r="B7" s="6"/>
      <c r="C7" s="6"/>
      <c r="D7" s="6"/>
      <c r="E7" s="6"/>
      <c r="F7" s="6">
        <v>0.25</v>
      </c>
      <c r="G7" s="6">
        <v>0.505</v>
      </c>
      <c r="H7" s="491"/>
      <c r="I7" s="6"/>
      <c r="J7" s="6">
        <v>0.28199999999999997</v>
      </c>
      <c r="K7" s="6"/>
      <c r="L7" s="6"/>
      <c r="M7" s="6">
        <v>0.23499999999999999</v>
      </c>
      <c r="N7" s="6"/>
      <c r="O7" s="6">
        <v>1.224</v>
      </c>
      <c r="P7" s="6">
        <f>0.66+0.263+0.35</f>
        <v>1.2730000000000001</v>
      </c>
      <c r="Q7" s="6">
        <f>0.38+0.19+0.13</f>
        <v>0.70000000000000007</v>
      </c>
      <c r="R7">
        <f>0.219+0.27</f>
        <v>0.48899999999999999</v>
      </c>
      <c r="S7" s="6"/>
      <c r="T7" s="6">
        <f>0.134+0.183</f>
        <v>0.317</v>
      </c>
      <c r="U7" s="6">
        <v>0.28999999999999998</v>
      </c>
      <c r="V7" s="6"/>
      <c r="W7" s="6"/>
      <c r="X7" s="6">
        <v>0.32100000000000001</v>
      </c>
      <c r="Y7" s="6"/>
      <c r="Z7" s="6"/>
      <c r="AA7" s="6"/>
      <c r="AB7" s="6">
        <v>0.37</v>
      </c>
      <c r="AC7" s="6">
        <f>0.359+0.068</f>
        <v>0.42699999999999999</v>
      </c>
      <c r="AD7" s="6">
        <f>0.72+0.369</f>
        <v>1.089</v>
      </c>
      <c r="AE7" s="6">
        <f>0.06+0.126</f>
        <v>0.186</v>
      </c>
      <c r="AF7" s="6"/>
      <c r="AG7" s="6">
        <f t="shared" si="0"/>
        <v>7.9579999999999984</v>
      </c>
      <c r="AH7" s="483">
        <f t="shared" si="1"/>
        <v>0.19555227914977263</v>
      </c>
    </row>
    <row r="8" spans="1:35">
      <c r="A8" s="497" t="s">
        <v>285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7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>
        <f t="shared" si="0"/>
        <v>0</v>
      </c>
      <c r="AH8" s="483">
        <f t="shared" si="1"/>
        <v>0</v>
      </c>
    </row>
    <row r="9" spans="1:35">
      <c r="A9" s="490" t="s">
        <v>286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7"/>
      <c r="P9" s="6"/>
      <c r="Q9" s="6"/>
      <c r="R9" s="6"/>
      <c r="S9" s="6"/>
      <c r="T9" s="6"/>
      <c r="U9" s="6"/>
      <c r="V9" s="6"/>
      <c r="W9" s="6">
        <v>0.3</v>
      </c>
      <c r="X9" s="6"/>
      <c r="Y9" s="6"/>
      <c r="Z9" s="6"/>
      <c r="AA9" s="6"/>
      <c r="AB9" s="6"/>
      <c r="AC9" s="6"/>
      <c r="AD9" s="6"/>
      <c r="AE9" s="6"/>
      <c r="AF9" s="6"/>
      <c r="AG9" s="6">
        <f t="shared" si="0"/>
        <v>0.3</v>
      </c>
      <c r="AH9" s="483">
        <f t="shared" si="1"/>
        <v>7.3719130114264638E-3</v>
      </c>
    </row>
    <row r="10" spans="1:35">
      <c r="A10" s="490" t="s">
        <v>287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>
        <v>0.99</v>
      </c>
      <c r="AC10" s="6">
        <v>0.42</v>
      </c>
      <c r="AD10" s="6"/>
      <c r="AE10" s="6"/>
      <c r="AF10" s="6"/>
      <c r="AG10" s="6">
        <f t="shared" si="0"/>
        <v>1.41</v>
      </c>
      <c r="AH10" s="483">
        <f t="shared" si="1"/>
        <v>3.4647991153704379E-2</v>
      </c>
    </row>
    <row r="11" spans="1:35">
      <c r="A11" s="490" t="s">
        <v>288</v>
      </c>
      <c r="B11" s="6">
        <v>0.2</v>
      </c>
      <c r="C11" s="6"/>
      <c r="D11" s="6"/>
      <c r="E11" s="6"/>
      <c r="F11" s="6">
        <v>0.44</v>
      </c>
      <c r="G11" s="6"/>
      <c r="H11" s="6"/>
      <c r="I11" s="6"/>
      <c r="J11" s="6"/>
      <c r="K11" s="6"/>
      <c r="L11" s="6"/>
      <c r="M11" s="6"/>
      <c r="N11" s="6"/>
      <c r="O11" s="6">
        <v>0.503</v>
      </c>
      <c r="P11" s="6"/>
      <c r="Q11" s="6"/>
      <c r="R11" s="6"/>
      <c r="S11" s="6">
        <v>0.3</v>
      </c>
      <c r="T11" s="6"/>
      <c r="U11" s="6"/>
      <c r="V11" s="6"/>
      <c r="W11" s="6"/>
      <c r="X11" s="6"/>
      <c r="Y11" s="6"/>
      <c r="Z11" s="6"/>
      <c r="AA11" s="6"/>
      <c r="AB11" s="6"/>
      <c r="AC11" s="6">
        <v>0.3</v>
      </c>
      <c r="AD11" s="6">
        <v>0.7</v>
      </c>
      <c r="AE11" s="6"/>
      <c r="AF11" s="6"/>
      <c r="AG11" s="6">
        <f t="shared" si="0"/>
        <v>2.4430000000000001</v>
      </c>
      <c r="AH11" s="483">
        <f t="shared" si="1"/>
        <v>6.0031944956382838E-2</v>
      </c>
    </row>
    <row r="12" spans="1:35">
      <c r="A12" s="490" t="s">
        <v>289</v>
      </c>
      <c r="B12" s="6"/>
      <c r="C12" s="6"/>
      <c r="D12" s="6"/>
      <c r="E12" s="6"/>
      <c r="F12" s="6"/>
      <c r="G12" s="6"/>
      <c r="H12" s="6"/>
      <c r="I12" s="6"/>
      <c r="J12" s="6"/>
      <c r="K12" s="6" t="s">
        <v>774</v>
      </c>
      <c r="L12" s="6">
        <f>0.74+0.204</f>
        <v>0.94399999999999995</v>
      </c>
      <c r="M12" s="6"/>
      <c r="N12" s="6">
        <v>0.2</v>
      </c>
      <c r="O12" s="6"/>
      <c r="P12" s="6"/>
      <c r="Q12" s="6"/>
      <c r="R12" s="6"/>
      <c r="S12" s="6"/>
      <c r="T12" s="6">
        <f>0.326+0.903</f>
        <v>1.2290000000000001</v>
      </c>
      <c r="U12" s="6">
        <v>9.7000000000000003E-2</v>
      </c>
      <c r="V12" s="6"/>
      <c r="W12" s="6">
        <f>0.573+0.541</f>
        <v>1.1139999999999999</v>
      </c>
      <c r="X12" s="6"/>
      <c r="Y12" s="6"/>
      <c r="Z12" s="6"/>
      <c r="AA12" s="6"/>
      <c r="AB12" s="6"/>
      <c r="AC12" s="6"/>
      <c r="AD12" s="6"/>
      <c r="AE12" s="6"/>
      <c r="AF12" s="6"/>
      <c r="AG12" s="6">
        <f t="shared" si="0"/>
        <v>3.5840000000000001</v>
      </c>
      <c r="AH12" s="483">
        <f t="shared" si="1"/>
        <v>8.8069787443174827E-2</v>
      </c>
    </row>
    <row r="13" spans="1:35">
      <c r="A13" s="490" t="s">
        <v>259</v>
      </c>
      <c r="B13" s="6"/>
      <c r="C13" s="6"/>
      <c r="D13" s="6"/>
      <c r="E13" s="6"/>
      <c r="F13" s="6"/>
      <c r="G13" s="6">
        <f>0.718+1.1+0.5</f>
        <v>2.3180000000000001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>
        <v>0.42</v>
      </c>
      <c r="AF13" s="6"/>
      <c r="AG13" s="6">
        <f t="shared" si="0"/>
        <v>2.738</v>
      </c>
      <c r="AH13" s="483">
        <f t="shared" si="1"/>
        <v>6.7280992750952187E-2</v>
      </c>
    </row>
    <row r="14" spans="1:35">
      <c r="A14" s="490" t="s">
        <v>290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>
        <f t="shared" si="0"/>
        <v>0</v>
      </c>
      <c r="AH14" s="483">
        <f t="shared" si="1"/>
        <v>0</v>
      </c>
    </row>
    <row r="15" spans="1:35">
      <c r="A15" s="490" t="s">
        <v>311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>
        <f t="shared" si="0"/>
        <v>0</v>
      </c>
      <c r="AH15" s="483">
        <f t="shared" si="1"/>
        <v>0</v>
      </c>
    </row>
    <row r="16" spans="1:35">
      <c r="A16" s="490" t="s">
        <v>291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>
        <f t="shared" si="0"/>
        <v>0</v>
      </c>
      <c r="AH16" s="483">
        <f t="shared" si="1"/>
        <v>0</v>
      </c>
    </row>
    <row r="17" spans="1:34">
      <c r="A17" s="490" t="s">
        <v>292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>
        <f t="shared" si="0"/>
        <v>0</v>
      </c>
      <c r="AH17" s="483">
        <f t="shared" si="1"/>
        <v>0</v>
      </c>
    </row>
    <row r="18" spans="1:34">
      <c r="A18" s="490" t="s">
        <v>293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491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>
        <f t="shared" si="0"/>
        <v>0</v>
      </c>
      <c r="AH18" s="483">
        <f t="shared" si="1"/>
        <v>0</v>
      </c>
    </row>
    <row r="19" spans="1:34">
      <c r="A19" s="490" t="s">
        <v>294</v>
      </c>
      <c r="B19" s="6"/>
      <c r="C19" s="6"/>
      <c r="D19" s="6"/>
      <c r="E19" s="6"/>
      <c r="F19" s="6"/>
      <c r="G19" s="6"/>
      <c r="H19" s="6"/>
      <c r="I19" s="6"/>
      <c r="J19" s="6"/>
      <c r="K19" s="6" t="s">
        <v>773</v>
      </c>
      <c r="L19" s="6">
        <f>2+0.6</f>
        <v>2.6</v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>
        <f t="shared" si="0"/>
        <v>2.6</v>
      </c>
      <c r="AH19" s="483">
        <f t="shared" si="1"/>
        <v>6.3889912765696028E-2</v>
      </c>
    </row>
    <row r="20" spans="1:34">
      <c r="A20" s="490" t="s">
        <v>410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>
        <f t="shared" si="0"/>
        <v>0</v>
      </c>
      <c r="AH20" s="483">
        <f t="shared" si="1"/>
        <v>0</v>
      </c>
    </row>
    <row r="21" spans="1:34">
      <c r="A21" s="490" t="s">
        <v>295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>
        <f t="shared" si="0"/>
        <v>0</v>
      </c>
      <c r="AH21" s="483">
        <f t="shared" si="1"/>
        <v>0</v>
      </c>
    </row>
    <row r="22" spans="1:34">
      <c r="A22" s="490" t="s">
        <v>296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>
        <f t="shared" si="0"/>
        <v>0</v>
      </c>
      <c r="AH22" s="483">
        <f t="shared" si="1"/>
        <v>0</v>
      </c>
    </row>
    <row r="23" spans="1:34">
      <c r="A23" s="490" t="s">
        <v>297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>
        <f t="shared" si="0"/>
        <v>0</v>
      </c>
      <c r="AH23" s="483">
        <f t="shared" si="1"/>
        <v>0</v>
      </c>
    </row>
    <row r="24" spans="1:34">
      <c r="A24" s="490" t="s">
        <v>298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>
        <v>0.2</v>
      </c>
      <c r="V24" s="6">
        <v>0.2</v>
      </c>
      <c r="W24" s="6"/>
      <c r="X24" s="6"/>
      <c r="Y24" s="6"/>
      <c r="Z24" s="6"/>
      <c r="AA24" s="6"/>
      <c r="AB24" s="6"/>
      <c r="AC24" s="6">
        <v>0.9</v>
      </c>
      <c r="AD24" s="6"/>
      <c r="AE24" s="6"/>
      <c r="AF24" s="6"/>
      <c r="AG24" s="6">
        <f t="shared" si="0"/>
        <v>1.3</v>
      </c>
      <c r="AH24" s="483">
        <f t="shared" si="1"/>
        <v>3.1944956382848014E-2</v>
      </c>
    </row>
    <row r="25" spans="1:34">
      <c r="A25" s="490" t="s">
        <v>299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>
        <f t="shared" si="0"/>
        <v>0</v>
      </c>
      <c r="AH25" s="483">
        <f t="shared" si="1"/>
        <v>0</v>
      </c>
    </row>
    <row r="26" spans="1:34">
      <c r="A26" s="490" t="s">
        <v>417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>
        <f t="shared" si="0"/>
        <v>0</v>
      </c>
      <c r="AH26" s="483">
        <f t="shared" si="1"/>
        <v>0</v>
      </c>
    </row>
    <row r="27" spans="1:34">
      <c r="A27" s="490" t="s">
        <v>300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>
        <f t="shared" si="0"/>
        <v>0</v>
      </c>
      <c r="AH27" s="483">
        <f t="shared" si="1"/>
        <v>0</v>
      </c>
    </row>
    <row r="28" spans="1:34">
      <c r="A28" s="490" t="s">
        <v>301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>
        <f t="shared" si="0"/>
        <v>0</v>
      </c>
      <c r="AH28" s="483">
        <f t="shared" si="1"/>
        <v>0</v>
      </c>
    </row>
    <row r="29" spans="1:34">
      <c r="A29" s="490" t="s">
        <v>302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>
        <f t="shared" si="0"/>
        <v>0</v>
      </c>
      <c r="AH29" s="483">
        <f t="shared" si="1"/>
        <v>0</v>
      </c>
    </row>
    <row r="30" spans="1:34">
      <c r="A30" s="490" t="s">
        <v>303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>
        <f t="shared" si="0"/>
        <v>0</v>
      </c>
      <c r="AH30" s="483">
        <f t="shared" si="1"/>
        <v>0</v>
      </c>
    </row>
    <row r="31" spans="1:34">
      <c r="A31" s="490" t="s">
        <v>231</v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>
        <f t="shared" si="0"/>
        <v>0</v>
      </c>
      <c r="AH31" s="483">
        <f t="shared" si="1"/>
        <v>0</v>
      </c>
    </row>
    <row r="32" spans="1:34">
      <c r="A32" s="490" t="s">
        <v>304</v>
      </c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>
        <f t="shared" si="0"/>
        <v>0</v>
      </c>
      <c r="AH32" s="483">
        <f t="shared" si="1"/>
        <v>0</v>
      </c>
    </row>
    <row r="33" spans="1:34">
      <c r="A33" s="490" t="s">
        <v>305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>
        <f t="shared" si="0"/>
        <v>0</v>
      </c>
      <c r="AH33" s="483">
        <f t="shared" si="1"/>
        <v>0</v>
      </c>
    </row>
    <row r="34" spans="1:34">
      <c r="A34" s="498" t="s">
        <v>306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>
        <f t="shared" si="0"/>
        <v>0</v>
      </c>
      <c r="AH34" s="483">
        <f t="shared" si="1"/>
        <v>0</v>
      </c>
    </row>
    <row r="35" spans="1:34">
      <c r="A35" s="498" t="s">
        <v>307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>
        <f t="shared" si="0"/>
        <v>0</v>
      </c>
      <c r="AH35" s="483">
        <f t="shared" si="1"/>
        <v>0</v>
      </c>
    </row>
    <row r="36" spans="1:34">
      <c r="A36" s="498" t="s">
        <v>308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>
        <f t="shared" si="0"/>
        <v>0</v>
      </c>
      <c r="AH36" s="483">
        <f t="shared" si="1"/>
        <v>0</v>
      </c>
    </row>
    <row r="37" spans="1:34">
      <c r="A37" s="498" t="s">
        <v>309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>
        <f t="shared" si="0"/>
        <v>0</v>
      </c>
      <c r="AH37" s="483">
        <f>+AG37/$AG$39</f>
        <v>0</v>
      </c>
    </row>
    <row r="38" spans="1:34">
      <c r="A38" s="499" t="s">
        <v>310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500">
        <f>+AG39/Efficiency1!$K$146</f>
        <v>1.9280763868980224E-2</v>
      </c>
    </row>
    <row r="39" spans="1:34">
      <c r="A39" s="498" t="s">
        <v>2</v>
      </c>
      <c r="B39" s="6">
        <f t="shared" ref="B39:AF39" si="2">SUM(B3:B37)</f>
        <v>7.2160000000000002</v>
      </c>
      <c r="C39" s="6">
        <f t="shared" si="2"/>
        <v>8.8979999999999997</v>
      </c>
      <c r="D39" s="6">
        <f t="shared" si="2"/>
        <v>5.6830000000000007</v>
      </c>
      <c r="E39" s="6">
        <f t="shared" si="2"/>
        <v>9.0350000000000001</v>
      </c>
      <c r="F39" s="6">
        <f t="shared" si="2"/>
        <v>7.6130000000000004</v>
      </c>
      <c r="G39" s="6">
        <f t="shared" si="2"/>
        <v>7.4390000000000001</v>
      </c>
      <c r="H39" s="6">
        <f t="shared" si="2"/>
        <v>5.1619999999999999</v>
      </c>
      <c r="I39" s="6">
        <f t="shared" si="2"/>
        <v>6.3690000000000007</v>
      </c>
      <c r="J39" s="6">
        <f t="shared" si="2"/>
        <v>6.4700000000000006</v>
      </c>
      <c r="K39" s="6">
        <f t="shared" si="2"/>
        <v>13.942</v>
      </c>
      <c r="L39" s="6">
        <f t="shared" si="2"/>
        <v>17.486000000000001</v>
      </c>
      <c r="M39" s="6">
        <f t="shared" si="2"/>
        <v>18.619</v>
      </c>
      <c r="N39" s="6">
        <f t="shared" si="2"/>
        <v>8.4419999999999984</v>
      </c>
      <c r="O39" s="7">
        <f t="shared" si="2"/>
        <v>9.8729999999999993</v>
      </c>
      <c r="P39" s="6">
        <f t="shared" si="2"/>
        <v>13.086</v>
      </c>
      <c r="Q39" s="6">
        <f t="shared" si="2"/>
        <v>12.491999999999997</v>
      </c>
      <c r="R39" s="6">
        <f t="shared" si="2"/>
        <v>12.476000000000001</v>
      </c>
      <c r="S39" s="6">
        <f t="shared" si="2"/>
        <v>14.717000000000001</v>
      </c>
      <c r="T39" s="6">
        <f t="shared" si="2"/>
        <v>15.829000000000001</v>
      </c>
      <c r="U39" s="6">
        <f t="shared" si="2"/>
        <v>9.2609999999999975</v>
      </c>
      <c r="V39" s="6">
        <f t="shared" si="2"/>
        <v>15.291999999999998</v>
      </c>
      <c r="W39" s="6">
        <f t="shared" si="2"/>
        <v>8.5329999999999995</v>
      </c>
      <c r="X39" s="6">
        <f t="shared" si="2"/>
        <v>6.7259999999999991</v>
      </c>
      <c r="Y39" s="6">
        <f t="shared" si="2"/>
        <v>4.9879999999999995</v>
      </c>
      <c r="Z39" s="6">
        <f t="shared" si="2"/>
        <v>6.9889999999999999</v>
      </c>
      <c r="AA39" s="6">
        <f t="shared" si="2"/>
        <v>6.4379999999999988</v>
      </c>
      <c r="AB39" s="6">
        <f t="shared" si="2"/>
        <v>7.1830000000000007</v>
      </c>
      <c r="AC39" s="6">
        <f t="shared" si="2"/>
        <v>11.775</v>
      </c>
      <c r="AD39" s="6">
        <f t="shared" si="2"/>
        <v>10.572000000000001</v>
      </c>
      <c r="AE39" s="6">
        <f t="shared" si="2"/>
        <v>7.8820000000000006</v>
      </c>
      <c r="AF39" s="6">
        <f t="shared" si="2"/>
        <v>0</v>
      </c>
      <c r="AG39" s="17">
        <f>SUM(AG6:AG38)</f>
        <v>40.695000000000007</v>
      </c>
      <c r="AH39" s="501">
        <f>SUM(AH6:AH37)</f>
        <v>1</v>
      </c>
    </row>
  </sheetData>
  <mergeCells count="1">
    <mergeCell ref="AI3:AI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139"/>
  <sheetViews>
    <sheetView topLeftCell="A123" workbookViewId="0">
      <selection activeCell="F150" sqref="F150"/>
    </sheetView>
  </sheetViews>
  <sheetFormatPr defaultRowHeight="12.75"/>
  <cols>
    <col min="4" max="4" width="52.42578125" bestFit="1" customWidth="1"/>
    <col min="5" max="5" width="18.85546875" bestFit="1" customWidth="1"/>
    <col min="6" max="6" width="17.28515625" bestFit="1" customWidth="1"/>
    <col min="8" max="8" width="27.7109375" bestFit="1" customWidth="1"/>
    <col min="15" max="15" width="52.42578125" bestFit="1" customWidth="1"/>
    <col min="16" max="16" width="18.85546875" bestFit="1" customWidth="1"/>
    <col min="17" max="17" width="17.28515625" bestFit="1" customWidth="1"/>
    <col min="19" max="19" width="27.7109375" bestFit="1" customWidth="1"/>
  </cols>
  <sheetData>
    <row r="1" spans="1:21" ht="45">
      <c r="A1" s="456" t="s">
        <v>149</v>
      </c>
      <c r="B1" s="479" t="s">
        <v>7</v>
      </c>
      <c r="C1" s="480" t="s">
        <v>266</v>
      </c>
      <c r="D1" s="481" t="s">
        <v>128</v>
      </c>
      <c r="E1" s="481" t="s">
        <v>267</v>
      </c>
      <c r="F1" s="481" t="s">
        <v>268</v>
      </c>
      <c r="H1" s="478" t="s">
        <v>269</v>
      </c>
      <c r="I1" s="470" t="s">
        <v>270</v>
      </c>
      <c r="J1" s="470" t="s">
        <v>271</v>
      </c>
      <c r="L1" s="456" t="s">
        <v>149</v>
      </c>
      <c r="M1" s="479" t="s">
        <v>7</v>
      </c>
      <c r="N1" s="480" t="s">
        <v>266</v>
      </c>
      <c r="O1" s="481" t="s">
        <v>128</v>
      </c>
      <c r="P1" s="481" t="s">
        <v>267</v>
      </c>
      <c r="Q1" s="481" t="s">
        <v>268</v>
      </c>
      <c r="S1" s="478" t="s">
        <v>269</v>
      </c>
      <c r="T1" s="470" t="s">
        <v>270</v>
      </c>
      <c r="U1" s="470" t="s">
        <v>271</v>
      </c>
    </row>
    <row r="2" spans="1:21">
      <c r="B2" s="343">
        <v>46113</v>
      </c>
      <c r="C2" s="4">
        <v>5</v>
      </c>
      <c r="D2" s="505" t="s">
        <v>456</v>
      </c>
      <c r="E2" t="s">
        <v>258</v>
      </c>
      <c r="F2" t="s">
        <v>255</v>
      </c>
      <c r="H2" s="6" t="s">
        <v>153</v>
      </c>
      <c r="I2" s="316">
        <f>+Efficiency1!Z146</f>
        <v>15.998999999999997</v>
      </c>
      <c r="J2" s="474">
        <f>I2/$I$8</f>
        <v>7.5801189615386285E-3</v>
      </c>
      <c r="M2" s="343">
        <v>46113</v>
      </c>
      <c r="N2" s="4">
        <v>5</v>
      </c>
      <c r="O2" s="505" t="s">
        <v>456</v>
      </c>
      <c r="P2" t="s">
        <v>258</v>
      </c>
      <c r="Q2" t="s">
        <v>255</v>
      </c>
      <c r="S2" s="6" t="s">
        <v>153</v>
      </c>
      <c r="T2" s="316">
        <f>+Efficiency2!Z146</f>
        <v>15.998999999999997</v>
      </c>
      <c r="U2" s="474">
        <f>T2/$T$8</f>
        <v>7.7125393577661622E-3</v>
      </c>
    </row>
    <row r="3" spans="1:21">
      <c r="B3" s="343"/>
      <c r="C3" s="4">
        <v>16</v>
      </c>
      <c r="D3" s="505" t="s">
        <v>458</v>
      </c>
      <c r="E3" t="s">
        <v>256</v>
      </c>
      <c r="F3" t="s">
        <v>255</v>
      </c>
      <c r="H3" s="6" t="s">
        <v>249</v>
      </c>
      <c r="I3" s="316">
        <f>+Efficiency1!AA146+Efficiency1!Y146</f>
        <v>3.2021855067078064</v>
      </c>
      <c r="J3" s="474">
        <f>I3/$I$8</f>
        <v>1.5171540144859072E-3</v>
      </c>
      <c r="M3" s="343"/>
      <c r="N3" s="4">
        <v>16</v>
      </c>
      <c r="O3" s="505" t="s">
        <v>458</v>
      </c>
      <c r="P3" t="s">
        <v>256</v>
      </c>
      <c r="Q3" t="s">
        <v>255</v>
      </c>
      <c r="S3" s="6" t="s">
        <v>249</v>
      </c>
      <c r="T3" s="316">
        <f>+Efficiency2!AA146+Efficiency2!Y146</f>
        <v>3.2021855067078064</v>
      </c>
      <c r="U3" s="474">
        <f>T3/$T$8</f>
        <v>1.5436578380744013E-3</v>
      </c>
    </row>
    <row r="4" spans="1:21">
      <c r="B4" s="44"/>
      <c r="C4" s="4">
        <v>27</v>
      </c>
      <c r="D4" t="s">
        <v>459</v>
      </c>
      <c r="E4" t="s">
        <v>257</v>
      </c>
      <c r="F4" t="s">
        <v>255</v>
      </c>
      <c r="H4" s="6" t="s">
        <v>272</v>
      </c>
      <c r="I4" s="316">
        <f>+Efficiency1!AB146</f>
        <v>-3.6852166842423357</v>
      </c>
      <c r="J4" s="474">
        <f>I4/$I$8</f>
        <v>-1.7460079295958401E-3</v>
      </c>
      <c r="M4" s="44"/>
      <c r="N4" s="4">
        <v>27</v>
      </c>
      <c r="O4" t="s">
        <v>459</v>
      </c>
      <c r="P4" t="s">
        <v>257</v>
      </c>
      <c r="Q4" t="s">
        <v>255</v>
      </c>
      <c r="S4" s="6" t="s">
        <v>272</v>
      </c>
      <c r="T4" s="316">
        <f>+Efficiency2!AB146</f>
        <v>-1.6568639027845211</v>
      </c>
      <c r="U4" s="474">
        <f>T4/$T$8</f>
        <v>-7.9871417342881868E-4</v>
      </c>
    </row>
    <row r="5" spans="1:21">
      <c r="B5" s="44"/>
      <c r="C5" s="4"/>
      <c r="E5" s="382"/>
      <c r="F5" s="382"/>
      <c r="H5" s="6" t="s">
        <v>252</v>
      </c>
      <c r="I5" s="316">
        <f>+Efficiency1!AC146</f>
        <v>40.861105686691367</v>
      </c>
      <c r="J5" s="474">
        <f>I5/$I$8</f>
        <v>1.9359462591732182E-2</v>
      </c>
      <c r="M5" s="44"/>
      <c r="N5" s="4"/>
      <c r="P5" s="382"/>
      <c r="Q5" s="382"/>
      <c r="S5" s="6" t="s">
        <v>252</v>
      </c>
      <c r="T5" s="316">
        <f>+Efficiency2!AC146</f>
        <v>38.777038919633561</v>
      </c>
      <c r="U5" s="474">
        <f>T5/$T$8</f>
        <v>1.8693008240846565E-2</v>
      </c>
    </row>
    <row r="6" spans="1:21">
      <c r="B6" s="343">
        <v>46114</v>
      </c>
      <c r="C6" s="4">
        <v>0</v>
      </c>
      <c r="D6" t="s">
        <v>277</v>
      </c>
      <c r="E6" t="s">
        <v>258</v>
      </c>
      <c r="F6" t="s">
        <v>255</v>
      </c>
      <c r="M6" s="343">
        <v>46114</v>
      </c>
      <c r="N6" s="4">
        <v>0</v>
      </c>
      <c r="O6" t="s">
        <v>277</v>
      </c>
      <c r="P6" t="s">
        <v>258</v>
      </c>
      <c r="Q6" t="s">
        <v>255</v>
      </c>
    </row>
    <row r="7" spans="1:21">
      <c r="B7" s="343"/>
      <c r="C7" s="4">
        <v>11</v>
      </c>
      <c r="D7" t="s">
        <v>485</v>
      </c>
      <c r="E7" t="s">
        <v>256</v>
      </c>
      <c r="F7" t="s">
        <v>255</v>
      </c>
      <c r="M7" s="343"/>
      <c r="N7" s="4">
        <v>11</v>
      </c>
      <c r="O7" t="s">
        <v>485</v>
      </c>
      <c r="P7" t="s">
        <v>256</v>
      </c>
      <c r="Q7" t="s">
        <v>255</v>
      </c>
    </row>
    <row r="8" spans="1:21">
      <c r="B8" s="44"/>
      <c r="C8" s="4">
        <v>20</v>
      </c>
      <c r="D8" t="s">
        <v>486</v>
      </c>
      <c r="E8" t="s">
        <v>257</v>
      </c>
      <c r="F8" t="s">
        <v>255</v>
      </c>
      <c r="H8" s="482" t="s">
        <v>273</v>
      </c>
      <c r="I8" s="7">
        <f>+Efficiency1!K146</f>
        <v>2110.6528909610261</v>
      </c>
      <c r="M8" s="44"/>
      <c r="N8" s="4">
        <v>20</v>
      </c>
      <c r="O8" t="s">
        <v>486</v>
      </c>
      <c r="P8" t="s">
        <v>257</v>
      </c>
      <c r="Q8" t="s">
        <v>255</v>
      </c>
      <c r="S8" s="482" t="s">
        <v>273</v>
      </c>
      <c r="T8" s="7">
        <f>+Efficiency2!K146</f>
        <v>2074.4140493610266</v>
      </c>
    </row>
    <row r="9" spans="1:21">
      <c r="B9" s="343"/>
      <c r="C9" s="4">
        <v>5</v>
      </c>
      <c r="D9" t="s">
        <v>487</v>
      </c>
      <c r="E9" t="s">
        <v>203</v>
      </c>
      <c r="F9" t="s">
        <v>254</v>
      </c>
      <c r="H9" s="482" t="s">
        <v>274</v>
      </c>
      <c r="I9" s="7">
        <f>+Efficiency1!AD146</f>
        <v>2018</v>
      </c>
      <c r="M9" s="343"/>
      <c r="N9" s="4">
        <v>5</v>
      </c>
      <c r="O9" t="s">
        <v>487</v>
      </c>
      <c r="P9" t="s">
        <v>203</v>
      </c>
      <c r="Q9" t="s">
        <v>254</v>
      </c>
      <c r="S9" s="482" t="s">
        <v>274</v>
      </c>
      <c r="T9" s="7">
        <f>+Efficiency2!AD146</f>
        <v>1218</v>
      </c>
    </row>
    <row r="10" spans="1:21">
      <c r="B10" s="343"/>
      <c r="C10" s="4"/>
      <c r="E10" s="382"/>
      <c r="F10" s="382"/>
      <c r="H10" s="482" t="s">
        <v>276</v>
      </c>
      <c r="I10" s="7">
        <f>+Efficiency1!V146</f>
        <v>92.080816451869168</v>
      </c>
      <c r="M10" s="343"/>
      <c r="N10" s="4"/>
      <c r="P10" s="382"/>
      <c r="Q10" s="382"/>
      <c r="S10" s="482" t="s">
        <v>276</v>
      </c>
      <c r="T10" s="7">
        <f>+Efficiency2!V146</f>
        <v>55.897688837469182</v>
      </c>
    </row>
    <row r="11" spans="1:21">
      <c r="B11" s="343">
        <v>46115</v>
      </c>
      <c r="C11" s="4">
        <v>0</v>
      </c>
      <c r="D11" t="s">
        <v>277</v>
      </c>
      <c r="E11" t="s">
        <v>258</v>
      </c>
      <c r="F11" t="s">
        <v>255</v>
      </c>
      <c r="H11" s="482" t="s">
        <v>275</v>
      </c>
      <c r="I11" s="483">
        <f>I10/I8</f>
        <v>4.3626698092429007E-2</v>
      </c>
      <c r="M11" s="343">
        <v>46115</v>
      </c>
      <c r="N11" s="4">
        <v>0</v>
      </c>
      <c r="O11" t="s">
        <v>277</v>
      </c>
      <c r="P11" t="s">
        <v>258</v>
      </c>
      <c r="Q11" t="s">
        <v>255</v>
      </c>
      <c r="S11" s="482" t="s">
        <v>275</v>
      </c>
      <c r="T11" s="483">
        <f>T10/T8</f>
        <v>2.6946254463850707E-2</v>
      </c>
    </row>
    <row r="12" spans="1:21">
      <c r="B12" s="44"/>
      <c r="C12" s="4">
        <v>11</v>
      </c>
      <c r="D12" t="s">
        <v>458</v>
      </c>
      <c r="E12" t="s">
        <v>256</v>
      </c>
      <c r="F12" t="s">
        <v>255</v>
      </c>
      <c r="M12" s="44"/>
      <c r="N12" s="4">
        <v>11</v>
      </c>
      <c r="O12" t="s">
        <v>458</v>
      </c>
      <c r="P12" t="s">
        <v>256</v>
      </c>
      <c r="Q12" t="s">
        <v>255</v>
      </c>
    </row>
    <row r="13" spans="1:21">
      <c r="B13" s="343"/>
      <c r="C13" s="4">
        <v>26</v>
      </c>
      <c r="D13" s="505" t="s">
        <v>459</v>
      </c>
      <c r="E13" t="s">
        <v>257</v>
      </c>
      <c r="F13" t="s">
        <v>255</v>
      </c>
      <c r="M13" s="343"/>
      <c r="N13" s="4">
        <v>26</v>
      </c>
      <c r="O13" s="505" t="s">
        <v>459</v>
      </c>
      <c r="P13" t="s">
        <v>257</v>
      </c>
      <c r="Q13" t="s">
        <v>255</v>
      </c>
    </row>
    <row r="14" spans="1:21">
      <c r="B14" s="343"/>
      <c r="C14" s="4"/>
      <c r="D14" s="505"/>
      <c r="M14" s="343"/>
      <c r="N14" s="4"/>
      <c r="O14" s="505"/>
    </row>
    <row r="15" spans="1:21">
      <c r="B15" s="343">
        <v>46116</v>
      </c>
      <c r="C15" s="4">
        <v>0</v>
      </c>
      <c r="D15" t="s">
        <v>277</v>
      </c>
      <c r="E15" t="s">
        <v>258</v>
      </c>
      <c r="F15" t="s">
        <v>255</v>
      </c>
      <c r="M15" s="343">
        <v>46116</v>
      </c>
      <c r="N15" s="4">
        <v>0</v>
      </c>
      <c r="O15" t="s">
        <v>277</v>
      </c>
      <c r="P15" t="s">
        <v>258</v>
      </c>
      <c r="Q15" t="s">
        <v>255</v>
      </c>
    </row>
    <row r="16" spans="1:21">
      <c r="B16" s="343"/>
      <c r="C16" s="4">
        <v>22</v>
      </c>
      <c r="D16" t="s">
        <v>485</v>
      </c>
      <c r="E16" t="s">
        <v>256</v>
      </c>
      <c r="F16" t="s">
        <v>255</v>
      </c>
      <c r="M16" s="343"/>
      <c r="N16" s="4">
        <v>22</v>
      </c>
      <c r="O16" t="s">
        <v>485</v>
      </c>
      <c r="P16" t="s">
        <v>256</v>
      </c>
      <c r="Q16" t="s">
        <v>255</v>
      </c>
    </row>
    <row r="17" spans="2:17">
      <c r="B17" s="343"/>
      <c r="C17" s="4">
        <v>30</v>
      </c>
      <c r="D17" t="s">
        <v>459</v>
      </c>
      <c r="E17" t="s">
        <v>257</v>
      </c>
      <c r="F17" t="s">
        <v>255</v>
      </c>
      <c r="M17" s="343"/>
      <c r="N17" s="4">
        <v>30</v>
      </c>
      <c r="O17" t="s">
        <v>459</v>
      </c>
      <c r="P17" t="s">
        <v>257</v>
      </c>
      <c r="Q17" t="s">
        <v>255</v>
      </c>
    </row>
    <row r="18" spans="2:17">
      <c r="B18" s="44"/>
      <c r="C18" s="4"/>
      <c r="D18" s="502"/>
      <c r="M18" s="44"/>
      <c r="N18" s="4"/>
      <c r="O18" s="502"/>
    </row>
    <row r="19" spans="2:17">
      <c r="B19" s="343">
        <v>46117</v>
      </c>
      <c r="C19" s="4">
        <v>20</v>
      </c>
      <c r="D19" s="502" t="s">
        <v>522</v>
      </c>
      <c r="E19" t="s">
        <v>258</v>
      </c>
      <c r="F19" t="s">
        <v>255</v>
      </c>
      <c r="M19" s="343">
        <v>46117</v>
      </c>
      <c r="N19" s="4">
        <v>20</v>
      </c>
      <c r="O19" s="502" t="s">
        <v>522</v>
      </c>
      <c r="P19" t="s">
        <v>258</v>
      </c>
      <c r="Q19" t="s">
        <v>255</v>
      </c>
    </row>
    <row r="20" spans="2:17">
      <c r="B20" s="343"/>
      <c r="C20" s="4">
        <v>17</v>
      </c>
      <c r="D20" s="502" t="s">
        <v>525</v>
      </c>
      <c r="E20" t="s">
        <v>256</v>
      </c>
      <c r="F20" t="s">
        <v>255</v>
      </c>
      <c r="M20" s="343"/>
      <c r="N20" s="4">
        <v>17</v>
      </c>
      <c r="O20" s="502" t="s">
        <v>525</v>
      </c>
      <c r="P20" t="s">
        <v>256</v>
      </c>
      <c r="Q20" t="s">
        <v>255</v>
      </c>
    </row>
    <row r="21" spans="2:17">
      <c r="B21" s="44"/>
      <c r="C21" s="4">
        <v>30</v>
      </c>
      <c r="D21" s="502" t="s">
        <v>486</v>
      </c>
      <c r="E21" t="s">
        <v>257</v>
      </c>
      <c r="F21" t="s">
        <v>255</v>
      </c>
      <c r="M21" s="44"/>
      <c r="N21" s="4">
        <v>30</v>
      </c>
      <c r="O21" s="502" t="s">
        <v>486</v>
      </c>
      <c r="P21" t="s">
        <v>257</v>
      </c>
      <c r="Q21" t="s">
        <v>255</v>
      </c>
    </row>
    <row r="22" spans="2:17">
      <c r="B22" s="343"/>
      <c r="C22" s="4">
        <v>10</v>
      </c>
      <c r="D22" s="502" t="s">
        <v>487</v>
      </c>
      <c r="E22" t="s">
        <v>203</v>
      </c>
      <c r="F22" t="s">
        <v>254</v>
      </c>
      <c r="M22" s="343"/>
      <c r="N22" s="4">
        <v>10</v>
      </c>
      <c r="O22" s="502" t="s">
        <v>487</v>
      </c>
      <c r="P22" t="s">
        <v>203</v>
      </c>
      <c r="Q22" t="s">
        <v>254</v>
      </c>
    </row>
    <row r="23" spans="2:17">
      <c r="B23" s="343"/>
      <c r="C23" s="4">
        <v>135</v>
      </c>
      <c r="D23" t="s">
        <v>526</v>
      </c>
      <c r="E23" s="382" t="s">
        <v>527</v>
      </c>
      <c r="F23" s="382" t="s">
        <v>403</v>
      </c>
      <c r="M23" s="343"/>
      <c r="N23" s="4">
        <v>135</v>
      </c>
      <c r="O23" t="s">
        <v>526</v>
      </c>
      <c r="P23" s="382" t="s">
        <v>527</v>
      </c>
      <c r="Q23" s="382" t="s">
        <v>403</v>
      </c>
    </row>
    <row r="24" spans="2:17">
      <c r="B24" s="44"/>
      <c r="C24" s="4"/>
      <c r="E24" s="382"/>
      <c r="F24" s="382"/>
      <c r="M24" s="44"/>
      <c r="N24" s="4"/>
      <c r="P24" s="382"/>
      <c r="Q24" s="382"/>
    </row>
    <row r="25" spans="2:17">
      <c r="B25" s="343">
        <v>46118</v>
      </c>
      <c r="C25" s="4">
        <v>0</v>
      </c>
      <c r="D25" t="s">
        <v>277</v>
      </c>
      <c r="E25" t="s">
        <v>258</v>
      </c>
      <c r="F25" t="s">
        <v>255</v>
      </c>
      <c r="M25" s="343">
        <v>46118</v>
      </c>
      <c r="N25" s="4">
        <v>0</v>
      </c>
      <c r="O25" t="s">
        <v>277</v>
      </c>
      <c r="P25" t="s">
        <v>258</v>
      </c>
      <c r="Q25" t="s">
        <v>255</v>
      </c>
    </row>
    <row r="26" spans="2:17">
      <c r="B26" s="44"/>
      <c r="C26" s="4">
        <v>14</v>
      </c>
      <c r="D26" t="s">
        <v>545</v>
      </c>
      <c r="E26" t="s">
        <v>256</v>
      </c>
      <c r="F26" t="s">
        <v>255</v>
      </c>
      <c r="M26" s="44"/>
      <c r="N26" s="4">
        <v>14</v>
      </c>
      <c r="O26" t="s">
        <v>545</v>
      </c>
      <c r="P26" t="s">
        <v>256</v>
      </c>
      <c r="Q26" t="s">
        <v>255</v>
      </c>
    </row>
    <row r="27" spans="2:17">
      <c r="B27" s="343"/>
      <c r="C27" s="4">
        <v>28</v>
      </c>
      <c r="D27" t="s">
        <v>546</v>
      </c>
      <c r="E27" t="s">
        <v>257</v>
      </c>
      <c r="F27" t="s">
        <v>255</v>
      </c>
      <c r="M27" s="343"/>
      <c r="N27" s="4">
        <v>28</v>
      </c>
      <c r="O27" t="s">
        <v>546</v>
      </c>
      <c r="P27" t="s">
        <v>257</v>
      </c>
      <c r="Q27" t="s">
        <v>255</v>
      </c>
    </row>
    <row r="28" spans="2:17">
      <c r="B28" s="44"/>
      <c r="C28" s="4"/>
      <c r="M28" s="44"/>
      <c r="N28" s="4"/>
    </row>
    <row r="29" spans="2:17">
      <c r="B29" s="343">
        <v>46119</v>
      </c>
      <c r="C29" s="4">
        <v>10</v>
      </c>
      <c r="D29" t="s">
        <v>555</v>
      </c>
      <c r="E29" t="s">
        <v>258</v>
      </c>
      <c r="F29" t="s">
        <v>255</v>
      </c>
      <c r="M29" s="343">
        <v>46119</v>
      </c>
      <c r="N29" s="4">
        <v>10</v>
      </c>
      <c r="O29" t="s">
        <v>555</v>
      </c>
      <c r="P29" t="s">
        <v>258</v>
      </c>
      <c r="Q29" t="s">
        <v>255</v>
      </c>
    </row>
    <row r="30" spans="2:17">
      <c r="B30" s="44"/>
      <c r="C30" s="4">
        <v>11</v>
      </c>
      <c r="D30" t="s">
        <v>558</v>
      </c>
      <c r="E30" t="s">
        <v>256</v>
      </c>
      <c r="F30" t="s">
        <v>255</v>
      </c>
      <c r="M30" s="44"/>
      <c r="N30" s="4">
        <v>11</v>
      </c>
      <c r="O30" t="s">
        <v>558</v>
      </c>
      <c r="P30" t="s">
        <v>256</v>
      </c>
      <c r="Q30" t="s">
        <v>255</v>
      </c>
    </row>
    <row r="31" spans="2:17">
      <c r="B31" s="343"/>
      <c r="C31" s="4">
        <v>30</v>
      </c>
      <c r="D31" t="s">
        <v>459</v>
      </c>
      <c r="E31" t="s">
        <v>257</v>
      </c>
      <c r="F31" t="s">
        <v>255</v>
      </c>
      <c r="M31" s="343"/>
      <c r="N31" s="4">
        <v>30</v>
      </c>
      <c r="O31" t="s">
        <v>459</v>
      </c>
      <c r="P31" t="s">
        <v>257</v>
      </c>
      <c r="Q31" t="s">
        <v>255</v>
      </c>
    </row>
    <row r="32" spans="2:17">
      <c r="B32" s="44"/>
      <c r="C32" s="4"/>
      <c r="M32" s="44"/>
      <c r="N32" s="4"/>
    </row>
    <row r="33" spans="2:17">
      <c r="B33" s="343">
        <v>46120</v>
      </c>
      <c r="C33" s="4">
        <v>0</v>
      </c>
      <c r="D33" t="s">
        <v>277</v>
      </c>
      <c r="E33" t="s">
        <v>258</v>
      </c>
      <c r="F33" t="s">
        <v>255</v>
      </c>
      <c r="M33" s="343">
        <v>46120</v>
      </c>
      <c r="N33" s="4">
        <v>0</v>
      </c>
      <c r="O33" t="s">
        <v>277</v>
      </c>
      <c r="P33" t="s">
        <v>258</v>
      </c>
      <c r="Q33" t="s">
        <v>255</v>
      </c>
    </row>
    <row r="34" spans="2:17">
      <c r="B34" s="44"/>
      <c r="C34" s="4">
        <v>17</v>
      </c>
      <c r="D34" t="s">
        <v>572</v>
      </c>
      <c r="E34" t="s">
        <v>256</v>
      </c>
      <c r="F34" t="s">
        <v>255</v>
      </c>
      <c r="M34" s="44"/>
      <c r="N34" s="4">
        <v>17</v>
      </c>
      <c r="O34" t="s">
        <v>572</v>
      </c>
      <c r="P34" t="s">
        <v>256</v>
      </c>
      <c r="Q34" t="s">
        <v>255</v>
      </c>
    </row>
    <row r="35" spans="2:17">
      <c r="B35" s="44"/>
      <c r="C35" s="4">
        <v>37</v>
      </c>
      <c r="D35" t="s">
        <v>573</v>
      </c>
      <c r="E35" t="s">
        <v>257</v>
      </c>
      <c r="F35" t="s">
        <v>255</v>
      </c>
      <c r="M35" s="44"/>
      <c r="N35" s="4">
        <v>37</v>
      </c>
      <c r="O35" t="s">
        <v>573</v>
      </c>
      <c r="P35" t="s">
        <v>257</v>
      </c>
      <c r="Q35" t="s">
        <v>255</v>
      </c>
    </row>
    <row r="36" spans="2:17">
      <c r="B36" s="343"/>
      <c r="C36" s="4"/>
      <c r="M36" s="343"/>
      <c r="N36" s="4"/>
    </row>
    <row r="37" spans="2:17">
      <c r="B37" s="44">
        <v>46121</v>
      </c>
      <c r="C37" s="4">
        <v>0</v>
      </c>
      <c r="D37" t="s">
        <v>277</v>
      </c>
      <c r="E37" t="s">
        <v>258</v>
      </c>
      <c r="F37" t="s">
        <v>255</v>
      </c>
      <c r="M37" s="44">
        <v>46121</v>
      </c>
      <c r="N37" s="4">
        <v>0</v>
      </c>
      <c r="O37" t="s">
        <v>277</v>
      </c>
      <c r="P37" t="s">
        <v>258</v>
      </c>
      <c r="Q37" t="s">
        <v>255</v>
      </c>
    </row>
    <row r="38" spans="2:17">
      <c r="B38" s="343"/>
      <c r="C38" s="4">
        <v>15</v>
      </c>
      <c r="D38" t="s">
        <v>581</v>
      </c>
      <c r="E38" t="s">
        <v>256</v>
      </c>
      <c r="F38" t="s">
        <v>255</v>
      </c>
      <c r="M38" s="343"/>
      <c r="N38" s="4">
        <v>15</v>
      </c>
      <c r="O38" t="s">
        <v>581</v>
      </c>
      <c r="P38" t="s">
        <v>256</v>
      </c>
      <c r="Q38" t="s">
        <v>255</v>
      </c>
    </row>
    <row r="39" spans="2:17">
      <c r="B39" s="343"/>
      <c r="C39" s="4">
        <v>24</v>
      </c>
      <c r="D39" t="s">
        <v>486</v>
      </c>
      <c r="E39" t="s">
        <v>257</v>
      </c>
      <c r="F39" t="s">
        <v>255</v>
      </c>
      <c r="M39" s="343"/>
      <c r="N39" s="4">
        <v>24</v>
      </c>
      <c r="O39" t="s">
        <v>486</v>
      </c>
      <c r="P39" t="s">
        <v>257</v>
      </c>
      <c r="Q39" t="s">
        <v>255</v>
      </c>
    </row>
    <row r="40" spans="2:17">
      <c r="B40" s="343"/>
      <c r="C40" s="4"/>
      <c r="M40" s="343"/>
      <c r="N40" s="4"/>
    </row>
    <row r="41" spans="2:17">
      <c r="B41" s="343">
        <v>46122</v>
      </c>
      <c r="C41" s="4">
        <v>0</v>
      </c>
      <c r="D41" t="s">
        <v>277</v>
      </c>
      <c r="E41" t="s">
        <v>258</v>
      </c>
      <c r="F41" t="s">
        <v>255</v>
      </c>
      <c r="M41" s="343">
        <v>46122</v>
      </c>
      <c r="N41" s="4">
        <v>0</v>
      </c>
      <c r="O41" t="s">
        <v>277</v>
      </c>
      <c r="P41" t="s">
        <v>258</v>
      </c>
      <c r="Q41" t="s">
        <v>255</v>
      </c>
    </row>
    <row r="42" spans="2:17">
      <c r="B42" s="343"/>
      <c r="C42" s="4">
        <v>0</v>
      </c>
      <c r="D42" t="s">
        <v>591</v>
      </c>
      <c r="E42" t="s">
        <v>256</v>
      </c>
      <c r="F42" t="s">
        <v>255</v>
      </c>
      <c r="M42" s="343"/>
      <c r="N42" s="4">
        <v>0</v>
      </c>
      <c r="O42" t="s">
        <v>591</v>
      </c>
      <c r="P42" t="s">
        <v>256</v>
      </c>
      <c r="Q42" t="s">
        <v>255</v>
      </c>
    </row>
    <row r="43" spans="2:17">
      <c r="B43" s="44"/>
      <c r="C43" s="4">
        <v>7</v>
      </c>
      <c r="D43" t="s">
        <v>592</v>
      </c>
      <c r="E43" t="s">
        <v>257</v>
      </c>
      <c r="F43" t="s">
        <v>255</v>
      </c>
      <c r="M43" s="44"/>
      <c r="N43" s="4">
        <v>7</v>
      </c>
      <c r="O43" t="s">
        <v>592</v>
      </c>
      <c r="P43" t="s">
        <v>257</v>
      </c>
      <c r="Q43" t="s">
        <v>255</v>
      </c>
    </row>
    <row r="44" spans="2:17">
      <c r="B44" s="44"/>
      <c r="C44" s="4">
        <v>18</v>
      </c>
      <c r="D44" t="s">
        <v>487</v>
      </c>
      <c r="E44" t="s">
        <v>203</v>
      </c>
      <c r="F44" t="s">
        <v>254</v>
      </c>
      <c r="M44" s="44"/>
      <c r="N44" s="4">
        <v>18</v>
      </c>
      <c r="O44" t="s">
        <v>487</v>
      </c>
      <c r="P44" t="s">
        <v>203</v>
      </c>
      <c r="Q44" t="s">
        <v>254</v>
      </c>
    </row>
    <row r="45" spans="2:17">
      <c r="B45" s="343"/>
      <c r="C45" s="4"/>
      <c r="M45" s="343"/>
      <c r="N45" s="4"/>
    </row>
    <row r="46" spans="2:17">
      <c r="B46" s="343">
        <v>46123</v>
      </c>
      <c r="C46" s="4">
        <v>0</v>
      </c>
      <c r="D46" t="s">
        <v>277</v>
      </c>
      <c r="E46" t="s">
        <v>258</v>
      </c>
      <c r="F46" t="s">
        <v>255</v>
      </c>
      <c r="M46" s="343">
        <v>46123</v>
      </c>
      <c r="N46" s="4">
        <v>0</v>
      </c>
      <c r="O46" t="s">
        <v>277</v>
      </c>
      <c r="P46" t="s">
        <v>258</v>
      </c>
      <c r="Q46" t="s">
        <v>255</v>
      </c>
    </row>
    <row r="47" spans="2:17">
      <c r="B47" s="44"/>
      <c r="C47" s="4">
        <v>0</v>
      </c>
      <c r="D47" t="s">
        <v>591</v>
      </c>
      <c r="E47" t="s">
        <v>256</v>
      </c>
      <c r="F47" t="s">
        <v>255</v>
      </c>
      <c r="M47" s="44"/>
      <c r="N47" s="4">
        <v>0</v>
      </c>
      <c r="O47" t="s">
        <v>591</v>
      </c>
      <c r="P47" t="s">
        <v>256</v>
      </c>
      <c r="Q47" t="s">
        <v>255</v>
      </c>
    </row>
    <row r="48" spans="2:17">
      <c r="B48" s="44"/>
      <c r="C48" s="4">
        <v>7</v>
      </c>
      <c r="D48" t="s">
        <v>612</v>
      </c>
      <c r="E48" t="s">
        <v>257</v>
      </c>
      <c r="F48" t="s">
        <v>255</v>
      </c>
      <c r="M48" s="44"/>
      <c r="N48" s="4">
        <v>7</v>
      </c>
      <c r="O48" t="s">
        <v>612</v>
      </c>
      <c r="P48" t="s">
        <v>257</v>
      </c>
      <c r="Q48" t="s">
        <v>255</v>
      </c>
    </row>
    <row r="49" spans="2:17">
      <c r="B49" s="343"/>
      <c r="C49" s="4"/>
      <c r="M49" s="343"/>
      <c r="N49" s="4"/>
    </row>
    <row r="50" spans="2:17">
      <c r="B50" s="343">
        <v>46124</v>
      </c>
      <c r="C50" s="4">
        <v>0</v>
      </c>
      <c r="D50" t="s">
        <v>277</v>
      </c>
      <c r="E50" t="s">
        <v>258</v>
      </c>
      <c r="F50" t="s">
        <v>255</v>
      </c>
      <c r="G50" s="526">
        <f>+summary!H42</f>
        <v>1.0000000000000002</v>
      </c>
      <c r="M50" s="343">
        <v>46124</v>
      </c>
      <c r="N50" s="4">
        <v>0</v>
      </c>
      <c r="O50" t="s">
        <v>277</v>
      </c>
      <c r="P50" t="s">
        <v>258</v>
      </c>
      <c r="Q50" t="s">
        <v>255</v>
      </c>
    </row>
    <row r="51" spans="2:17">
      <c r="B51" s="44"/>
      <c r="C51" s="4">
        <v>0</v>
      </c>
      <c r="D51" t="s">
        <v>591</v>
      </c>
      <c r="E51" t="s">
        <v>256</v>
      </c>
      <c r="F51" t="s">
        <v>255</v>
      </c>
      <c r="M51" s="44"/>
      <c r="N51" s="4">
        <v>0</v>
      </c>
      <c r="O51" t="s">
        <v>591</v>
      </c>
      <c r="P51" t="s">
        <v>256</v>
      </c>
      <c r="Q51" t="s">
        <v>255</v>
      </c>
    </row>
    <row r="52" spans="2:17">
      <c r="B52" s="343"/>
      <c r="C52" s="4">
        <v>8</v>
      </c>
      <c r="D52" t="s">
        <v>592</v>
      </c>
      <c r="E52" t="s">
        <v>257</v>
      </c>
      <c r="F52" t="s">
        <v>255</v>
      </c>
      <c r="M52" s="343"/>
      <c r="N52" s="4">
        <v>8</v>
      </c>
      <c r="O52" t="s">
        <v>592</v>
      </c>
      <c r="P52" t="s">
        <v>257</v>
      </c>
      <c r="Q52" t="s">
        <v>255</v>
      </c>
    </row>
    <row r="53" spans="2:17">
      <c r="B53" s="343"/>
      <c r="M53" s="343"/>
    </row>
    <row r="54" spans="2:17">
      <c r="B54" s="44">
        <v>46125</v>
      </c>
      <c r="C54">
        <v>0</v>
      </c>
      <c r="D54" t="s">
        <v>277</v>
      </c>
      <c r="E54" t="s">
        <v>258</v>
      </c>
      <c r="F54" t="s">
        <v>255</v>
      </c>
      <c r="M54" s="44">
        <v>46125</v>
      </c>
      <c r="N54">
        <v>0</v>
      </c>
      <c r="O54" t="s">
        <v>277</v>
      </c>
      <c r="P54" t="s">
        <v>258</v>
      </c>
      <c r="Q54" t="s">
        <v>255</v>
      </c>
    </row>
    <row r="55" spans="2:17">
      <c r="B55" s="343"/>
      <c r="C55">
        <v>0</v>
      </c>
      <c r="D55" t="s">
        <v>591</v>
      </c>
      <c r="E55" t="s">
        <v>256</v>
      </c>
      <c r="F55" t="s">
        <v>255</v>
      </c>
      <c r="M55" s="343"/>
      <c r="N55">
        <v>0</v>
      </c>
      <c r="O55" t="s">
        <v>591</v>
      </c>
      <c r="P55" t="s">
        <v>256</v>
      </c>
      <c r="Q55" t="s">
        <v>255</v>
      </c>
    </row>
    <row r="56" spans="2:17">
      <c r="B56" s="343"/>
      <c r="C56">
        <v>11</v>
      </c>
      <c r="D56" t="s">
        <v>634</v>
      </c>
      <c r="E56" t="s">
        <v>257</v>
      </c>
      <c r="F56" t="s">
        <v>255</v>
      </c>
      <c r="M56" s="343"/>
      <c r="N56">
        <v>11</v>
      </c>
      <c r="O56" t="s">
        <v>634</v>
      </c>
      <c r="P56" t="s">
        <v>257</v>
      </c>
      <c r="Q56" t="s">
        <v>255</v>
      </c>
    </row>
    <row r="57" spans="2:17">
      <c r="B57" s="44"/>
      <c r="C57">
        <v>380</v>
      </c>
      <c r="D57" t="s">
        <v>635</v>
      </c>
      <c r="E57" t="s">
        <v>636</v>
      </c>
      <c r="F57" t="s">
        <v>403</v>
      </c>
      <c r="M57" s="44"/>
      <c r="N57">
        <v>81</v>
      </c>
      <c r="O57" t="s">
        <v>635</v>
      </c>
      <c r="P57" t="s">
        <v>636</v>
      </c>
      <c r="Q57" t="s">
        <v>403</v>
      </c>
    </row>
    <row r="58" spans="2:17">
      <c r="B58" s="44"/>
      <c r="M58" s="44"/>
    </row>
    <row r="59" spans="2:17">
      <c r="B59" s="343">
        <v>46126</v>
      </c>
      <c r="C59">
        <v>0</v>
      </c>
      <c r="D59" t="s">
        <v>277</v>
      </c>
      <c r="E59" t="s">
        <v>258</v>
      </c>
      <c r="F59" t="s">
        <v>255</v>
      </c>
      <c r="M59" s="343">
        <v>46126</v>
      </c>
      <c r="N59">
        <v>0</v>
      </c>
      <c r="O59" t="s">
        <v>277</v>
      </c>
      <c r="P59" t="s">
        <v>258</v>
      </c>
      <c r="Q59" t="s">
        <v>255</v>
      </c>
    </row>
    <row r="60" spans="2:17">
      <c r="B60" s="343"/>
      <c r="C60">
        <v>1</v>
      </c>
      <c r="D60" t="s">
        <v>640</v>
      </c>
      <c r="E60" t="s">
        <v>256</v>
      </c>
      <c r="F60" t="s">
        <v>255</v>
      </c>
      <c r="M60" s="343"/>
      <c r="N60">
        <v>1</v>
      </c>
      <c r="O60" t="s">
        <v>640</v>
      </c>
      <c r="P60" t="s">
        <v>256</v>
      </c>
      <c r="Q60" t="s">
        <v>255</v>
      </c>
    </row>
    <row r="61" spans="2:17">
      <c r="B61" s="44"/>
      <c r="C61">
        <v>16</v>
      </c>
      <c r="D61" t="s">
        <v>612</v>
      </c>
      <c r="E61" t="s">
        <v>257</v>
      </c>
      <c r="F61" t="s">
        <v>255</v>
      </c>
      <c r="M61" s="44"/>
      <c r="N61">
        <v>16</v>
      </c>
      <c r="O61" t="s">
        <v>612</v>
      </c>
      <c r="P61" t="s">
        <v>257</v>
      </c>
      <c r="Q61" t="s">
        <v>255</v>
      </c>
    </row>
    <row r="62" spans="2:17">
      <c r="B62" s="343"/>
      <c r="M62" s="343"/>
    </row>
    <row r="63" spans="2:17">
      <c r="B63" s="44">
        <v>46127</v>
      </c>
      <c r="C63">
        <v>0</v>
      </c>
      <c r="D63" t="s">
        <v>277</v>
      </c>
      <c r="E63" t="s">
        <v>258</v>
      </c>
      <c r="F63" t="s">
        <v>255</v>
      </c>
      <c r="M63" s="44">
        <v>46127</v>
      </c>
      <c r="N63">
        <v>0</v>
      </c>
      <c r="O63" t="s">
        <v>277</v>
      </c>
      <c r="P63" t="s">
        <v>258</v>
      </c>
      <c r="Q63" t="s">
        <v>255</v>
      </c>
    </row>
    <row r="64" spans="2:17">
      <c r="B64" s="343"/>
      <c r="C64">
        <v>1</v>
      </c>
      <c r="D64" t="s">
        <v>640</v>
      </c>
      <c r="E64" t="s">
        <v>256</v>
      </c>
      <c r="F64" t="s">
        <v>255</v>
      </c>
      <c r="M64" s="343"/>
      <c r="N64">
        <v>1</v>
      </c>
      <c r="O64" t="s">
        <v>640</v>
      </c>
      <c r="P64" t="s">
        <v>256</v>
      </c>
      <c r="Q64" t="s">
        <v>255</v>
      </c>
    </row>
    <row r="65" spans="2:18">
      <c r="B65" s="343"/>
      <c r="C65">
        <v>9</v>
      </c>
      <c r="D65" t="s">
        <v>592</v>
      </c>
      <c r="E65" t="s">
        <v>257</v>
      </c>
      <c r="F65" t="s">
        <v>255</v>
      </c>
      <c r="M65" s="343"/>
      <c r="N65">
        <v>9</v>
      </c>
      <c r="O65" t="s">
        <v>592</v>
      </c>
      <c r="P65" t="s">
        <v>257</v>
      </c>
      <c r="Q65" t="s">
        <v>255</v>
      </c>
    </row>
    <row r="66" spans="2:18">
      <c r="B66" s="343"/>
      <c r="M66" s="343"/>
      <c r="Q66" s="382"/>
    </row>
    <row r="67" spans="2:18">
      <c r="B67" s="44">
        <v>46128</v>
      </c>
      <c r="C67">
        <v>0</v>
      </c>
      <c r="D67" t="s">
        <v>277</v>
      </c>
      <c r="E67" t="s">
        <v>258</v>
      </c>
      <c r="F67" t="s">
        <v>255</v>
      </c>
      <c r="M67" s="44">
        <v>46128</v>
      </c>
      <c r="N67">
        <v>0</v>
      </c>
      <c r="O67" t="s">
        <v>277</v>
      </c>
      <c r="P67" t="s">
        <v>258</v>
      </c>
      <c r="Q67" t="s">
        <v>255</v>
      </c>
    </row>
    <row r="68" spans="2:18">
      <c r="B68" s="44"/>
      <c r="C68">
        <v>0</v>
      </c>
      <c r="D68" t="s">
        <v>591</v>
      </c>
      <c r="E68" t="s">
        <v>256</v>
      </c>
      <c r="F68" t="s">
        <v>255</v>
      </c>
      <c r="M68" s="44"/>
      <c r="N68">
        <v>0</v>
      </c>
      <c r="O68" t="s">
        <v>591</v>
      </c>
      <c r="P68" t="s">
        <v>256</v>
      </c>
      <c r="Q68" t="s">
        <v>255</v>
      </c>
    </row>
    <row r="69" spans="2:18">
      <c r="B69" s="343"/>
      <c r="C69">
        <v>6</v>
      </c>
      <c r="D69" t="s">
        <v>592</v>
      </c>
      <c r="E69" t="s">
        <v>257</v>
      </c>
      <c r="F69" t="s">
        <v>255</v>
      </c>
      <c r="M69" s="343"/>
      <c r="N69">
        <v>6</v>
      </c>
      <c r="O69" t="s">
        <v>592</v>
      </c>
      <c r="P69" t="s">
        <v>257</v>
      </c>
      <c r="Q69" t="s">
        <v>255</v>
      </c>
    </row>
    <row r="70" spans="2:18">
      <c r="B70" s="343"/>
      <c r="M70" s="343"/>
    </row>
    <row r="71" spans="2:18">
      <c r="B71" s="44">
        <v>46129</v>
      </c>
      <c r="C71">
        <v>0</v>
      </c>
      <c r="D71" t="s">
        <v>277</v>
      </c>
      <c r="E71" t="s">
        <v>258</v>
      </c>
      <c r="F71" t="s">
        <v>255</v>
      </c>
      <c r="M71" s="44">
        <v>46129</v>
      </c>
      <c r="N71">
        <v>0</v>
      </c>
      <c r="O71" t="s">
        <v>277</v>
      </c>
      <c r="P71" t="s">
        <v>258</v>
      </c>
      <c r="Q71" t="s">
        <v>255</v>
      </c>
      <c r="R71" s="526"/>
    </row>
    <row r="72" spans="2:18">
      <c r="B72" s="44"/>
      <c r="C72">
        <v>0</v>
      </c>
      <c r="D72" t="s">
        <v>591</v>
      </c>
      <c r="E72" t="s">
        <v>256</v>
      </c>
      <c r="F72" t="s">
        <v>255</v>
      </c>
      <c r="M72" s="44"/>
      <c r="N72">
        <v>0</v>
      </c>
      <c r="O72" t="s">
        <v>591</v>
      </c>
      <c r="P72" t="s">
        <v>256</v>
      </c>
      <c r="Q72" t="s">
        <v>255</v>
      </c>
    </row>
    <row r="73" spans="2:18">
      <c r="B73" s="343"/>
      <c r="C73">
        <v>11</v>
      </c>
      <c r="D73" t="s">
        <v>612</v>
      </c>
      <c r="E73" t="s">
        <v>257</v>
      </c>
      <c r="F73" t="s">
        <v>255</v>
      </c>
      <c r="M73" s="343"/>
      <c r="N73">
        <v>11</v>
      </c>
      <c r="O73" t="s">
        <v>612</v>
      </c>
      <c r="P73" t="s">
        <v>257</v>
      </c>
      <c r="Q73" t="s">
        <v>255</v>
      </c>
    </row>
    <row r="74" spans="2:18">
      <c r="B74" s="343"/>
      <c r="M74" s="343"/>
    </row>
    <row r="75" spans="2:18">
      <c r="B75" s="44">
        <v>46130</v>
      </c>
      <c r="C75">
        <v>0</v>
      </c>
      <c r="D75" t="s">
        <v>277</v>
      </c>
      <c r="E75" t="s">
        <v>258</v>
      </c>
      <c r="F75" t="s">
        <v>255</v>
      </c>
      <c r="M75" s="44">
        <v>46130</v>
      </c>
      <c r="N75">
        <v>0</v>
      </c>
      <c r="O75" t="s">
        <v>277</v>
      </c>
      <c r="P75" t="s">
        <v>258</v>
      </c>
      <c r="Q75" t="s">
        <v>255</v>
      </c>
    </row>
    <row r="76" spans="2:18">
      <c r="B76" s="44"/>
      <c r="C76">
        <v>1</v>
      </c>
      <c r="D76" t="s">
        <v>640</v>
      </c>
      <c r="E76" t="s">
        <v>256</v>
      </c>
      <c r="F76" t="s">
        <v>255</v>
      </c>
      <c r="M76" s="44"/>
      <c r="N76">
        <v>1</v>
      </c>
      <c r="O76" t="s">
        <v>640</v>
      </c>
      <c r="P76" t="s">
        <v>256</v>
      </c>
      <c r="Q76" t="s">
        <v>255</v>
      </c>
    </row>
    <row r="77" spans="2:18">
      <c r="B77" s="44"/>
      <c r="C77">
        <v>6</v>
      </c>
      <c r="D77" t="s">
        <v>592</v>
      </c>
      <c r="E77" t="s">
        <v>257</v>
      </c>
      <c r="F77" t="s">
        <v>255</v>
      </c>
      <c r="M77" s="44"/>
      <c r="N77">
        <v>6</v>
      </c>
      <c r="O77" t="s">
        <v>592</v>
      </c>
      <c r="P77" t="s">
        <v>257</v>
      </c>
      <c r="Q77" t="s">
        <v>255</v>
      </c>
    </row>
    <row r="78" spans="2:18">
      <c r="B78" s="343"/>
      <c r="M78" s="343"/>
    </row>
    <row r="79" spans="2:18">
      <c r="B79" s="44">
        <v>46131</v>
      </c>
      <c r="C79">
        <v>0</v>
      </c>
      <c r="D79" t="s">
        <v>277</v>
      </c>
      <c r="E79" t="s">
        <v>258</v>
      </c>
      <c r="F79" t="s">
        <v>255</v>
      </c>
      <c r="M79" s="44">
        <v>46131</v>
      </c>
      <c r="N79">
        <v>0</v>
      </c>
      <c r="O79" t="s">
        <v>277</v>
      </c>
      <c r="P79" t="s">
        <v>258</v>
      </c>
      <c r="Q79" t="s">
        <v>255</v>
      </c>
    </row>
    <row r="80" spans="2:18">
      <c r="B80" s="343"/>
      <c r="C80">
        <v>1</v>
      </c>
      <c r="D80" t="s">
        <v>640</v>
      </c>
      <c r="E80" t="s">
        <v>256</v>
      </c>
      <c r="F80" t="s">
        <v>255</v>
      </c>
      <c r="M80" s="343"/>
      <c r="N80">
        <v>1</v>
      </c>
      <c r="O80" t="s">
        <v>640</v>
      </c>
      <c r="P80" t="s">
        <v>256</v>
      </c>
      <c r="Q80" t="s">
        <v>255</v>
      </c>
    </row>
    <row r="81" spans="2:17">
      <c r="B81" s="44"/>
      <c r="C81">
        <v>9</v>
      </c>
      <c r="D81" t="s">
        <v>666</v>
      </c>
      <c r="E81" t="s">
        <v>257</v>
      </c>
      <c r="F81" t="s">
        <v>255</v>
      </c>
      <c r="M81" s="44"/>
      <c r="N81">
        <v>9</v>
      </c>
      <c r="O81" t="s">
        <v>666</v>
      </c>
      <c r="P81" t="s">
        <v>257</v>
      </c>
      <c r="Q81" t="s">
        <v>255</v>
      </c>
    </row>
    <row r="82" spans="2:17">
      <c r="B82" s="44"/>
      <c r="M82" s="44"/>
    </row>
    <row r="83" spans="2:17">
      <c r="B83" s="343">
        <v>46132</v>
      </c>
      <c r="C83">
        <v>0</v>
      </c>
      <c r="D83" t="s">
        <v>277</v>
      </c>
      <c r="E83" t="s">
        <v>258</v>
      </c>
      <c r="F83" t="s">
        <v>255</v>
      </c>
      <c r="M83" s="343">
        <v>46132</v>
      </c>
      <c r="N83">
        <v>0</v>
      </c>
      <c r="O83" t="s">
        <v>277</v>
      </c>
      <c r="P83" t="s">
        <v>258</v>
      </c>
      <c r="Q83" t="s">
        <v>255</v>
      </c>
    </row>
    <row r="84" spans="2:17">
      <c r="B84" s="343"/>
      <c r="C84">
        <v>0</v>
      </c>
      <c r="D84" t="s">
        <v>591</v>
      </c>
      <c r="E84" t="s">
        <v>256</v>
      </c>
      <c r="F84" t="s">
        <v>255</v>
      </c>
      <c r="M84" s="343"/>
      <c r="N84">
        <v>0</v>
      </c>
      <c r="O84" t="s">
        <v>591</v>
      </c>
      <c r="P84" t="s">
        <v>256</v>
      </c>
      <c r="Q84" t="s">
        <v>255</v>
      </c>
    </row>
    <row r="85" spans="2:17">
      <c r="B85" s="44"/>
      <c r="C85">
        <v>0</v>
      </c>
      <c r="D85" t="s">
        <v>592</v>
      </c>
      <c r="E85" t="s">
        <v>257</v>
      </c>
      <c r="F85" t="s">
        <v>255</v>
      </c>
      <c r="M85" s="44"/>
      <c r="N85">
        <v>0</v>
      </c>
      <c r="O85" t="s">
        <v>592</v>
      </c>
      <c r="P85" t="s">
        <v>257</v>
      </c>
      <c r="Q85" t="s">
        <v>255</v>
      </c>
    </row>
    <row r="86" spans="2:17">
      <c r="B86" s="44"/>
      <c r="C86">
        <v>17</v>
      </c>
      <c r="D86" t="s">
        <v>487</v>
      </c>
      <c r="E86" t="s">
        <v>203</v>
      </c>
      <c r="F86" t="s">
        <v>254</v>
      </c>
      <c r="M86" s="44"/>
      <c r="N86">
        <v>17</v>
      </c>
      <c r="O86" t="s">
        <v>487</v>
      </c>
      <c r="P86" t="s">
        <v>203</v>
      </c>
      <c r="Q86" t="s">
        <v>254</v>
      </c>
    </row>
    <row r="87" spans="2:17">
      <c r="B87" s="343"/>
      <c r="M87" s="343"/>
    </row>
    <row r="88" spans="2:17">
      <c r="B88" s="343"/>
      <c r="M88" s="343"/>
    </row>
    <row r="89" spans="2:17">
      <c r="B89" s="44">
        <v>46133</v>
      </c>
      <c r="C89">
        <v>0</v>
      </c>
      <c r="D89" t="s">
        <v>277</v>
      </c>
      <c r="E89" t="s">
        <v>258</v>
      </c>
      <c r="F89" t="s">
        <v>255</v>
      </c>
      <c r="M89" s="343">
        <v>46133</v>
      </c>
      <c r="N89">
        <v>0</v>
      </c>
      <c r="O89" t="s">
        <v>277</v>
      </c>
      <c r="P89" t="s">
        <v>258</v>
      </c>
      <c r="Q89" t="s">
        <v>255</v>
      </c>
    </row>
    <row r="90" spans="2:17">
      <c r="B90" s="44"/>
      <c r="C90">
        <v>7</v>
      </c>
      <c r="D90" t="s">
        <v>705</v>
      </c>
      <c r="E90" t="s">
        <v>256</v>
      </c>
      <c r="F90" t="s">
        <v>255</v>
      </c>
      <c r="M90" s="44"/>
      <c r="N90">
        <v>7</v>
      </c>
      <c r="O90" t="s">
        <v>705</v>
      </c>
      <c r="P90" t="s">
        <v>256</v>
      </c>
      <c r="Q90" t="s">
        <v>255</v>
      </c>
    </row>
    <row r="91" spans="2:17">
      <c r="B91" s="343"/>
      <c r="C91">
        <v>13</v>
      </c>
      <c r="D91" t="s">
        <v>612</v>
      </c>
      <c r="E91" t="s">
        <v>257</v>
      </c>
      <c r="F91" t="s">
        <v>255</v>
      </c>
      <c r="M91" s="44"/>
      <c r="N91">
        <v>13</v>
      </c>
      <c r="O91" t="s">
        <v>612</v>
      </c>
      <c r="P91" t="s">
        <v>257</v>
      </c>
      <c r="Q91" t="s">
        <v>255</v>
      </c>
    </row>
    <row r="92" spans="2:17">
      <c r="B92" s="343"/>
      <c r="M92" s="343"/>
    </row>
    <row r="93" spans="2:17">
      <c r="B93" s="44">
        <v>46134</v>
      </c>
      <c r="C93">
        <v>20</v>
      </c>
      <c r="D93" t="s">
        <v>522</v>
      </c>
      <c r="E93" t="s">
        <v>258</v>
      </c>
      <c r="F93" t="s">
        <v>255</v>
      </c>
      <c r="M93" s="343">
        <v>46134</v>
      </c>
      <c r="N93">
        <v>20</v>
      </c>
      <c r="O93" t="s">
        <v>522</v>
      </c>
      <c r="P93" t="s">
        <v>258</v>
      </c>
      <c r="Q93" t="s">
        <v>255</v>
      </c>
    </row>
    <row r="94" spans="2:17">
      <c r="B94" s="343"/>
      <c r="C94">
        <v>13</v>
      </c>
      <c r="D94" t="s">
        <v>723</v>
      </c>
      <c r="E94" t="s">
        <v>256</v>
      </c>
      <c r="F94" t="s">
        <v>255</v>
      </c>
      <c r="M94" s="44"/>
      <c r="N94">
        <v>13</v>
      </c>
      <c r="O94" t="s">
        <v>723</v>
      </c>
      <c r="P94" t="s">
        <v>256</v>
      </c>
      <c r="Q94" t="s">
        <v>255</v>
      </c>
    </row>
    <row r="95" spans="2:17">
      <c r="B95" s="44"/>
      <c r="C95">
        <v>31</v>
      </c>
      <c r="D95" t="s">
        <v>486</v>
      </c>
      <c r="E95" t="s">
        <v>257</v>
      </c>
      <c r="F95" t="s">
        <v>255</v>
      </c>
      <c r="M95" s="343"/>
      <c r="N95">
        <v>31</v>
      </c>
      <c r="O95" t="s">
        <v>486</v>
      </c>
      <c r="P95" t="s">
        <v>257</v>
      </c>
      <c r="Q95" t="s">
        <v>255</v>
      </c>
    </row>
    <row r="96" spans="2:17">
      <c r="B96" s="343"/>
      <c r="C96">
        <v>15</v>
      </c>
      <c r="D96" t="s">
        <v>487</v>
      </c>
      <c r="E96" t="s">
        <v>203</v>
      </c>
      <c r="F96" t="s">
        <v>254</v>
      </c>
      <c r="M96" s="44"/>
      <c r="N96">
        <v>15</v>
      </c>
      <c r="O96" t="s">
        <v>487</v>
      </c>
      <c r="P96" t="s">
        <v>203</v>
      </c>
      <c r="Q96" t="s">
        <v>254</v>
      </c>
    </row>
    <row r="97" spans="2:17">
      <c r="B97" s="44"/>
      <c r="C97">
        <v>15</v>
      </c>
      <c r="D97" t="s">
        <v>711</v>
      </c>
      <c r="E97" t="s">
        <v>724</v>
      </c>
      <c r="F97" t="s">
        <v>263</v>
      </c>
      <c r="M97" s="343"/>
      <c r="N97">
        <v>15</v>
      </c>
      <c r="O97" t="s">
        <v>711</v>
      </c>
      <c r="P97" t="s">
        <v>724</v>
      </c>
      <c r="Q97" t="s">
        <v>263</v>
      </c>
    </row>
    <row r="98" spans="2:17">
      <c r="B98" s="44"/>
      <c r="D98" s="502"/>
      <c r="M98" s="44"/>
      <c r="O98" s="502"/>
    </row>
    <row r="99" spans="2:17">
      <c r="B99" s="44">
        <v>46135</v>
      </c>
      <c r="C99">
        <v>0</v>
      </c>
      <c r="D99" t="s">
        <v>277</v>
      </c>
      <c r="E99" t="s">
        <v>258</v>
      </c>
      <c r="F99" t="s">
        <v>255</v>
      </c>
      <c r="M99" s="44">
        <v>46135</v>
      </c>
      <c r="N99">
        <v>0</v>
      </c>
      <c r="O99" t="s">
        <v>277</v>
      </c>
      <c r="P99" t="s">
        <v>258</v>
      </c>
      <c r="Q99" t="s">
        <v>255</v>
      </c>
    </row>
    <row r="100" spans="2:17">
      <c r="B100" s="44"/>
      <c r="C100">
        <v>4</v>
      </c>
      <c r="D100" t="s">
        <v>721</v>
      </c>
      <c r="E100" t="s">
        <v>256</v>
      </c>
      <c r="F100" t="s">
        <v>255</v>
      </c>
      <c r="M100" s="44"/>
      <c r="N100">
        <v>4</v>
      </c>
      <c r="O100" t="s">
        <v>721</v>
      </c>
      <c r="P100" t="s">
        <v>256</v>
      </c>
      <c r="Q100" t="s">
        <v>255</v>
      </c>
    </row>
    <row r="101" spans="2:17">
      <c r="B101" s="343"/>
      <c r="C101">
        <v>14</v>
      </c>
      <c r="D101" t="s">
        <v>486</v>
      </c>
      <c r="E101" t="s">
        <v>257</v>
      </c>
      <c r="F101" t="s">
        <v>255</v>
      </c>
      <c r="M101" s="44"/>
      <c r="N101">
        <v>14</v>
      </c>
      <c r="O101" t="s">
        <v>486</v>
      </c>
      <c r="P101" t="s">
        <v>257</v>
      </c>
      <c r="Q101" t="s">
        <v>255</v>
      </c>
    </row>
    <row r="102" spans="2:17">
      <c r="B102" s="44"/>
      <c r="C102">
        <v>25</v>
      </c>
      <c r="D102" t="s">
        <v>487</v>
      </c>
      <c r="E102" t="s">
        <v>203</v>
      </c>
      <c r="F102" t="s">
        <v>254</v>
      </c>
      <c r="M102" s="343"/>
      <c r="N102">
        <v>25</v>
      </c>
      <c r="O102" t="s">
        <v>487</v>
      </c>
      <c r="P102" t="s">
        <v>203</v>
      </c>
      <c r="Q102" t="s">
        <v>254</v>
      </c>
    </row>
    <row r="103" spans="2:17">
      <c r="B103" s="343"/>
      <c r="C103">
        <v>40</v>
      </c>
      <c r="D103" t="s">
        <v>734</v>
      </c>
      <c r="E103" t="s">
        <v>735</v>
      </c>
      <c r="F103" t="s">
        <v>261</v>
      </c>
      <c r="M103" s="44"/>
      <c r="N103">
        <v>40</v>
      </c>
      <c r="O103" t="s">
        <v>734</v>
      </c>
      <c r="P103" t="s">
        <v>735</v>
      </c>
      <c r="Q103" t="s">
        <v>261</v>
      </c>
    </row>
    <row r="104" spans="2:17">
      <c r="B104" s="44"/>
      <c r="M104" s="343"/>
    </row>
    <row r="105" spans="2:17">
      <c r="B105" s="44"/>
      <c r="C105">
        <v>10</v>
      </c>
      <c r="D105" t="s">
        <v>555</v>
      </c>
      <c r="E105" t="s">
        <v>258</v>
      </c>
      <c r="F105" t="s">
        <v>255</v>
      </c>
      <c r="M105" s="44">
        <v>46136</v>
      </c>
      <c r="N105">
        <v>10</v>
      </c>
      <c r="O105" t="s">
        <v>555</v>
      </c>
      <c r="P105" t="s">
        <v>258</v>
      </c>
      <c r="Q105" t="s">
        <v>255</v>
      </c>
    </row>
    <row r="106" spans="2:17">
      <c r="B106" s="343">
        <v>46136</v>
      </c>
      <c r="C106">
        <v>3</v>
      </c>
      <c r="D106" t="s">
        <v>721</v>
      </c>
      <c r="E106" t="s">
        <v>256</v>
      </c>
      <c r="F106" t="s">
        <v>255</v>
      </c>
      <c r="M106" s="343"/>
      <c r="N106">
        <v>3</v>
      </c>
      <c r="O106" t="s">
        <v>721</v>
      </c>
      <c r="P106" t="s">
        <v>256</v>
      </c>
      <c r="Q106" t="s">
        <v>255</v>
      </c>
    </row>
    <row r="107" spans="2:17">
      <c r="B107" s="343"/>
      <c r="C107">
        <v>20</v>
      </c>
      <c r="D107" t="s">
        <v>592</v>
      </c>
      <c r="E107" t="s">
        <v>257</v>
      </c>
      <c r="F107" t="s">
        <v>255</v>
      </c>
      <c r="M107" s="343"/>
      <c r="N107">
        <v>20</v>
      </c>
      <c r="O107" t="s">
        <v>592</v>
      </c>
      <c r="P107" t="s">
        <v>257</v>
      </c>
      <c r="Q107" t="s">
        <v>255</v>
      </c>
    </row>
    <row r="108" spans="2:17">
      <c r="B108" s="44"/>
      <c r="C108">
        <v>15</v>
      </c>
      <c r="D108" t="s">
        <v>487</v>
      </c>
      <c r="E108" t="s">
        <v>203</v>
      </c>
      <c r="F108" t="s">
        <v>254</v>
      </c>
      <c r="M108" s="44"/>
      <c r="N108">
        <v>15</v>
      </c>
      <c r="O108" t="s">
        <v>487</v>
      </c>
      <c r="P108" t="s">
        <v>203</v>
      </c>
      <c r="Q108" t="s">
        <v>254</v>
      </c>
    </row>
    <row r="109" spans="2:17">
      <c r="B109" s="44"/>
      <c r="M109" s="44"/>
    </row>
    <row r="110" spans="2:17">
      <c r="B110" s="343">
        <v>46137</v>
      </c>
      <c r="C110">
        <v>0</v>
      </c>
      <c r="D110" t="s">
        <v>277</v>
      </c>
      <c r="E110" t="s">
        <v>258</v>
      </c>
      <c r="F110" t="s">
        <v>255</v>
      </c>
      <c r="M110" s="343">
        <v>46137</v>
      </c>
      <c r="N110">
        <v>0</v>
      </c>
      <c r="O110" t="s">
        <v>277</v>
      </c>
      <c r="P110" t="s">
        <v>258</v>
      </c>
      <c r="Q110" t="s">
        <v>255</v>
      </c>
    </row>
    <row r="111" spans="2:17">
      <c r="B111" s="44"/>
      <c r="C111">
        <v>11</v>
      </c>
      <c r="D111" t="s">
        <v>705</v>
      </c>
      <c r="E111" t="s">
        <v>256</v>
      </c>
      <c r="F111" t="s">
        <v>255</v>
      </c>
      <c r="M111" s="44"/>
      <c r="N111">
        <v>11</v>
      </c>
      <c r="O111" t="s">
        <v>705</v>
      </c>
      <c r="P111" t="s">
        <v>256</v>
      </c>
      <c r="Q111" t="s">
        <v>255</v>
      </c>
    </row>
    <row r="112" spans="2:17">
      <c r="B112" s="343"/>
      <c r="C112">
        <v>33</v>
      </c>
      <c r="D112" t="s">
        <v>546</v>
      </c>
      <c r="E112" t="s">
        <v>257</v>
      </c>
      <c r="F112" t="s">
        <v>255</v>
      </c>
      <c r="M112" s="343"/>
      <c r="N112">
        <v>33</v>
      </c>
      <c r="O112" t="s">
        <v>546</v>
      </c>
      <c r="P112" t="s">
        <v>257</v>
      </c>
      <c r="Q112" t="s">
        <v>255</v>
      </c>
    </row>
    <row r="113" spans="2:17">
      <c r="B113" s="44"/>
      <c r="M113" s="44"/>
    </row>
    <row r="114" spans="2:17">
      <c r="B114" s="44">
        <v>46138</v>
      </c>
      <c r="C114">
        <v>0</v>
      </c>
      <c r="D114" t="s">
        <v>277</v>
      </c>
      <c r="E114" t="s">
        <v>258</v>
      </c>
      <c r="F114" t="s">
        <v>255</v>
      </c>
      <c r="M114" s="44"/>
    </row>
    <row r="115" spans="2:17">
      <c r="B115" s="44"/>
      <c r="C115">
        <v>11</v>
      </c>
      <c r="D115" t="s">
        <v>558</v>
      </c>
      <c r="E115" t="s">
        <v>256</v>
      </c>
      <c r="F115" t="s">
        <v>255</v>
      </c>
      <c r="M115" s="44">
        <v>46138</v>
      </c>
      <c r="N115">
        <v>0</v>
      </c>
      <c r="O115" t="s">
        <v>277</v>
      </c>
      <c r="P115" t="s">
        <v>258</v>
      </c>
      <c r="Q115" t="s">
        <v>255</v>
      </c>
    </row>
    <row r="116" spans="2:17">
      <c r="B116" s="44"/>
      <c r="C116">
        <v>23</v>
      </c>
      <c r="D116" t="s">
        <v>486</v>
      </c>
      <c r="E116" t="s">
        <v>257</v>
      </c>
      <c r="F116" t="s">
        <v>255</v>
      </c>
      <c r="M116" s="44"/>
      <c r="N116">
        <v>11</v>
      </c>
      <c r="O116" t="s">
        <v>558</v>
      </c>
      <c r="P116" t="s">
        <v>256</v>
      </c>
      <c r="Q116" t="s">
        <v>255</v>
      </c>
    </row>
    <row r="117" spans="2:17">
      <c r="B117" s="44"/>
      <c r="C117">
        <v>6</v>
      </c>
      <c r="D117" t="s">
        <v>487</v>
      </c>
      <c r="E117" t="s">
        <v>203</v>
      </c>
      <c r="F117" t="s">
        <v>254</v>
      </c>
      <c r="M117" s="44"/>
      <c r="N117">
        <v>23</v>
      </c>
      <c r="O117" t="s">
        <v>486</v>
      </c>
      <c r="P117" t="s">
        <v>257</v>
      </c>
      <c r="Q117" t="s">
        <v>255</v>
      </c>
    </row>
    <row r="118" spans="2:17">
      <c r="B118" s="44"/>
      <c r="M118" s="44"/>
      <c r="N118">
        <v>6</v>
      </c>
      <c r="O118" t="s">
        <v>487</v>
      </c>
      <c r="P118" t="s">
        <v>203</v>
      </c>
      <c r="Q118" t="s">
        <v>254</v>
      </c>
    </row>
    <row r="119" spans="2:17">
      <c r="B119" s="44">
        <v>46139</v>
      </c>
      <c r="C119">
        <v>0</v>
      </c>
      <c r="D119" t="s">
        <v>277</v>
      </c>
      <c r="E119" t="s">
        <v>258</v>
      </c>
      <c r="F119" t="s">
        <v>255</v>
      </c>
      <c r="M119" s="44"/>
    </row>
    <row r="120" spans="2:17">
      <c r="B120" s="44"/>
      <c r="C120">
        <v>13</v>
      </c>
      <c r="D120" t="s">
        <v>572</v>
      </c>
      <c r="E120" t="s">
        <v>256</v>
      </c>
      <c r="F120" t="s">
        <v>255</v>
      </c>
      <c r="M120" s="44">
        <v>46139</v>
      </c>
      <c r="N120">
        <v>0</v>
      </c>
      <c r="O120" t="s">
        <v>277</v>
      </c>
      <c r="P120" t="s">
        <v>258</v>
      </c>
      <c r="Q120" t="s">
        <v>255</v>
      </c>
    </row>
    <row r="121" spans="2:17">
      <c r="B121" s="44"/>
      <c r="C121">
        <v>16</v>
      </c>
      <c r="D121" t="s">
        <v>666</v>
      </c>
      <c r="E121" t="s">
        <v>257</v>
      </c>
      <c r="F121" t="s">
        <v>255</v>
      </c>
      <c r="M121" s="44"/>
      <c r="N121">
        <v>13</v>
      </c>
      <c r="O121" t="s">
        <v>572</v>
      </c>
      <c r="P121" t="s">
        <v>256</v>
      </c>
      <c r="Q121" t="s">
        <v>255</v>
      </c>
    </row>
    <row r="122" spans="2:17">
      <c r="B122" s="44"/>
      <c r="C122">
        <v>5</v>
      </c>
      <c r="D122" t="s">
        <v>487</v>
      </c>
      <c r="E122" t="s">
        <v>203</v>
      </c>
      <c r="F122" t="s">
        <v>254</v>
      </c>
      <c r="M122" s="44"/>
      <c r="N122">
        <v>16</v>
      </c>
      <c r="O122" t="s">
        <v>666</v>
      </c>
      <c r="P122" t="s">
        <v>257</v>
      </c>
      <c r="Q122" t="s">
        <v>255</v>
      </c>
    </row>
    <row r="123" spans="2:17">
      <c r="B123" s="44"/>
      <c r="M123" s="44"/>
      <c r="N123">
        <v>5</v>
      </c>
      <c r="O123" t="s">
        <v>487</v>
      </c>
      <c r="P123" t="s">
        <v>203</v>
      </c>
      <c r="Q123" t="s">
        <v>254</v>
      </c>
    </row>
    <row r="124" spans="2:17">
      <c r="B124" s="44">
        <v>46140</v>
      </c>
      <c r="C124">
        <v>0</v>
      </c>
      <c r="D124" t="s">
        <v>277</v>
      </c>
      <c r="E124" t="s">
        <v>258</v>
      </c>
      <c r="F124" t="s">
        <v>255</v>
      </c>
      <c r="M124" s="44"/>
    </row>
    <row r="125" spans="2:17">
      <c r="B125" s="44"/>
      <c r="C125">
        <v>8</v>
      </c>
      <c r="D125" t="s">
        <v>558</v>
      </c>
      <c r="E125" t="s">
        <v>256</v>
      </c>
      <c r="F125" t="s">
        <v>255</v>
      </c>
      <c r="M125" s="44">
        <v>46140</v>
      </c>
      <c r="N125">
        <v>0</v>
      </c>
      <c r="O125" t="s">
        <v>277</v>
      </c>
      <c r="P125" t="s">
        <v>258</v>
      </c>
      <c r="Q125" t="s">
        <v>255</v>
      </c>
    </row>
    <row r="126" spans="2:17">
      <c r="B126" s="44"/>
      <c r="C126">
        <v>11</v>
      </c>
      <c r="D126" t="s">
        <v>800</v>
      </c>
      <c r="E126" t="s">
        <v>257</v>
      </c>
      <c r="F126" t="s">
        <v>255</v>
      </c>
      <c r="M126" s="44"/>
      <c r="N126">
        <v>8</v>
      </c>
      <c r="O126" t="s">
        <v>558</v>
      </c>
      <c r="P126" t="s">
        <v>256</v>
      </c>
      <c r="Q126" t="s">
        <v>255</v>
      </c>
    </row>
    <row r="127" spans="2:17">
      <c r="B127" s="44"/>
      <c r="C127">
        <v>25</v>
      </c>
      <c r="D127" t="s">
        <v>487</v>
      </c>
      <c r="E127" t="s">
        <v>203</v>
      </c>
      <c r="F127" t="s">
        <v>254</v>
      </c>
      <c r="M127" s="44"/>
      <c r="N127">
        <v>11</v>
      </c>
      <c r="O127" t="s">
        <v>800</v>
      </c>
      <c r="P127" t="s">
        <v>257</v>
      </c>
      <c r="Q127" t="s">
        <v>255</v>
      </c>
    </row>
    <row r="128" spans="2:17">
      <c r="B128" s="44"/>
      <c r="C128">
        <v>70</v>
      </c>
      <c r="D128" t="s">
        <v>792</v>
      </c>
      <c r="E128" s="382" t="s">
        <v>801</v>
      </c>
      <c r="F128" s="382" t="s">
        <v>336</v>
      </c>
      <c r="M128" s="44"/>
      <c r="N128">
        <v>25</v>
      </c>
      <c r="O128" t="s">
        <v>487</v>
      </c>
      <c r="P128" t="s">
        <v>203</v>
      </c>
      <c r="Q128" t="s">
        <v>254</v>
      </c>
    </row>
    <row r="129" spans="2:17">
      <c r="B129" s="44"/>
      <c r="M129" s="44"/>
      <c r="N129">
        <v>0</v>
      </c>
      <c r="O129" t="s">
        <v>792</v>
      </c>
      <c r="P129" s="382" t="s">
        <v>801</v>
      </c>
      <c r="Q129" s="382" t="s">
        <v>336</v>
      </c>
    </row>
    <row r="130" spans="2:17">
      <c r="B130" s="44">
        <v>46141</v>
      </c>
      <c r="C130">
        <v>0</v>
      </c>
      <c r="D130" t="s">
        <v>277</v>
      </c>
      <c r="E130" t="s">
        <v>258</v>
      </c>
      <c r="F130" t="s">
        <v>255</v>
      </c>
      <c r="M130" s="44"/>
    </row>
    <row r="131" spans="2:17">
      <c r="B131" s="44"/>
      <c r="C131">
        <v>4</v>
      </c>
      <c r="D131" t="s">
        <v>450</v>
      </c>
      <c r="E131" t="s">
        <v>256</v>
      </c>
      <c r="F131" t="s">
        <v>255</v>
      </c>
      <c r="M131" s="44">
        <v>46141</v>
      </c>
      <c r="N131">
        <v>0</v>
      </c>
      <c r="O131" t="s">
        <v>277</v>
      </c>
      <c r="P131" t="s">
        <v>258</v>
      </c>
      <c r="Q131" t="s">
        <v>255</v>
      </c>
    </row>
    <row r="132" spans="2:17">
      <c r="B132" s="44"/>
      <c r="C132">
        <v>7</v>
      </c>
      <c r="D132" t="s">
        <v>810</v>
      </c>
      <c r="E132" t="s">
        <v>257</v>
      </c>
      <c r="F132" t="s">
        <v>255</v>
      </c>
      <c r="M132" s="44"/>
      <c r="N132">
        <v>4</v>
      </c>
      <c r="O132" t="s">
        <v>450</v>
      </c>
      <c r="P132" t="s">
        <v>256</v>
      </c>
      <c r="Q132" t="s">
        <v>255</v>
      </c>
    </row>
    <row r="133" spans="2:17">
      <c r="B133" s="44"/>
      <c r="C133">
        <v>255</v>
      </c>
      <c r="D133" t="s">
        <v>807</v>
      </c>
      <c r="E133" s="382" t="s">
        <v>801</v>
      </c>
      <c r="F133" s="382" t="s">
        <v>336</v>
      </c>
      <c r="M133" s="44"/>
      <c r="N133">
        <v>7</v>
      </c>
      <c r="O133" t="s">
        <v>810</v>
      </c>
      <c r="P133" t="s">
        <v>257</v>
      </c>
      <c r="Q133" t="s">
        <v>255</v>
      </c>
    </row>
    <row r="134" spans="2:17">
      <c r="B134" s="44"/>
      <c r="M134" s="44"/>
      <c r="N134">
        <v>0</v>
      </c>
      <c r="O134" t="s">
        <v>807</v>
      </c>
      <c r="P134" s="382" t="s">
        <v>801</v>
      </c>
      <c r="Q134" s="382" t="s">
        <v>336</v>
      </c>
    </row>
    <row r="135" spans="2:17">
      <c r="B135" s="44">
        <v>46142</v>
      </c>
      <c r="C135">
        <v>0</v>
      </c>
      <c r="D135" t="s">
        <v>277</v>
      </c>
      <c r="E135" t="s">
        <v>258</v>
      </c>
      <c r="F135" t="s">
        <v>255</v>
      </c>
      <c r="M135" s="44"/>
    </row>
    <row r="136" spans="2:17">
      <c r="B136" s="44"/>
      <c r="C136">
        <v>8</v>
      </c>
      <c r="D136" t="s">
        <v>723</v>
      </c>
      <c r="E136" t="s">
        <v>256</v>
      </c>
      <c r="F136" t="s">
        <v>255</v>
      </c>
      <c r="M136" s="44">
        <v>46142</v>
      </c>
      <c r="N136">
        <v>0</v>
      </c>
      <c r="O136" t="s">
        <v>277</v>
      </c>
      <c r="P136" t="s">
        <v>258</v>
      </c>
      <c r="Q136" t="s">
        <v>255</v>
      </c>
    </row>
    <row r="137" spans="2:17">
      <c r="B137" s="44"/>
      <c r="C137">
        <v>11</v>
      </c>
      <c r="D137" t="s">
        <v>819</v>
      </c>
      <c r="E137" t="s">
        <v>257</v>
      </c>
      <c r="F137" t="s">
        <v>255</v>
      </c>
      <c r="M137" s="44"/>
      <c r="N137">
        <v>8</v>
      </c>
      <c r="O137" t="s">
        <v>723</v>
      </c>
      <c r="P137" t="s">
        <v>256</v>
      </c>
      <c r="Q137" t="s">
        <v>255</v>
      </c>
    </row>
    <row r="138" spans="2:17">
      <c r="B138" s="44"/>
      <c r="C138">
        <v>176</v>
      </c>
      <c r="D138" t="s">
        <v>812</v>
      </c>
      <c r="E138" s="382" t="s">
        <v>801</v>
      </c>
      <c r="F138" s="382" t="s">
        <v>336</v>
      </c>
      <c r="M138" s="44"/>
      <c r="N138">
        <v>11</v>
      </c>
      <c r="O138" t="s">
        <v>819</v>
      </c>
      <c r="P138" t="s">
        <v>257</v>
      </c>
      <c r="Q138" t="s">
        <v>255</v>
      </c>
    </row>
    <row r="139" spans="2:17">
      <c r="M139" s="44"/>
      <c r="N139">
        <v>0</v>
      </c>
      <c r="O139" t="s">
        <v>812</v>
      </c>
      <c r="P139" s="382" t="s">
        <v>801</v>
      </c>
      <c r="Q139" s="382" t="s">
        <v>336</v>
      </c>
    </row>
  </sheetData>
  <autoFilter ref="C1:F118"/>
  <conditionalFormatting sqref="G2:G11">
    <cfRule type="cellIs" dxfId="7" priority="2" operator="greaterThan">
      <formula>0</formula>
    </cfRule>
  </conditionalFormatting>
  <conditionalFormatting sqref="R2:R11">
    <cfRule type="cellIs" dxfId="6" priority="1" operator="greater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Q42"/>
  <sheetViews>
    <sheetView workbookViewId="0">
      <selection activeCell="C13" sqref="C13"/>
    </sheetView>
  </sheetViews>
  <sheetFormatPr defaultRowHeight="12.75"/>
  <cols>
    <col min="1" max="1" width="15.28515625" bestFit="1" customWidth="1"/>
    <col min="2" max="2" width="23.28515625" bestFit="1" customWidth="1"/>
    <col min="3" max="3" width="34.28515625" style="543" customWidth="1"/>
    <col min="4" max="8" width="13.5703125" customWidth="1"/>
    <col min="10" max="10" width="15.28515625" bestFit="1" customWidth="1"/>
    <col min="11" max="11" width="23.28515625" bestFit="1" customWidth="1"/>
    <col min="12" max="12" width="34.28515625" style="543" customWidth="1"/>
    <col min="13" max="17" width="13.5703125" customWidth="1"/>
  </cols>
  <sheetData>
    <row r="1" spans="1:17" ht="15">
      <c r="A1" s="456" t="s">
        <v>237</v>
      </c>
      <c r="E1" s="468"/>
      <c r="F1" s="1"/>
      <c r="J1" s="456" t="s">
        <v>402</v>
      </c>
      <c r="N1" s="468"/>
      <c r="O1" s="1"/>
    </row>
    <row r="2" spans="1:17" ht="30">
      <c r="A2" s="1017" t="s">
        <v>238</v>
      </c>
      <c r="B2" s="1017" t="s">
        <v>239</v>
      </c>
      <c r="C2" s="1019" t="s">
        <v>240</v>
      </c>
      <c r="D2" s="469" t="s">
        <v>241</v>
      </c>
      <c r="E2" s="470" t="s">
        <v>242</v>
      </c>
      <c r="F2" s="471" t="s">
        <v>243</v>
      </c>
      <c r="G2" s="470" t="s">
        <v>244</v>
      </c>
      <c r="H2" s="470" t="s">
        <v>245</v>
      </c>
      <c r="J2" s="1017" t="s">
        <v>238</v>
      </c>
      <c r="K2" s="1017" t="s">
        <v>239</v>
      </c>
      <c r="L2" s="1018" t="s">
        <v>240</v>
      </c>
      <c r="M2" s="469" t="s">
        <v>241</v>
      </c>
      <c r="N2" s="470" t="s">
        <v>242</v>
      </c>
      <c r="O2" s="471" t="s">
        <v>243</v>
      </c>
      <c r="P2" s="470" t="s">
        <v>244</v>
      </c>
      <c r="Q2" s="470" t="s">
        <v>245</v>
      </c>
    </row>
    <row r="3" spans="1:17" ht="15">
      <c r="A3" s="1017"/>
      <c r="B3" s="1017"/>
      <c r="C3" s="1020"/>
      <c r="D3" s="469" t="s">
        <v>432</v>
      </c>
      <c r="E3" s="469" t="str">
        <f>+D3</f>
        <v>APRIL</v>
      </c>
      <c r="F3" s="469" t="str">
        <f>+E3</f>
        <v>APRIL</v>
      </c>
      <c r="G3" s="469" t="str">
        <f>+F3</f>
        <v>APRIL</v>
      </c>
      <c r="H3" s="469" t="str">
        <f>+G3</f>
        <v>APRIL</v>
      </c>
      <c r="J3" s="1017"/>
      <c r="K3" s="1017"/>
      <c r="L3" s="1018"/>
      <c r="M3" s="469" t="str">
        <f>+H3</f>
        <v>APRIL</v>
      </c>
      <c r="N3" s="469" t="str">
        <f>+M3</f>
        <v>APRIL</v>
      </c>
      <c r="O3" s="469" t="str">
        <f>+N3</f>
        <v>APRIL</v>
      </c>
      <c r="P3" s="469" t="str">
        <f>+O3</f>
        <v>APRIL</v>
      </c>
      <c r="Q3" s="469" t="str">
        <f>+P3</f>
        <v>APRIL</v>
      </c>
    </row>
    <row r="4" spans="1:17" ht="15">
      <c r="A4" s="999" t="s">
        <v>246</v>
      </c>
      <c r="B4" s="542" t="s">
        <v>330</v>
      </c>
      <c r="C4" s="544"/>
      <c r="D4" s="7">
        <f>SUMIFS(Sheet1!$C$2:$C$180,Sheet1!$F$2:$F$180,B4,Sheet1!$E$2:$E$180,C4)</f>
        <v>0</v>
      </c>
      <c r="E4" s="7">
        <f>D4/Sheet1!$I$9*Sheet1!$I$10</f>
        <v>0</v>
      </c>
      <c r="F4" s="484">
        <f>D4/Sheet1!$I$9*Sheet1!$I$11</f>
        <v>0</v>
      </c>
      <c r="G4" s="477">
        <f>F4</f>
        <v>0</v>
      </c>
      <c r="H4" s="1012">
        <f>SUM(G4:G11)</f>
        <v>2.196468050639637E-2</v>
      </c>
      <c r="J4" s="999" t="s">
        <v>246</v>
      </c>
      <c r="K4" s="542" t="s">
        <v>330</v>
      </c>
      <c r="L4" s="544"/>
      <c r="M4" s="7">
        <f>SUMIFS(Sheet1!$N$2:$N$180,Sheet1!$Q$2:$Q$180,K4,Sheet1!$P$2:$P$180,L4)</f>
        <v>0</v>
      </c>
      <c r="N4" s="7">
        <f>M4/Sheet1!$T$9*Sheet1!$T$10</f>
        <v>0</v>
      </c>
      <c r="O4" s="484">
        <f>M4/Sheet1!$T$9*Sheet1!$T$11</f>
        <v>0</v>
      </c>
      <c r="P4" s="477">
        <f>O4</f>
        <v>0</v>
      </c>
      <c r="Q4" s="1012">
        <f>SUM(P4:P11)</f>
        <v>4.7786461118158891E-3</v>
      </c>
    </row>
    <row r="5" spans="1:17" ht="15">
      <c r="A5" s="999"/>
      <c r="B5" s="542" t="s">
        <v>247</v>
      </c>
      <c r="C5" s="544"/>
      <c r="D5" s="7">
        <f>SUMIFS(Sheet1!$C$2:$C$180,Sheet1!$F$2:$F$180,B5,Sheet1!$E$2:$E$180,C5)</f>
        <v>0</v>
      </c>
      <c r="E5" s="7">
        <f>D5/Sheet1!$I$9*Sheet1!$I$10</f>
        <v>0</v>
      </c>
      <c r="F5" s="484">
        <f>D5/Sheet1!$I$9*Sheet1!$I$11</f>
        <v>0</v>
      </c>
      <c r="G5" s="545">
        <f t="shared" ref="G5:G14" si="0">F5</f>
        <v>0</v>
      </c>
      <c r="H5" s="999"/>
      <c r="J5" s="999"/>
      <c r="K5" s="542" t="s">
        <v>247</v>
      </c>
      <c r="L5" s="544"/>
      <c r="M5" s="7">
        <f>SUMIFS(Sheet1!$N$2:$N$180,Sheet1!$Q$2:$Q$180,K5,Sheet1!$P$2:$P$180,L5)</f>
        <v>0</v>
      </c>
      <c r="N5" s="7">
        <f>M5/Sheet1!$T$9*Sheet1!$T$10</f>
        <v>0</v>
      </c>
      <c r="O5" s="484">
        <f>M5/Sheet1!$T$9*Sheet1!$T$11</f>
        <v>0</v>
      </c>
      <c r="P5" s="545">
        <f t="shared" ref="P5:P14" si="1">O5</f>
        <v>0</v>
      </c>
      <c r="Q5" s="999"/>
    </row>
    <row r="6" spans="1:17" ht="15">
      <c r="A6" s="999"/>
      <c r="B6" s="1007" t="s">
        <v>337</v>
      </c>
      <c r="C6" s="544"/>
      <c r="D6" s="7">
        <f>SUMIFS(Sheet1!$C$2:$C$180,Sheet1!$F$2:$F$180,B6,Sheet1!$E$2:$E$180,C6)</f>
        <v>0</v>
      </c>
      <c r="E6" s="7">
        <f>D6/Sheet1!$I$9*Sheet1!$I$10</f>
        <v>0</v>
      </c>
      <c r="F6" s="484">
        <f>D6/Sheet1!$I$9*Sheet1!$I$11</f>
        <v>0</v>
      </c>
      <c r="G6" s="545">
        <f t="shared" si="0"/>
        <v>0</v>
      </c>
      <c r="H6" s="999"/>
      <c r="J6" s="999"/>
      <c r="K6" s="1007" t="s">
        <v>337</v>
      </c>
      <c r="L6" s="544"/>
      <c r="M6" s="7">
        <f>SUMIFS(Sheet1!$N$2:$N$180,Sheet1!$Q$2:$Q$180,K6,Sheet1!$P$2:$P$180,L6)</f>
        <v>0</v>
      </c>
      <c r="N6" s="7">
        <f>M6/Sheet1!$T$9*Sheet1!$T$10</f>
        <v>0</v>
      </c>
      <c r="O6" s="484">
        <f>M6/Sheet1!$T$9*Sheet1!$T$11</f>
        <v>0</v>
      </c>
      <c r="P6" s="545">
        <f t="shared" si="1"/>
        <v>0</v>
      </c>
      <c r="Q6" s="999"/>
    </row>
    <row r="7" spans="1:17" ht="15">
      <c r="A7" s="999"/>
      <c r="B7" s="1009"/>
      <c r="C7" s="544"/>
      <c r="D7" s="7">
        <f>SUMIFS(Sheet1!$C$2:$C$180,Sheet1!$F$2:$F$180,B6,Sheet1!$E$2:$E$180,C7)</f>
        <v>0</v>
      </c>
      <c r="E7" s="7">
        <f>D7/Sheet1!$I$9*Sheet1!$I$10</f>
        <v>0</v>
      </c>
      <c r="F7" s="484">
        <f>D7/Sheet1!$I$9*Sheet1!$I$11</f>
        <v>0</v>
      </c>
      <c r="G7" s="545">
        <f t="shared" si="0"/>
        <v>0</v>
      </c>
      <c r="H7" s="999"/>
      <c r="J7" s="999"/>
      <c r="K7" s="1009"/>
      <c r="L7" s="544"/>
      <c r="M7" s="7">
        <f>SUMIFS(Sheet1!$N$2:$N$180,Sheet1!$Q$2:$Q$180,K6,Sheet1!$P$2:$P$180,L7)</f>
        <v>0</v>
      </c>
      <c r="N7" s="7">
        <f>M7/Sheet1!$T$9*Sheet1!$T$10</f>
        <v>0</v>
      </c>
      <c r="O7" s="484">
        <f>M7/Sheet1!$T$9*Sheet1!$T$11</f>
        <v>0</v>
      </c>
      <c r="P7" s="545">
        <f t="shared" si="1"/>
        <v>0</v>
      </c>
      <c r="Q7" s="999"/>
    </row>
    <row r="8" spans="1:17">
      <c r="A8" s="999"/>
      <c r="B8" s="1007" t="s">
        <v>336</v>
      </c>
      <c r="C8" s="544" t="s">
        <v>801</v>
      </c>
      <c r="D8" s="7">
        <f>SUMIFS(Sheet1!$C$2:$C$180,Sheet1!$F$2:$F$180,B8,Sheet1!$E$2:$E$180,C8)</f>
        <v>501</v>
      </c>
      <c r="E8" s="7">
        <f>D8/Sheet1!$I$9*Sheet1!$I$10</f>
        <v>22.860500021004189</v>
      </c>
      <c r="F8" s="484">
        <f>D8/Sheet1!$I$9*Sheet1!$I$11</f>
        <v>1.0831008793016319E-2</v>
      </c>
      <c r="G8" s="472">
        <f t="shared" si="0"/>
        <v>1.0831008793016319E-2</v>
      </c>
      <c r="H8" s="999"/>
      <c r="J8" s="999"/>
      <c r="K8" s="1007" t="s">
        <v>336</v>
      </c>
      <c r="L8" s="544" t="s">
        <v>801</v>
      </c>
      <c r="M8" s="7">
        <f>SUMIFS(Sheet1!$N$2:$N$180,Sheet1!$Q$2:$Q$180,K8,Sheet1!$P$2:$P$180,L8)</f>
        <v>0</v>
      </c>
      <c r="N8" s="7">
        <f>M8/Sheet1!$T$9*Sheet1!$T$10</f>
        <v>0</v>
      </c>
      <c r="O8" s="484">
        <f>M8/Sheet1!$T$9*Sheet1!$T$11</f>
        <v>0</v>
      </c>
      <c r="P8" s="472">
        <f t="shared" si="1"/>
        <v>0</v>
      </c>
      <c r="Q8" s="999"/>
    </row>
    <row r="9" spans="1:17">
      <c r="A9" s="999"/>
      <c r="B9" s="1009"/>
      <c r="C9" s="544"/>
      <c r="D9" s="7">
        <f>SUMIFS(Sheet1!$C$2:$C$180,Sheet1!$F$2:$F$180,B8,Sheet1!$E$2:$E$180,C9)</f>
        <v>0</v>
      </c>
      <c r="E9" s="7">
        <f>D9/Sheet1!$I$9*Sheet1!$I$10</f>
        <v>0</v>
      </c>
      <c r="F9" s="484">
        <f>D9/Sheet1!$I$9*Sheet1!$I$11</f>
        <v>0</v>
      </c>
      <c r="G9" s="472">
        <f t="shared" si="0"/>
        <v>0</v>
      </c>
      <c r="H9" s="999"/>
      <c r="J9" s="999"/>
      <c r="K9" s="1009"/>
      <c r="L9" s="544"/>
      <c r="M9" s="7">
        <f>SUMIFS(Sheet1!$N$2:$N$180,Sheet1!$Q$2:$Q$180,K8,Sheet1!$P$2:$P$180,L9)</f>
        <v>0</v>
      </c>
      <c r="N9" s="7">
        <f>M9/Sheet1!$T$9*Sheet1!$T$10</f>
        <v>0</v>
      </c>
      <c r="O9" s="484">
        <f>M9/Sheet1!$T$9*Sheet1!$T$11</f>
        <v>0</v>
      </c>
      <c r="P9" s="472">
        <f t="shared" si="1"/>
        <v>0</v>
      </c>
      <c r="Q9" s="999"/>
    </row>
    <row r="10" spans="1:17">
      <c r="A10" s="999"/>
      <c r="B10" s="1007" t="s">
        <v>403</v>
      </c>
      <c r="C10" s="544" t="s">
        <v>527</v>
      </c>
      <c r="D10" s="7">
        <f>SUMIFS(Sheet1!$C$2:$C$180,Sheet1!$F$2:$F$180,B10,Sheet1!$E$2:$E$180,C10)</f>
        <v>135</v>
      </c>
      <c r="E10" s="7">
        <f>D10/Sheet1!$I$9*Sheet1!$I$10</f>
        <v>6.160014975719692</v>
      </c>
      <c r="F10" s="484">
        <f>D10/Sheet1!$I$9*Sheet1!$I$11</f>
        <v>2.9185353035073914E-3</v>
      </c>
      <c r="G10" s="472">
        <f t="shared" si="0"/>
        <v>2.9185353035073914E-3</v>
      </c>
      <c r="H10" s="999"/>
      <c r="J10" s="999"/>
      <c r="K10" s="1007" t="s">
        <v>403</v>
      </c>
      <c r="L10" s="544" t="s">
        <v>527</v>
      </c>
      <c r="M10" s="7">
        <f>SUMIFS(Sheet1!$N$2:$N$180,Sheet1!$Q$2:$Q$180,K10,Sheet1!$P$2:$P$180,L10)</f>
        <v>135</v>
      </c>
      <c r="N10" s="7">
        <f>M10/Sheet1!$T$9*Sheet1!$T$10</f>
        <v>6.1955566445470769</v>
      </c>
      <c r="O10" s="484">
        <f>M10/Sheet1!$T$9*Sheet1!$T$11</f>
        <v>2.9866538198849305E-3</v>
      </c>
      <c r="P10" s="472">
        <f t="shared" si="1"/>
        <v>2.9866538198849305E-3</v>
      </c>
      <c r="Q10" s="999"/>
    </row>
    <row r="11" spans="1:17">
      <c r="A11" s="999"/>
      <c r="B11" s="1009"/>
      <c r="C11" s="544" t="s">
        <v>636</v>
      </c>
      <c r="D11" s="7">
        <f>SUMIFS(Sheet1!$C$2:$C$180,Sheet1!$F$2:$F$180,B10,Sheet1!$E$2:$E$180,C11)</f>
        <v>380</v>
      </c>
      <c r="E11" s="7">
        <f>D11/Sheet1!$I$9*Sheet1!$I$10</f>
        <v>17.339301413136912</v>
      </c>
      <c r="F11" s="484">
        <f>D11/Sheet1!$I$9*Sheet1!$I$11</f>
        <v>8.215136409872658E-3</v>
      </c>
      <c r="G11" s="472">
        <f t="shared" si="0"/>
        <v>8.215136409872658E-3</v>
      </c>
      <c r="H11" s="999"/>
      <c r="J11" s="999"/>
      <c r="K11" s="1009"/>
      <c r="L11" s="544" t="s">
        <v>636</v>
      </c>
      <c r="M11" s="7">
        <f>SUMIFS(Sheet1!$N$2:$N$180,Sheet1!$Q$2:$Q$180,K10,Sheet1!$P$2:$P$180,L11)</f>
        <v>81</v>
      </c>
      <c r="N11" s="7">
        <f>M11/Sheet1!$T$9*Sheet1!$T$10</f>
        <v>3.7173339867282462</v>
      </c>
      <c r="O11" s="484">
        <f>M11/Sheet1!$T$9*Sheet1!$T$11</f>
        <v>1.7919922919309584E-3</v>
      </c>
      <c r="P11" s="472">
        <f t="shared" si="1"/>
        <v>1.7919922919309584E-3</v>
      </c>
      <c r="Q11" s="999"/>
    </row>
    <row r="12" spans="1:17" ht="15">
      <c r="A12" s="999" t="s">
        <v>9</v>
      </c>
      <c r="B12" s="542" t="s">
        <v>153</v>
      </c>
      <c r="C12" s="544" t="s">
        <v>153</v>
      </c>
      <c r="D12" s="7"/>
      <c r="E12" s="7">
        <f>+Sheet1!I2</f>
        <v>15.998999999999997</v>
      </c>
      <c r="F12" s="484">
        <f>E12/Sheet1!$I$8</f>
        <v>7.5801189615386285E-3</v>
      </c>
      <c r="G12" s="545">
        <f t="shared" si="0"/>
        <v>7.5801189615386285E-3</v>
      </c>
      <c r="H12" s="1000">
        <f>SUM(G12:G13)</f>
        <v>9.0972729760245355E-3</v>
      </c>
      <c r="J12" s="999" t="s">
        <v>9</v>
      </c>
      <c r="K12" s="542" t="s">
        <v>153</v>
      </c>
      <c r="L12" s="544" t="s">
        <v>153</v>
      </c>
      <c r="M12" s="7"/>
      <c r="N12" s="7">
        <f>+Sheet1!T2</f>
        <v>15.998999999999997</v>
      </c>
      <c r="O12" s="484">
        <f>+Sheet1!U2</f>
        <v>7.7125393577661622E-3</v>
      </c>
      <c r="P12" s="545">
        <f t="shared" si="1"/>
        <v>7.7125393577661622E-3</v>
      </c>
      <c r="Q12" s="1000">
        <f>SUM(P12:P13)</f>
        <v>9.2561971958405632E-3</v>
      </c>
    </row>
    <row r="13" spans="1:17" ht="15">
      <c r="A13" s="999"/>
      <c r="B13" s="542" t="s">
        <v>249</v>
      </c>
      <c r="C13" s="544" t="s">
        <v>250</v>
      </c>
      <c r="D13" s="7"/>
      <c r="E13" s="7">
        <f>+Sheet1!I3</f>
        <v>3.2021855067078064</v>
      </c>
      <c r="F13" s="484">
        <f>E13/Sheet1!$I$8</f>
        <v>1.5171540144859072E-3</v>
      </c>
      <c r="G13" s="545">
        <f t="shared" si="0"/>
        <v>1.5171540144859072E-3</v>
      </c>
      <c r="H13" s="1001"/>
      <c r="J13" s="999"/>
      <c r="K13" s="542" t="s">
        <v>249</v>
      </c>
      <c r="L13" s="544" t="s">
        <v>250</v>
      </c>
      <c r="M13" s="7"/>
      <c r="N13" s="7">
        <f>+Sheet1!T3</f>
        <v>3.2021855067078064</v>
      </c>
      <c r="O13" s="484">
        <f>+Sheet1!U3</f>
        <v>1.5436578380744013E-3</v>
      </c>
      <c r="P13" s="545">
        <f t="shared" si="1"/>
        <v>1.5436578380744013E-3</v>
      </c>
      <c r="Q13" s="1001"/>
    </row>
    <row r="14" spans="1:17" ht="15">
      <c r="A14" s="1002" t="s">
        <v>11</v>
      </c>
      <c r="B14" s="542" t="s">
        <v>251</v>
      </c>
      <c r="C14" s="544" t="s">
        <v>251</v>
      </c>
      <c r="D14" s="7"/>
      <c r="E14" s="7">
        <f>+Sheet1!I4</f>
        <v>-3.6852166842423357</v>
      </c>
      <c r="F14" s="484">
        <f>E14/Sheet1!$I$8</f>
        <v>-1.7460079295958401E-3</v>
      </c>
      <c r="G14" s="545">
        <f t="shared" si="0"/>
        <v>-1.7460079295958401E-3</v>
      </c>
      <c r="H14" s="1004">
        <f>SUM(G14:G23)</f>
        <v>3.8086439346740039E-2</v>
      </c>
      <c r="J14" s="1002" t="s">
        <v>11</v>
      </c>
      <c r="K14" s="542" t="s">
        <v>251</v>
      </c>
      <c r="L14" s="544" t="s">
        <v>251</v>
      </c>
      <c r="M14" s="7"/>
      <c r="N14" s="7">
        <f>+Sheet1!T4</f>
        <v>-1.6568639027845211</v>
      </c>
      <c r="O14" s="484">
        <f>+Sheet1!U4</f>
        <v>-7.9871417342881868E-4</v>
      </c>
      <c r="P14" s="545">
        <f t="shared" si="1"/>
        <v>-7.9871417342881868E-4</v>
      </c>
      <c r="Q14" s="1004">
        <f>SUM(P14:P23)</f>
        <v>3.8845117529869813E-2</v>
      </c>
    </row>
    <row r="15" spans="1:17" ht="15">
      <c r="A15" s="1003"/>
      <c r="B15" s="542" t="s">
        <v>252</v>
      </c>
      <c r="C15" s="544" t="s">
        <v>252</v>
      </c>
      <c r="D15" s="7"/>
      <c r="E15" s="7">
        <f>+Sheet1!I5</f>
        <v>40.861105686691367</v>
      </c>
      <c r="F15" s="484">
        <f>E15/Sheet1!$I$8</f>
        <v>1.9359462591732182E-2</v>
      </c>
      <c r="G15" s="545">
        <f>F15</f>
        <v>1.9359462591732182E-2</v>
      </c>
      <c r="H15" s="1004"/>
      <c r="J15" s="1003"/>
      <c r="K15" s="542" t="s">
        <v>252</v>
      </c>
      <c r="L15" s="544" t="s">
        <v>252</v>
      </c>
      <c r="M15" s="7"/>
      <c r="N15" s="7">
        <f>+Sheet1!T5</f>
        <v>38.777038919633561</v>
      </c>
      <c r="O15" s="484">
        <f>+Sheet1!U5</f>
        <v>1.8693008240846565E-2</v>
      </c>
      <c r="P15" s="545">
        <f>O15</f>
        <v>1.8693008240846565E-2</v>
      </c>
      <c r="Q15" s="1004"/>
    </row>
    <row r="16" spans="1:17">
      <c r="A16" s="1003"/>
      <c r="B16" s="1005" t="s">
        <v>253</v>
      </c>
      <c r="C16" s="544"/>
      <c r="D16" s="7">
        <f>SUMIFS(Sheet1!$C$2:$C$180,Sheet1!$F$2:$F$180,B16,Sheet1!$E$2:$E$180,C16)</f>
        <v>0</v>
      </c>
      <c r="E16" s="7">
        <f>D16/Sheet1!$I$9*Sheet1!$I$10</f>
        <v>0</v>
      </c>
      <c r="F16" s="484">
        <f>D16/Sheet1!$I$9*Sheet1!$I$11</f>
        <v>0</v>
      </c>
      <c r="G16" s="1006">
        <f>SUM(F16:F17)</f>
        <v>0</v>
      </c>
      <c r="H16" s="1004"/>
      <c r="J16" s="1003"/>
      <c r="K16" s="1005" t="s">
        <v>253</v>
      </c>
      <c r="L16" s="544"/>
      <c r="M16" s="7">
        <f>SUMIFS(Sheet1!$N$2:$N$180,Sheet1!$Q$2:$Q$180,K16,Sheet1!$P$2:$P$180,L16)</f>
        <v>0</v>
      </c>
      <c r="N16" s="7">
        <f>M16/Sheet1!$T$9*Sheet1!$T$10</f>
        <v>0</v>
      </c>
      <c r="O16" s="484">
        <f>M16/Sheet1!$T$9*Sheet1!$T$11</f>
        <v>0</v>
      </c>
      <c r="P16" s="1006">
        <f>SUM(O16:O17)</f>
        <v>0</v>
      </c>
      <c r="Q16" s="1004"/>
    </row>
    <row r="17" spans="1:17">
      <c r="A17" s="1003"/>
      <c r="B17" s="1005"/>
      <c r="C17" s="544"/>
      <c r="D17" s="7">
        <f>SUMIFS(Sheet1!$C$2:$C$180,Sheet1!$F$2:$F$180,B16,Sheet1!$E$2:$E$180,C17)</f>
        <v>0</v>
      </c>
      <c r="E17" s="7">
        <f>D17/Sheet1!$I$9*Sheet1!$I$10</f>
        <v>0</v>
      </c>
      <c r="F17" s="484">
        <f>D17/Sheet1!$I$9*Sheet1!$I$11</f>
        <v>0</v>
      </c>
      <c r="G17" s="1006"/>
      <c r="H17" s="1004"/>
      <c r="J17" s="1003"/>
      <c r="K17" s="1005"/>
      <c r="L17" s="544"/>
      <c r="M17" s="7">
        <f>SUMIFS(Sheet1!$N$2:$N$180,Sheet1!$Q$2:$Q$180,K16,Sheet1!$P$2:$P$180,L17)</f>
        <v>0</v>
      </c>
      <c r="N17" s="7">
        <f>M17/Sheet1!$T$9*Sheet1!$T$10</f>
        <v>0</v>
      </c>
      <c r="O17" s="484">
        <f>M17/Sheet1!$T$9*Sheet1!$T$11</f>
        <v>0</v>
      </c>
      <c r="P17" s="1006"/>
      <c r="Q17" s="1004"/>
    </row>
    <row r="18" spans="1:17" ht="15">
      <c r="A18" s="1003"/>
      <c r="B18" s="542" t="s">
        <v>254</v>
      </c>
      <c r="C18" s="544" t="s">
        <v>203</v>
      </c>
      <c r="D18" s="7">
        <f>SUMIFS(Sheet1!$C$2:$C$180,Sheet1!$F$2:$F$180,B18,Sheet1!$E$2:$E$180,C18)</f>
        <v>141</v>
      </c>
      <c r="E18" s="7">
        <f>D18/Sheet1!$I$9*Sheet1!$I$10</f>
        <v>6.4337934190850108</v>
      </c>
      <c r="F18" s="484">
        <f>D18/Sheet1!$I$9*Sheet1!$I$11</f>
        <v>3.0482479836632754E-3</v>
      </c>
      <c r="G18" s="545">
        <f>F18</f>
        <v>3.0482479836632754E-3</v>
      </c>
      <c r="H18" s="1004"/>
      <c r="J18" s="1003"/>
      <c r="K18" s="542" t="s">
        <v>254</v>
      </c>
      <c r="L18" s="544" t="s">
        <v>203</v>
      </c>
      <c r="M18" s="7">
        <f>SUMIFS(Sheet1!$N$2:$N$180,Sheet1!$Q$2:$Q$180,K18,Sheet1!$P$2:$P$180,L18)</f>
        <v>141</v>
      </c>
      <c r="N18" s="7">
        <f>M18/Sheet1!$T$9*Sheet1!$T$10</f>
        <v>6.4709147176380579</v>
      </c>
      <c r="O18" s="484">
        <f>M18/Sheet1!$T$9*Sheet1!$T$11</f>
        <v>3.119393989657594E-3</v>
      </c>
      <c r="P18" s="545">
        <f>O18</f>
        <v>3.119393989657594E-3</v>
      </c>
      <c r="Q18" s="1004"/>
    </row>
    <row r="19" spans="1:17">
      <c r="A19" s="1003"/>
      <c r="B19" s="1007" t="s">
        <v>255</v>
      </c>
      <c r="C19" s="544" t="s">
        <v>256</v>
      </c>
      <c r="D19" s="7">
        <f>SUMIFS(Sheet1!$C$2:$C$180,Sheet1!$F$2:$F$180,B19,Sheet1!$E$2:$E$180,C19)</f>
        <v>220</v>
      </c>
      <c r="E19" s="7">
        <f>D19/Sheet1!$I$9*Sheet1!$I$10</f>
        <v>10.038542923395052</v>
      </c>
      <c r="F19" s="484">
        <f>D19/Sheet1!$I$9*Sheet1!$I$11</f>
        <v>4.7561316057157486E-3</v>
      </c>
      <c r="G19" s="1010">
        <f>SUM(F19:F23)</f>
        <v>1.7424736700940423E-2</v>
      </c>
      <c r="H19" s="1004"/>
      <c r="J19" s="1003"/>
      <c r="K19" s="1007" t="s">
        <v>255</v>
      </c>
      <c r="L19" s="544" t="s">
        <v>256</v>
      </c>
      <c r="M19" s="7">
        <f>SUMIFS(Sheet1!$N$2:$N$180,Sheet1!$Q$2:$Q$180,$K$19,Sheet1!$P$2:$P$180,L19)</f>
        <v>220</v>
      </c>
      <c r="N19" s="7">
        <f>M19/Sheet1!$T$9*Sheet1!$T$10</f>
        <v>10.096462680002643</v>
      </c>
      <c r="O19" s="484">
        <f>M19/Sheet1!$T$9*Sheet1!$T$11</f>
        <v>4.8671395583309981E-3</v>
      </c>
      <c r="P19" s="1010">
        <f>SUM(O19:O23)</f>
        <v>1.7831429472794473E-2</v>
      </c>
      <c r="Q19" s="1004"/>
    </row>
    <row r="20" spans="1:17">
      <c r="A20" s="1003"/>
      <c r="B20" s="1008"/>
      <c r="C20" s="544" t="s">
        <v>257</v>
      </c>
      <c r="D20" s="7">
        <f>SUMIFS(Sheet1!$C$2:$C$180,Sheet1!$F$2:$F$180,B19,Sheet1!$E$2:$E$180,C20)</f>
        <v>521</v>
      </c>
      <c r="E20" s="7">
        <f>D20/Sheet1!$I$9*Sheet1!$I$10</f>
        <v>23.773094832221918</v>
      </c>
      <c r="F20" s="484">
        <f>D20/Sheet1!$I$9*Sheet1!$I$11</f>
        <v>1.1263384393535933E-2</v>
      </c>
      <c r="G20" s="1013"/>
      <c r="H20" s="1004"/>
      <c r="J20" s="1003"/>
      <c r="K20" s="1008"/>
      <c r="L20" s="544" t="s">
        <v>257</v>
      </c>
      <c r="M20" s="7">
        <f>SUMIFS(Sheet1!$N$2:$N$180,Sheet1!$Q$2:$Q$180,$K$19,Sheet1!$P$2:$P$180,L20)</f>
        <v>521</v>
      </c>
      <c r="N20" s="7">
        <f>M20/Sheet1!$T$9*Sheet1!$T$10</f>
        <v>23.910259346733532</v>
      </c>
      <c r="O20" s="484">
        <f>M20/Sheet1!$T$9*Sheet1!$T$11</f>
        <v>1.1526271408592954E-2</v>
      </c>
      <c r="P20" s="1013"/>
      <c r="Q20" s="1004"/>
    </row>
    <row r="21" spans="1:17">
      <c r="A21" s="1003"/>
      <c r="B21" s="1008"/>
      <c r="C21" s="544" t="s">
        <v>258</v>
      </c>
      <c r="D21" s="7">
        <f>SUMIFS(Sheet1!$C$2:$C$180,Sheet1!$F$2:$F$180,B19,Sheet1!$E$2:$E$180,C21)</f>
        <v>65</v>
      </c>
      <c r="E21" s="7">
        <f>D21/Sheet1!$I$9*Sheet1!$I$10</f>
        <v>2.9659331364576293</v>
      </c>
      <c r="F21" s="484">
        <f>D21/Sheet1!$I$9*Sheet1!$I$11</f>
        <v>1.4052207016887442E-3</v>
      </c>
      <c r="G21" s="1013"/>
      <c r="H21" s="1004"/>
      <c r="J21" s="1003"/>
      <c r="K21" s="1008"/>
      <c r="L21" s="544" t="s">
        <v>258</v>
      </c>
      <c r="M21" s="7">
        <f>SUMIFS(Sheet1!$N$2:$N$180,Sheet1!$Q$2:$Q$180,$K$19,Sheet1!$P$2:$P$180,L21)</f>
        <v>65</v>
      </c>
      <c r="N21" s="7">
        <f>M21/Sheet1!$T$9*Sheet1!$T$10</f>
        <v>2.9830457918189626</v>
      </c>
      <c r="O21" s="484">
        <f>M21/Sheet1!$T$9*Sheet1!$T$11</f>
        <v>1.438018505870522E-3</v>
      </c>
      <c r="P21" s="1013"/>
      <c r="Q21" s="1004"/>
    </row>
    <row r="22" spans="1:17">
      <c r="A22" s="1003"/>
      <c r="B22" s="1008"/>
      <c r="C22" s="544"/>
      <c r="D22" s="7">
        <f>SUMIFS(Sheet1!$C$2:$C$180,Sheet1!$F$2:$F$180,B19,Sheet1!$E$2:$E$180,C22)</f>
        <v>0</v>
      </c>
      <c r="E22" s="7">
        <f>D22/Sheet1!$I$9*Sheet1!$I$10</f>
        <v>0</v>
      </c>
      <c r="F22" s="484">
        <f>D22/Sheet1!$I$9*Sheet1!$I$11</f>
        <v>0</v>
      </c>
      <c r="G22" s="1013"/>
      <c r="H22" s="1004"/>
      <c r="J22" s="1003"/>
      <c r="K22" s="1008"/>
      <c r="L22" s="544"/>
      <c r="M22" s="7">
        <f>SUMIFS(Sheet1!$N$2:$N$180,Sheet1!$Q$2:$Q$180,$K$19,Sheet1!$P$2:$P$180,L22)</f>
        <v>0</v>
      </c>
      <c r="N22" s="7">
        <f>M22/Sheet1!$T$9*Sheet1!$T$10</f>
        <v>0</v>
      </c>
      <c r="O22" s="484">
        <f>M22/Sheet1!$T$9*Sheet1!$T$11</f>
        <v>0</v>
      </c>
      <c r="P22" s="1013"/>
      <c r="Q22" s="1004"/>
    </row>
    <row r="23" spans="1:17">
      <c r="A23" s="1003"/>
      <c r="B23" s="1009"/>
      <c r="C23" s="544"/>
      <c r="D23" s="7">
        <f>SUMIFS(Sheet1!$C$2:$C$180,Sheet1!$F$2:$F$180,B19,Sheet1!$E$2:$E$180,C23)</f>
        <v>0</v>
      </c>
      <c r="E23" s="7">
        <f>D23/Sheet1!$I$9*Sheet1!$I$10</f>
        <v>0</v>
      </c>
      <c r="F23" s="484">
        <f>D23/Sheet1!$I$9*Sheet1!$I$11</f>
        <v>0</v>
      </c>
      <c r="G23" s="1011"/>
      <c r="H23" s="1004"/>
      <c r="J23" s="1003"/>
      <c r="K23" s="1009"/>
      <c r="L23" s="544"/>
      <c r="M23" s="7">
        <f>SUMIFS(Sheet1!$N$2:$N$180,Sheet1!$Q$2:$Q$180,$K$19,Sheet1!$P$2:$P$180,L23)</f>
        <v>0</v>
      </c>
      <c r="N23" s="7">
        <f>M23/Sheet1!$T$9*Sheet1!$T$10</f>
        <v>0</v>
      </c>
      <c r="O23" s="484">
        <f>M23/Sheet1!$T$9*Sheet1!$T$11</f>
        <v>0</v>
      </c>
      <c r="P23" s="1011"/>
      <c r="Q23" s="1004"/>
    </row>
    <row r="24" spans="1:17" ht="25.5">
      <c r="A24" s="999" t="s">
        <v>260</v>
      </c>
      <c r="B24" s="1005" t="s">
        <v>261</v>
      </c>
      <c r="C24" s="546" t="s">
        <v>735</v>
      </c>
      <c r="D24" s="7">
        <f>SUMIFS(Sheet1!$C$2:$C$180,Sheet1!$F$2:$F$180,B24,Sheet1!$E$2:$E$180,C24)</f>
        <v>40</v>
      </c>
      <c r="E24" s="7">
        <f>D24/Sheet1!$I$9*Sheet1!$I$10</f>
        <v>1.8251896224354642</v>
      </c>
      <c r="F24" s="484">
        <f>D24/Sheet1!$I$9*Sheet1!$I$11</f>
        <v>8.6475120103922712E-4</v>
      </c>
      <c r="G24" s="1006">
        <f>SUM(F24:F30)</f>
        <v>8.6475120103922712E-4</v>
      </c>
      <c r="H24" s="1004">
        <f>SUM(G24:G37)</f>
        <v>1.1890329014289372E-3</v>
      </c>
      <c r="J24" s="999" t="s">
        <v>260</v>
      </c>
      <c r="K24" s="1005" t="s">
        <v>261</v>
      </c>
      <c r="L24" s="546" t="s">
        <v>735</v>
      </c>
      <c r="M24" s="7">
        <f>SUMIFS(Sheet1!$N$2:$N$180,Sheet1!$Q$2:$Q$180,$K$24,Sheet1!$P$2:$P$180,L24)</f>
        <v>40</v>
      </c>
      <c r="N24" s="7">
        <f>M24/Sheet1!$T$9*Sheet1!$T$10</f>
        <v>1.835720487273208</v>
      </c>
      <c r="O24" s="484">
        <f>M24/Sheet1!$T$9*Sheet1!$T$11</f>
        <v>8.8493446515109059E-4</v>
      </c>
      <c r="P24" s="1006">
        <f>SUM(O24:O30)</f>
        <v>8.8493446515109059E-4</v>
      </c>
      <c r="Q24" s="1004">
        <f>SUM(P24:P37)</f>
        <v>1.2167848895827495E-3</v>
      </c>
    </row>
    <row r="25" spans="1:17">
      <c r="A25" s="999"/>
      <c r="B25" s="1005"/>
      <c r="C25" s="546"/>
      <c r="D25" s="7">
        <f>SUMIFS(Sheet1!$C$2:$C$180,Sheet1!$F$2:$F$180,B24,Sheet1!$E$2:$E$180,C25)</f>
        <v>0</v>
      </c>
      <c r="E25" s="7">
        <f>D25/Sheet1!$I$9*Sheet1!$I$10</f>
        <v>0</v>
      </c>
      <c r="F25" s="484">
        <f>D25/Sheet1!$I$9*Sheet1!$I$11</f>
        <v>0</v>
      </c>
      <c r="G25" s="1006"/>
      <c r="H25" s="1004"/>
      <c r="J25" s="999"/>
      <c r="K25" s="1005"/>
      <c r="L25" s="546"/>
      <c r="M25" s="7">
        <f>SUMIFS(Sheet1!$N$2:$N$180,Sheet1!$Q$2:$Q$180,$K$24,Sheet1!$P$2:$P$180,L25)</f>
        <v>0</v>
      </c>
      <c r="N25" s="7">
        <f>M25/Sheet1!$T$9*Sheet1!$T$10</f>
        <v>0</v>
      </c>
      <c r="O25" s="484">
        <f>M25/Sheet1!$T$9*Sheet1!$T$11</f>
        <v>0</v>
      </c>
      <c r="P25" s="1006"/>
      <c r="Q25" s="1004"/>
    </row>
    <row r="26" spans="1:17">
      <c r="A26" s="999"/>
      <c r="B26" s="1005"/>
      <c r="C26" s="572"/>
      <c r="D26" s="7">
        <f>SUMIFS(Sheet1!$C$2:$C$180,Sheet1!$F$2:$F$180,B24,Sheet1!$E$2:$E$180,C26)</f>
        <v>0</v>
      </c>
      <c r="E26" s="7">
        <f>D26/Sheet1!$I$9*Sheet1!$I$10</f>
        <v>0</v>
      </c>
      <c r="F26" s="484">
        <f>D26/Sheet1!$I$9*Sheet1!$I$11</f>
        <v>0</v>
      </c>
      <c r="G26" s="1006"/>
      <c r="H26" s="1004"/>
      <c r="J26" s="999"/>
      <c r="K26" s="1005"/>
      <c r="L26" s="572"/>
      <c r="M26" s="7">
        <f>SUMIFS(Sheet1!$N$2:$N$180,Sheet1!$Q$2:$Q$180,$K$24,Sheet1!$P$2:$P$180,L26)</f>
        <v>0</v>
      </c>
      <c r="N26" s="7">
        <f>M26/Sheet1!$T$9*Sheet1!$T$10</f>
        <v>0</v>
      </c>
      <c r="O26" s="484">
        <f>M26/Sheet1!$T$9*Sheet1!$T$11</f>
        <v>0</v>
      </c>
      <c r="P26" s="1006"/>
      <c r="Q26" s="1004"/>
    </row>
    <row r="27" spans="1:17">
      <c r="A27" s="999"/>
      <c r="B27" s="1005"/>
      <c r="D27" s="7">
        <f>SUMIFS(Sheet1!$C$2:$C$180,Sheet1!$F$2:$F$180,B24,Sheet1!$E$2:$E$180,C27)</f>
        <v>0</v>
      </c>
      <c r="E27" s="7">
        <f>D27/Sheet1!$I$9*Sheet1!$I$10</f>
        <v>0</v>
      </c>
      <c r="F27" s="484">
        <f>D27/Sheet1!$I$9*Sheet1!$I$11</f>
        <v>0</v>
      </c>
      <c r="G27" s="1006"/>
      <c r="H27" s="1004"/>
      <c r="J27" s="999"/>
      <c r="K27" s="1005"/>
      <c r="M27" s="7">
        <f>SUMIFS(Sheet1!$N$2:$N$180,Sheet1!$Q$2:$Q$180,$K$24,Sheet1!$P$2:$P$180,L27)</f>
        <v>0</v>
      </c>
      <c r="N27" s="7">
        <f>M27/Sheet1!$T$9*Sheet1!$T$10</f>
        <v>0</v>
      </c>
      <c r="O27" s="484">
        <f>M27/Sheet1!$T$9*Sheet1!$T$11</f>
        <v>0</v>
      </c>
      <c r="P27" s="1006"/>
      <c r="Q27" s="1004"/>
    </row>
    <row r="28" spans="1:17">
      <c r="A28" s="999"/>
      <c r="B28" s="1005"/>
      <c r="C28" s="544"/>
      <c r="D28" s="7">
        <f>SUMIFS(Sheet1!$C$2:$C$180,Sheet1!$F$2:$F$180,B24,Sheet1!$E$2:$E$180,C28)</f>
        <v>0</v>
      </c>
      <c r="E28" s="7">
        <f>D28/Sheet1!$I$9*Sheet1!$I$10</f>
        <v>0</v>
      </c>
      <c r="F28" s="484">
        <f>D28/Sheet1!$I$9*Sheet1!$I$11</f>
        <v>0</v>
      </c>
      <c r="G28" s="1006"/>
      <c r="H28" s="1004"/>
      <c r="J28" s="999"/>
      <c r="K28" s="1005"/>
      <c r="L28" s="544"/>
      <c r="M28" s="7">
        <f>SUMIFS(Sheet1!$N$2:$N$180,Sheet1!$Q$2:$Q$180,$K$24,Sheet1!$P$2:$P$180,L28)</f>
        <v>0</v>
      </c>
      <c r="N28" s="7">
        <f>M28/Sheet1!$T$9*Sheet1!$T$10</f>
        <v>0</v>
      </c>
      <c r="O28" s="484">
        <f>M28/Sheet1!$T$9*Sheet1!$T$11</f>
        <v>0</v>
      </c>
      <c r="P28" s="1006"/>
      <c r="Q28" s="1004"/>
    </row>
    <row r="29" spans="1:17">
      <c r="A29" s="999"/>
      <c r="B29" s="1005"/>
      <c r="C29" s="544"/>
      <c r="D29" s="7">
        <f>SUMIFS(Sheet1!$C$2:$C$180,Sheet1!$F$2:$F$180,B24,Sheet1!$E$2:$E$180,C29)</f>
        <v>0</v>
      </c>
      <c r="E29" s="7">
        <f>D29/Sheet1!$I$9*Sheet1!$I$10</f>
        <v>0</v>
      </c>
      <c r="F29" s="484">
        <f>D29/Sheet1!$I$9*Sheet1!$I$11</f>
        <v>0</v>
      </c>
      <c r="G29" s="1006"/>
      <c r="H29" s="1004"/>
      <c r="J29" s="999"/>
      <c r="K29" s="1005"/>
      <c r="L29" s="544"/>
      <c r="M29" s="7">
        <f>SUMIFS(Sheet1!$N$2:$N$180,Sheet1!$Q$2:$Q$180,$K$24,Sheet1!$P$2:$P$180,L29)</f>
        <v>0</v>
      </c>
      <c r="N29" s="7">
        <f>M29/Sheet1!$T$9*Sheet1!$T$10</f>
        <v>0</v>
      </c>
      <c r="O29" s="484">
        <f>M29/Sheet1!$T$9*Sheet1!$T$11</f>
        <v>0</v>
      </c>
      <c r="P29" s="1006"/>
      <c r="Q29" s="1004"/>
    </row>
    <row r="30" spans="1:17">
      <c r="A30" s="999"/>
      <c r="B30" s="1005"/>
      <c r="C30" s="544"/>
      <c r="D30" s="7">
        <f>SUMIFS(Sheet1!$C$2:$C$180,Sheet1!$F$2:$F$180,B24,Sheet1!$E$2:$E$180,C30)</f>
        <v>0</v>
      </c>
      <c r="E30" s="7">
        <f>D30/Sheet1!$I$9*Sheet1!$I$10</f>
        <v>0</v>
      </c>
      <c r="F30" s="484">
        <f>D30/Sheet1!$I$9*Sheet1!$I$11</f>
        <v>0</v>
      </c>
      <c r="G30" s="1006"/>
      <c r="H30" s="1004"/>
      <c r="J30" s="999"/>
      <c r="K30" s="1005"/>
      <c r="L30" s="544"/>
      <c r="M30" s="7">
        <f>SUMIFS(Sheet1!$N$2:$N$180,Sheet1!$Q$2:$Q$180,$K$24,Sheet1!$P$2:$P$180,L30)</f>
        <v>0</v>
      </c>
      <c r="N30" s="7">
        <f>M30/Sheet1!$T$9*Sheet1!$T$10</f>
        <v>0</v>
      </c>
      <c r="O30" s="484">
        <f>M30/Sheet1!$T$9*Sheet1!$T$11</f>
        <v>0</v>
      </c>
      <c r="P30" s="1006"/>
      <c r="Q30" s="1004"/>
    </row>
    <row r="31" spans="1:17">
      <c r="A31" s="999"/>
      <c r="B31" s="1007" t="s">
        <v>262</v>
      </c>
      <c r="D31" s="7">
        <f>SUMIFS(Sheet1!$C$2:$C$180,Sheet1!$F$2:$F$180,B31,Sheet1!$E$2:$E$180,C31)</f>
        <v>0</v>
      </c>
      <c r="E31" s="7">
        <f>D31/Sheet1!$I$9*Sheet1!$I$10</f>
        <v>0</v>
      </c>
      <c r="F31" s="484">
        <f>D31/Sheet1!$I$9*Sheet1!$I$11</f>
        <v>0</v>
      </c>
      <c r="G31" s="1010">
        <f>SUM(F31:F32)</f>
        <v>0</v>
      </c>
      <c r="H31" s="1004"/>
      <c r="J31" s="999"/>
      <c r="K31" s="1007" t="s">
        <v>262</v>
      </c>
      <c r="M31" s="7">
        <f>SUMIFS(Sheet1!$N$2:$N$180,Sheet1!$Q$2:$Q$180,$K$31,Sheet1!$P$2:$P$180,L31)</f>
        <v>0</v>
      </c>
      <c r="N31" s="7">
        <f>M31/Sheet1!$T$9*Sheet1!$T$10</f>
        <v>0</v>
      </c>
      <c r="O31" s="484">
        <f>M31/Sheet1!$T$9*Sheet1!$T$11</f>
        <v>0</v>
      </c>
      <c r="P31" s="1010">
        <f>SUM(O31:O32)</f>
        <v>0</v>
      </c>
      <c r="Q31" s="1004"/>
    </row>
    <row r="32" spans="1:17">
      <c r="A32" s="999"/>
      <c r="B32" s="1009"/>
      <c r="C32" s="544"/>
      <c r="D32" s="7">
        <f>SUMIFS(Sheet1!$C$2:$C$180,Sheet1!$F$2:$F$180,B31,Sheet1!$E$2:$E$180,C32)</f>
        <v>0</v>
      </c>
      <c r="E32" s="7">
        <f>D32/Sheet1!$I$9*Sheet1!$I$10</f>
        <v>0</v>
      </c>
      <c r="F32" s="484">
        <f>D32/Sheet1!$I$9*Sheet1!$I$11</f>
        <v>0</v>
      </c>
      <c r="G32" s="1011"/>
      <c r="H32" s="1004"/>
      <c r="J32" s="999"/>
      <c r="K32" s="1009"/>
      <c r="L32" s="544"/>
      <c r="M32" s="7">
        <f>SUMIFS(Sheet1!$N$2:$N$180,Sheet1!$Q$2:$Q$180,$K$31,Sheet1!$P$2:$P$180,L32)</f>
        <v>0</v>
      </c>
      <c r="N32" s="7">
        <f>M32/Sheet1!$T$9*Sheet1!$T$10</f>
        <v>0</v>
      </c>
      <c r="O32" s="484">
        <f>M32/Sheet1!$T$9*Sheet1!$T$11</f>
        <v>0</v>
      </c>
      <c r="P32" s="1011"/>
      <c r="Q32" s="1004"/>
    </row>
    <row r="33" spans="1:17" ht="25.5">
      <c r="A33" s="999"/>
      <c r="B33" s="1005" t="s">
        <v>263</v>
      </c>
      <c r="C33" s="544" t="s">
        <v>724</v>
      </c>
      <c r="D33" s="7">
        <f>SUMIFS(Sheet1!$C$2:$C$180,Sheet1!$F$2:$F$180,B33,Sheet1!$E$2:$E$180,C33)</f>
        <v>15</v>
      </c>
      <c r="E33" s="7">
        <f>D33/Sheet1!$I$9*Sheet1!$I$10</f>
        <v>0.684446108413299</v>
      </c>
      <c r="F33" s="484">
        <f>D33/Sheet1!$I$9*Sheet1!$I$11</f>
        <v>3.2428170038971014E-4</v>
      </c>
      <c r="G33" s="1006">
        <f>SUM(F33:F35)</f>
        <v>3.2428170038971014E-4</v>
      </c>
      <c r="H33" s="1004"/>
      <c r="J33" s="999"/>
      <c r="K33" s="1005" t="s">
        <v>263</v>
      </c>
      <c r="L33" s="544" t="s">
        <v>724</v>
      </c>
      <c r="M33" s="7">
        <f>SUMIFS(Sheet1!$N$2:$N$180,Sheet1!$Q$2:$Q$180,$K$33,Sheet1!$P$2:$P$180,L33)</f>
        <v>15</v>
      </c>
      <c r="N33" s="7">
        <f>M33/Sheet1!$T$9*Sheet1!$T$10</f>
        <v>0.68839518272745304</v>
      </c>
      <c r="O33" s="484">
        <f>M33/Sheet1!$T$9*Sheet1!$T$11</f>
        <v>3.31850424431659E-4</v>
      </c>
      <c r="P33" s="1006">
        <f>SUM(O33:O35)</f>
        <v>3.31850424431659E-4</v>
      </c>
      <c r="Q33" s="1004"/>
    </row>
    <row r="34" spans="1:17">
      <c r="A34" s="999"/>
      <c r="B34" s="1005"/>
      <c r="C34" s="544"/>
      <c r="D34" s="7">
        <f>SUMIFS(Sheet1!$C$2:$C$180,Sheet1!$F$2:$F$180,B33,Sheet1!$E$2:$E$180,C34)</f>
        <v>0</v>
      </c>
      <c r="E34" s="7">
        <f>D34/Sheet1!$I$9*Sheet1!$I$10</f>
        <v>0</v>
      </c>
      <c r="F34" s="484">
        <f>D34/Sheet1!$I$9*Sheet1!$I$11</f>
        <v>0</v>
      </c>
      <c r="G34" s="1006"/>
      <c r="H34" s="1004"/>
      <c r="J34" s="999"/>
      <c r="K34" s="1005"/>
      <c r="L34" s="544"/>
      <c r="M34" s="7">
        <f>SUMIFS(Sheet1!$N$2:$N$180,Sheet1!$Q$2:$Q$180,$K$33,Sheet1!$P$2:$P$180,L34)</f>
        <v>0</v>
      </c>
      <c r="N34" s="7">
        <f>M34/Sheet1!$T$9*Sheet1!$T$10</f>
        <v>0</v>
      </c>
      <c r="O34" s="484">
        <f>M34/Sheet1!$T$9*Sheet1!$T$11</f>
        <v>0</v>
      </c>
      <c r="P34" s="1006"/>
      <c r="Q34" s="1004"/>
    </row>
    <row r="35" spans="1:17">
      <c r="A35" s="999"/>
      <c r="B35" s="1005"/>
      <c r="C35" s="544"/>
      <c r="D35" s="7">
        <f>SUMIFS(Sheet1!$C$2:$C$180,Sheet1!$F$2:$F$180,B33,Sheet1!$E$2:$E$180,C35)</f>
        <v>0</v>
      </c>
      <c r="E35" s="7">
        <f>D35/Sheet1!$I$9*Sheet1!$I$10</f>
        <v>0</v>
      </c>
      <c r="F35" s="484">
        <f>D35/Sheet1!$I$9*Sheet1!$I$11</f>
        <v>0</v>
      </c>
      <c r="G35" s="1006"/>
      <c r="H35" s="1004"/>
      <c r="J35" s="999"/>
      <c r="K35" s="1005"/>
      <c r="L35" s="544"/>
      <c r="M35" s="7">
        <f>SUMIFS(Sheet1!$N$2:$N$180,Sheet1!$Q$2:$Q$180,$K$33,Sheet1!$P$2:$P$180,L35)</f>
        <v>0</v>
      </c>
      <c r="N35" s="7">
        <f>M35/Sheet1!$T$9*Sheet1!$T$10</f>
        <v>0</v>
      </c>
      <c r="O35" s="484">
        <f>M35/Sheet1!$T$9*Sheet1!$T$11</f>
        <v>0</v>
      </c>
      <c r="P35" s="1006"/>
      <c r="Q35" s="1004"/>
    </row>
    <row r="36" spans="1:17">
      <c r="A36" s="999"/>
      <c r="B36" s="1007" t="s">
        <v>264</v>
      </c>
      <c r="C36" s="544"/>
      <c r="D36" s="7">
        <f>SUMIFS(Sheet1!$C$2:$C$180,Sheet1!$F$2:$F$180,B36,Sheet1!$E$2:$E$180,C36)</f>
        <v>0</v>
      </c>
      <c r="E36" s="7">
        <f>D36/Sheet1!$I$9*Sheet1!$I$10</f>
        <v>0</v>
      </c>
      <c r="F36" s="484">
        <f>D36/Sheet1!$I$9*Sheet1!$I$11</f>
        <v>0</v>
      </c>
      <c r="G36" s="1010">
        <f>SUM(F36:F37)</f>
        <v>0</v>
      </c>
      <c r="H36" s="1004"/>
      <c r="J36" s="999"/>
      <c r="K36" s="1007" t="s">
        <v>264</v>
      </c>
      <c r="L36" s="544"/>
      <c r="M36" s="7">
        <f>SUMIFS(Sheet1!$N$2:$N$180,Sheet1!$Q$2:$Q$180,$K$36,Sheet1!$P$2:$P$180,L36)</f>
        <v>0</v>
      </c>
      <c r="N36" s="7">
        <f>M36/Sheet1!$T$9*Sheet1!$T$10</f>
        <v>0</v>
      </c>
      <c r="O36" s="484">
        <f>M36/Sheet1!$T$9*Sheet1!$T$11</f>
        <v>0</v>
      </c>
      <c r="P36" s="1010">
        <f>SUM(O36:O37)</f>
        <v>0</v>
      </c>
      <c r="Q36" s="1004"/>
    </row>
    <row r="37" spans="1:17">
      <c r="A37" s="999"/>
      <c r="B37" s="1009"/>
      <c r="C37" s="544"/>
      <c r="D37" s="7">
        <f>SUMIFS(Sheet1!$C$2:$C$180,Sheet1!$F$2:$F$180,B36,Sheet1!$E$2:$E$180,C37)</f>
        <v>0</v>
      </c>
      <c r="E37" s="7">
        <f>D37/Sheet1!$I$9*Sheet1!$I$10</f>
        <v>0</v>
      </c>
      <c r="F37" s="484">
        <f>D37/Sheet1!$I$9*Sheet1!$I$11</f>
        <v>0</v>
      </c>
      <c r="G37" s="1011"/>
      <c r="H37" s="1004"/>
      <c r="J37" s="999"/>
      <c r="K37" s="1009"/>
      <c r="L37" s="544"/>
      <c r="M37" s="7">
        <f>SUMIFS(Sheet1!$N$2:$N$180,Sheet1!$Q$2:$Q$180,$K$36,Sheet1!$P$2:$P$180,L37)</f>
        <v>0</v>
      </c>
      <c r="N37" s="7">
        <f>M37/Sheet1!$T$9*Sheet1!$T$10</f>
        <v>0</v>
      </c>
      <c r="O37" s="484">
        <f>M37/Sheet1!$T$9*Sheet1!$T$11</f>
        <v>0</v>
      </c>
      <c r="P37" s="1011"/>
      <c r="Q37" s="1004"/>
    </row>
    <row r="38" spans="1:17">
      <c r="A38" s="999" t="s">
        <v>424</v>
      </c>
      <c r="B38" s="1007" t="s">
        <v>265</v>
      </c>
      <c r="C38" s="544"/>
      <c r="D38" s="7">
        <f>SUMIFS(Sheet1!$C$2:$C$180,Sheet1!$F$2:$F$180,B38,Sheet1!$E$2:$E$180,C38)</f>
        <v>0</v>
      </c>
      <c r="E38" s="7">
        <f>D38/Sheet1!$I$9*Sheet1!$I$10</f>
        <v>0</v>
      </c>
      <c r="F38" s="484">
        <f>D38/Sheet1!$I$9*Sheet1!$I$11</f>
        <v>0</v>
      </c>
      <c r="G38" s="1010">
        <f>SUM(F38:F39)</f>
        <v>0</v>
      </c>
      <c r="H38" s="1015">
        <f>SUM(G38:G39)</f>
        <v>0</v>
      </c>
      <c r="J38" s="999" t="s">
        <v>424</v>
      </c>
      <c r="K38" s="1007" t="s">
        <v>265</v>
      </c>
      <c r="L38" s="544"/>
      <c r="M38" s="7">
        <f>SUMIFS(Sheet1!$N$2:$N$180,Sheet1!$Q$2:$Q$180,K38,Sheet1!$P$2:$P$180,L38)</f>
        <v>0</v>
      </c>
      <c r="N38" s="7">
        <f>M38/Sheet1!$T$9*Sheet1!$T$10</f>
        <v>0</v>
      </c>
      <c r="O38" s="484">
        <f>M38/Sheet1!$T$9*Sheet1!$T$11</f>
        <v>0</v>
      </c>
      <c r="P38" s="1010">
        <f>SUM(O38:O39)</f>
        <v>0</v>
      </c>
      <c r="Q38" s="1015">
        <f>SUM(P38:P39)</f>
        <v>0</v>
      </c>
    </row>
    <row r="39" spans="1:17">
      <c r="A39" s="999"/>
      <c r="B39" s="1009"/>
      <c r="C39" s="546"/>
      <c r="D39" s="7">
        <f>SUMIFS(Sheet1!$C$2:$C$180,Sheet1!$F$2:$F$180,B38,Sheet1!$E$2:$E$180,C39)</f>
        <v>0</v>
      </c>
      <c r="E39" s="7">
        <f>D39/Sheet1!$I$9*Sheet1!$I$10</f>
        <v>0</v>
      </c>
      <c r="F39" s="484">
        <f>D39/Sheet1!$I$9*Sheet1!$I$11</f>
        <v>0</v>
      </c>
      <c r="G39" s="1011"/>
      <c r="H39" s="1016"/>
      <c r="J39" s="999"/>
      <c r="K39" s="1009"/>
      <c r="L39" s="546"/>
      <c r="M39" s="7">
        <f>SUMIFS(Sheet1!$N$2:$N$180,Sheet1!$Q$2:$Q$180,K38,Sheet1!$P$2:$P$180,L39)</f>
        <v>0</v>
      </c>
      <c r="N39" s="7">
        <f>M39/Sheet1!$T$9*Sheet1!$T$10</f>
        <v>0</v>
      </c>
      <c r="O39" s="484">
        <f>M39/Sheet1!$T$9*Sheet1!$T$11</f>
        <v>0</v>
      </c>
      <c r="P39" s="1011"/>
      <c r="Q39" s="1016"/>
    </row>
    <row r="40" spans="1:17" ht="15">
      <c r="A40" s="473"/>
      <c r="B40" s="1014" t="s">
        <v>2</v>
      </c>
      <c r="C40" s="1014"/>
      <c r="D40" s="316">
        <f>SUM(D4:D39)</f>
        <v>2018</v>
      </c>
      <c r="E40" s="316">
        <f>SUM(E4:E39)</f>
        <v>148.45789096102604</v>
      </c>
      <c r="F40" s="474">
        <f>SUM(F4:F39)</f>
        <v>7.0337425730589889E-2</v>
      </c>
      <c r="G40" s="474">
        <f>SUM(G4:G39)</f>
        <v>7.0337425730589889E-2</v>
      </c>
      <c r="H40" s="474">
        <f>SUM(H4:H39)</f>
        <v>7.0337425730589875E-2</v>
      </c>
      <c r="J40" s="473"/>
      <c r="K40" s="1014" t="s">
        <v>2</v>
      </c>
      <c r="L40" s="1014"/>
      <c r="M40" s="316">
        <f>SUM(M4:M39)</f>
        <v>1218</v>
      </c>
      <c r="N40" s="316">
        <f>SUM(N4:N39)</f>
        <v>112.21904936102602</v>
      </c>
      <c r="O40" s="474">
        <f>SUM(O4:O39)</f>
        <v>5.4096745727109027E-2</v>
      </c>
      <c r="P40" s="474">
        <f>SUM(P4:P39)</f>
        <v>5.409674572710902E-2</v>
      </c>
      <c r="Q40" s="474">
        <f>SUM(Q4:Q39)</f>
        <v>5.4096745727109014E-2</v>
      </c>
    </row>
    <row r="41" spans="1:17" ht="15">
      <c r="A41" s="473"/>
      <c r="B41" s="1014" t="s">
        <v>1</v>
      </c>
      <c r="C41" s="1014"/>
      <c r="D41" s="1014"/>
      <c r="E41" s="1014"/>
      <c r="F41" s="475">
        <f>+Efficiency1!X146</f>
        <v>0.92966257426941035</v>
      </c>
      <c r="G41" s="475">
        <f>+F41</f>
        <v>0.92966257426941035</v>
      </c>
      <c r="H41" s="475">
        <f>+G41</f>
        <v>0.92966257426941035</v>
      </c>
      <c r="J41" s="473"/>
      <c r="K41" s="1014" t="s">
        <v>1</v>
      </c>
      <c r="L41" s="1014"/>
      <c r="M41" s="1014"/>
      <c r="N41" s="1014"/>
      <c r="O41" s="475">
        <f>+Efficiency2!X146</f>
        <v>0.94590325427289101</v>
      </c>
      <c r="P41" s="475">
        <f>+O41</f>
        <v>0.94590325427289101</v>
      </c>
      <c r="Q41" s="475">
        <f>+P41</f>
        <v>0.94590325427289101</v>
      </c>
    </row>
    <row r="42" spans="1:17" ht="15">
      <c r="A42" s="473"/>
      <c r="B42" s="1014" t="s">
        <v>57</v>
      </c>
      <c r="C42" s="1014"/>
      <c r="D42" s="1014"/>
      <c r="E42" s="1014"/>
      <c r="F42" s="476">
        <f>SUM(F40:F41)</f>
        <v>1.0000000000000002</v>
      </c>
      <c r="G42" s="476">
        <f>SUM(G40:G41)</f>
        <v>1.0000000000000002</v>
      </c>
      <c r="H42" s="477">
        <f>SUM(H40:H41)</f>
        <v>1.0000000000000002</v>
      </c>
      <c r="J42" s="473"/>
      <c r="K42" s="1014" t="s">
        <v>57</v>
      </c>
      <c r="L42" s="1014"/>
      <c r="M42" s="1014"/>
      <c r="N42" s="1014"/>
      <c r="O42" s="476">
        <f>SUM(O40:O41)</f>
        <v>1</v>
      </c>
      <c r="P42" s="476">
        <f>SUM(P40:P41)</f>
        <v>1</v>
      </c>
      <c r="Q42" s="477">
        <f>SUM(Q40:Q41)</f>
        <v>1</v>
      </c>
    </row>
  </sheetData>
  <mergeCells count="66">
    <mergeCell ref="A2:A3"/>
    <mergeCell ref="B2:B3"/>
    <mergeCell ref="C2:C3"/>
    <mergeCell ref="B24:B30"/>
    <mergeCell ref="A4:A11"/>
    <mergeCell ref="Q14:Q23"/>
    <mergeCell ref="K16:K17"/>
    <mergeCell ref="P16:P17"/>
    <mergeCell ref="K19:K23"/>
    <mergeCell ref="P19:P23"/>
    <mergeCell ref="K2:K3"/>
    <mergeCell ref="L2:L3"/>
    <mergeCell ref="J4:J11"/>
    <mergeCell ref="Q4:Q11"/>
    <mergeCell ref="K6:K7"/>
    <mergeCell ref="K8:K9"/>
    <mergeCell ref="K10:K11"/>
    <mergeCell ref="J2:J3"/>
    <mergeCell ref="J12:J13"/>
    <mergeCell ref="J24:J37"/>
    <mergeCell ref="J38:J39"/>
    <mergeCell ref="Q38:Q39"/>
    <mergeCell ref="K40:L40"/>
    <mergeCell ref="K24:K30"/>
    <mergeCell ref="P24:P30"/>
    <mergeCell ref="Q24:Q37"/>
    <mergeCell ref="K31:K32"/>
    <mergeCell ref="P31:P32"/>
    <mergeCell ref="K33:K35"/>
    <mergeCell ref="P33:P35"/>
    <mergeCell ref="K36:K37"/>
    <mergeCell ref="P36:P37"/>
    <mergeCell ref="Q12:Q13"/>
    <mergeCell ref="J14:J23"/>
    <mergeCell ref="B42:E42"/>
    <mergeCell ref="K38:K39"/>
    <mergeCell ref="P38:P39"/>
    <mergeCell ref="B38:B39"/>
    <mergeCell ref="G38:G39"/>
    <mergeCell ref="H38:H39"/>
    <mergeCell ref="B40:C40"/>
    <mergeCell ref="B41:E41"/>
    <mergeCell ref="K41:N41"/>
    <mergeCell ref="K42:N42"/>
    <mergeCell ref="H4:H11"/>
    <mergeCell ref="B6:B7"/>
    <mergeCell ref="B8:B9"/>
    <mergeCell ref="B10:B11"/>
    <mergeCell ref="A24:A37"/>
    <mergeCell ref="B31:B32"/>
    <mergeCell ref="G19:G23"/>
    <mergeCell ref="A38:A39"/>
    <mergeCell ref="A12:A13"/>
    <mergeCell ref="H12:H13"/>
    <mergeCell ref="A14:A23"/>
    <mergeCell ref="H14:H23"/>
    <mergeCell ref="B16:B17"/>
    <mergeCell ref="G16:G17"/>
    <mergeCell ref="B19:B23"/>
    <mergeCell ref="G33:G35"/>
    <mergeCell ref="B36:B37"/>
    <mergeCell ref="G36:G37"/>
    <mergeCell ref="H24:H37"/>
    <mergeCell ref="G31:G32"/>
    <mergeCell ref="B33:B35"/>
    <mergeCell ref="G24:G30"/>
  </mergeCells>
  <conditionalFormatting sqref="D4:D39">
    <cfRule type="cellIs" dxfId="5" priority="5" operator="between">
      <formula>180</formula>
      <formula>360</formula>
    </cfRule>
    <cfRule type="cellIs" dxfId="4" priority="6" operator="greaterThan">
      <formula>360</formula>
    </cfRule>
  </conditionalFormatting>
  <conditionalFormatting sqref="M5:M39">
    <cfRule type="cellIs" dxfId="3" priority="3" operator="between">
      <formula>180</formula>
      <formula>360</formula>
    </cfRule>
    <cfRule type="cellIs" dxfId="2" priority="4" operator="greaterThan">
      <formula>360</formula>
    </cfRule>
  </conditionalFormatting>
  <conditionalFormatting sqref="M4:M39">
    <cfRule type="cellIs" dxfId="1" priority="1" operator="between">
      <formula>180</formula>
      <formula>360</formula>
    </cfRule>
    <cfRule type="cellIs" dxfId="0" priority="2" operator="greaterThan">
      <formula>360</formula>
    </cfRule>
  </conditionalFormatting>
  <pageMargins left="0.19685039370078741" right="0.19685039370078741" top="0.19685039370078741" bottom="0.19685039370078741" header="0.31496062992125984" footer="0.31496062992125984"/>
  <pageSetup paperSize="9" scale="34" fitToHeight="0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61"/>
  <sheetViews>
    <sheetView zoomScale="80" zoomScaleNormal="80" workbookViewId="0">
      <selection activeCell="A7" sqref="A7:B32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7.140625" style="158" customWidth="1"/>
    <col min="14" max="16384" width="9.140625" style="158"/>
  </cols>
  <sheetData>
    <row r="1" spans="1:16" ht="15.75">
      <c r="A1" s="157"/>
    </row>
    <row r="2" spans="1:16" ht="15.75">
      <c r="A2" s="157" t="s">
        <v>148</v>
      </c>
    </row>
    <row r="3" spans="1:16" ht="15">
      <c r="A3" s="159"/>
    </row>
    <row r="4" spans="1:16" ht="20.25">
      <c r="A4" s="160" t="s">
        <v>3</v>
      </c>
      <c r="B4" s="161"/>
      <c r="F4" s="162" t="s">
        <v>29</v>
      </c>
      <c r="G4" s="163">
        <v>30</v>
      </c>
      <c r="H4" s="163" t="str">
        <f>+'1'!H4</f>
        <v>.06.24</v>
      </c>
    </row>
    <row r="5" spans="1:16" ht="13.5" thickBot="1">
      <c r="C5" s="164"/>
      <c r="D5" s="164"/>
    </row>
    <row r="6" spans="1:16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190+275+255</f>
        <v>720</v>
      </c>
    </row>
    <row r="7" spans="1:16" ht="13.5" customHeight="1" thickBot="1">
      <c r="A7" s="1029" t="s">
        <v>434</v>
      </c>
      <c r="B7" s="224" t="s">
        <v>804</v>
      </c>
      <c r="C7" s="225">
        <v>15650</v>
      </c>
      <c r="D7" s="226">
        <v>60</v>
      </c>
      <c r="E7" s="227"/>
      <c r="F7" s="236"/>
      <c r="G7" s="237" t="s">
        <v>11</v>
      </c>
      <c r="H7" s="238" t="s">
        <v>277</v>
      </c>
      <c r="I7" s="1032" t="s">
        <v>816</v>
      </c>
      <c r="J7" s="223" t="str">
        <f>+'29'!J7</f>
        <v>T 14 VP OW</v>
      </c>
      <c r="K7" s="246"/>
      <c r="L7" s="250"/>
      <c r="M7" s="126">
        <f>+K7+'29'!M7+L7</f>
        <v>62499</v>
      </c>
    </row>
    <row r="8" spans="1:16" ht="13.5" thickBot="1">
      <c r="A8" s="1030"/>
      <c r="B8" s="224"/>
      <c r="C8" s="225"/>
      <c r="D8" s="226"/>
      <c r="E8" s="228"/>
      <c r="F8" s="239">
        <v>1</v>
      </c>
      <c r="G8" s="240" t="s">
        <v>11</v>
      </c>
      <c r="H8" s="238" t="s">
        <v>721</v>
      </c>
      <c r="I8" s="1033"/>
      <c r="J8" s="223" t="str">
        <f>+'29'!J8</f>
        <v>T 15 VP OW</v>
      </c>
      <c r="K8" s="247"/>
      <c r="L8" s="247"/>
      <c r="M8" s="126">
        <f>+K8+'29'!M8+L8</f>
        <v>37584</v>
      </c>
    </row>
    <row r="9" spans="1:16" ht="13.5" thickBot="1">
      <c r="A9" s="1030"/>
      <c r="B9" s="224"/>
      <c r="C9" s="225"/>
      <c r="D9" s="226"/>
      <c r="E9" s="229"/>
      <c r="F9" s="236">
        <v>2</v>
      </c>
      <c r="G9" s="240" t="s">
        <v>11</v>
      </c>
      <c r="H9" s="241" t="s">
        <v>785</v>
      </c>
      <c r="I9" s="1033"/>
      <c r="J9" s="223" t="str">
        <f>+'29'!J9</f>
        <v>T 12,5 VP OW</v>
      </c>
      <c r="K9" s="247"/>
      <c r="L9" s="247"/>
      <c r="M9" s="126">
        <f>+K9+'29'!M9+L9</f>
        <v>148332</v>
      </c>
      <c r="N9" s="158">
        <v>1470</v>
      </c>
      <c r="O9" s="158">
        <f>+N9-N9*0.2</f>
        <v>1176</v>
      </c>
      <c r="P9" s="158">
        <f>480-176</f>
        <v>304</v>
      </c>
    </row>
    <row r="10" spans="1:16" ht="13.5" thickBot="1">
      <c r="A10" s="1030"/>
      <c r="B10" s="224"/>
      <c r="C10" s="225"/>
      <c r="D10" s="226"/>
      <c r="E10" s="228" t="s">
        <v>506</v>
      </c>
      <c r="F10" s="236">
        <v>176</v>
      </c>
      <c r="G10" s="240" t="s">
        <v>19</v>
      </c>
      <c r="H10" s="241" t="s">
        <v>812</v>
      </c>
      <c r="I10" s="1033"/>
      <c r="J10" s="223" t="str">
        <f>+'29'!J10</f>
        <v>T 12 VP OW</v>
      </c>
      <c r="K10" s="247"/>
      <c r="L10" s="247"/>
      <c r="M10" s="126">
        <f>+K10+'29'!M10+L10</f>
        <v>25679</v>
      </c>
      <c r="N10" s="158">
        <v>1420</v>
      </c>
      <c r="O10" s="158">
        <f>+N10-N10*0.2</f>
        <v>1136</v>
      </c>
      <c r="P10" s="158">
        <v>480</v>
      </c>
    </row>
    <row r="11" spans="1:16" ht="13.5" thickBot="1">
      <c r="A11" s="1030"/>
      <c r="B11" s="224"/>
      <c r="C11" s="225"/>
      <c r="D11" s="226"/>
      <c r="E11" s="228"/>
      <c r="F11" s="236"/>
      <c r="G11" s="240"/>
      <c r="H11" s="241" t="s">
        <v>813</v>
      </c>
      <c r="I11" s="1033"/>
      <c r="J11" s="223" t="str">
        <f>+'29'!J11</f>
        <v>F 12 VP OW</v>
      </c>
      <c r="K11" s="247"/>
      <c r="L11" s="247"/>
      <c r="M11" s="126">
        <f>+K11+'29'!M11+L11</f>
        <v>172980</v>
      </c>
      <c r="N11" s="158">
        <v>1450</v>
      </c>
      <c r="O11" s="158">
        <f>+N11-N11*0.2</f>
        <v>1160</v>
      </c>
      <c r="P11" s="158">
        <v>480</v>
      </c>
    </row>
    <row r="12" spans="1:16" ht="13.5" thickBot="1">
      <c r="A12" s="1030"/>
      <c r="B12" s="224"/>
      <c r="C12" s="225"/>
      <c r="D12" s="226"/>
      <c r="E12" s="228"/>
      <c r="F12" s="236"/>
      <c r="G12" s="240"/>
      <c r="H12" s="241" t="s">
        <v>815</v>
      </c>
      <c r="I12" s="1033"/>
      <c r="J12" s="223" t="str">
        <f>+'29'!J12</f>
        <v>F 13 VP OW</v>
      </c>
      <c r="K12" s="247"/>
      <c r="L12" s="247"/>
      <c r="M12" s="126">
        <f>+K12+'29'!M12+L12</f>
        <v>245252</v>
      </c>
      <c r="P12" s="158">
        <f>SUM(P9:P11)</f>
        <v>1264</v>
      </c>
    </row>
    <row r="13" spans="1:16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+'29'!J13</f>
        <v>F 13,5 VP OW</v>
      </c>
      <c r="K13" s="247"/>
      <c r="L13" s="247"/>
      <c r="M13" s="126">
        <f>+K13+'29'!M13+L13</f>
        <v>21725</v>
      </c>
    </row>
    <row r="14" spans="1:16" ht="13.5" thickBot="1">
      <c r="A14" s="1031"/>
      <c r="B14" s="174" t="s">
        <v>2</v>
      </c>
      <c r="C14" s="108">
        <f>SUM(C7:C13)</f>
        <v>15650</v>
      </c>
      <c r="D14" s="120">
        <f>SUM(D7:D13)</f>
        <v>60</v>
      </c>
      <c r="E14" s="121">
        <f>SUM(E5:E13)</f>
        <v>0</v>
      </c>
      <c r="F14" s="125">
        <f>SUM(F7:F13)</f>
        <v>179</v>
      </c>
      <c r="G14" s="168"/>
      <c r="H14" s="175"/>
      <c r="I14" s="176"/>
      <c r="J14" s="223" t="str">
        <f>+'29'!J14</f>
        <v>F 12,5 VP OW</v>
      </c>
      <c r="K14" s="247"/>
      <c r="L14" s="247"/>
      <c r="M14" s="126">
        <f>+K14+'29'!M14+L14</f>
        <v>73203</v>
      </c>
    </row>
    <row r="15" spans="1:16" ht="13.5" customHeight="1" thickBot="1">
      <c r="A15" s="1035" t="s">
        <v>435</v>
      </c>
      <c r="B15" s="174"/>
      <c r="C15" s="122">
        <f>C14/($C$23+$D$23+$E$23)</f>
        <v>0.84934331922283735</v>
      </c>
      <c r="D15" s="123">
        <f>D14/($C$23+$D$23+$E$23)</f>
        <v>3.2562683165092803E-3</v>
      </c>
      <c r="E15" s="124">
        <f>E14/($C$23+$D$23+$E$23)</f>
        <v>0</v>
      </c>
      <c r="F15" s="236"/>
      <c r="G15" s="237" t="s">
        <v>11</v>
      </c>
      <c r="H15" s="238" t="s">
        <v>277</v>
      </c>
      <c r="I15" s="1032" t="s">
        <v>817</v>
      </c>
      <c r="J15" s="223" t="str">
        <f>+'29'!J15</f>
        <v>MG 14 VP OW/HW</v>
      </c>
      <c r="K15" s="247"/>
      <c r="L15" s="247"/>
      <c r="M15" s="126">
        <f>+K15+'29'!M15+L15</f>
        <v>83225</v>
      </c>
    </row>
    <row r="16" spans="1:16" ht="13.5" thickBot="1">
      <c r="A16" s="1030"/>
      <c r="B16" s="224" t="s">
        <v>804</v>
      </c>
      <c r="C16" s="230">
        <v>17985</v>
      </c>
      <c r="D16" s="231">
        <v>441</v>
      </c>
      <c r="E16" s="232"/>
      <c r="F16" s="236">
        <v>5</v>
      </c>
      <c r="G16" s="240" t="s">
        <v>11</v>
      </c>
      <c r="H16" s="238" t="s">
        <v>484</v>
      </c>
      <c r="I16" s="1033"/>
      <c r="J16" s="223" t="str">
        <f>+'29'!J16</f>
        <v>MG 17 VP OW/HW</v>
      </c>
      <c r="K16" s="237"/>
      <c r="L16" s="237"/>
      <c r="M16" s="126">
        <f>+K16+'29'!M16+L16</f>
        <v>338028</v>
      </c>
    </row>
    <row r="17" spans="1:14" ht="13.5" thickBot="1">
      <c r="A17" s="1030"/>
      <c r="B17" s="224"/>
      <c r="C17" s="225"/>
      <c r="D17" s="226"/>
      <c r="E17" s="233"/>
      <c r="F17" s="236">
        <v>7</v>
      </c>
      <c r="G17" s="240" t="s">
        <v>11</v>
      </c>
      <c r="H17" s="241" t="s">
        <v>665</v>
      </c>
      <c r="I17" s="1033"/>
      <c r="J17" s="223" t="str">
        <f>+'29'!J17</f>
        <v>MG 16 VP HW</v>
      </c>
      <c r="K17" s="237"/>
      <c r="L17" s="237"/>
      <c r="M17" s="126">
        <f>+K17+'29'!M17+L17</f>
        <v>338456</v>
      </c>
    </row>
    <row r="18" spans="1:14" ht="13.5" thickBot="1">
      <c r="A18" s="1030"/>
      <c r="B18" s="224"/>
      <c r="C18" s="225"/>
      <c r="D18" s="226"/>
      <c r="E18" s="233"/>
      <c r="F18" s="236"/>
      <c r="G18" s="240"/>
      <c r="H18" s="241" t="s">
        <v>814</v>
      </c>
      <c r="I18" s="1033"/>
      <c r="J18" s="223" t="str">
        <f>+'29'!J18</f>
        <v>MG 19 VP HW</v>
      </c>
      <c r="K18" s="247"/>
      <c r="L18" s="247"/>
      <c r="M18" s="126">
        <f>+K18+'29'!M18+L18</f>
        <v>22191</v>
      </c>
    </row>
    <row r="19" spans="1:14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 t="str">
        <f>+'29'!J19</f>
        <v>MG 15,5 VP HW</v>
      </c>
      <c r="K19" s="247"/>
      <c r="L19" s="247"/>
      <c r="M19" s="126">
        <f>+K19+'29'!M19+L19</f>
        <v>26491</v>
      </c>
    </row>
    <row r="20" spans="1:14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 t="str">
        <f>+'29'!J20</f>
        <v>MG 20 VP HW/OW</v>
      </c>
      <c r="K20" s="248"/>
      <c r="L20" s="248"/>
      <c r="M20" s="126">
        <f>+K20+'29'!M20+L20</f>
        <v>117211</v>
      </c>
    </row>
    <row r="21" spans="1:14" ht="13.5" thickBot="1">
      <c r="A21" s="1030"/>
      <c r="B21" s="224"/>
      <c r="C21" s="225"/>
      <c r="D21" s="226"/>
      <c r="E21" s="233"/>
      <c r="F21" s="239"/>
      <c r="G21" s="240"/>
      <c r="H21" s="241"/>
      <c r="I21" s="1033"/>
      <c r="J21" s="223" t="str">
        <f>+'29'!J21</f>
        <v>MG 20,5 VP OW</v>
      </c>
      <c r="K21" s="247"/>
      <c r="L21" s="247"/>
      <c r="M21" s="126">
        <f>+K21+'29'!M21+L21</f>
        <v>19381</v>
      </c>
    </row>
    <row r="22" spans="1:14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 t="str">
        <f>+'29'!J22</f>
        <v>MG 21,5 VP OW</v>
      </c>
      <c r="K22" s="247"/>
      <c r="L22" s="247"/>
      <c r="M22" s="126">
        <f>+K22+'29'!M22+L22</f>
        <v>54453</v>
      </c>
    </row>
    <row r="23" spans="1:14" ht="13.5" thickBot="1">
      <c r="A23" s="1031"/>
      <c r="B23" s="177" t="s">
        <v>2</v>
      </c>
      <c r="C23" s="109">
        <f>SUM(C16:C22)</f>
        <v>17985</v>
      </c>
      <c r="D23" s="120">
        <f>SUM(D16:D22)</f>
        <v>441</v>
      </c>
      <c r="E23" s="121">
        <f>SUM(E18:E22)</f>
        <v>0</v>
      </c>
      <c r="F23" s="125">
        <f>SUM(F15:F22)</f>
        <v>12</v>
      </c>
      <c r="G23" s="168"/>
      <c r="H23" s="175"/>
      <c r="I23" s="178"/>
      <c r="J23" s="223" t="str">
        <f>+'29'!J23</f>
        <v>MG 25 VP OW</v>
      </c>
      <c r="K23" s="247"/>
      <c r="L23" s="247"/>
      <c r="M23" s="126">
        <f>+K23+'29'!M23+L23</f>
        <v>0</v>
      </c>
    </row>
    <row r="24" spans="1:14" ht="13.5" customHeight="1" thickBot="1">
      <c r="A24" s="1035" t="s">
        <v>595</v>
      </c>
      <c r="B24" s="179"/>
      <c r="C24" s="122">
        <f>C23/($C$23+$D$23+$E$23)</f>
        <v>0.97606642787365683</v>
      </c>
      <c r="D24" s="123">
        <f>D23/($C$23+$D$23+$E$23)</f>
        <v>2.393357212634321E-2</v>
      </c>
      <c r="E24" s="124">
        <f>E23/($C$23+$D$23+$E$23)</f>
        <v>0</v>
      </c>
      <c r="F24" s="244"/>
      <c r="G24" s="237" t="s">
        <v>11</v>
      </c>
      <c r="H24" s="238" t="s">
        <v>277</v>
      </c>
      <c r="I24" s="1032" t="s">
        <v>796</v>
      </c>
      <c r="J24" s="223" t="str">
        <f>+'29'!J24</f>
        <v>F 10,5 VP OW</v>
      </c>
      <c r="K24" s="247"/>
      <c r="L24" s="247"/>
      <c r="M24" s="126">
        <f>+K24+'29'!M24+L24</f>
        <v>35876</v>
      </c>
    </row>
    <row r="25" spans="1:14" ht="13.5" thickBot="1">
      <c r="A25" s="1030"/>
      <c r="B25" s="224" t="s">
        <v>804</v>
      </c>
      <c r="C25" s="234">
        <v>17593</v>
      </c>
      <c r="D25" s="226">
        <v>126</v>
      </c>
      <c r="E25" s="233"/>
      <c r="F25" s="239">
        <v>2</v>
      </c>
      <c r="G25" s="240" t="s">
        <v>11</v>
      </c>
      <c r="H25" s="238" t="s">
        <v>484</v>
      </c>
      <c r="I25" s="1033"/>
      <c r="J25" s="223" t="str">
        <f>+'29'!J25</f>
        <v>SN 13 VP OW</v>
      </c>
      <c r="K25" s="247">
        <f>+C34</f>
        <v>51228</v>
      </c>
      <c r="L25" s="247"/>
      <c r="M25" s="126">
        <f>+K25+'29'!M25+L25</f>
        <v>139629</v>
      </c>
    </row>
    <row r="26" spans="1:14" ht="13.5" thickBot="1">
      <c r="A26" s="1030"/>
      <c r="B26" s="224"/>
      <c r="C26" s="234"/>
      <c r="D26" s="226"/>
      <c r="E26" s="235"/>
      <c r="F26" s="239">
        <v>2</v>
      </c>
      <c r="G26" s="240" t="s">
        <v>11</v>
      </c>
      <c r="H26" s="241" t="s">
        <v>785</v>
      </c>
      <c r="I26" s="1033"/>
      <c r="J26" s="223">
        <f>+'29'!J26</f>
        <v>0</v>
      </c>
      <c r="K26" s="247"/>
      <c r="L26" s="247"/>
      <c r="M26" s="126">
        <f>+K26+'29'!M26+L26</f>
        <v>0</v>
      </c>
    </row>
    <row r="27" spans="1:14" ht="13.5" thickBot="1">
      <c r="A27" s="1030"/>
      <c r="B27" s="224"/>
      <c r="C27" s="225"/>
      <c r="D27" s="226"/>
      <c r="E27" s="233"/>
      <c r="F27" s="239"/>
      <c r="G27" s="240"/>
      <c r="H27" s="241" t="s">
        <v>791</v>
      </c>
      <c r="I27" s="1033"/>
      <c r="J27" s="223">
        <f>+'29'!J27</f>
        <v>0</v>
      </c>
      <c r="K27" s="247"/>
      <c r="L27" s="247"/>
      <c r="M27" s="126">
        <f>+K27+'29'!M27+L27</f>
        <v>0</v>
      </c>
    </row>
    <row r="28" spans="1:14" ht="13.5" thickBot="1">
      <c r="A28" s="1030"/>
      <c r="B28" s="224"/>
      <c r="C28" s="225"/>
      <c r="D28" s="226"/>
      <c r="E28" s="233"/>
      <c r="F28" s="239"/>
      <c r="G28" s="240"/>
      <c r="H28" s="241"/>
      <c r="I28" s="1033"/>
      <c r="J28" s="223">
        <f>+'29'!J28</f>
        <v>0</v>
      </c>
      <c r="K28" s="247"/>
      <c r="L28" s="247"/>
      <c r="M28" s="126">
        <f>+K28+'29'!M28+L28</f>
        <v>0</v>
      </c>
    </row>
    <row r="29" spans="1:14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+'29'!J29</f>
        <v>0</v>
      </c>
      <c r="K29" s="247"/>
      <c r="L29" s="247"/>
      <c r="M29" s="126">
        <f>+K29+'29'!M29+L29</f>
        <v>0</v>
      </c>
    </row>
    <row r="30" spans="1:14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+'29'!J30</f>
        <v>0</v>
      </c>
      <c r="K30" s="247"/>
      <c r="L30" s="247"/>
      <c r="M30" s="126">
        <f>+K30+'29'!M30+L30</f>
        <v>0</v>
      </c>
      <c r="N30" s="164"/>
    </row>
    <row r="31" spans="1:14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+'29'!J31</f>
        <v>0</v>
      </c>
      <c r="K31" s="247"/>
      <c r="L31" s="247"/>
      <c r="M31" s="126">
        <f>+K31+'29'!M31+L31</f>
        <v>0</v>
      </c>
    </row>
    <row r="32" spans="1:14" ht="13.5" thickBot="1">
      <c r="A32" s="1031"/>
      <c r="B32" s="174" t="s">
        <v>2</v>
      </c>
      <c r="C32" s="108">
        <f>SUM(C25:C31)</f>
        <v>17593</v>
      </c>
      <c r="D32" s="109">
        <f>SUM(D25:D31)</f>
        <v>126</v>
      </c>
      <c r="E32" s="110">
        <f>SUM(E25:E31)</f>
        <v>0</v>
      </c>
      <c r="F32" s="111">
        <f>SUM(F24:F31)</f>
        <v>4</v>
      </c>
      <c r="G32" s="180"/>
      <c r="H32" s="181"/>
      <c r="I32" s="178"/>
      <c r="J32" s="223">
        <f>+'29'!J32</f>
        <v>0</v>
      </c>
      <c r="K32" s="249"/>
      <c r="L32" s="251"/>
      <c r="M32" s="126">
        <f>+K32+'29'!M32+L32</f>
        <v>0</v>
      </c>
    </row>
    <row r="33" spans="1:14" ht="13.5" thickBot="1">
      <c r="A33" s="182"/>
      <c r="B33" s="183"/>
      <c r="C33" s="112">
        <f>C32/($C$32+$D$32+$E$32)</f>
        <v>0.99288898922061064</v>
      </c>
      <c r="D33" s="113">
        <f>D32/($C$32+$D$32+$E$32)</f>
        <v>7.1110107793893561E-3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51228</v>
      </c>
      <c r="D34" s="116">
        <f>D14+D23+D32</f>
        <v>627</v>
      </c>
      <c r="E34" s="116">
        <f>E14+E23+E32</f>
        <v>0</v>
      </c>
      <c r="F34" s="117">
        <f>F14+F23+F32</f>
        <v>195</v>
      </c>
      <c r="H34" s="187"/>
      <c r="I34" s="187"/>
      <c r="J34" s="132" t="s">
        <v>27</v>
      </c>
      <c r="K34" s="133">
        <f>SUM(K7:K32)</f>
        <v>51228</v>
      </c>
      <c r="L34" s="221">
        <f>SUM(L7:L32)</f>
        <v>0</v>
      </c>
      <c r="M34" s="129">
        <f>SUM(M7:M32)</f>
        <v>1962195</v>
      </c>
      <c r="N34" s="164"/>
    </row>
    <row r="35" spans="1:14" ht="13.5" thickBot="1">
      <c r="A35" s="188"/>
      <c r="B35" s="189"/>
      <c r="C35" s="113">
        <f>C34/($C$34+$D$34+$E$34)</f>
        <v>0.9879085912641018</v>
      </c>
      <c r="D35" s="113">
        <f>D34/($C$34+$D$34+$E$34)</f>
        <v>1.2091408735898177E-2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(13*1264)/1264*G42*2.77*1264/1000000</f>
        <v>52.559619840000003</v>
      </c>
      <c r="J37" s="134">
        <f>+I37+'29'!J37</f>
        <v>2100.5277530251979</v>
      </c>
      <c r="K37" s="135" t="s">
        <v>63</v>
      </c>
    </row>
    <row r="38" spans="1:14" ht="17.45" customHeight="1">
      <c r="A38" s="1027" t="s">
        <v>11</v>
      </c>
      <c r="B38" s="1028"/>
      <c r="C38" s="173">
        <f>SUMIF($G$7:$G$31,"Process",$F$7:$F$31)</f>
        <v>19</v>
      </c>
      <c r="D38" s="127">
        <f>+C38+'29'!D38</f>
        <v>957</v>
      </c>
      <c r="E38" s="152">
        <f t="shared" ref="E38:E51" si="0">D38/60</f>
        <v>15.95</v>
      </c>
      <c r="F38" s="337">
        <v>1470</v>
      </c>
      <c r="G38" s="337">
        <f>+F38-F38*0.2</f>
        <v>1176</v>
      </c>
      <c r="H38" s="196" t="s">
        <v>64</v>
      </c>
      <c r="I38" s="253">
        <f>12.436+18.958+19.285</f>
        <v>50.679000000000002</v>
      </c>
      <c r="J38" s="136">
        <f>+I38+'29'!J38</f>
        <v>2011.0520000000001</v>
      </c>
      <c r="K38" s="137" t="s">
        <v>63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+C39+'29'!D39</f>
        <v>0</v>
      </c>
      <c r="E39" s="152">
        <f t="shared" si="0"/>
        <v>0</v>
      </c>
      <c r="F39" s="337">
        <v>1420</v>
      </c>
      <c r="G39" s="337">
        <f>+F39-F39*0.2</f>
        <v>1136</v>
      </c>
      <c r="H39" s="196" t="s">
        <v>65</v>
      </c>
      <c r="I39" s="151"/>
      <c r="J39" s="138">
        <f>J37/G4</f>
        <v>70.017591767506602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+C40+'29'!D40</f>
        <v>0</v>
      </c>
      <c r="E40" s="152">
        <f t="shared" si="0"/>
        <v>0</v>
      </c>
      <c r="F40" s="337">
        <v>1450</v>
      </c>
      <c r="G40" s="337">
        <f>+F40-F40*0.2</f>
        <v>1160</v>
      </c>
      <c r="H40" s="196" t="s">
        <v>67</v>
      </c>
      <c r="I40" s="127">
        <f>(K34+L34)/1000</f>
        <v>51.228000000000002</v>
      </c>
      <c r="J40" s="140">
        <f>+I40+'29'!J40</f>
        <v>1962.1950000000002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+C41+'29'!D41</f>
        <v>55</v>
      </c>
      <c r="E41" s="152">
        <f t="shared" si="0"/>
        <v>0.91666666666666663</v>
      </c>
      <c r="F41" s="337"/>
      <c r="G41" s="337"/>
      <c r="H41" s="196" t="s">
        <v>69</v>
      </c>
      <c r="I41" s="151"/>
      <c r="J41" s="138">
        <f>J40/G4</f>
        <v>65.406500000000008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+C42+'29'!D42</f>
        <v>0</v>
      </c>
      <c r="E42" s="152">
        <f t="shared" si="0"/>
        <v>0</v>
      </c>
      <c r="F42" s="337">
        <f>+(F38*304+F39*480+F40*480)/1264</f>
        <v>1443.4177215189873</v>
      </c>
      <c r="G42" s="337">
        <f>+(G38*304+G39*480+G40*480)/1264</f>
        <v>1154.7341772151899</v>
      </c>
      <c r="H42" s="196" t="s">
        <v>70</v>
      </c>
      <c r="I42" s="254" t="s">
        <v>818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+C43+'29'!D43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+Report1!T38</f>
        <v>118.66499999999999</v>
      </c>
      <c r="J43" s="142">
        <f>+I43+'29'!J43</f>
        <v>4144.5820000000003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+C44+'29'!D44</f>
        <v>515</v>
      </c>
      <c r="E44" s="152">
        <f t="shared" si="0"/>
        <v>8.5833333333333339</v>
      </c>
      <c r="F44" s="337"/>
      <c r="G44" s="338"/>
      <c r="H44" s="197" t="s">
        <v>74</v>
      </c>
      <c r="I44" s="127">
        <f>I43/I38</f>
        <v>2.3415023974427274</v>
      </c>
      <c r="J44" s="143">
        <f>J43/J38</f>
        <v>2.0609024530444762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+C45+'29'!D45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2.3164089950808151</v>
      </c>
      <c r="J45" s="143">
        <f>J43/J40</f>
        <v>2.1122171853460028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+C46+'29'!D46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+SUMIF(Listrik!AR37,"&gt;0")</f>
        <v>58088.740000000558</v>
      </c>
      <c r="J46" s="144">
        <f>+I46+'29'!J46</f>
        <v>1647061.9000000015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+C47+'29'!D47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1146.2092780047071</v>
      </c>
      <c r="J47" s="144">
        <f>J46/J38</f>
        <v>819.00512766452653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+C48+'29'!D48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1133.9255875693088</v>
      </c>
      <c r="J48" s="144">
        <f>J46/J40</f>
        <v>839.39766435038382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176</v>
      </c>
      <c r="D49" s="127">
        <f>+C49+'29'!D49</f>
        <v>501</v>
      </c>
      <c r="E49" s="152">
        <f t="shared" si="0"/>
        <v>8.35</v>
      </c>
      <c r="F49" s="194"/>
      <c r="H49" s="197" t="s">
        <v>82</v>
      </c>
      <c r="I49" s="127">
        <v>0</v>
      </c>
      <c r="J49" s="144">
        <f>+I49+'29'!J49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+C50+'29'!D50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+C51+'29'!D51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195</v>
      </c>
      <c r="D52" s="153">
        <f>SUM(D38:D51)</f>
        <v>2028</v>
      </c>
      <c r="E52" s="154">
        <f>SUM(E38:E51)</f>
        <v>33.800000000000004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0.13541666666666666</v>
      </c>
      <c r="D53" s="155">
        <f>D52/(24*60*G4)</f>
        <v>4.6944444444444441E-2</v>
      </c>
      <c r="E53" s="156">
        <f>E52/(G4*24)</f>
        <v>4.6944444444444448E-2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+D34+'29'!J56</f>
        <v>15999</v>
      </c>
      <c r="K56" s="210">
        <f>J56/(J40+J56/1000)/1000</f>
        <v>8.0876799747648612E-3</v>
      </c>
    </row>
    <row r="57" spans="1:11">
      <c r="A57" s="185"/>
      <c r="I57" s="208" t="s">
        <v>89</v>
      </c>
      <c r="J57" s="209">
        <f>+E34+'29'!J57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5625" right="0.19513888888888889" top="0.39027777777777778" bottom="0.39027777777777778" header="0" footer="0"/>
  <pageSetup paperSize="9" scale="63" firstPageNumber="4294963191" orientation="landscape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O61"/>
  <sheetViews>
    <sheetView zoomScale="80" zoomScaleNormal="80" workbookViewId="0">
      <selection activeCell="A7" sqref="A7:B32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4.140625" style="158" customWidth="1"/>
    <col min="14" max="16384" width="9.140625" style="158"/>
  </cols>
  <sheetData>
    <row r="1" spans="1:15" ht="15.75">
      <c r="A1" s="157"/>
    </row>
    <row r="2" spans="1:15" ht="15.75">
      <c r="A2" s="157" t="s">
        <v>148</v>
      </c>
    </row>
    <row r="3" spans="1:15" ht="15">
      <c r="A3" s="159"/>
    </row>
    <row r="4" spans="1:15" ht="20.25">
      <c r="A4" s="160" t="s">
        <v>3</v>
      </c>
      <c r="B4" s="161"/>
      <c r="F4" s="162" t="s">
        <v>29</v>
      </c>
      <c r="G4" s="163">
        <v>29</v>
      </c>
      <c r="H4" s="163" t="str">
        <f>+'1'!H4</f>
        <v>.06.24</v>
      </c>
    </row>
    <row r="5" spans="1:15" ht="13.5" thickBot="1">
      <c r="C5" s="164"/>
      <c r="D5" s="164"/>
    </row>
    <row r="6" spans="1:15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165+305+315</f>
        <v>785</v>
      </c>
    </row>
    <row r="7" spans="1:15" ht="13.5" customHeight="1" thickBot="1">
      <c r="A7" s="1029" t="s">
        <v>646</v>
      </c>
      <c r="B7" s="224" t="s">
        <v>804</v>
      </c>
      <c r="C7" s="225">
        <v>13620</v>
      </c>
      <c r="D7" s="226">
        <v>762</v>
      </c>
      <c r="E7" s="227"/>
      <c r="F7" s="236"/>
      <c r="G7" s="237" t="s">
        <v>11</v>
      </c>
      <c r="H7" s="238" t="s">
        <v>277</v>
      </c>
      <c r="I7" s="1032" t="s">
        <v>796</v>
      </c>
      <c r="J7" s="223" t="str">
        <f>+'28'!J7</f>
        <v>T 14 VP OW</v>
      </c>
      <c r="K7" s="246"/>
      <c r="L7" s="250"/>
      <c r="M7" s="126">
        <f>+K7+'28'!M7+L7</f>
        <v>62499</v>
      </c>
    </row>
    <row r="8" spans="1:15" ht="13.5" thickBot="1">
      <c r="A8" s="1030"/>
      <c r="B8" s="224"/>
      <c r="C8" s="225"/>
      <c r="D8" s="226"/>
      <c r="E8" s="228"/>
      <c r="F8" s="239">
        <v>1</v>
      </c>
      <c r="G8" s="240" t="s">
        <v>11</v>
      </c>
      <c r="H8" s="238" t="s">
        <v>640</v>
      </c>
      <c r="I8" s="1033"/>
      <c r="J8" s="223" t="str">
        <f>+'28'!J8</f>
        <v>T 15 VP OW</v>
      </c>
      <c r="K8" s="247"/>
      <c r="L8" s="247"/>
      <c r="M8" s="126">
        <f>+K8+'28'!M8+L8</f>
        <v>37584</v>
      </c>
      <c r="N8" s="158">
        <v>1450</v>
      </c>
      <c r="O8" s="158">
        <f>+N8-N8*0.2</f>
        <v>1160</v>
      </c>
    </row>
    <row r="9" spans="1:15" ht="13.5" thickBot="1">
      <c r="A9" s="1030"/>
      <c r="B9" s="224"/>
      <c r="C9" s="225"/>
      <c r="D9" s="226"/>
      <c r="E9" s="229"/>
      <c r="F9" s="236">
        <v>3</v>
      </c>
      <c r="G9" s="240" t="s">
        <v>11</v>
      </c>
      <c r="H9" s="241" t="s">
        <v>809</v>
      </c>
      <c r="I9" s="1033"/>
      <c r="J9" s="223" t="str">
        <f>+'28'!J9</f>
        <v>T 12,5 VP OW</v>
      </c>
      <c r="K9" s="247"/>
      <c r="L9" s="247"/>
      <c r="M9" s="126">
        <f>+K9+'28'!M9+L9</f>
        <v>148332</v>
      </c>
      <c r="N9" s="158">
        <v>1450</v>
      </c>
      <c r="O9" s="158">
        <f>+N9-N9*0.2</f>
        <v>1160</v>
      </c>
    </row>
    <row r="10" spans="1:15" ht="13.5" thickBot="1">
      <c r="A10" s="1030"/>
      <c r="B10" s="224"/>
      <c r="C10" s="225"/>
      <c r="D10" s="226"/>
      <c r="E10" s="228"/>
      <c r="F10" s="236"/>
      <c r="G10" s="240"/>
      <c r="H10" s="241" t="s">
        <v>791</v>
      </c>
      <c r="I10" s="1033"/>
      <c r="J10" s="223" t="str">
        <f>+'28'!J10</f>
        <v>T 12 VP OW</v>
      </c>
      <c r="K10" s="247"/>
      <c r="L10" s="247"/>
      <c r="M10" s="126">
        <f>+K10+'28'!M10+L10</f>
        <v>25679</v>
      </c>
      <c r="N10" s="158">
        <v>1450</v>
      </c>
      <c r="O10" s="158">
        <f>+N10-N10*0.2</f>
        <v>1160</v>
      </c>
    </row>
    <row r="11" spans="1:15" ht="13.5" thickBot="1">
      <c r="A11" s="1030"/>
      <c r="B11" s="224"/>
      <c r="C11" s="225"/>
      <c r="D11" s="226"/>
      <c r="E11" s="228"/>
      <c r="F11" s="236">
        <v>255</v>
      </c>
      <c r="G11" s="240" t="s">
        <v>19</v>
      </c>
      <c r="H11" s="241" t="s">
        <v>807</v>
      </c>
      <c r="I11" s="1033"/>
      <c r="J11" s="223" t="str">
        <f>+'28'!J11</f>
        <v>F 12 VP OW</v>
      </c>
      <c r="K11" s="247"/>
      <c r="L11" s="247"/>
      <c r="M11" s="126">
        <f>+K11+'28'!M11+L11</f>
        <v>172980</v>
      </c>
    </row>
    <row r="12" spans="1:15" ht="13.5" thickBot="1">
      <c r="A12" s="1030"/>
      <c r="B12" s="224"/>
      <c r="C12" s="225"/>
      <c r="D12" s="226"/>
      <c r="E12" s="228"/>
      <c r="F12" s="236"/>
      <c r="G12" s="240"/>
      <c r="H12" s="241" t="s">
        <v>808</v>
      </c>
      <c r="I12" s="1033"/>
      <c r="J12" s="223" t="str">
        <f>+'28'!J12</f>
        <v>F 13 VP OW</v>
      </c>
      <c r="K12" s="247"/>
      <c r="L12" s="247"/>
      <c r="M12" s="126">
        <f>+K12+'28'!M12+L12</f>
        <v>245252</v>
      </c>
    </row>
    <row r="13" spans="1:15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+'28'!J13</f>
        <v>F 13,5 VP OW</v>
      </c>
      <c r="K13" s="247"/>
      <c r="L13" s="247"/>
      <c r="M13" s="126">
        <f>+K13+'28'!M13+L13</f>
        <v>21725</v>
      </c>
    </row>
    <row r="14" spans="1:15" ht="13.5" thickBot="1">
      <c r="A14" s="1031"/>
      <c r="B14" s="174" t="s">
        <v>2</v>
      </c>
      <c r="C14" s="108">
        <f>SUM(C7:C13)</f>
        <v>13620</v>
      </c>
      <c r="D14" s="120">
        <f>SUM(D7:D13)</f>
        <v>762</v>
      </c>
      <c r="E14" s="121">
        <f>SUM(E5:E13)</f>
        <v>0</v>
      </c>
      <c r="F14" s="125">
        <f>SUM(F7:F13)</f>
        <v>259</v>
      </c>
      <c r="G14" s="168"/>
      <c r="H14" s="175"/>
      <c r="I14" s="176"/>
      <c r="J14" s="223" t="str">
        <f>+'28'!J14</f>
        <v>F 12,5 VP OW</v>
      </c>
      <c r="K14" s="247"/>
      <c r="L14" s="247"/>
      <c r="M14" s="126">
        <f>+K14+'28'!M14+L14</f>
        <v>73203</v>
      </c>
    </row>
    <row r="15" spans="1:15" ht="13.5" customHeight="1" thickBot="1">
      <c r="A15" s="1035" t="s">
        <v>435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796</v>
      </c>
      <c r="J15" s="223" t="str">
        <f>+'28'!J15</f>
        <v>MG 14 VP OW/HW</v>
      </c>
      <c r="K15" s="247"/>
      <c r="L15" s="247"/>
      <c r="M15" s="126">
        <f>+K15+'28'!M15+L15</f>
        <v>83225</v>
      </c>
    </row>
    <row r="16" spans="1:15" ht="13.5" thickBot="1">
      <c r="A16" s="1030"/>
      <c r="B16" s="224" t="s">
        <v>804</v>
      </c>
      <c r="C16" s="230">
        <v>17564</v>
      </c>
      <c r="D16" s="231">
        <v>382</v>
      </c>
      <c r="E16" s="232"/>
      <c r="F16" s="236">
        <v>1</v>
      </c>
      <c r="G16" s="240" t="s">
        <v>11</v>
      </c>
      <c r="H16" s="238" t="s">
        <v>484</v>
      </c>
      <c r="I16" s="1033"/>
      <c r="J16" s="223" t="str">
        <f>+'28'!J16</f>
        <v>MG 17 VP OW/HW</v>
      </c>
      <c r="K16" s="237"/>
      <c r="L16" s="237"/>
      <c r="M16" s="126">
        <f>+K16+'28'!M16+L16</f>
        <v>338028</v>
      </c>
    </row>
    <row r="17" spans="1:14" ht="13.5" thickBot="1">
      <c r="A17" s="1030"/>
      <c r="B17" s="224"/>
      <c r="C17" s="225"/>
      <c r="D17" s="226"/>
      <c r="E17" s="233"/>
      <c r="F17" s="236">
        <v>1</v>
      </c>
      <c r="G17" s="240" t="s">
        <v>11</v>
      </c>
      <c r="H17" s="241" t="s">
        <v>785</v>
      </c>
      <c r="I17" s="1033"/>
      <c r="J17" s="223" t="str">
        <f>+'28'!J17</f>
        <v>MG 16 VP HW</v>
      </c>
      <c r="K17" s="237"/>
      <c r="L17" s="237"/>
      <c r="M17" s="126">
        <f>+K17+'28'!M17+L17</f>
        <v>338456</v>
      </c>
    </row>
    <row r="18" spans="1:14" ht="13.5" thickBot="1">
      <c r="A18" s="1030"/>
      <c r="B18" s="224"/>
      <c r="C18" s="225"/>
      <c r="D18" s="226"/>
      <c r="E18" s="233"/>
      <c r="F18" s="236"/>
      <c r="G18" s="240"/>
      <c r="H18" s="241" t="s">
        <v>791</v>
      </c>
      <c r="I18" s="1033"/>
      <c r="J18" s="223" t="str">
        <f>+'28'!J18</f>
        <v>MG 19 VP HW</v>
      </c>
      <c r="K18" s="247"/>
      <c r="L18" s="247"/>
      <c r="M18" s="126">
        <f>+K18+'28'!M18+L18</f>
        <v>22191</v>
      </c>
    </row>
    <row r="19" spans="1:14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 t="str">
        <f>+'28'!J19</f>
        <v>MG 15,5 VP HW</v>
      </c>
      <c r="K19" s="247"/>
      <c r="L19" s="247"/>
      <c r="M19" s="126">
        <f>+K19+'28'!M19+L19</f>
        <v>26491</v>
      </c>
    </row>
    <row r="20" spans="1:14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 t="str">
        <f>+'28'!J20</f>
        <v>MG 20 VP HW/OW</v>
      </c>
      <c r="K20" s="248"/>
      <c r="L20" s="248"/>
      <c r="M20" s="126">
        <f>+K20+'28'!M20+L20</f>
        <v>117211</v>
      </c>
    </row>
    <row r="21" spans="1:14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 t="str">
        <f>+'28'!J21</f>
        <v>MG 20,5 VP OW</v>
      </c>
      <c r="K21" s="247"/>
      <c r="L21" s="247"/>
      <c r="M21" s="126">
        <f>+K21+'28'!M21+L21</f>
        <v>19381</v>
      </c>
    </row>
    <row r="22" spans="1:14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 t="str">
        <f>+'28'!J22</f>
        <v>MG 21,5 VP OW</v>
      </c>
      <c r="K22" s="247"/>
      <c r="L22" s="247"/>
      <c r="M22" s="126">
        <f>+K22+'28'!M22+L22</f>
        <v>54453</v>
      </c>
    </row>
    <row r="23" spans="1:14" ht="13.5" thickBot="1">
      <c r="A23" s="1031"/>
      <c r="B23" s="177" t="s">
        <v>2</v>
      </c>
      <c r="C23" s="109">
        <f>SUM(C16:C22)</f>
        <v>17564</v>
      </c>
      <c r="D23" s="120">
        <f>SUM(D16:D22)</f>
        <v>382</v>
      </c>
      <c r="E23" s="121">
        <f>SUM(E18:E22)</f>
        <v>0</v>
      </c>
      <c r="F23" s="125">
        <f>SUM(F15:F22)</f>
        <v>2</v>
      </c>
      <c r="G23" s="168"/>
      <c r="H23" s="175" t="s">
        <v>234</v>
      </c>
      <c r="I23" s="178"/>
      <c r="J23" s="223" t="str">
        <f>+'28'!J23</f>
        <v>MG 25 VP OW</v>
      </c>
      <c r="K23" s="247"/>
      <c r="L23" s="247"/>
      <c r="M23" s="126">
        <f>+K23+'28'!M23+L23</f>
        <v>0</v>
      </c>
    </row>
    <row r="24" spans="1:14" ht="13.5" customHeight="1" thickBot="1">
      <c r="A24" s="1035" t="s">
        <v>595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796</v>
      </c>
      <c r="J24" s="223" t="str">
        <f>+'28'!J24</f>
        <v>F 10,5 VP OW</v>
      </c>
      <c r="K24" s="247"/>
      <c r="L24" s="247"/>
      <c r="M24" s="126">
        <f>+K24+'28'!M24+L24</f>
        <v>35876</v>
      </c>
    </row>
    <row r="25" spans="1:14" ht="13.5" customHeight="1" thickBot="1">
      <c r="A25" s="1030"/>
      <c r="B25" s="224" t="s">
        <v>804</v>
      </c>
      <c r="C25" s="234">
        <v>17844</v>
      </c>
      <c r="D25" s="226"/>
      <c r="E25" s="233"/>
      <c r="F25" s="239">
        <v>2</v>
      </c>
      <c r="G25" s="240" t="s">
        <v>11</v>
      </c>
      <c r="H25" s="238" t="s">
        <v>484</v>
      </c>
      <c r="I25" s="1033"/>
      <c r="J25" s="223" t="str">
        <f>+'28'!J25</f>
        <v>SN 13 VP OW</v>
      </c>
      <c r="K25" s="247">
        <f>+C34</f>
        <v>49028</v>
      </c>
      <c r="L25" s="247"/>
      <c r="M25" s="126">
        <f>+K25+'28'!M25+L25</f>
        <v>88401</v>
      </c>
    </row>
    <row r="26" spans="1:14" ht="13.5" customHeight="1" thickBot="1">
      <c r="A26" s="1030"/>
      <c r="B26" s="224"/>
      <c r="C26" s="234"/>
      <c r="D26" s="226"/>
      <c r="E26" s="235"/>
      <c r="F26" s="239">
        <v>3</v>
      </c>
      <c r="G26" s="240" t="s">
        <v>11</v>
      </c>
      <c r="H26" s="241" t="s">
        <v>785</v>
      </c>
      <c r="I26" s="1033"/>
      <c r="J26" s="223">
        <f>+'28'!J26</f>
        <v>0</v>
      </c>
      <c r="K26" s="247"/>
      <c r="L26" s="247"/>
      <c r="M26" s="126">
        <f>+K26+'28'!M26+L26</f>
        <v>0</v>
      </c>
    </row>
    <row r="27" spans="1:14" ht="13.5" customHeight="1" thickBot="1">
      <c r="A27" s="1030"/>
      <c r="B27" s="224"/>
      <c r="C27" s="225"/>
      <c r="D27" s="226"/>
      <c r="E27" s="233"/>
      <c r="F27" s="239"/>
      <c r="G27" s="240"/>
      <c r="H27" s="241" t="s">
        <v>791</v>
      </c>
      <c r="I27" s="1033"/>
      <c r="J27" s="223">
        <f>+'28'!J27</f>
        <v>0</v>
      </c>
      <c r="K27" s="247"/>
      <c r="L27" s="247"/>
      <c r="M27" s="126">
        <f>+K27+'28'!M27+L27</f>
        <v>0</v>
      </c>
    </row>
    <row r="28" spans="1:14" ht="13.5" thickBot="1">
      <c r="A28" s="1030"/>
      <c r="B28" s="224"/>
      <c r="C28" s="225"/>
      <c r="D28" s="226"/>
      <c r="E28" s="233"/>
      <c r="F28" s="239"/>
      <c r="G28" s="240"/>
      <c r="H28" s="241"/>
      <c r="I28" s="1033"/>
      <c r="J28" s="223">
        <f>+'28'!J28</f>
        <v>0</v>
      </c>
      <c r="K28" s="247"/>
      <c r="L28" s="247"/>
      <c r="M28" s="126">
        <f>+K28+'28'!M28+L28</f>
        <v>0</v>
      </c>
    </row>
    <row r="29" spans="1:14" ht="13.5" customHeight="1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+'28'!J29</f>
        <v>0</v>
      </c>
      <c r="K29" s="247"/>
      <c r="L29" s="247"/>
      <c r="M29" s="126">
        <f>+K29+'28'!M29+L29</f>
        <v>0</v>
      </c>
    </row>
    <row r="30" spans="1:14" ht="13.5" customHeight="1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+'28'!J30</f>
        <v>0</v>
      </c>
      <c r="K30" s="247"/>
      <c r="L30" s="247"/>
      <c r="M30" s="126">
        <f>+K30+'28'!M30+L30</f>
        <v>0</v>
      </c>
      <c r="N30" s="164"/>
    </row>
    <row r="31" spans="1:14" ht="13.5" customHeight="1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+'28'!J31</f>
        <v>0</v>
      </c>
      <c r="K31" s="247"/>
      <c r="L31" s="247"/>
      <c r="M31" s="126">
        <f>+K31+'28'!M31+L31</f>
        <v>0</v>
      </c>
    </row>
    <row r="32" spans="1:14" ht="13.5" customHeight="1" thickBot="1">
      <c r="A32" s="1031"/>
      <c r="B32" s="174" t="s">
        <v>2</v>
      </c>
      <c r="C32" s="108">
        <f>SUM(C25:C31)</f>
        <v>17844</v>
      </c>
      <c r="D32" s="109">
        <f>SUM(D25:D31)</f>
        <v>0</v>
      </c>
      <c r="E32" s="110">
        <f>SUM(E25:E31)</f>
        <v>0</v>
      </c>
      <c r="F32" s="111">
        <f>SUM(F24:F31)</f>
        <v>5</v>
      </c>
      <c r="G32" s="180"/>
      <c r="H32" s="181"/>
      <c r="I32" s="178"/>
      <c r="J32" s="223">
        <f>+'28'!J32</f>
        <v>0</v>
      </c>
      <c r="K32" s="249"/>
      <c r="L32" s="251"/>
      <c r="M32" s="126">
        <f>+K32+'28'!M32+L32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49028</v>
      </c>
      <c r="D34" s="116">
        <f>D14+D23+D32</f>
        <v>1144</v>
      </c>
      <c r="E34" s="116">
        <f>E14+E23+E32</f>
        <v>0</v>
      </c>
      <c r="F34" s="117">
        <f>F14+F23+F32</f>
        <v>266</v>
      </c>
      <c r="H34" s="187"/>
      <c r="I34" s="187"/>
      <c r="J34" s="132" t="s">
        <v>27</v>
      </c>
      <c r="K34" s="133">
        <f>SUM(K7:K32)</f>
        <v>49028</v>
      </c>
      <c r="L34" s="221">
        <f>SUM(L7:L32)</f>
        <v>0</v>
      </c>
      <c r="M34" s="129">
        <f>SUM(M7:M32)</f>
        <v>1910967</v>
      </c>
      <c r="N34" s="164"/>
    </row>
    <row r="35" spans="1:14" ht="13.5" thickBot="1">
      <c r="A35" s="188"/>
      <c r="B35" s="189"/>
      <c r="C35" s="113">
        <f>C34/($C$34+$D$34+$E$34)</f>
        <v>0.97719843737542855</v>
      </c>
      <c r="D35" s="113">
        <f>D34/($C$34+$D$34+$E$34)</f>
        <v>2.2801562624571475E-2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(13*1185)/1185*G42*2.77*1185/1000000</f>
        <v>49.499346000000003</v>
      </c>
      <c r="J37" s="134">
        <f>+I37+'28'!J37</f>
        <v>2047.968133185198</v>
      </c>
      <c r="K37" s="135" t="s">
        <v>63</v>
      </c>
      <c r="L37" s="575"/>
    </row>
    <row r="38" spans="1:14" ht="17.45" customHeight="1">
      <c r="A38" s="1027" t="s">
        <v>11</v>
      </c>
      <c r="B38" s="1028"/>
      <c r="C38" s="173">
        <f>SUMIF($G$7:$G$31,"Process",$F$7:$F$31)</f>
        <v>11</v>
      </c>
      <c r="D38" s="127">
        <f>+C38+'28'!D38</f>
        <v>938</v>
      </c>
      <c r="E38" s="152">
        <f t="shared" ref="E38:E51" si="0">D38/60</f>
        <v>15.633333333333333</v>
      </c>
      <c r="F38" s="337">
        <v>1450</v>
      </c>
      <c r="G38" s="337">
        <f>+F38-F38*0.2</f>
        <v>1160</v>
      </c>
      <c r="H38" s="196" t="s">
        <v>64</v>
      </c>
      <c r="I38" s="548">
        <f>10.278+19.481+18.439</f>
        <v>48.198</v>
      </c>
      <c r="J38" s="136">
        <f>+I38+'28'!J38</f>
        <v>1960.373</v>
      </c>
      <c r="K38" s="137" t="s">
        <v>63</v>
      </c>
      <c r="L38" s="556"/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+C39+'28'!D39</f>
        <v>0</v>
      </c>
      <c r="E39" s="152">
        <f t="shared" si="0"/>
        <v>0</v>
      </c>
      <c r="F39" s="337">
        <v>1450</v>
      </c>
      <c r="G39" s="337">
        <f>+F39-F39*0.2</f>
        <v>1160</v>
      </c>
      <c r="H39" s="196" t="s">
        <v>65</v>
      </c>
      <c r="I39" s="151"/>
      <c r="J39" s="138">
        <f>J37/G4</f>
        <v>70.619590799489586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+C40+'28'!D40</f>
        <v>0</v>
      </c>
      <c r="E40" s="152">
        <f t="shared" si="0"/>
        <v>0</v>
      </c>
      <c r="F40" s="337">
        <v>1450</v>
      </c>
      <c r="G40" s="337">
        <f>+F40-F40*0.2</f>
        <v>1160</v>
      </c>
      <c r="H40" s="196" t="s">
        <v>67</v>
      </c>
      <c r="I40" s="127">
        <f>(K34+L34)/1000</f>
        <v>49.027999999999999</v>
      </c>
      <c r="J40" s="140">
        <f>+I40+'28'!J40</f>
        <v>1910.9670000000001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+C41+'28'!D41</f>
        <v>55</v>
      </c>
      <c r="E41" s="152">
        <f t="shared" si="0"/>
        <v>0.91666666666666663</v>
      </c>
      <c r="F41" s="337"/>
      <c r="G41" s="337"/>
      <c r="H41" s="196" t="s">
        <v>69</v>
      </c>
      <c r="I41" s="151"/>
      <c r="J41" s="138">
        <f>J40/G4</f>
        <v>65.895413793103458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+C42+'28'!D42</f>
        <v>0</v>
      </c>
      <c r="E42" s="152">
        <f t="shared" si="0"/>
        <v>0</v>
      </c>
      <c r="F42" s="337">
        <f>+(F38*480+F39*480+F40*480)/1440</f>
        <v>1450</v>
      </c>
      <c r="G42" s="337">
        <f>+(G38*480+G39*480+G40*480)/1440</f>
        <v>1160</v>
      </c>
      <c r="H42" s="196" t="s">
        <v>70</v>
      </c>
      <c r="I42" s="254" t="s">
        <v>796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+C43+'28'!D43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+Report1!T37</f>
        <v>108.4</v>
      </c>
      <c r="J43" s="142">
        <f>+I43+'28'!J43</f>
        <v>4025.9169999999999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+C44+'28'!D44</f>
        <v>515</v>
      </c>
      <c r="E44" s="152">
        <f t="shared" si="0"/>
        <v>8.5833333333333339</v>
      </c>
      <c r="F44" s="337"/>
      <c r="G44" s="338"/>
      <c r="H44" s="197" t="s">
        <v>74</v>
      </c>
      <c r="I44" s="127">
        <f>I43/I38</f>
        <v>2.2490559774264494</v>
      </c>
      <c r="J44" s="143">
        <f>J43/J38</f>
        <v>2.0536484638382593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+C45+'28'!D45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2.2109814799706293</v>
      </c>
      <c r="J45" s="143">
        <f>J43/J40</f>
        <v>2.1067433398902229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+C46+'28'!D46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+SUMIF(Listrik!AR36,"&gt;0")</f>
        <v>52782.69999999943</v>
      </c>
      <c r="J46" s="144">
        <f>+I46+'28'!J46</f>
        <v>1588973.1600000011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+C47+'28'!D47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1095.1222042408281</v>
      </c>
      <c r="J47" s="144">
        <f>J46/J38</f>
        <v>810.54633990572256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+C48+'28'!D48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1076.5827690299304</v>
      </c>
      <c r="J48" s="144">
        <f>J46/J40</f>
        <v>831.5021452489766</v>
      </c>
      <c r="K48" s="139" t="s">
        <v>23</v>
      </c>
    </row>
    <row r="49" spans="1:11" ht="17.45" customHeight="1">
      <c r="A49" s="1040" t="s">
        <v>19</v>
      </c>
      <c r="B49" s="1024"/>
      <c r="C49" s="173">
        <f>SUMIF($G$7:$G$31,"Others",$F$7:$F$31)</f>
        <v>255</v>
      </c>
      <c r="D49" s="127">
        <f>+C49+'28'!D49</f>
        <v>325</v>
      </c>
      <c r="E49" s="152">
        <f t="shared" si="0"/>
        <v>5.416666666666667</v>
      </c>
      <c r="F49" s="194"/>
      <c r="H49" s="197" t="s">
        <v>82</v>
      </c>
      <c r="I49" s="127">
        <v>0</v>
      </c>
      <c r="J49" s="144">
        <f>+I49+'28'!J49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+C50+'28'!D50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+C51+'28'!D51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266</v>
      </c>
      <c r="D52" s="153">
        <f>SUM(D38:D51)</f>
        <v>1833</v>
      </c>
      <c r="E52" s="154">
        <f>SUM(E38:E51)</f>
        <v>30.55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0.18472222222222223</v>
      </c>
      <c r="D53" s="155">
        <f>D52/(24*60*G4)</f>
        <v>4.389367816091954E-2</v>
      </c>
      <c r="E53" s="156">
        <f>E52/(G4*24)</f>
        <v>4.389367816091954E-2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+D34+'28'!J56</f>
        <v>15372</v>
      </c>
      <c r="K56" s="210">
        <f>J56/(J40+J56/1000)/1000</f>
        <v>7.9799038486995273E-3</v>
      </c>
    </row>
    <row r="57" spans="1:11">
      <c r="A57" s="185"/>
      <c r="I57" s="208" t="s">
        <v>89</v>
      </c>
      <c r="J57" s="209">
        <f>+E34+'28'!J57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74791666666666667" right="0.74791666666666667" top="0.39027777777777778" bottom="0.39027777777777778" header="0" footer="0"/>
  <pageSetup paperSize="9" scale="62" firstPageNumber="4294963191" orientation="landscape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R61"/>
  <sheetViews>
    <sheetView zoomScale="80" zoomScaleNormal="80" workbookViewId="0">
      <selection activeCell="A7" sqref="A7:A32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5.42578125" style="158" customWidth="1"/>
    <col min="14" max="16384" width="9.140625" style="158"/>
  </cols>
  <sheetData>
    <row r="1" spans="1:18" ht="15.75">
      <c r="A1" s="157"/>
    </row>
    <row r="2" spans="1:18" ht="15.75">
      <c r="A2" s="157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28</v>
      </c>
      <c r="H4" s="163" t="str">
        <f>+'1'!H4</f>
        <v>.06.24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245+252+185</f>
        <v>682</v>
      </c>
    </row>
    <row r="7" spans="1:18" ht="13.5" customHeight="1" thickBot="1">
      <c r="A7" s="1029" t="s">
        <v>646</v>
      </c>
      <c r="B7" s="224" t="s">
        <v>799</v>
      </c>
      <c r="C7" s="225">
        <v>10070</v>
      </c>
      <c r="D7" s="226"/>
      <c r="E7" s="227"/>
      <c r="F7" s="236"/>
      <c r="G7" s="237" t="s">
        <v>11</v>
      </c>
      <c r="H7" s="238" t="s">
        <v>277</v>
      </c>
      <c r="I7" s="1032" t="s">
        <v>795</v>
      </c>
      <c r="J7" s="223" t="str">
        <f>+'27'!J7</f>
        <v>T 14 VP OW</v>
      </c>
      <c r="K7" s="246"/>
      <c r="L7" s="250"/>
      <c r="M7" s="126">
        <f>+K7+'27'!M7+L7</f>
        <v>62499</v>
      </c>
    </row>
    <row r="8" spans="1:18" ht="13.5" thickBot="1">
      <c r="A8" s="1030"/>
      <c r="B8" s="224" t="s">
        <v>804</v>
      </c>
      <c r="C8" s="225">
        <f>3106+2163</f>
        <v>5269</v>
      </c>
      <c r="D8" s="226">
        <v>463</v>
      </c>
      <c r="E8" s="228"/>
      <c r="F8" s="239">
        <v>2</v>
      </c>
      <c r="G8" s="240" t="s">
        <v>11</v>
      </c>
      <c r="H8" s="238" t="s">
        <v>484</v>
      </c>
      <c r="I8" s="1033"/>
      <c r="J8" s="223" t="str">
        <f>+'27'!J8</f>
        <v>T 15 VP OW</v>
      </c>
      <c r="K8" s="247"/>
      <c r="L8" s="247"/>
      <c r="M8" s="126">
        <f>+K8+'27'!M8+L8</f>
        <v>37584</v>
      </c>
      <c r="N8" s="158">
        <v>1730</v>
      </c>
      <c r="O8" s="158">
        <f>+N8-N8*0.16</f>
        <v>1453.2</v>
      </c>
      <c r="P8" s="158">
        <f>60+20</f>
        <v>80</v>
      </c>
      <c r="Q8" s="158">
        <f>+N8*P8</f>
        <v>138400</v>
      </c>
      <c r="R8" s="158">
        <f>+O8*P8</f>
        <v>116256</v>
      </c>
    </row>
    <row r="9" spans="1:18" ht="13.5" thickBot="1">
      <c r="A9" s="1030"/>
      <c r="B9" s="224"/>
      <c r="C9" s="225"/>
      <c r="D9" s="226"/>
      <c r="E9" s="229"/>
      <c r="F9" s="236">
        <v>3</v>
      </c>
      <c r="G9" s="240" t="s">
        <v>11</v>
      </c>
      <c r="H9" s="241" t="s">
        <v>665</v>
      </c>
      <c r="I9" s="1033"/>
      <c r="J9" s="223" t="str">
        <f>+'27'!J9</f>
        <v>T 12,5 VP OW</v>
      </c>
      <c r="K9" s="247"/>
      <c r="L9" s="247"/>
      <c r="M9" s="126">
        <f>+K9+'27'!M9+L9</f>
        <v>148332</v>
      </c>
      <c r="N9" s="158">
        <v>1430</v>
      </c>
      <c r="O9" s="158">
        <f>+N9-N9*0.2</f>
        <v>1144</v>
      </c>
      <c r="P9" s="158">
        <v>400</v>
      </c>
      <c r="Q9" s="158">
        <f>+N9*P9</f>
        <v>572000</v>
      </c>
      <c r="R9" s="158">
        <f>+O9*P9</f>
        <v>457600</v>
      </c>
    </row>
    <row r="10" spans="1:18" ht="13.5" thickBot="1">
      <c r="A10" s="1030"/>
      <c r="B10" s="224"/>
      <c r="C10" s="225"/>
      <c r="D10" s="226"/>
      <c r="E10" s="228"/>
      <c r="F10" s="236"/>
      <c r="G10" s="240"/>
      <c r="H10" s="241" t="s">
        <v>780</v>
      </c>
      <c r="I10" s="1033"/>
      <c r="J10" s="223" t="str">
        <f>+'27'!J10</f>
        <v>T 12 VP OW</v>
      </c>
      <c r="K10" s="247"/>
      <c r="L10" s="247"/>
      <c r="M10" s="126">
        <f>+K10+'27'!M10+L10</f>
        <v>25679</v>
      </c>
      <c r="P10" s="158">
        <f>SUM(P8:P9)</f>
        <v>480</v>
      </c>
      <c r="Q10" s="158">
        <f t="shared" ref="Q10:R10" si="0">SUM(Q8:Q9)</f>
        <v>710400</v>
      </c>
      <c r="R10" s="158">
        <f t="shared" si="0"/>
        <v>573856</v>
      </c>
    </row>
    <row r="11" spans="1:18" ht="13.5" thickBot="1">
      <c r="A11" s="1030"/>
      <c r="B11" s="224"/>
      <c r="C11" s="225"/>
      <c r="D11" s="226"/>
      <c r="E11" s="228"/>
      <c r="F11" s="236">
        <v>25</v>
      </c>
      <c r="G11" s="240" t="s">
        <v>11</v>
      </c>
      <c r="H11" s="241" t="s">
        <v>794</v>
      </c>
      <c r="I11" s="1033"/>
      <c r="J11" s="223" t="str">
        <f>+'27'!J11</f>
        <v>F 12 VP OW</v>
      </c>
      <c r="K11" s="247"/>
      <c r="L11" s="247"/>
      <c r="M11" s="126">
        <f>+K11+'27'!M11+L11</f>
        <v>172980</v>
      </c>
      <c r="Q11" s="158">
        <f>+Q10/P10</f>
        <v>1480</v>
      </c>
      <c r="R11" s="158">
        <f>+R10/P10</f>
        <v>1195.5333333333333</v>
      </c>
    </row>
    <row r="12" spans="1:18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+'27'!J12</f>
        <v>F 13 VP OW</v>
      </c>
      <c r="K12" s="247"/>
      <c r="L12" s="247"/>
      <c r="M12" s="126">
        <f>+K12+'27'!M12+L12</f>
        <v>245252</v>
      </c>
    </row>
    <row r="13" spans="1:18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+'27'!J13</f>
        <v>F 13,5 VP OW</v>
      </c>
      <c r="K13" s="247"/>
      <c r="L13" s="247"/>
      <c r="M13" s="126">
        <f>+K13+'27'!M13+L13</f>
        <v>21725</v>
      </c>
    </row>
    <row r="14" spans="1:18" ht="13.5" thickBot="1">
      <c r="A14" s="1031"/>
      <c r="B14" s="174" t="s">
        <v>2</v>
      </c>
      <c r="C14" s="108">
        <f>SUM(C7:C13)</f>
        <v>15339</v>
      </c>
      <c r="D14" s="120">
        <f>SUM(D7:D13)</f>
        <v>463</v>
      </c>
      <c r="E14" s="121">
        <f>SUM(E5:E13)</f>
        <v>0</v>
      </c>
      <c r="F14" s="125">
        <f>SUM(F7:F13)</f>
        <v>30</v>
      </c>
      <c r="G14" s="168"/>
      <c r="H14" s="175"/>
      <c r="I14" s="176"/>
      <c r="J14" s="223" t="str">
        <f>+'27'!J14</f>
        <v>F 12,5 VP OW</v>
      </c>
      <c r="K14" s="247"/>
      <c r="L14" s="247"/>
      <c r="M14" s="126">
        <f>+K14+'27'!M14+L14</f>
        <v>73203</v>
      </c>
    </row>
    <row r="15" spans="1:18" ht="13.5" customHeight="1" thickBot="1">
      <c r="A15" s="1035" t="s">
        <v>435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796</v>
      </c>
      <c r="J15" s="223" t="str">
        <f>+'27'!J15</f>
        <v>MG 14 VP OW/HW</v>
      </c>
      <c r="K15" s="247"/>
      <c r="L15" s="247"/>
      <c r="M15" s="126">
        <f>+K15+'27'!M15+L15</f>
        <v>83225</v>
      </c>
      <c r="N15" s="158">
        <v>1430</v>
      </c>
      <c r="O15" s="158">
        <f>+N15-N15*0.2</f>
        <v>1144</v>
      </c>
      <c r="P15" s="158">
        <v>400</v>
      </c>
      <c r="Q15" s="158">
        <f>+N15*P15</f>
        <v>572000</v>
      </c>
      <c r="R15" s="158">
        <f>+O15*P15</f>
        <v>457600</v>
      </c>
    </row>
    <row r="16" spans="1:18" ht="13.5" thickBot="1">
      <c r="A16" s="1030"/>
      <c r="B16" s="224" t="s">
        <v>804</v>
      </c>
      <c r="C16" s="230">
        <f>9459+7201</f>
        <v>16660</v>
      </c>
      <c r="D16" s="231">
        <v>68</v>
      </c>
      <c r="E16" s="232"/>
      <c r="F16" s="236">
        <v>3</v>
      </c>
      <c r="G16" s="240" t="s">
        <v>11</v>
      </c>
      <c r="H16" s="238" t="s">
        <v>454</v>
      </c>
      <c r="I16" s="1033"/>
      <c r="J16" s="223" t="str">
        <f>+'27'!J16</f>
        <v>MG 17 VP OW/HW</v>
      </c>
      <c r="K16" s="237"/>
      <c r="L16" s="237"/>
      <c r="M16" s="126">
        <f>+K16+'27'!M16+L16</f>
        <v>338028</v>
      </c>
      <c r="N16" s="158">
        <v>1450</v>
      </c>
      <c r="O16" s="158">
        <f>+N16-N16*0.2</f>
        <v>1160</v>
      </c>
      <c r="P16" s="158">
        <v>480</v>
      </c>
      <c r="Q16" s="158">
        <f>+N16*P16</f>
        <v>696000</v>
      </c>
      <c r="R16" s="158">
        <f>+O16*P16</f>
        <v>556800</v>
      </c>
    </row>
    <row r="17" spans="1:18" ht="13.5" thickBot="1">
      <c r="A17" s="1030"/>
      <c r="B17" s="224"/>
      <c r="C17" s="225"/>
      <c r="D17" s="226"/>
      <c r="E17" s="233"/>
      <c r="F17" s="236">
        <v>4</v>
      </c>
      <c r="G17" s="240" t="s">
        <v>11</v>
      </c>
      <c r="H17" s="241" t="s">
        <v>785</v>
      </c>
      <c r="I17" s="1033"/>
      <c r="J17" s="223" t="str">
        <f>+'27'!J17</f>
        <v>MG 16 VP HW</v>
      </c>
      <c r="K17" s="237"/>
      <c r="L17" s="237"/>
      <c r="M17" s="126">
        <f>+K17+'27'!M17+L17</f>
        <v>338456</v>
      </c>
      <c r="N17" s="158">
        <v>1450</v>
      </c>
      <c r="O17" s="158">
        <f>+N17-N17*0.2</f>
        <v>1160</v>
      </c>
      <c r="P17" s="158">
        <v>410</v>
      </c>
      <c r="Q17" s="158">
        <f>+N17*P17</f>
        <v>594500</v>
      </c>
      <c r="R17" s="158">
        <f>+O17*P17</f>
        <v>475600</v>
      </c>
    </row>
    <row r="18" spans="1:18" ht="13.5" thickBot="1">
      <c r="A18" s="1030"/>
      <c r="B18" s="224"/>
      <c r="C18" s="225"/>
      <c r="D18" s="226"/>
      <c r="E18" s="233"/>
      <c r="F18" s="236"/>
      <c r="G18" s="240"/>
      <c r="H18" s="241" t="s">
        <v>791</v>
      </c>
      <c r="I18" s="1033"/>
      <c r="J18" s="223" t="str">
        <f>+'27'!J18</f>
        <v>MG 19 VP HW</v>
      </c>
      <c r="K18" s="247"/>
      <c r="L18" s="247"/>
      <c r="M18" s="126">
        <f>+K18+'27'!M18+L18</f>
        <v>22191</v>
      </c>
      <c r="P18" s="158">
        <f>SUM(P15:P17)</f>
        <v>1290</v>
      </c>
      <c r="Q18" s="158">
        <f t="shared" ref="Q18:R18" si="1">SUM(Q15:Q17)</f>
        <v>1862500</v>
      </c>
      <c r="R18" s="158">
        <f t="shared" si="1"/>
        <v>1490000</v>
      </c>
    </row>
    <row r="19" spans="1:18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 t="str">
        <f>+'27'!J19</f>
        <v>MG 15,5 VP HW</v>
      </c>
      <c r="K19" s="247"/>
      <c r="L19" s="247"/>
      <c r="M19" s="126">
        <f>+K19+'27'!M19+L19</f>
        <v>26491</v>
      </c>
      <c r="Q19" s="158">
        <f>+Q18/P18</f>
        <v>1443.7984496124031</v>
      </c>
      <c r="R19" s="158">
        <f>+R18/P18</f>
        <v>1155.0387596899225</v>
      </c>
    </row>
    <row r="20" spans="1:18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 t="str">
        <f>+'27'!J20</f>
        <v>MG 20 VP HW/OW</v>
      </c>
      <c r="K20" s="248"/>
      <c r="L20" s="248"/>
      <c r="M20" s="126">
        <f>+K20+'27'!M20+L20</f>
        <v>117211</v>
      </c>
    </row>
    <row r="21" spans="1:18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 t="str">
        <f>+'27'!J21</f>
        <v>MG 20,5 VP OW</v>
      </c>
      <c r="K21" s="247"/>
      <c r="L21" s="247"/>
      <c r="M21" s="126">
        <f>+K21+'27'!M21+L21</f>
        <v>19381</v>
      </c>
    </row>
    <row r="22" spans="1:18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 t="str">
        <f>+'27'!J22</f>
        <v>MG 21,5 VP OW</v>
      </c>
      <c r="K22" s="247"/>
      <c r="L22" s="247"/>
      <c r="M22" s="126">
        <f>+K22+'27'!M22+L22</f>
        <v>54453</v>
      </c>
    </row>
    <row r="23" spans="1:18" ht="13.5" thickBot="1">
      <c r="A23" s="1031"/>
      <c r="B23" s="177" t="s">
        <v>2</v>
      </c>
      <c r="C23" s="109">
        <f>SUM(C16:C22)</f>
        <v>16660</v>
      </c>
      <c r="D23" s="120">
        <f>SUM(D16:D22)</f>
        <v>68</v>
      </c>
      <c r="E23" s="121">
        <f>SUM(E18:E22)</f>
        <v>0</v>
      </c>
      <c r="F23" s="125">
        <f>SUM(F15:F22)</f>
        <v>7</v>
      </c>
      <c r="G23" s="168"/>
      <c r="H23" s="175" t="s">
        <v>234</v>
      </c>
      <c r="I23" s="178"/>
      <c r="J23" s="223" t="str">
        <f>+'27'!J23</f>
        <v>MG 25 VP OW</v>
      </c>
      <c r="K23" s="247"/>
      <c r="L23" s="247"/>
      <c r="M23" s="126">
        <f>+K23+'27'!M23+L23</f>
        <v>0</v>
      </c>
    </row>
    <row r="24" spans="1:18" ht="13.5" customHeight="1" thickBot="1">
      <c r="A24" s="1035" t="s">
        <v>595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796</v>
      </c>
      <c r="J24" s="223" t="str">
        <f>+'27'!J24</f>
        <v>F 10,5 VP OW</v>
      </c>
      <c r="K24" s="247">
        <f>+C7</f>
        <v>10070</v>
      </c>
      <c r="L24" s="247"/>
      <c r="M24" s="126">
        <f>+K24+'27'!M24+L24</f>
        <v>35876</v>
      </c>
    </row>
    <row r="25" spans="1:18" ht="13.5" customHeight="1" thickBot="1">
      <c r="A25" s="1030"/>
      <c r="B25" s="224" t="s">
        <v>804</v>
      </c>
      <c r="C25" s="234">
        <v>17444</v>
      </c>
      <c r="D25" s="226">
        <v>359</v>
      </c>
      <c r="E25" s="233"/>
      <c r="F25" s="239">
        <v>3</v>
      </c>
      <c r="G25" s="240" t="s">
        <v>11</v>
      </c>
      <c r="H25" s="238" t="s">
        <v>454</v>
      </c>
      <c r="I25" s="1033"/>
      <c r="J25" s="223" t="s">
        <v>804</v>
      </c>
      <c r="K25" s="247">
        <f>+C8+C16+C25</f>
        <v>39373</v>
      </c>
      <c r="L25" s="247"/>
      <c r="M25" s="126">
        <f>+K25+'27'!M25+L25</f>
        <v>39373</v>
      </c>
    </row>
    <row r="26" spans="1:18" ht="13.5" customHeight="1" thickBot="1">
      <c r="A26" s="1030"/>
      <c r="B26" s="224"/>
      <c r="C26" s="234"/>
      <c r="D26" s="226"/>
      <c r="E26" s="235"/>
      <c r="F26" s="239">
        <v>4</v>
      </c>
      <c r="G26" s="240" t="s">
        <v>11</v>
      </c>
      <c r="H26" s="241" t="s">
        <v>665</v>
      </c>
      <c r="I26" s="1033"/>
      <c r="J26" s="223">
        <f>+'27'!J26</f>
        <v>0</v>
      </c>
      <c r="K26" s="247"/>
      <c r="L26" s="247"/>
      <c r="M26" s="126">
        <f>+K26+'27'!M26+L26</f>
        <v>0</v>
      </c>
    </row>
    <row r="27" spans="1:18" ht="13.5" customHeight="1" thickBot="1">
      <c r="A27" s="1030"/>
      <c r="B27" s="224"/>
      <c r="C27" s="225"/>
      <c r="D27" s="226"/>
      <c r="E27" s="233"/>
      <c r="F27" s="239"/>
      <c r="G27" s="240"/>
      <c r="H27" s="241" t="s">
        <v>791</v>
      </c>
      <c r="I27" s="1033"/>
      <c r="J27" s="223">
        <f>+'27'!J27</f>
        <v>0</v>
      </c>
      <c r="K27" s="247"/>
      <c r="L27" s="247"/>
      <c r="M27" s="126">
        <f>+K27+'27'!M27+L27</f>
        <v>0</v>
      </c>
    </row>
    <row r="28" spans="1:18" ht="13.5" customHeight="1" thickBot="1">
      <c r="A28" s="1030"/>
      <c r="B28" s="224"/>
      <c r="C28" s="225"/>
      <c r="D28" s="226"/>
      <c r="E28" s="233"/>
      <c r="F28" s="239">
        <f>55+15</f>
        <v>70</v>
      </c>
      <c r="G28" s="240" t="s">
        <v>19</v>
      </c>
      <c r="H28" s="241" t="s">
        <v>792</v>
      </c>
      <c r="I28" s="1033"/>
      <c r="J28" s="223">
        <f>+'27'!J28</f>
        <v>0</v>
      </c>
      <c r="K28" s="247"/>
      <c r="L28" s="247"/>
      <c r="M28" s="126">
        <f>+K28+'27'!M28+L28</f>
        <v>0</v>
      </c>
    </row>
    <row r="29" spans="1:18" ht="13.5" customHeight="1" thickBot="1">
      <c r="A29" s="1030"/>
      <c r="B29" s="224"/>
      <c r="C29" s="225"/>
      <c r="D29" s="226"/>
      <c r="E29" s="233"/>
      <c r="F29" s="244"/>
      <c r="G29" s="240"/>
      <c r="H29" s="241" t="s">
        <v>793</v>
      </c>
      <c r="I29" s="1033"/>
      <c r="J29" s="223">
        <f>+'27'!J29</f>
        <v>0</v>
      </c>
      <c r="K29" s="247"/>
      <c r="L29" s="247"/>
      <c r="M29" s="126">
        <f>+K29+'27'!M29+L29</f>
        <v>0</v>
      </c>
    </row>
    <row r="30" spans="1:18" ht="13.5" customHeight="1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+'27'!J30</f>
        <v>0</v>
      </c>
      <c r="K30" s="247"/>
      <c r="L30" s="247"/>
      <c r="M30" s="126">
        <f>+K30+'27'!M30+L30</f>
        <v>0</v>
      </c>
      <c r="N30" s="164"/>
    </row>
    <row r="31" spans="1:18" ht="13.5" customHeight="1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+'27'!J31</f>
        <v>0</v>
      </c>
      <c r="K31" s="247"/>
      <c r="L31" s="247"/>
      <c r="M31" s="126">
        <f>+K31+'27'!M31+L31</f>
        <v>0</v>
      </c>
    </row>
    <row r="32" spans="1:18" ht="13.5" customHeight="1" thickBot="1">
      <c r="A32" s="1031"/>
      <c r="B32" s="174" t="s">
        <v>2</v>
      </c>
      <c r="C32" s="108">
        <f>SUM(C25:C31)</f>
        <v>17444</v>
      </c>
      <c r="D32" s="109">
        <f>SUM(D25:D31)</f>
        <v>359</v>
      </c>
      <c r="E32" s="110">
        <f>SUM(E25:E31)</f>
        <v>0</v>
      </c>
      <c r="F32" s="111">
        <f>SUM(F24:F31)</f>
        <v>77</v>
      </c>
      <c r="G32" s="180"/>
      <c r="H32" s="181"/>
      <c r="I32" s="178"/>
      <c r="J32" s="223">
        <f>+'27'!J32</f>
        <v>0</v>
      </c>
      <c r="K32" s="249"/>
      <c r="L32" s="251"/>
      <c r="M32" s="126">
        <f>+K32+'27'!M32+L32</f>
        <v>0</v>
      </c>
    </row>
    <row r="33" spans="1:14" ht="13.5" thickBot="1">
      <c r="A33" s="182"/>
      <c r="B33" s="183"/>
      <c r="C33" s="112">
        <f>C32/($C$32+$D$32+$E$32)</f>
        <v>0.97983485929337755</v>
      </c>
      <c r="D33" s="113">
        <f>D32/($C$32+$D$32+$E$32)</f>
        <v>2.0165140706622481E-2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49443</v>
      </c>
      <c r="D34" s="116">
        <f>D14+D23+D32</f>
        <v>890</v>
      </c>
      <c r="E34" s="116">
        <f>E14+E23+E32</f>
        <v>0</v>
      </c>
      <c r="F34" s="117">
        <f>F14+F23+F32</f>
        <v>114</v>
      </c>
      <c r="H34" s="187"/>
      <c r="I34" s="187"/>
      <c r="J34" s="132" t="s">
        <v>27</v>
      </c>
      <c r="K34" s="133">
        <f>SUM(K7:K32)</f>
        <v>49443</v>
      </c>
      <c r="L34" s="221">
        <f>SUM(L7:L32)</f>
        <v>0</v>
      </c>
      <c r="M34" s="129">
        <f>SUM(M7:M32)</f>
        <v>1861939</v>
      </c>
      <c r="N34" s="164"/>
    </row>
    <row r="35" spans="1:14" ht="13.5" thickBot="1">
      <c r="A35" s="188"/>
      <c r="B35" s="189"/>
      <c r="C35" s="113">
        <f>C34/($C$34+$D$34+$E$34)</f>
        <v>0.98231776369379931</v>
      </c>
      <c r="D35" s="113">
        <f>D34/($C$34+$D$34+$E$34)</f>
        <v>1.7682236306200704E-2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(10.5*80+13*1290)/1370*G42*2.77*1370/1000000</f>
        <v>57.191741462189789</v>
      </c>
      <c r="J37" s="134">
        <f>+I37+'27'!J37</f>
        <v>1998.4687871851979</v>
      </c>
      <c r="K37" s="135" t="s">
        <v>63</v>
      </c>
      <c r="L37" s="158">
        <f>3.013+2.822</f>
        <v>5.835</v>
      </c>
    </row>
    <row r="38" spans="1:14" ht="17.45" customHeight="1">
      <c r="A38" s="1027" t="s">
        <v>11</v>
      </c>
      <c r="B38" s="1028"/>
      <c r="C38" s="173">
        <f>SUMIF($G$7:$G$31,"Process",$F$7:$F$31)</f>
        <v>44</v>
      </c>
      <c r="D38" s="127">
        <f>+C38+'27'!D38</f>
        <v>927</v>
      </c>
      <c r="E38" s="152">
        <f t="shared" ref="E38:E51" si="2">D38/60</f>
        <v>15.45</v>
      </c>
      <c r="F38" s="337">
        <v>1480</v>
      </c>
      <c r="G38" s="337">
        <v>1195.5333333333333</v>
      </c>
      <c r="H38" s="196" t="s">
        <v>64</v>
      </c>
      <c r="I38" s="548">
        <f>18.612+18.261+17.204</f>
        <v>54.076999999999998</v>
      </c>
      <c r="J38" s="136">
        <f>+I38+'27'!J38</f>
        <v>1912.175</v>
      </c>
      <c r="K38" s="137" t="s">
        <v>63</v>
      </c>
      <c r="L38" s="556">
        <f>+I38-L37</f>
        <v>48.241999999999997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+C39+'27'!D39</f>
        <v>0</v>
      </c>
      <c r="E39" s="152">
        <f t="shared" si="2"/>
        <v>0</v>
      </c>
      <c r="F39" s="337">
        <v>1450</v>
      </c>
      <c r="G39" s="337">
        <f>+F39-F39*0.2</f>
        <v>1160</v>
      </c>
      <c r="H39" s="196" t="s">
        <v>65</v>
      </c>
      <c r="I39" s="151"/>
      <c r="J39" s="138">
        <f>J37/G4</f>
        <v>71.373885256614216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+C40+'27'!D40</f>
        <v>0</v>
      </c>
      <c r="E40" s="152">
        <f t="shared" si="2"/>
        <v>0</v>
      </c>
      <c r="F40" s="337">
        <v>1450</v>
      </c>
      <c r="G40" s="337">
        <f>+F40-F40*0.2</f>
        <v>1160</v>
      </c>
      <c r="H40" s="196" t="s">
        <v>67</v>
      </c>
      <c r="I40" s="127">
        <f>(K34+L34)/1000</f>
        <v>49.442999999999998</v>
      </c>
      <c r="J40" s="140">
        <f>+I40+'27'!J40</f>
        <v>1861.9390000000001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+C41+'27'!D41</f>
        <v>55</v>
      </c>
      <c r="E41" s="152">
        <f t="shared" si="2"/>
        <v>0.91666666666666663</v>
      </c>
      <c r="F41" s="337"/>
      <c r="G41" s="337"/>
      <c r="H41" s="196" t="s">
        <v>69</v>
      </c>
      <c r="I41" s="151"/>
      <c r="J41" s="138">
        <f>J40/G4</f>
        <v>66.497821428571427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+C42+'27'!D42</f>
        <v>0</v>
      </c>
      <c r="E42" s="152">
        <f t="shared" si="2"/>
        <v>0</v>
      </c>
      <c r="F42" s="337">
        <f>+(F38*480+F39*480+F40*410)/1370</f>
        <v>1460.5109489051094</v>
      </c>
      <c r="G42" s="337">
        <f>+(G38*480+G39*480+G40*410)/1370</f>
        <v>1172.4496350364964</v>
      </c>
      <c r="H42" s="196" t="s">
        <v>70</v>
      </c>
      <c r="I42" s="254" t="s">
        <v>797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+C43+'27'!D43</f>
        <v>0</v>
      </c>
      <c r="E43" s="152">
        <f t="shared" si="2"/>
        <v>0</v>
      </c>
      <c r="F43" s="337"/>
      <c r="G43" s="338"/>
      <c r="H43" s="197" t="s">
        <v>73</v>
      </c>
      <c r="I43" s="127">
        <f>+Report1!T36</f>
        <v>121.961</v>
      </c>
      <c r="J43" s="142">
        <f>+I43+'27'!J43</f>
        <v>3917.5169999999998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+C44+'27'!D44</f>
        <v>515</v>
      </c>
      <c r="E44" s="152">
        <f t="shared" si="2"/>
        <v>8.5833333333333339</v>
      </c>
      <c r="F44" s="337"/>
      <c r="G44" s="338"/>
      <c r="H44" s="197" t="s">
        <v>74</v>
      </c>
      <c r="I44" s="127">
        <f>I43/I38</f>
        <v>2.2553211161861788</v>
      </c>
      <c r="J44" s="143">
        <f>J43/J38</f>
        <v>2.0487230509759828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+C45+'27'!D45</f>
        <v>0</v>
      </c>
      <c r="E45" s="152">
        <f t="shared" si="2"/>
        <v>0</v>
      </c>
      <c r="F45" s="337"/>
      <c r="G45" s="340"/>
      <c r="H45" s="197" t="s">
        <v>75</v>
      </c>
      <c r="I45" s="127">
        <f>I43/I40</f>
        <v>2.4666990271625915</v>
      </c>
      <c r="J45" s="143">
        <f>J43/J40</f>
        <v>2.1039985735300673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+C46+'27'!D46</f>
        <v>0</v>
      </c>
      <c r="E46" s="152">
        <f t="shared" si="2"/>
        <v>0</v>
      </c>
      <c r="F46" s="337"/>
      <c r="G46" s="338"/>
      <c r="H46" s="197" t="s">
        <v>77</v>
      </c>
      <c r="I46" s="149">
        <f>+SUMIF(Listrik!AR35,"&gt;0")</f>
        <v>54769.200000000244</v>
      </c>
      <c r="J46" s="144">
        <f>+I46+'27'!J46</f>
        <v>1536190.4600000016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+C47+'27'!D47</f>
        <v>0</v>
      </c>
      <c r="E47" s="152">
        <f t="shared" si="2"/>
        <v>0</v>
      </c>
      <c r="F47" s="337"/>
      <c r="G47" s="338"/>
      <c r="H47" s="197" t="s">
        <v>80</v>
      </c>
      <c r="I47" s="127">
        <f>I46/I38</f>
        <v>1012.8002662869658</v>
      </c>
      <c r="J47" s="144">
        <f>J46/J38</f>
        <v>803.37336279367821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+C48+'27'!D48</f>
        <v>0</v>
      </c>
      <c r="E48" s="152">
        <f t="shared" si="2"/>
        <v>0</v>
      </c>
      <c r="F48" s="337"/>
      <c r="G48" s="338"/>
      <c r="H48" s="197" t="s">
        <v>81</v>
      </c>
      <c r="I48" s="127">
        <f>I46/I40</f>
        <v>1107.724045871008</v>
      </c>
      <c r="J48" s="144">
        <f>J46/J40</f>
        <v>825.04875831055767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70</v>
      </c>
      <c r="D49" s="127">
        <f>+C49+'27'!D49</f>
        <v>70</v>
      </c>
      <c r="E49" s="152">
        <f t="shared" si="2"/>
        <v>1.1666666666666667</v>
      </c>
      <c r="F49" s="194"/>
      <c r="H49" s="197" t="s">
        <v>82</v>
      </c>
      <c r="I49" s="127">
        <v>0</v>
      </c>
      <c r="J49" s="144">
        <f>+I49+'27'!J49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+C50+'27'!D50</f>
        <v>0</v>
      </c>
      <c r="E50" s="152">
        <f t="shared" si="2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+C51+'27'!D51</f>
        <v>0</v>
      </c>
      <c r="E51" s="152">
        <f t="shared" si="2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114</v>
      </c>
      <c r="D52" s="153">
        <f>SUM(D38:D51)</f>
        <v>1567</v>
      </c>
      <c r="E52" s="154">
        <f>SUM(E38:E51)</f>
        <v>26.116666666666671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7.9166666666666663E-2</v>
      </c>
      <c r="D53" s="155">
        <f>D52/(24*60*G4)</f>
        <v>3.8864087301587302E-2</v>
      </c>
      <c r="E53" s="156">
        <f>E52/(G4*24)</f>
        <v>3.8864087301587309E-2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+D34+'27'!J56</f>
        <v>14228</v>
      </c>
      <c r="K56" s="210">
        <f>J56/(J40+J56/1000)/1000</f>
        <v>7.5835466672209877E-3</v>
      </c>
    </row>
    <row r="57" spans="1:11">
      <c r="A57" s="185"/>
      <c r="I57" s="208" t="s">
        <v>89</v>
      </c>
      <c r="J57" s="209">
        <f>+E34+'27'!J57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05" right="0.05" top="0.19513888888888889" bottom="0.39027777777777778" header="0" footer="0"/>
  <pageSetup paperSize="9" scale="63" firstPageNumber="4294963191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R61"/>
  <sheetViews>
    <sheetView zoomScale="80" zoomScaleNormal="80" workbookViewId="0">
      <selection activeCell="J25" sqref="J25"/>
    </sheetView>
  </sheetViews>
  <sheetFormatPr defaultColWidth="9.140625" defaultRowHeight="12.75"/>
  <cols>
    <col min="1" max="1" width="8" style="158" customWidth="1"/>
    <col min="2" max="2" width="10.7109375" style="158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8.42578125" style="158" customWidth="1"/>
    <col min="11" max="11" width="12.5703125" style="158" bestFit="1" customWidth="1"/>
    <col min="12" max="12" width="8.28515625" style="158" customWidth="1"/>
    <col min="13" max="13" width="14.28515625" style="158" customWidth="1"/>
    <col min="14" max="16384" width="9.140625" style="158"/>
  </cols>
  <sheetData>
    <row r="1" spans="1:18" ht="15.75">
      <c r="A1" s="157"/>
    </row>
    <row r="2" spans="1:18" ht="15.75">
      <c r="A2" s="157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27</v>
      </c>
      <c r="H4" s="163" t="str">
        <f>+'1'!H4</f>
        <v>.06.24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193+183+185</f>
        <v>561</v>
      </c>
    </row>
    <row r="7" spans="1:18" ht="13.5" customHeight="1" thickBot="1">
      <c r="A7" s="1029" t="s">
        <v>646</v>
      </c>
      <c r="B7" s="224" t="s">
        <v>556</v>
      </c>
      <c r="C7" s="225">
        <v>6992</v>
      </c>
      <c r="D7" s="226"/>
      <c r="E7" s="227"/>
      <c r="F7" s="236"/>
      <c r="G7" s="237" t="s">
        <v>11</v>
      </c>
      <c r="H7" s="238" t="s">
        <v>277</v>
      </c>
      <c r="I7" s="1032" t="s">
        <v>718</v>
      </c>
      <c r="J7" s="223" t="str">
        <f>+'26'!J7</f>
        <v>T 14 VP OW</v>
      </c>
      <c r="K7" s="246"/>
      <c r="L7" s="250"/>
      <c r="M7" s="126">
        <f>+K7+'26'!M7+L7</f>
        <v>62499</v>
      </c>
    </row>
    <row r="8" spans="1:18" ht="13.5" thickBot="1">
      <c r="A8" s="1030"/>
      <c r="B8" s="224" t="s">
        <v>524</v>
      </c>
      <c r="C8" s="225">
        <f>4069+4659</f>
        <v>8728</v>
      </c>
      <c r="D8" s="226">
        <v>370</v>
      </c>
      <c r="E8" s="228"/>
      <c r="F8" s="239">
        <v>2</v>
      </c>
      <c r="G8" s="240" t="s">
        <v>11</v>
      </c>
      <c r="H8" s="238" t="s">
        <v>488</v>
      </c>
      <c r="I8" s="1033"/>
      <c r="J8" s="223" t="str">
        <f>+'26'!J8</f>
        <v>T 15 VP OW</v>
      </c>
      <c r="K8" s="247"/>
      <c r="L8" s="247"/>
      <c r="M8" s="126">
        <f>+K8+'26'!M8+L8</f>
        <v>37584</v>
      </c>
      <c r="N8" s="158">
        <v>1700</v>
      </c>
      <c r="O8" s="158">
        <f>+N8-N8*0.2</f>
        <v>1360</v>
      </c>
      <c r="P8" s="158">
        <v>20</v>
      </c>
      <c r="Q8" s="158">
        <f>+N8*P8</f>
        <v>34000</v>
      </c>
      <c r="R8" s="158">
        <f>+O8*P8</f>
        <v>27200</v>
      </c>
    </row>
    <row r="9" spans="1:18" ht="13.5" thickBot="1">
      <c r="A9" s="1030"/>
      <c r="B9" s="224"/>
      <c r="C9" s="225"/>
      <c r="D9" s="226"/>
      <c r="E9" s="229"/>
      <c r="F9" s="236">
        <v>4</v>
      </c>
      <c r="G9" s="240" t="s">
        <v>11</v>
      </c>
      <c r="H9" s="241" t="s">
        <v>483</v>
      </c>
      <c r="I9" s="1033"/>
      <c r="J9" s="223" t="str">
        <f>+'26'!J9</f>
        <v>T 12,5 VP OW</v>
      </c>
      <c r="K9" s="247"/>
      <c r="L9" s="247"/>
      <c r="M9" s="126">
        <f>+K9+'26'!M9+L9</f>
        <v>148332</v>
      </c>
      <c r="N9" s="158">
        <v>1700</v>
      </c>
      <c r="O9" s="158">
        <f>+N9-N9*0.2</f>
        <v>1360</v>
      </c>
      <c r="P9" s="158">
        <v>460</v>
      </c>
      <c r="Q9" s="158">
        <f>+N9*P9</f>
        <v>782000</v>
      </c>
      <c r="R9" s="158">
        <f>+O9*P9</f>
        <v>625600</v>
      </c>
    </row>
    <row r="10" spans="1:18" ht="13.5" thickBot="1">
      <c r="A10" s="1030"/>
      <c r="B10" s="224"/>
      <c r="C10" s="225"/>
      <c r="D10" s="226"/>
      <c r="E10" s="228"/>
      <c r="F10" s="236"/>
      <c r="G10" s="240"/>
      <c r="H10" s="241" t="s">
        <v>781</v>
      </c>
      <c r="I10" s="1033"/>
      <c r="J10" s="223" t="str">
        <f>+'26'!J10</f>
        <v>T 12 VP OW</v>
      </c>
      <c r="K10" s="247"/>
      <c r="L10" s="247"/>
      <c r="M10" s="126">
        <f>+K10+'26'!M10+L10</f>
        <v>25679</v>
      </c>
      <c r="P10" s="158">
        <f>SUM(P8:P9)</f>
        <v>480</v>
      </c>
      <c r="Q10" s="158">
        <f t="shared" ref="Q10:R10" si="0">SUM(Q8:Q9)</f>
        <v>816000</v>
      </c>
      <c r="R10" s="158">
        <f t="shared" si="0"/>
        <v>652800</v>
      </c>
    </row>
    <row r="11" spans="1:18" ht="13.5" thickBot="1">
      <c r="A11" s="1030"/>
      <c r="B11" s="224"/>
      <c r="C11" s="225"/>
      <c r="D11" s="226"/>
      <c r="E11" s="228"/>
      <c r="F11" s="236">
        <v>5</v>
      </c>
      <c r="G11" s="240" t="s">
        <v>11</v>
      </c>
      <c r="H11" s="241" t="s">
        <v>775</v>
      </c>
      <c r="I11" s="1033"/>
      <c r="J11" s="223" t="str">
        <f>+'26'!J11</f>
        <v>F 12 VP OW</v>
      </c>
      <c r="K11" s="247">
        <f>+C8+C16+C26</f>
        <v>22747</v>
      </c>
      <c r="L11" s="247"/>
      <c r="M11" s="126">
        <f>+K11+'26'!M11+L11</f>
        <v>172980</v>
      </c>
      <c r="Q11" s="158">
        <f>+Q10/P10</f>
        <v>1700</v>
      </c>
      <c r="R11" s="158">
        <f>+R10/P10</f>
        <v>1360</v>
      </c>
    </row>
    <row r="12" spans="1:18" ht="26.25" thickBot="1">
      <c r="A12" s="1030"/>
      <c r="B12" s="224"/>
      <c r="C12" s="225"/>
      <c r="D12" s="226"/>
      <c r="E12" s="228"/>
      <c r="F12" s="236"/>
      <c r="G12" s="240"/>
      <c r="H12" s="241" t="s">
        <v>776</v>
      </c>
      <c r="I12" s="1033"/>
      <c r="J12" s="223" t="str">
        <f>+'26'!J12</f>
        <v>F 13 VP OW</v>
      </c>
      <c r="K12" s="247"/>
      <c r="L12" s="247"/>
      <c r="M12" s="126">
        <f>+K12+'26'!M12+L12</f>
        <v>245252</v>
      </c>
    </row>
    <row r="13" spans="1:18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+'26'!J13</f>
        <v>F 13,5 VP OW</v>
      </c>
      <c r="K13" s="247">
        <f>+C7</f>
        <v>6992</v>
      </c>
      <c r="L13" s="247"/>
      <c r="M13" s="126">
        <f>+K13+'26'!M13+L13</f>
        <v>21725</v>
      </c>
    </row>
    <row r="14" spans="1:18" ht="13.5" thickBot="1">
      <c r="A14" s="1031"/>
      <c r="B14" s="174" t="s">
        <v>2</v>
      </c>
      <c r="C14" s="108">
        <f>SUM(C7:C13)</f>
        <v>15720</v>
      </c>
      <c r="D14" s="120">
        <f>SUM(D7:D13)</f>
        <v>370</v>
      </c>
      <c r="E14" s="121">
        <f>SUM(E5:E13)</f>
        <v>0</v>
      </c>
      <c r="F14" s="125">
        <f>SUM(F7:F13)</f>
        <v>11</v>
      </c>
      <c r="G14" s="168"/>
      <c r="H14" s="175"/>
      <c r="I14" s="176"/>
      <c r="J14" s="223" t="str">
        <f>+'26'!J14</f>
        <v>F 12,5 VP OW</v>
      </c>
      <c r="K14" s="247"/>
      <c r="L14" s="247"/>
      <c r="M14" s="126">
        <f>+K14+'26'!M14+L14</f>
        <v>73203</v>
      </c>
    </row>
    <row r="15" spans="1:18" ht="13.5" customHeight="1" thickBot="1">
      <c r="A15" s="1035" t="s">
        <v>535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782</v>
      </c>
      <c r="J15" s="223" t="str">
        <f>+'26'!J15</f>
        <v>MG 14 VP OW/HW</v>
      </c>
      <c r="K15" s="247"/>
      <c r="L15" s="247"/>
      <c r="M15" s="126">
        <f>+K15+'26'!M15+L15</f>
        <v>83225</v>
      </c>
      <c r="N15" s="158">
        <v>1700</v>
      </c>
      <c r="O15" s="158">
        <f>+N15-N15*0.2</f>
        <v>1360</v>
      </c>
      <c r="P15" s="158">
        <f>60+50</f>
        <v>110</v>
      </c>
      <c r="Q15" s="158">
        <f>+N15*P15</f>
        <v>187000</v>
      </c>
      <c r="R15" s="158">
        <f>+O15*P15</f>
        <v>149600</v>
      </c>
    </row>
    <row r="16" spans="1:18" ht="13.5" thickBot="1">
      <c r="A16" s="1030"/>
      <c r="B16" s="224" t="s">
        <v>524</v>
      </c>
      <c r="C16" s="230">
        <f>5984+7342</f>
        <v>13326</v>
      </c>
      <c r="D16" s="231">
        <v>870</v>
      </c>
      <c r="E16" s="232"/>
      <c r="F16" s="236">
        <v>5</v>
      </c>
      <c r="G16" s="240" t="s">
        <v>11</v>
      </c>
      <c r="H16" s="238" t="s">
        <v>488</v>
      </c>
      <c r="I16" s="1033"/>
      <c r="J16" s="223" t="str">
        <f>+'26'!J16</f>
        <v>MG 17 VP OW/HW</v>
      </c>
      <c r="K16" s="247"/>
      <c r="L16" s="237"/>
      <c r="M16" s="126">
        <f>+K16+'26'!M16+L16</f>
        <v>338028</v>
      </c>
      <c r="N16" s="158">
        <v>1730</v>
      </c>
      <c r="O16" s="158">
        <f>+N16-N16*0.16</f>
        <v>1453.2</v>
      </c>
      <c r="P16" s="158">
        <f>10+360</f>
        <v>370</v>
      </c>
      <c r="Q16" s="158">
        <f>+N16*P16</f>
        <v>640100</v>
      </c>
      <c r="R16" s="158">
        <f>+O16*P16</f>
        <v>537684</v>
      </c>
    </row>
    <row r="17" spans="1:18" ht="13.5" thickBot="1">
      <c r="A17" s="1030"/>
      <c r="B17" s="224" t="s">
        <v>787</v>
      </c>
      <c r="C17" s="225">
        <v>2398</v>
      </c>
      <c r="D17" s="226"/>
      <c r="E17" s="233"/>
      <c r="F17" s="236">
        <v>7</v>
      </c>
      <c r="G17" s="240" t="s">
        <v>11</v>
      </c>
      <c r="H17" s="241" t="s">
        <v>665</v>
      </c>
      <c r="I17" s="1033"/>
      <c r="J17" s="223" t="str">
        <f>+'26'!J17</f>
        <v>MG 16 VP HW</v>
      </c>
      <c r="K17" s="247"/>
      <c r="L17" s="237"/>
      <c r="M17" s="126">
        <f>+K17+'26'!M17+L17</f>
        <v>338456</v>
      </c>
      <c r="P17" s="158">
        <f>SUM(P15:P16)</f>
        <v>480</v>
      </c>
      <c r="Q17" s="158">
        <f t="shared" ref="Q17" si="1">SUM(Q15:Q16)</f>
        <v>827100</v>
      </c>
      <c r="R17" s="158">
        <f t="shared" ref="R17" si="2">SUM(R15:R16)</f>
        <v>687284</v>
      </c>
    </row>
    <row r="18" spans="1:18" ht="13.5" thickBot="1">
      <c r="A18" s="1030"/>
      <c r="B18" s="224"/>
      <c r="C18" s="225"/>
      <c r="D18" s="226"/>
      <c r="E18" s="233"/>
      <c r="F18" s="236"/>
      <c r="G18" s="240"/>
      <c r="H18" s="241" t="s">
        <v>715</v>
      </c>
      <c r="I18" s="1033"/>
      <c r="J18" s="223" t="str">
        <f>+'26'!J18</f>
        <v>MG 19 VP HW</v>
      </c>
      <c r="K18" s="247"/>
      <c r="L18" s="247"/>
      <c r="M18" s="126">
        <f>+K18+'26'!M18+L18</f>
        <v>22191</v>
      </c>
      <c r="Q18" s="158">
        <f>+Q17/P17</f>
        <v>1723.125</v>
      </c>
      <c r="R18" s="158">
        <f>+R17/P17</f>
        <v>1431.8416666666667</v>
      </c>
    </row>
    <row r="19" spans="1:18" ht="13.5" thickBot="1">
      <c r="A19" s="1030"/>
      <c r="B19" s="224"/>
      <c r="C19" s="225"/>
      <c r="D19" s="226"/>
      <c r="E19" s="233"/>
      <c r="F19" s="243"/>
      <c r="G19" s="240"/>
      <c r="H19" s="241" t="s">
        <v>777</v>
      </c>
      <c r="I19" s="1033"/>
      <c r="J19" s="223" t="str">
        <f>+'26'!J19</f>
        <v>MG 15,5 VP HW</v>
      </c>
      <c r="K19" s="247"/>
      <c r="L19" s="247"/>
      <c r="M19" s="126">
        <f>+K19+'26'!M19+L19</f>
        <v>26491</v>
      </c>
    </row>
    <row r="20" spans="1:18" ht="13.5" thickBot="1">
      <c r="A20" s="1030"/>
      <c r="B20" s="224"/>
      <c r="C20" s="225"/>
      <c r="D20" s="226"/>
      <c r="E20" s="233"/>
      <c r="F20" s="236"/>
      <c r="G20" s="240"/>
      <c r="H20" s="241" t="s">
        <v>778</v>
      </c>
      <c r="I20" s="1033"/>
      <c r="J20" s="223" t="str">
        <f>+'26'!J20</f>
        <v>MG 20 VP HW/OW</v>
      </c>
      <c r="K20" s="247"/>
      <c r="L20" s="248"/>
      <c r="M20" s="126">
        <f>+K20+'26'!M20+L20</f>
        <v>117211</v>
      </c>
    </row>
    <row r="21" spans="1:18" ht="26.25" thickBot="1">
      <c r="A21" s="1030"/>
      <c r="B21" s="224"/>
      <c r="C21" s="225"/>
      <c r="D21" s="226"/>
      <c r="E21" s="233"/>
      <c r="F21" s="239"/>
      <c r="G21" s="240"/>
      <c r="H21" s="503" t="s">
        <v>779</v>
      </c>
      <c r="I21" s="1033"/>
      <c r="J21" s="223" t="str">
        <f>+'26'!J21</f>
        <v>MG 20,5 VP OW</v>
      </c>
      <c r="K21" s="247"/>
      <c r="L21" s="247"/>
      <c r="M21" s="126">
        <f>+K21+'26'!M21+L21</f>
        <v>19381</v>
      </c>
    </row>
    <row r="22" spans="1:18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 t="str">
        <f>+'26'!J22</f>
        <v>MG 21,5 VP OW</v>
      </c>
      <c r="K22" s="247"/>
      <c r="L22" s="247"/>
      <c r="M22" s="126">
        <f>+K22+'26'!M22+L22</f>
        <v>54453</v>
      </c>
    </row>
    <row r="23" spans="1:18" ht="13.5" thickBot="1">
      <c r="A23" s="1031"/>
      <c r="B23" s="177" t="s">
        <v>2</v>
      </c>
      <c r="C23" s="109">
        <f>SUM(C16:C22)</f>
        <v>15724</v>
      </c>
      <c r="D23" s="120">
        <f>SUM(D16:D22)</f>
        <v>870</v>
      </c>
      <c r="E23" s="121">
        <f>SUM(E18:E22)</f>
        <v>0</v>
      </c>
      <c r="F23" s="125">
        <f>SUM(F15:F22)</f>
        <v>12</v>
      </c>
      <c r="G23" s="168"/>
      <c r="H23" s="175" t="s">
        <v>234</v>
      </c>
      <c r="I23" s="178"/>
      <c r="J23" s="223" t="str">
        <f>+'26'!J23</f>
        <v>MG 25 VP OW</v>
      </c>
      <c r="K23" s="247"/>
      <c r="L23" s="247"/>
      <c r="M23" s="126">
        <f>+K23+'26'!M23+L23</f>
        <v>0</v>
      </c>
    </row>
    <row r="24" spans="1:18" ht="13.5" customHeight="1" thickBot="1">
      <c r="A24" s="1035" t="s">
        <v>595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783</v>
      </c>
      <c r="J24" s="223" t="s">
        <v>799</v>
      </c>
      <c r="K24" s="247">
        <f>+C17+C25</f>
        <v>25806</v>
      </c>
      <c r="L24" s="247"/>
      <c r="M24" s="126">
        <f>+K24+'26'!M24+L24</f>
        <v>25806</v>
      </c>
    </row>
    <row r="25" spans="1:18" ht="13.5" thickBot="1">
      <c r="A25" s="1030"/>
      <c r="B25" s="224" t="s">
        <v>787</v>
      </c>
      <c r="C25" s="234">
        <v>23408</v>
      </c>
      <c r="D25" s="226"/>
      <c r="E25" s="233"/>
      <c r="F25" s="239">
        <v>6</v>
      </c>
      <c r="G25" s="240" t="s">
        <v>11</v>
      </c>
      <c r="H25" s="238" t="s">
        <v>452</v>
      </c>
      <c r="I25" s="1033"/>
      <c r="J25" s="223">
        <f>+'26'!J25</f>
        <v>0</v>
      </c>
      <c r="K25" s="247"/>
      <c r="L25" s="247"/>
      <c r="M25" s="126">
        <f>+K25+'26'!M25+L25</f>
        <v>0</v>
      </c>
    </row>
    <row r="26" spans="1:18" ht="13.5" thickBot="1">
      <c r="A26" s="1030"/>
      <c r="B26" s="224" t="s">
        <v>524</v>
      </c>
      <c r="C26" s="234">
        <f>338+355</f>
        <v>693</v>
      </c>
      <c r="D26" s="226"/>
      <c r="E26" s="235"/>
      <c r="F26" s="239">
        <v>5</v>
      </c>
      <c r="G26" s="240" t="s">
        <v>11</v>
      </c>
      <c r="H26" s="241" t="s">
        <v>785</v>
      </c>
      <c r="I26" s="1033"/>
      <c r="J26" s="223">
        <f>+'26'!J26</f>
        <v>0</v>
      </c>
      <c r="K26" s="247"/>
      <c r="L26" s="247"/>
      <c r="M26" s="126">
        <f>+K26+'26'!M26+L26</f>
        <v>0</v>
      </c>
    </row>
    <row r="27" spans="1:18" ht="13.5" thickBot="1">
      <c r="A27" s="1030"/>
      <c r="B27" s="224"/>
      <c r="C27" s="225"/>
      <c r="D27" s="226"/>
      <c r="E27" s="233"/>
      <c r="F27" s="239"/>
      <c r="G27" s="240"/>
      <c r="H27" s="241" t="s">
        <v>780</v>
      </c>
      <c r="I27" s="1033"/>
      <c r="J27" s="223">
        <f>+'26'!J27</f>
        <v>0</v>
      </c>
      <c r="K27" s="247"/>
      <c r="L27" s="247"/>
      <c r="M27" s="126">
        <f>+K27+'26'!M27+L27</f>
        <v>0</v>
      </c>
    </row>
    <row r="28" spans="1:18" ht="13.5" thickBot="1">
      <c r="A28" s="1030"/>
      <c r="B28" s="224"/>
      <c r="C28" s="225"/>
      <c r="D28" s="226"/>
      <c r="E28" s="233"/>
      <c r="F28" s="239"/>
      <c r="G28" s="240"/>
      <c r="H28" s="241"/>
      <c r="I28" s="1033"/>
      <c r="J28" s="223">
        <f>+'26'!J28</f>
        <v>0</v>
      </c>
      <c r="K28" s="247"/>
      <c r="L28" s="247"/>
      <c r="M28" s="126">
        <f>+K28+'26'!M28+L28</f>
        <v>0</v>
      </c>
    </row>
    <row r="29" spans="1:18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+'26'!J29</f>
        <v>0</v>
      </c>
      <c r="K29" s="247"/>
      <c r="L29" s="247"/>
      <c r="M29" s="126">
        <f>+K29+'26'!M29+L29</f>
        <v>0</v>
      </c>
    </row>
    <row r="30" spans="1:18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+'26'!J30</f>
        <v>0</v>
      </c>
      <c r="K30" s="247"/>
      <c r="L30" s="247"/>
      <c r="M30" s="126">
        <f>+K30+'26'!M30+L30</f>
        <v>0</v>
      </c>
      <c r="N30" s="164"/>
    </row>
    <row r="31" spans="1:18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+'26'!J31</f>
        <v>0</v>
      </c>
      <c r="K31" s="247"/>
      <c r="L31" s="247"/>
      <c r="M31" s="126">
        <f>+K31+'26'!M31+L31</f>
        <v>0</v>
      </c>
    </row>
    <row r="32" spans="1:18" ht="13.5" thickBot="1">
      <c r="A32" s="1031"/>
      <c r="B32" s="174" t="s">
        <v>2</v>
      </c>
      <c r="C32" s="108">
        <f>SUM(C25:C31)</f>
        <v>24101</v>
      </c>
      <c r="D32" s="109">
        <f>SUM(D25:D31)</f>
        <v>0</v>
      </c>
      <c r="E32" s="110">
        <f>SUM(E25:E31)</f>
        <v>0</v>
      </c>
      <c r="F32" s="111">
        <f>SUM(F24:F31)</f>
        <v>11</v>
      </c>
      <c r="G32" s="180"/>
      <c r="H32" s="181"/>
      <c r="I32" s="178"/>
      <c r="J32" s="223">
        <f>+'26'!J32</f>
        <v>0</v>
      </c>
      <c r="K32" s="249"/>
      <c r="L32" s="251"/>
      <c r="M32" s="126">
        <f>+K32+'26'!M32+L32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55545</v>
      </c>
      <c r="D34" s="116">
        <f>D14+D23+D32</f>
        <v>1240</v>
      </c>
      <c r="E34" s="116">
        <f>E14+E23+E32</f>
        <v>0</v>
      </c>
      <c r="F34" s="117">
        <f>F14+F23+F32</f>
        <v>34</v>
      </c>
      <c r="H34" s="187"/>
      <c r="I34" s="187"/>
      <c r="J34" s="132" t="s">
        <v>27</v>
      </c>
      <c r="K34" s="133">
        <f>SUM(K7:K32)</f>
        <v>55545</v>
      </c>
      <c r="L34" s="221">
        <f>SUM(L7:L32)</f>
        <v>0</v>
      </c>
      <c r="M34" s="129">
        <f>SUM(M7:M32)</f>
        <v>1812496</v>
      </c>
      <c r="N34" s="164"/>
    </row>
    <row r="35" spans="1:14" ht="13.5" thickBot="1">
      <c r="A35" s="188"/>
      <c r="B35" s="189"/>
      <c r="C35" s="113">
        <f>C34/($C$34+$D$34+$E$34)</f>
        <v>0.97816324733644444</v>
      </c>
      <c r="D35" s="113">
        <f>D34/($C$34+$D$34+$E$34)</f>
        <v>2.1836752663555517E-2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46"/>
      <c r="G37" s="339"/>
      <c r="H37" s="195" t="s">
        <v>62</v>
      </c>
      <c r="I37" s="252">
        <f>(13.5*20+12*570+10.3*850)/1440*G42*2.77*1440/1000000</f>
        <v>62.18427111180555</v>
      </c>
      <c r="J37" s="134">
        <f>+I37+'26'!J37</f>
        <v>1941.2770457230081</v>
      </c>
      <c r="K37" s="135" t="s">
        <v>63</v>
      </c>
      <c r="L37" s="158">
        <f>2.226+1.005</f>
        <v>3.2309999999999999</v>
      </c>
    </row>
    <row r="38" spans="1:14" ht="17.45" customHeight="1">
      <c r="A38" s="1027" t="s">
        <v>11</v>
      </c>
      <c r="B38" s="1028"/>
      <c r="C38" s="173">
        <f>SUMIF($G$7:$G$31,"Process",$F$7:$F$31)</f>
        <v>34</v>
      </c>
      <c r="D38" s="127">
        <f>+C38+'26'!D38</f>
        <v>883</v>
      </c>
      <c r="E38" s="152">
        <f t="shared" ref="E38:E51" si="3">D38/60</f>
        <v>14.716666666666667</v>
      </c>
      <c r="F38" s="337">
        <v>1700</v>
      </c>
      <c r="G38" s="337">
        <v>1360</v>
      </c>
      <c r="H38" s="196" t="s">
        <v>64</v>
      </c>
      <c r="I38" s="548">
        <f>22.841+18.256+17.833</f>
        <v>58.93</v>
      </c>
      <c r="J38" s="136">
        <f>+I38+'26'!J38</f>
        <v>1858.098</v>
      </c>
      <c r="K38" s="137" t="s">
        <v>63</v>
      </c>
      <c r="L38" s="556">
        <f>19.61+2.787+2.787</f>
        <v>25.183999999999997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+C39+'26'!D39</f>
        <v>0</v>
      </c>
      <c r="E39" s="152">
        <f t="shared" si="3"/>
        <v>0</v>
      </c>
      <c r="F39" s="337">
        <v>1723.125</v>
      </c>
      <c r="G39" s="337">
        <v>1431.8416666666667</v>
      </c>
      <c r="H39" s="196" t="s">
        <v>65</v>
      </c>
      <c r="I39" s="151"/>
      <c r="J39" s="138">
        <f>J37/G4</f>
        <v>71.899149841592887</v>
      </c>
      <c r="K39" s="139" t="s">
        <v>63</v>
      </c>
      <c r="L39" s="615">
        <f>+I38-L37-L38</f>
        <v>30.515000000000001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+C40+'26'!D40</f>
        <v>0</v>
      </c>
      <c r="E40" s="152">
        <f t="shared" si="3"/>
        <v>0</v>
      </c>
      <c r="F40" s="337">
        <v>1730</v>
      </c>
      <c r="G40" s="337">
        <f>+F40-F40*0.16</f>
        <v>1453.2</v>
      </c>
      <c r="H40" s="196" t="s">
        <v>67</v>
      </c>
      <c r="I40" s="127">
        <f>(K34+L34)/1000</f>
        <v>55.545000000000002</v>
      </c>
      <c r="J40" s="140">
        <f>+I40+'26'!J40</f>
        <v>1812.4960000000001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+C41+'26'!D41</f>
        <v>55</v>
      </c>
      <c r="E41" s="152">
        <f t="shared" si="3"/>
        <v>0.91666666666666663</v>
      </c>
      <c r="F41" s="337"/>
      <c r="G41" s="337"/>
      <c r="H41" s="196" t="s">
        <v>69</v>
      </c>
      <c r="I41" s="151"/>
      <c r="J41" s="138">
        <f>J40/G4</f>
        <v>67.129481481481491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+C42+'26'!D42</f>
        <v>0</v>
      </c>
      <c r="E42" s="152">
        <f t="shared" si="3"/>
        <v>0</v>
      </c>
      <c r="F42" s="337">
        <f>+(F38*480+F39*480+F40*480)/1440</f>
        <v>1717.7083333333333</v>
      </c>
      <c r="G42" s="337">
        <f>+(G38*480+G39*480+G40*480)/1440</f>
        <v>1415.0138888888889</v>
      </c>
      <c r="H42" s="196" t="s">
        <v>70</v>
      </c>
      <c r="I42" s="254" t="s">
        <v>784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+C43+'26'!D43</f>
        <v>0</v>
      </c>
      <c r="E43" s="152">
        <f t="shared" si="3"/>
        <v>0</v>
      </c>
      <c r="F43" s="337"/>
      <c r="G43" s="338"/>
      <c r="H43" s="197" t="s">
        <v>73</v>
      </c>
      <c r="I43" s="127">
        <f>+Report1!T35</f>
        <v>129.77200000000002</v>
      </c>
      <c r="J43" s="142">
        <f>+I43+'26'!J43</f>
        <v>3795.556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+C44+'26'!D44</f>
        <v>515</v>
      </c>
      <c r="E44" s="152">
        <f t="shared" si="3"/>
        <v>8.5833333333333339</v>
      </c>
      <c r="F44" s="337"/>
      <c r="G44" s="338"/>
      <c r="H44" s="197" t="s">
        <v>74</v>
      </c>
      <c r="I44" s="127">
        <f>I43/I38</f>
        <v>2.202138129984728</v>
      </c>
      <c r="J44" s="143">
        <f>J43/J38</f>
        <v>2.0427103414351664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+C45+'26'!D45</f>
        <v>0</v>
      </c>
      <c r="E45" s="152">
        <f t="shared" si="3"/>
        <v>0</v>
      </c>
      <c r="F45" s="337"/>
      <c r="G45" s="340"/>
      <c r="H45" s="197" t="s">
        <v>75</v>
      </c>
      <c r="I45" s="127">
        <f>I43/I40</f>
        <v>2.3363399045818709</v>
      </c>
      <c r="J45" s="143">
        <f>J43/J40</f>
        <v>2.0941044835409293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+C46+'26'!D46</f>
        <v>0</v>
      </c>
      <c r="E46" s="152">
        <f t="shared" si="3"/>
        <v>0</v>
      </c>
      <c r="F46" s="337"/>
      <c r="G46" s="338"/>
      <c r="H46" s="197" t="s">
        <v>77</v>
      </c>
      <c r="I46" s="149">
        <f>+SUMIF(Listrik!AR34,"&gt;0")</f>
        <v>55384.94000000025</v>
      </c>
      <c r="J46" s="144">
        <f>+I46+'26'!J46</f>
        <v>1481421.2600000014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+C47+'26'!D47</f>
        <v>0</v>
      </c>
      <c r="E47" s="152">
        <f t="shared" si="3"/>
        <v>0</v>
      </c>
      <c r="F47" s="337"/>
      <c r="G47" s="338"/>
      <c r="H47" s="197" t="s">
        <v>80</v>
      </c>
      <c r="I47" s="127">
        <f>I46/I38</f>
        <v>939.84286441541235</v>
      </c>
      <c r="J47" s="144">
        <f>J46/J38</f>
        <v>797.27832439408553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+C48+'26'!D48</f>
        <v>0</v>
      </c>
      <c r="E48" s="152">
        <f t="shared" si="3"/>
        <v>0</v>
      </c>
      <c r="F48" s="337"/>
      <c r="G48" s="338"/>
      <c r="H48" s="197" t="s">
        <v>81</v>
      </c>
      <c r="I48" s="127">
        <f>I46/I40</f>
        <v>997.11837249077769</v>
      </c>
      <c r="J48" s="144">
        <f>J46/J40</f>
        <v>817.3376713658962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+C49+'26'!D49</f>
        <v>0</v>
      </c>
      <c r="E49" s="152">
        <f t="shared" si="3"/>
        <v>0</v>
      </c>
      <c r="F49" s="194"/>
      <c r="H49" s="197" t="s">
        <v>82</v>
      </c>
      <c r="I49" s="127">
        <v>0</v>
      </c>
      <c r="J49" s="144">
        <f>+I49+'26'!J49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+C50+'26'!D50</f>
        <v>0</v>
      </c>
      <c r="E50" s="152">
        <f t="shared" si="3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+C51+'26'!D51</f>
        <v>0</v>
      </c>
      <c r="E51" s="152">
        <f t="shared" si="3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34</v>
      </c>
      <c r="D52" s="153">
        <f>SUM(D38:D51)</f>
        <v>1453</v>
      </c>
      <c r="E52" s="154">
        <f>SUM(E38:E51)</f>
        <v>24.216666666666669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2.361111111111111E-2</v>
      </c>
      <c r="D53" s="155">
        <f>D52/(24*60*G4)</f>
        <v>3.7371399176954735E-2</v>
      </c>
      <c r="E53" s="156">
        <f>E52/(G4*24)</f>
        <v>3.7371399176954735E-2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+D34+'26'!J56</f>
        <v>13338</v>
      </c>
      <c r="K56" s="210">
        <f>J56/(J40+J56/1000)/1000</f>
        <v>7.3051547950142232E-3</v>
      </c>
    </row>
    <row r="57" spans="1:11">
      <c r="A57" s="185"/>
      <c r="I57" s="208" t="s">
        <v>89</v>
      </c>
      <c r="J57" s="209">
        <f>+E34+'26'!J57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51:B51"/>
    <mergeCell ref="A52:B52"/>
    <mergeCell ref="A53:B53"/>
    <mergeCell ref="A47:B47"/>
    <mergeCell ref="A48:B48"/>
    <mergeCell ref="A49:B49"/>
    <mergeCell ref="A50:B50"/>
    <mergeCell ref="A43:B43"/>
    <mergeCell ref="A44:B44"/>
    <mergeCell ref="A45:B45"/>
    <mergeCell ref="A46:B46"/>
    <mergeCell ref="A39:B39"/>
    <mergeCell ref="A40:B40"/>
    <mergeCell ref="A41:B41"/>
    <mergeCell ref="A42:B42"/>
    <mergeCell ref="A37:B37"/>
    <mergeCell ref="A38:B38"/>
    <mergeCell ref="A24:A32"/>
    <mergeCell ref="I24:I31"/>
    <mergeCell ref="I7:I13"/>
    <mergeCell ref="A15:A23"/>
    <mergeCell ref="I15:I22"/>
    <mergeCell ref="A34:B34"/>
    <mergeCell ref="A7:A14"/>
  </mergeCells>
  <phoneticPr fontId="31" type="noConversion"/>
  <printOptions horizontalCentered="1"/>
  <pageMargins left="0.74791666666666667" right="0.74791666666666667" top="0.39027777777777778" bottom="0.39027777777777778" header="0" footer="0"/>
  <pageSetup paperSize="9" scale="63" firstPageNumber="4294963191" orientation="landscape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R61"/>
  <sheetViews>
    <sheetView zoomScale="80" zoomScaleNormal="80" workbookViewId="0">
      <selection activeCell="A15" sqref="A15:A23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5.140625" style="158" bestFit="1" customWidth="1"/>
    <col min="8" max="8" width="64.85546875" style="158" customWidth="1"/>
    <col min="9" max="9" width="14.7109375" style="158" bestFit="1" customWidth="1"/>
    <col min="10" max="10" width="18.42578125" style="158" customWidth="1"/>
    <col min="11" max="11" width="14" style="158" bestFit="1" customWidth="1"/>
    <col min="12" max="12" width="8.28515625" style="158" customWidth="1"/>
    <col min="13" max="13" width="17.140625" style="158" customWidth="1"/>
    <col min="14" max="16384" width="9.140625" style="158"/>
  </cols>
  <sheetData>
    <row r="1" spans="1:16" ht="15.75">
      <c r="A1" s="157"/>
    </row>
    <row r="2" spans="1:16" ht="15.75">
      <c r="A2" s="157" t="s">
        <v>148</v>
      </c>
    </row>
    <row r="3" spans="1:16" ht="15">
      <c r="A3" s="159"/>
    </row>
    <row r="4" spans="1:16" ht="20.25">
      <c r="A4" s="160" t="s">
        <v>3</v>
      </c>
      <c r="B4" s="161"/>
      <c r="F4" s="162" t="s">
        <v>29</v>
      </c>
      <c r="G4" s="163">
        <v>26</v>
      </c>
      <c r="H4" s="163" t="str">
        <f>+'1'!H4</f>
        <v>.06.24</v>
      </c>
    </row>
    <row r="5" spans="1:16" ht="13.5" thickBot="1">
      <c r="C5" s="164"/>
      <c r="D5" s="164"/>
    </row>
    <row r="6" spans="1:16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198+207+189</f>
        <v>594</v>
      </c>
    </row>
    <row r="7" spans="1:16" ht="13.5" customHeight="1" thickBot="1">
      <c r="A7" s="1029" t="s">
        <v>646</v>
      </c>
      <c r="B7" s="224" t="s">
        <v>544</v>
      </c>
      <c r="C7" s="225">
        <v>21990</v>
      </c>
      <c r="D7" s="226"/>
      <c r="E7" s="227"/>
      <c r="F7" s="236"/>
      <c r="G7" s="237" t="s">
        <v>11</v>
      </c>
      <c r="H7" s="238" t="s">
        <v>277</v>
      </c>
      <c r="I7" s="1032" t="s">
        <v>477</v>
      </c>
      <c r="J7" s="223" t="str">
        <f>+'25'!J7</f>
        <v>T 14 VP OW</v>
      </c>
      <c r="K7" s="246"/>
      <c r="L7" s="250"/>
      <c r="M7" s="126">
        <f>+K7+'25'!M7+L7</f>
        <v>62499</v>
      </c>
    </row>
    <row r="8" spans="1:16" ht="13.5" thickBot="1">
      <c r="A8" s="1030"/>
      <c r="B8" s="224"/>
      <c r="C8" s="225"/>
      <c r="D8" s="226"/>
      <c r="E8" s="228"/>
      <c r="F8" s="239">
        <v>4</v>
      </c>
      <c r="G8" s="240" t="s">
        <v>11</v>
      </c>
      <c r="H8" s="238" t="s">
        <v>454</v>
      </c>
      <c r="I8" s="1033"/>
      <c r="J8" s="223" t="str">
        <f>+'25'!J8</f>
        <v>T 15 VP OW</v>
      </c>
      <c r="K8" s="247"/>
      <c r="L8" s="247"/>
      <c r="M8" s="126">
        <f>+K8+'25'!M8+L8</f>
        <v>37584</v>
      </c>
      <c r="N8" s="158">
        <v>1700</v>
      </c>
      <c r="O8" s="158">
        <f>+N8-N8*0.24</f>
        <v>1292</v>
      </c>
      <c r="P8" s="158">
        <v>480</v>
      </c>
    </row>
    <row r="9" spans="1:16" ht="13.5" thickBot="1">
      <c r="A9" s="1030"/>
      <c r="B9" s="224"/>
      <c r="C9" s="225"/>
      <c r="D9" s="226"/>
      <c r="E9" s="229"/>
      <c r="F9" s="236">
        <v>10</v>
      </c>
      <c r="G9" s="240" t="s">
        <v>11</v>
      </c>
      <c r="H9" s="241" t="s">
        <v>483</v>
      </c>
      <c r="I9" s="1033"/>
      <c r="J9" s="223" t="str">
        <f>+'25'!J9</f>
        <v>T 12,5 VP OW</v>
      </c>
      <c r="K9" s="247"/>
      <c r="L9" s="247"/>
      <c r="M9" s="126">
        <f>+K9+'25'!M9+L9</f>
        <v>148332</v>
      </c>
      <c r="N9" s="158">
        <v>1700</v>
      </c>
      <c r="O9" s="158">
        <f>+N9-N9*0.24</f>
        <v>1292</v>
      </c>
      <c r="P9" s="158">
        <v>480</v>
      </c>
    </row>
    <row r="10" spans="1:16" ht="13.5" thickBot="1">
      <c r="A10" s="1030"/>
      <c r="B10" s="224"/>
      <c r="C10" s="225"/>
      <c r="D10" s="226"/>
      <c r="E10" s="228"/>
      <c r="F10" s="236"/>
      <c r="G10" s="240"/>
      <c r="H10" s="241" t="s">
        <v>761</v>
      </c>
      <c r="I10" s="1033"/>
      <c r="J10" s="223" t="str">
        <f>+'25'!J10</f>
        <v>T 12 VP OW</v>
      </c>
      <c r="K10" s="247"/>
      <c r="L10" s="247"/>
      <c r="M10" s="126">
        <f>+K10+'25'!M10+L10</f>
        <v>25679</v>
      </c>
      <c r="N10" s="158">
        <v>1700</v>
      </c>
      <c r="O10" s="158">
        <f>+N10-N10*0.24</f>
        <v>1292</v>
      </c>
      <c r="P10" s="158">
        <v>280</v>
      </c>
    </row>
    <row r="11" spans="1:16" ht="13.5" thickBot="1">
      <c r="A11" s="1030"/>
      <c r="B11" s="224"/>
      <c r="C11" s="225"/>
      <c r="D11" s="226"/>
      <c r="E11" s="228"/>
      <c r="F11" s="236"/>
      <c r="G11" s="240"/>
      <c r="H11" s="241"/>
      <c r="I11" s="1033"/>
      <c r="J11" s="223" t="str">
        <f>+'25'!J11</f>
        <v>F 12 VP OW</v>
      </c>
      <c r="K11" s="247"/>
      <c r="L11" s="247"/>
      <c r="M11" s="126">
        <f>+K11+'25'!M11+L11</f>
        <v>150233</v>
      </c>
      <c r="P11" s="185">
        <f>SUM(P8:P10)</f>
        <v>1240</v>
      </c>
    </row>
    <row r="12" spans="1:16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+'25'!J12</f>
        <v>F 13 VP OW</v>
      </c>
      <c r="K12" s="247">
        <f>+C7+C16+C25</f>
        <v>62580</v>
      </c>
      <c r="L12" s="247"/>
      <c r="M12" s="126">
        <f>+K12+'25'!M12+L12</f>
        <v>245252</v>
      </c>
    </row>
    <row r="13" spans="1:16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+'25'!J13</f>
        <v>F 13,5 VP OW</v>
      </c>
      <c r="K13" s="247">
        <f>+C26</f>
        <v>3595</v>
      </c>
      <c r="L13" s="247"/>
      <c r="M13" s="126">
        <f>+K13+'25'!M13+L13</f>
        <v>14733</v>
      </c>
    </row>
    <row r="14" spans="1:16" ht="13.5" thickBot="1">
      <c r="A14" s="1031"/>
      <c r="B14" s="174" t="s">
        <v>2</v>
      </c>
      <c r="C14" s="108">
        <f>SUM(C7:C13)</f>
        <v>21990</v>
      </c>
      <c r="D14" s="120">
        <f>SUM(D7:D13)</f>
        <v>0</v>
      </c>
      <c r="E14" s="121">
        <f>SUM(E5:E13)</f>
        <v>0</v>
      </c>
      <c r="F14" s="125">
        <f>SUM(F7:F13)</f>
        <v>14</v>
      </c>
      <c r="G14" s="168"/>
      <c r="H14" s="175"/>
      <c r="I14" s="176"/>
      <c r="J14" s="223" t="str">
        <f>+'25'!J14</f>
        <v>F 12,5 VP OW</v>
      </c>
      <c r="K14" s="247"/>
      <c r="L14" s="247"/>
      <c r="M14" s="126">
        <f>+K14+'25'!M14+L14</f>
        <v>73203</v>
      </c>
    </row>
    <row r="15" spans="1:16" ht="13.5" customHeight="1" thickBot="1">
      <c r="A15" s="1035" t="s">
        <v>535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477</v>
      </c>
      <c r="J15" s="223" t="str">
        <f>+'25'!J15</f>
        <v>MG 14 VP OW/HW</v>
      </c>
      <c r="K15" s="247"/>
      <c r="L15" s="247"/>
      <c r="M15" s="126">
        <f>+K15+'25'!M15+L15</f>
        <v>83225</v>
      </c>
    </row>
    <row r="16" spans="1:16" ht="13.5" thickBot="1">
      <c r="A16" s="1030"/>
      <c r="B16" s="224" t="s">
        <v>544</v>
      </c>
      <c r="C16" s="230">
        <v>21867</v>
      </c>
      <c r="D16" s="231"/>
      <c r="E16" s="232"/>
      <c r="F16" s="236">
        <v>4</v>
      </c>
      <c r="G16" s="240" t="s">
        <v>11</v>
      </c>
      <c r="H16" s="238" t="s">
        <v>454</v>
      </c>
      <c r="I16" s="1033"/>
      <c r="J16" s="223" t="str">
        <f>+'25'!J16</f>
        <v>MG 17 VP OW/HW</v>
      </c>
      <c r="K16" s="247"/>
      <c r="L16" s="237"/>
      <c r="M16" s="126">
        <f>+K16+'25'!M16+L16</f>
        <v>338028</v>
      </c>
    </row>
    <row r="17" spans="1:18" ht="13.5" thickBot="1">
      <c r="A17" s="1030"/>
      <c r="B17" s="224"/>
      <c r="C17" s="225"/>
      <c r="D17" s="226"/>
      <c r="E17" s="233"/>
      <c r="F17" s="236">
        <v>8</v>
      </c>
      <c r="G17" s="240" t="s">
        <v>11</v>
      </c>
      <c r="H17" s="241" t="s">
        <v>483</v>
      </c>
      <c r="I17" s="1033"/>
      <c r="J17" s="223" t="str">
        <f>+'25'!J17</f>
        <v>MG 16 VP HW</v>
      </c>
      <c r="K17" s="247"/>
      <c r="L17" s="237"/>
      <c r="M17" s="126">
        <f>+K17+'25'!M17+L17</f>
        <v>338456</v>
      </c>
    </row>
    <row r="18" spans="1:18" ht="13.5" thickBot="1">
      <c r="A18" s="1030"/>
      <c r="B18" s="224"/>
      <c r="C18" s="225"/>
      <c r="D18" s="226"/>
      <c r="E18" s="233"/>
      <c r="F18" s="236"/>
      <c r="G18" s="240"/>
      <c r="H18" s="241" t="s">
        <v>762</v>
      </c>
      <c r="I18" s="1033"/>
      <c r="J18" s="223" t="str">
        <f>+'25'!J18</f>
        <v>MG 19 VP HW</v>
      </c>
      <c r="K18" s="247"/>
      <c r="L18" s="247"/>
      <c r="M18" s="126">
        <f>+K18+'25'!M18+L18</f>
        <v>22191</v>
      </c>
    </row>
    <row r="19" spans="1:18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 t="str">
        <f>+'25'!J19</f>
        <v>MG 15,5 VP HW</v>
      </c>
      <c r="K19" s="247"/>
      <c r="L19" s="247"/>
      <c r="M19" s="126">
        <f>+K19+'25'!M19+L19</f>
        <v>26491</v>
      </c>
    </row>
    <row r="20" spans="1:18" ht="13.5" customHeight="1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 t="str">
        <f>+'25'!J20</f>
        <v>MG 20 VP HW/OW</v>
      </c>
      <c r="K20" s="247"/>
      <c r="L20" s="248"/>
      <c r="M20" s="126">
        <f>+K20+'25'!M20+L20</f>
        <v>117211</v>
      </c>
    </row>
    <row r="21" spans="1:18" ht="13.5" customHeight="1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 t="str">
        <f>+'25'!J21</f>
        <v>MG 20,5 VP OW</v>
      </c>
      <c r="K21" s="247"/>
      <c r="L21" s="247"/>
      <c r="M21" s="126">
        <f>+K21+'25'!M21+L21</f>
        <v>19381</v>
      </c>
    </row>
    <row r="22" spans="1:18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 t="str">
        <f>+'25'!J22</f>
        <v>MG 21,5 VP OW</v>
      </c>
      <c r="K22" s="247"/>
      <c r="L22" s="247"/>
      <c r="M22" s="126">
        <f>+K22+'25'!M22+L22</f>
        <v>54453</v>
      </c>
    </row>
    <row r="23" spans="1:18" ht="13.5" thickBot="1">
      <c r="A23" s="1031"/>
      <c r="B23" s="177" t="s">
        <v>2</v>
      </c>
      <c r="C23" s="109">
        <f>SUM(C16:C22)</f>
        <v>21867</v>
      </c>
      <c r="D23" s="120">
        <f>SUM(D16:D22)</f>
        <v>0</v>
      </c>
      <c r="E23" s="121">
        <f>SUM(E18:E22)</f>
        <v>0</v>
      </c>
      <c r="F23" s="125">
        <f>SUM(F15:F22)</f>
        <v>12</v>
      </c>
      <c r="G23" s="168"/>
      <c r="H23" s="175" t="s">
        <v>234</v>
      </c>
      <c r="I23" s="178"/>
      <c r="J23" s="223" t="str">
        <f>+'25'!J23</f>
        <v>MG 25 VP OW</v>
      </c>
      <c r="K23" s="247"/>
      <c r="L23" s="247"/>
      <c r="M23" s="126">
        <f>+K23+'25'!M23+L23</f>
        <v>0</v>
      </c>
    </row>
    <row r="24" spans="1:18" ht="13.5" customHeight="1" thickBot="1">
      <c r="A24" s="1035" t="s">
        <v>595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477</v>
      </c>
      <c r="J24" s="223">
        <f>+'25'!J24</f>
        <v>0</v>
      </c>
      <c r="K24" s="247"/>
      <c r="L24" s="247"/>
      <c r="M24" s="126">
        <f>+K24+'25'!M24+L24</f>
        <v>0</v>
      </c>
    </row>
    <row r="25" spans="1:18" ht="13.5" thickBot="1">
      <c r="A25" s="1030"/>
      <c r="B25" s="224" t="s">
        <v>544</v>
      </c>
      <c r="C25" s="234">
        <f>8989+9734</f>
        <v>18723</v>
      </c>
      <c r="D25" s="226"/>
      <c r="E25" s="233"/>
      <c r="F25" s="239">
        <v>3</v>
      </c>
      <c r="G25" s="240" t="s">
        <v>11</v>
      </c>
      <c r="H25" s="238" t="s">
        <v>484</v>
      </c>
      <c r="I25" s="1033"/>
      <c r="J25" s="223">
        <f>+'25'!J25</f>
        <v>0</v>
      </c>
      <c r="K25" s="247"/>
      <c r="L25" s="247"/>
      <c r="M25" s="126">
        <f>+K25+'25'!M25+L25</f>
        <v>0</v>
      </c>
      <c r="N25" s="158">
        <v>1700</v>
      </c>
      <c r="O25" s="158">
        <f t="shared" ref="O25" si="0">+N25-N25*0.24</f>
        <v>1292</v>
      </c>
      <c r="P25" s="158">
        <f>240+40</f>
        <v>280</v>
      </c>
      <c r="Q25" s="158">
        <f>+N25*P25</f>
        <v>476000</v>
      </c>
      <c r="R25" s="158">
        <f>+O25*P25</f>
        <v>361760</v>
      </c>
    </row>
    <row r="26" spans="1:18" ht="13.5" thickBot="1">
      <c r="A26" s="1030"/>
      <c r="B26" s="224" t="s">
        <v>556</v>
      </c>
      <c r="C26" s="234">
        <v>3595</v>
      </c>
      <c r="D26" s="226"/>
      <c r="E26" s="235"/>
      <c r="F26" s="239">
        <v>5</v>
      </c>
      <c r="G26" s="240" t="s">
        <v>11</v>
      </c>
      <c r="H26" s="241" t="s">
        <v>483</v>
      </c>
      <c r="I26" s="1033"/>
      <c r="J26" s="223">
        <f>+'25'!J26</f>
        <v>0</v>
      </c>
      <c r="K26" s="247"/>
      <c r="L26" s="247"/>
      <c r="M26" s="126">
        <f>+K26+'25'!M26+L26</f>
        <v>0</v>
      </c>
      <c r="N26" s="158">
        <v>1700</v>
      </c>
      <c r="O26" s="158">
        <f>+N26-N26*0.2</f>
        <v>1360</v>
      </c>
      <c r="P26" s="185">
        <f>20+180</f>
        <v>200</v>
      </c>
      <c r="Q26" s="158">
        <f>+N26*P26</f>
        <v>340000</v>
      </c>
      <c r="R26" s="158">
        <f>+O26*P26</f>
        <v>272000</v>
      </c>
    </row>
    <row r="27" spans="1:18" ht="13.5" thickBot="1">
      <c r="A27" s="1030"/>
      <c r="B27" s="224"/>
      <c r="C27" s="225"/>
      <c r="D27" s="226"/>
      <c r="E27" s="233"/>
      <c r="F27" s="239"/>
      <c r="G27" s="240"/>
      <c r="H27" s="241" t="s">
        <v>762</v>
      </c>
      <c r="I27" s="1033"/>
      <c r="J27" s="223">
        <f>+'25'!J27</f>
        <v>0</v>
      </c>
      <c r="K27" s="247"/>
      <c r="L27" s="247"/>
      <c r="M27" s="126">
        <f>+K27+'25'!M27+L27</f>
        <v>0</v>
      </c>
      <c r="P27" s="158">
        <f>SUM(P25:P26)</f>
        <v>480</v>
      </c>
      <c r="Q27" s="158">
        <f t="shared" ref="Q27:R27" si="1">SUM(Q25:Q26)</f>
        <v>816000</v>
      </c>
      <c r="R27" s="158">
        <f t="shared" si="1"/>
        <v>633760</v>
      </c>
    </row>
    <row r="28" spans="1:18" ht="13.5" thickBot="1">
      <c r="A28" s="1030"/>
      <c r="B28" s="224"/>
      <c r="C28" s="225"/>
      <c r="D28" s="226"/>
      <c r="E28" s="233"/>
      <c r="F28" s="239">
        <v>6</v>
      </c>
      <c r="G28" s="240" t="s">
        <v>11</v>
      </c>
      <c r="H28" s="241" t="s">
        <v>769</v>
      </c>
      <c r="I28" s="1033"/>
      <c r="J28" s="223">
        <f>+'25'!J28</f>
        <v>0</v>
      </c>
      <c r="K28" s="247"/>
      <c r="L28" s="247"/>
      <c r="M28" s="126">
        <f>+K28+'25'!M28+L28</f>
        <v>0</v>
      </c>
      <c r="Q28" s="158">
        <f>+Q27/P27</f>
        <v>1700</v>
      </c>
      <c r="R28" s="158">
        <f>+R27/P27</f>
        <v>1320.3333333333333</v>
      </c>
    </row>
    <row r="29" spans="1:18" ht="13.5" thickBot="1">
      <c r="A29" s="1030"/>
      <c r="B29" s="224"/>
      <c r="C29" s="225"/>
      <c r="D29" s="226"/>
      <c r="E29" s="233"/>
      <c r="F29" s="244"/>
      <c r="G29" s="240"/>
      <c r="H29" s="241" t="s">
        <v>765</v>
      </c>
      <c r="I29" s="1033"/>
      <c r="J29" s="223">
        <f>+'25'!J29</f>
        <v>0</v>
      </c>
      <c r="K29" s="247"/>
      <c r="L29" s="247"/>
      <c r="M29" s="126">
        <f>+K29+'25'!M29+L29</f>
        <v>0</v>
      </c>
    </row>
    <row r="30" spans="1:18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+'25'!J30</f>
        <v>0</v>
      </c>
      <c r="K30" s="247"/>
      <c r="L30" s="247"/>
      <c r="M30" s="126">
        <f>+K30+'25'!M30+L30</f>
        <v>0</v>
      </c>
      <c r="N30" s="164"/>
    </row>
    <row r="31" spans="1:18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+'25'!J31</f>
        <v>0</v>
      </c>
      <c r="K31" s="247"/>
      <c r="L31" s="247"/>
      <c r="M31" s="126">
        <f>+K31+'25'!M31+L31</f>
        <v>0</v>
      </c>
    </row>
    <row r="32" spans="1:18" ht="13.5" thickBot="1">
      <c r="A32" s="1031"/>
      <c r="B32" s="174" t="s">
        <v>2</v>
      </c>
      <c r="C32" s="108">
        <f>SUM(C25:C31)</f>
        <v>22318</v>
      </c>
      <c r="D32" s="109">
        <f>SUM(D25:D31)</f>
        <v>0</v>
      </c>
      <c r="E32" s="110">
        <f>SUM(E25:E31)</f>
        <v>0</v>
      </c>
      <c r="F32" s="111">
        <f>SUM(F24:F31)</f>
        <v>14</v>
      </c>
      <c r="G32" s="180"/>
      <c r="H32" s="181"/>
      <c r="I32" s="178"/>
      <c r="J32" s="223">
        <f>+'25'!J32</f>
        <v>0</v>
      </c>
      <c r="K32" s="249"/>
      <c r="L32" s="251"/>
      <c r="M32" s="126">
        <f>+K32+'25'!M32+L32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66175</v>
      </c>
      <c r="D34" s="116">
        <f>D14+D23+D32</f>
        <v>0</v>
      </c>
      <c r="E34" s="116">
        <f>E14+E23+E32</f>
        <v>0</v>
      </c>
      <c r="F34" s="117">
        <f>F14+F23+F32</f>
        <v>40</v>
      </c>
      <c r="H34" s="187"/>
      <c r="I34" s="187"/>
      <c r="J34" s="132" t="s">
        <v>27</v>
      </c>
      <c r="K34" s="133">
        <f>SUM(K7:K32)</f>
        <v>66175</v>
      </c>
      <c r="L34" s="221">
        <f>SUM(L7:L32)</f>
        <v>0</v>
      </c>
      <c r="M34" s="129">
        <f>SUM(M7:M32)</f>
        <v>1756951</v>
      </c>
      <c r="N34" s="164"/>
    </row>
    <row r="35" spans="1:14" ht="13.5" thickBot="1">
      <c r="A35" s="188"/>
      <c r="B35" s="189"/>
      <c r="C35" s="113">
        <f>C34/($C$34+$D$34+$E$34)</f>
        <v>1</v>
      </c>
      <c r="D35" s="113">
        <f>D34/($C$34+$D$34+$E$34)</f>
        <v>0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(13*1240+13.5*200)/1440*G42*2.77*1440/1000000</f>
        <v>67.8461209111111</v>
      </c>
      <c r="J37" s="134">
        <f>+I37+'25'!J37</f>
        <v>1879.0927746112025</v>
      </c>
      <c r="K37" s="135" t="s">
        <v>63</v>
      </c>
      <c r="L37" s="556">
        <f>+I38-L38</f>
        <v>58.669999999999995</v>
      </c>
    </row>
    <row r="38" spans="1:14" ht="17.45" customHeight="1">
      <c r="A38" s="1027" t="s">
        <v>11</v>
      </c>
      <c r="B38" s="1028"/>
      <c r="C38" s="173">
        <f>SUMIF($G$7:$G$31,"Process",$F$7:$F$31)</f>
        <v>40</v>
      </c>
      <c r="D38" s="127">
        <f>+C38+'25'!D38</f>
        <v>849</v>
      </c>
      <c r="E38" s="152">
        <f t="shared" ref="E38:E51" si="2">D38/60</f>
        <v>14.15</v>
      </c>
      <c r="F38" s="337">
        <v>1700</v>
      </c>
      <c r="G38" s="337">
        <f t="shared" ref="G38:G39" si="3">+F38-F38*0.24</f>
        <v>1292</v>
      </c>
      <c r="H38" s="196" t="s">
        <v>64</v>
      </c>
      <c r="I38" s="548">
        <f>21.3+22.77+21.09</f>
        <v>65.16</v>
      </c>
      <c r="J38" s="136">
        <f>+I38+'25'!J38</f>
        <v>1799.1679999999999</v>
      </c>
      <c r="K38" s="137" t="s">
        <v>63</v>
      </c>
      <c r="L38" s="158">
        <f>1.939+1.939+0.129+2.483</f>
        <v>6.49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+C39+'25'!D39</f>
        <v>0</v>
      </c>
      <c r="E39" s="152">
        <f t="shared" si="2"/>
        <v>0</v>
      </c>
      <c r="F39" s="337">
        <v>1700</v>
      </c>
      <c r="G39" s="337">
        <f t="shared" si="3"/>
        <v>1292</v>
      </c>
      <c r="H39" s="196" t="s">
        <v>65</v>
      </c>
      <c r="I39" s="151"/>
      <c r="J39" s="138">
        <f>J37/G4</f>
        <v>72.272799023507787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+C40+'25'!D40</f>
        <v>0</v>
      </c>
      <c r="E40" s="152">
        <f t="shared" si="2"/>
        <v>0</v>
      </c>
      <c r="F40" s="337">
        <v>1700</v>
      </c>
      <c r="G40" s="337">
        <v>1320.3333333333333</v>
      </c>
      <c r="H40" s="196" t="s">
        <v>67</v>
      </c>
      <c r="I40" s="127">
        <f>(K34+L34)/1000</f>
        <v>66.174999999999997</v>
      </c>
      <c r="J40" s="140">
        <f>+I40+'25'!J40</f>
        <v>1756.951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+C41+'25'!D41</f>
        <v>55</v>
      </c>
      <c r="E41" s="152">
        <f t="shared" si="2"/>
        <v>0.91666666666666663</v>
      </c>
      <c r="F41" s="337"/>
      <c r="G41" s="337"/>
      <c r="H41" s="196" t="s">
        <v>69</v>
      </c>
      <c r="I41" s="151"/>
      <c r="J41" s="138">
        <f>J40/G4</f>
        <v>67.575038461538469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+C42+'25'!D42</f>
        <v>0</v>
      </c>
      <c r="E42" s="152">
        <f t="shared" si="2"/>
        <v>0</v>
      </c>
      <c r="F42" s="337">
        <f>+(F38*480+F39*480+F40*480)/1440</f>
        <v>1700</v>
      </c>
      <c r="G42" s="337">
        <f>+(G38*480+G39*480+G40*480)/1440</f>
        <v>1301.4444444444443</v>
      </c>
      <c r="H42" s="196" t="s">
        <v>70</v>
      </c>
      <c r="I42" s="254" t="s">
        <v>764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+C43+'25'!D43</f>
        <v>0</v>
      </c>
      <c r="E43" s="152">
        <f t="shared" si="2"/>
        <v>0</v>
      </c>
      <c r="F43" s="337"/>
      <c r="G43" s="338"/>
      <c r="H43" s="197" t="s">
        <v>73</v>
      </c>
      <c r="I43" s="127">
        <f>+Report1!T34</f>
        <v>139.161</v>
      </c>
      <c r="J43" s="142">
        <f>+I43+'25'!J43</f>
        <v>3665.7840000000001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+C44+'25'!D44</f>
        <v>515</v>
      </c>
      <c r="E44" s="152">
        <f t="shared" si="2"/>
        <v>8.5833333333333339</v>
      </c>
      <c r="F44" s="337"/>
      <c r="G44" s="338"/>
      <c r="H44" s="197" t="s">
        <v>74</v>
      </c>
      <c r="I44" s="127">
        <f>I43/I38</f>
        <v>2.1356813996316761</v>
      </c>
      <c r="J44" s="143">
        <f>J43/J38</f>
        <v>2.03748843910074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+C45+'25'!D45</f>
        <v>0</v>
      </c>
      <c r="E45" s="152">
        <f t="shared" si="2"/>
        <v>0</v>
      </c>
      <c r="F45" s="337"/>
      <c r="G45" s="340"/>
      <c r="H45" s="197" t="s">
        <v>75</v>
      </c>
      <c r="I45" s="127">
        <f>I43/I40</f>
        <v>2.1029240649792218</v>
      </c>
      <c r="J45" s="143">
        <f>J43/J40</f>
        <v>2.0864463493859535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+C46+'25'!D46</f>
        <v>0</v>
      </c>
      <c r="E46" s="152">
        <f t="shared" si="2"/>
        <v>0</v>
      </c>
      <c r="F46" s="337"/>
      <c r="G46" s="338"/>
      <c r="H46" s="197" t="s">
        <v>77</v>
      </c>
      <c r="I46" s="149">
        <f>+SUMIF(Listrik!AR33,"&gt;0")</f>
        <v>58864.099999999511</v>
      </c>
      <c r="J46" s="144">
        <f>+I46+'25'!J46</f>
        <v>1426036.3200000012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+C47+'25'!D47</f>
        <v>0</v>
      </c>
      <c r="E47" s="152">
        <f t="shared" si="2"/>
        <v>0</v>
      </c>
      <c r="F47" s="337"/>
      <c r="G47" s="338"/>
      <c r="H47" s="197" t="s">
        <v>80</v>
      </c>
      <c r="I47" s="127">
        <f>I46/I38</f>
        <v>903.37783916512456</v>
      </c>
      <c r="J47" s="144">
        <f>J46/J38</f>
        <v>792.60876138304002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+C48+'25'!D48</f>
        <v>0</v>
      </c>
      <c r="E48" s="152">
        <f t="shared" si="2"/>
        <v>0</v>
      </c>
      <c r="F48" s="337"/>
      <c r="G48" s="338"/>
      <c r="H48" s="197" t="s">
        <v>81</v>
      </c>
      <c r="I48" s="127">
        <f>I46/I40</f>
        <v>889.52172270494168</v>
      </c>
      <c r="J48" s="144">
        <f>J46/J40</f>
        <v>811.65400742536428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+C49+'25'!D49</f>
        <v>0</v>
      </c>
      <c r="E49" s="152">
        <f t="shared" si="2"/>
        <v>0</v>
      </c>
      <c r="F49" s="194"/>
      <c r="H49" s="197" t="s">
        <v>82</v>
      </c>
      <c r="I49" s="127">
        <v>0</v>
      </c>
      <c r="J49" s="144">
        <f>+I49+'25'!J49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+C50+'25'!D50</f>
        <v>0</v>
      </c>
      <c r="E50" s="152">
        <f t="shared" si="2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+C51+'25'!D51</f>
        <v>0</v>
      </c>
      <c r="E51" s="152">
        <f t="shared" si="2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40</v>
      </c>
      <c r="D52" s="153">
        <f>SUM(D38:D51)</f>
        <v>1419</v>
      </c>
      <c r="E52" s="154">
        <f>SUM(E38:E51)</f>
        <v>23.65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2.7777777777777776E-2</v>
      </c>
      <c r="D53" s="155">
        <f>D52/(24*60*G4)</f>
        <v>3.7900641025641023E-2</v>
      </c>
      <c r="E53" s="156">
        <f>E52/(G4*24)</f>
        <v>3.7900641025641023E-2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+D34+'25'!J56</f>
        <v>12098</v>
      </c>
      <c r="K56" s="210">
        <f>J56/(J40+J56/1000)/1000</f>
        <v>6.8387026023586685E-3</v>
      </c>
    </row>
    <row r="57" spans="1:11">
      <c r="A57" s="185"/>
      <c r="I57" s="208" t="s">
        <v>89</v>
      </c>
      <c r="J57" s="209">
        <f>+E34+'25'!J57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I24:I31"/>
    <mergeCell ref="A7:A14"/>
    <mergeCell ref="A41:B41"/>
    <mergeCell ref="I7:I13"/>
    <mergeCell ref="A15:A23"/>
    <mergeCell ref="I15:I22"/>
    <mergeCell ref="A43:B43"/>
    <mergeCell ref="A44:B44"/>
    <mergeCell ref="A45:B45"/>
    <mergeCell ref="A24:A32"/>
    <mergeCell ref="A42:B42"/>
    <mergeCell ref="A34:B34"/>
    <mergeCell ref="A37:B37"/>
    <mergeCell ref="A38:B38"/>
    <mergeCell ref="A39:B39"/>
    <mergeCell ref="A40:B40"/>
    <mergeCell ref="A46:B46"/>
    <mergeCell ref="A52:B52"/>
    <mergeCell ref="A53:B53"/>
    <mergeCell ref="A47:B47"/>
    <mergeCell ref="A48:B48"/>
    <mergeCell ref="A49:B49"/>
    <mergeCell ref="A50:B50"/>
    <mergeCell ref="A51:B51"/>
  </mergeCells>
  <phoneticPr fontId="31" type="noConversion"/>
  <printOptions horizontalCentered="1"/>
  <pageMargins left="0.74791666666666667" right="0.74791666666666667" top="0.39027777777777778" bottom="0.39027777777777778" header="0" footer="0"/>
  <pageSetup paperSize="9" scale="62" firstPageNumber="4294963191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R61"/>
  <sheetViews>
    <sheetView zoomScale="80" zoomScaleNormal="80" workbookViewId="0">
      <selection activeCell="B8" sqref="B8"/>
    </sheetView>
  </sheetViews>
  <sheetFormatPr defaultColWidth="9.140625" defaultRowHeight="12.75"/>
  <cols>
    <col min="1" max="1" width="8" style="158" customWidth="1"/>
    <col min="2" max="2" width="8.28515625" style="158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4.42578125" style="158" bestFit="1" customWidth="1"/>
    <col min="14" max="16384" width="9.140625" style="158"/>
  </cols>
  <sheetData>
    <row r="1" spans="1:18" ht="15.75">
      <c r="A1" s="157"/>
    </row>
    <row r="2" spans="1:18" ht="15.75">
      <c r="A2" s="157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25</v>
      </c>
      <c r="H4" s="163" t="str">
        <f>+'1'!H4</f>
        <v>.06.24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192+190+220</f>
        <v>602</v>
      </c>
    </row>
    <row r="7" spans="1:18" ht="13.5" customHeight="1" thickBot="1">
      <c r="A7" s="1029" t="s">
        <v>646</v>
      </c>
      <c r="B7" s="224" t="s">
        <v>524</v>
      </c>
      <c r="C7" s="225">
        <f>1419+14015</f>
        <v>15434</v>
      </c>
      <c r="D7" s="226"/>
      <c r="E7" s="227"/>
      <c r="F7" s="236"/>
      <c r="G7" s="237" t="s">
        <v>11</v>
      </c>
      <c r="H7" s="238" t="s">
        <v>277</v>
      </c>
      <c r="I7" s="1032" t="s">
        <v>768</v>
      </c>
      <c r="J7" s="223" t="str">
        <f>+'24'!J7</f>
        <v>T 14 VP OW</v>
      </c>
      <c r="K7" s="246"/>
      <c r="L7" s="250"/>
      <c r="M7" s="126">
        <f>+K7+'24'!M7+L7</f>
        <v>62499</v>
      </c>
    </row>
    <row r="8" spans="1:18" ht="13.5" thickBot="1">
      <c r="A8" s="1030"/>
      <c r="B8" s="224" t="s">
        <v>752</v>
      </c>
      <c r="C8" s="225">
        <v>2620</v>
      </c>
      <c r="D8" s="226"/>
      <c r="E8" s="228"/>
      <c r="F8" s="239">
        <v>5</v>
      </c>
      <c r="G8" s="240" t="s">
        <v>11</v>
      </c>
      <c r="H8" s="238" t="s">
        <v>484</v>
      </c>
      <c r="I8" s="1033"/>
      <c r="J8" s="223" t="str">
        <f>+'24'!J8</f>
        <v>T 15 VP OW</v>
      </c>
      <c r="K8" s="247"/>
      <c r="L8" s="247"/>
      <c r="M8" s="126">
        <f>+K8+'24'!M8+L8</f>
        <v>37584</v>
      </c>
      <c r="N8" s="158">
        <v>1700</v>
      </c>
      <c r="O8" s="158">
        <f>+N8-N8*0.2</f>
        <v>1360</v>
      </c>
      <c r="P8" s="158">
        <f>180+10</f>
        <v>190</v>
      </c>
      <c r="Q8" s="158">
        <f>+N8*P8</f>
        <v>323000</v>
      </c>
      <c r="R8" s="158">
        <f>+O8*P8</f>
        <v>258400</v>
      </c>
    </row>
    <row r="9" spans="1:18" ht="13.5" thickBot="1">
      <c r="A9" s="1030"/>
      <c r="B9" s="224"/>
      <c r="C9" s="225"/>
      <c r="D9" s="226"/>
      <c r="E9" s="229"/>
      <c r="F9" s="236">
        <v>14</v>
      </c>
      <c r="G9" s="240" t="s">
        <v>11</v>
      </c>
      <c r="H9" s="241" t="s">
        <v>453</v>
      </c>
      <c r="I9" s="1033"/>
      <c r="J9" s="223" t="str">
        <f>+'24'!J9</f>
        <v>T 12,5 VP OW</v>
      </c>
      <c r="K9" s="247"/>
      <c r="L9" s="247"/>
      <c r="M9" s="126">
        <f>+K9+'24'!M9+L9</f>
        <v>148332</v>
      </c>
      <c r="N9" s="158">
        <v>840</v>
      </c>
      <c r="O9" s="158">
        <f>+N9-N9*0.0035</f>
        <v>837.06</v>
      </c>
      <c r="Q9" s="158">
        <f>+N9*P9</f>
        <v>0</v>
      </c>
      <c r="R9" s="158">
        <f>+O9*P9</f>
        <v>0</v>
      </c>
    </row>
    <row r="10" spans="1:18" ht="13.5" thickBot="1">
      <c r="A10" s="1030"/>
      <c r="B10" s="224"/>
      <c r="C10" s="225"/>
      <c r="D10" s="226"/>
      <c r="E10" s="228"/>
      <c r="F10" s="236"/>
      <c r="G10" s="240"/>
      <c r="H10" s="241" t="s">
        <v>756</v>
      </c>
      <c r="I10" s="1033"/>
      <c r="J10" s="223" t="str">
        <f>+'24'!J10</f>
        <v>T 12 VP OW</v>
      </c>
      <c r="K10" s="247"/>
      <c r="L10" s="247"/>
      <c r="M10" s="126">
        <f>+K10+'24'!M10+L10</f>
        <v>25679</v>
      </c>
      <c r="N10" s="158">
        <v>1700</v>
      </c>
      <c r="O10" s="158">
        <f>+N10-N10*0.24</f>
        <v>1292</v>
      </c>
      <c r="P10" s="158">
        <f>44+180+70</f>
        <v>294</v>
      </c>
      <c r="Q10" s="158">
        <f>+N10*P10</f>
        <v>499800</v>
      </c>
      <c r="R10" s="158">
        <f>+O10*P10</f>
        <v>379848</v>
      </c>
    </row>
    <row r="11" spans="1:18" ht="13.5" thickBot="1">
      <c r="A11" s="1030"/>
      <c r="B11" s="224"/>
      <c r="C11" s="225"/>
      <c r="D11" s="226"/>
      <c r="E11" s="228"/>
      <c r="F11" s="236"/>
      <c r="G11" s="240"/>
      <c r="H11" s="241" t="s">
        <v>766</v>
      </c>
      <c r="I11" s="1033"/>
      <c r="J11" s="223" t="str">
        <f>+'24'!J11</f>
        <v>F 12 VP OW</v>
      </c>
      <c r="K11" s="247">
        <f>+C7+C16</f>
        <v>24565</v>
      </c>
      <c r="L11" s="247"/>
      <c r="M11" s="126">
        <f>+K11+'24'!M11+L11</f>
        <v>150233</v>
      </c>
      <c r="P11" s="158">
        <f>SUM(P8:P10)</f>
        <v>484</v>
      </c>
      <c r="Q11" s="158">
        <f t="shared" ref="Q11:R11" si="0">SUM(Q8:Q10)</f>
        <v>822800</v>
      </c>
      <c r="R11" s="158">
        <f t="shared" si="0"/>
        <v>638248</v>
      </c>
    </row>
    <row r="12" spans="1:18" ht="13.5" thickBot="1">
      <c r="A12" s="1030"/>
      <c r="B12" s="224"/>
      <c r="C12" s="225"/>
      <c r="D12" s="226"/>
      <c r="E12" s="228"/>
      <c r="F12" s="236"/>
      <c r="G12" s="240"/>
      <c r="H12" s="241" t="s">
        <v>767</v>
      </c>
      <c r="I12" s="1033"/>
      <c r="J12" s="223" t="str">
        <f>+'24'!J12</f>
        <v>F 13 VP OW</v>
      </c>
      <c r="K12" s="247">
        <f>+C17+C25</f>
        <v>33212</v>
      </c>
      <c r="L12" s="247"/>
      <c r="M12" s="126">
        <f>+K12+'24'!M12+L12</f>
        <v>182672</v>
      </c>
      <c r="Q12" s="185">
        <f>+Q11/P11</f>
        <v>1700</v>
      </c>
      <c r="R12" s="185">
        <f>+R11/P11</f>
        <v>1318.6942148760331</v>
      </c>
    </row>
    <row r="13" spans="1:18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+'24'!J13</f>
        <v>F 13,5 VP OW</v>
      </c>
      <c r="K13" s="247"/>
      <c r="L13" s="247"/>
      <c r="M13" s="126">
        <f>+K13+'24'!M13+L13</f>
        <v>11138</v>
      </c>
    </row>
    <row r="14" spans="1:18" ht="13.5" thickBot="1">
      <c r="A14" s="1031"/>
      <c r="B14" s="174" t="s">
        <v>2</v>
      </c>
      <c r="C14" s="108">
        <f>SUM(C7:C13)</f>
        <v>18054</v>
      </c>
      <c r="D14" s="120">
        <f>SUM(D7:D13)</f>
        <v>0</v>
      </c>
      <c r="E14" s="121">
        <f>SUM(E5:E13)</f>
        <v>0</v>
      </c>
      <c r="F14" s="125">
        <f>SUM(F7:F13)</f>
        <v>19</v>
      </c>
      <c r="G14" s="168"/>
      <c r="H14" s="175"/>
      <c r="I14" s="176"/>
      <c r="J14" s="223" t="str">
        <f>+'24'!J14</f>
        <v>F 12,5 VP OW</v>
      </c>
      <c r="K14" s="247"/>
      <c r="L14" s="247"/>
      <c r="M14" s="126">
        <f>+K14+'24'!M14+L14</f>
        <v>73203</v>
      </c>
    </row>
    <row r="15" spans="1:18" ht="13.5" customHeight="1" thickBot="1">
      <c r="A15" s="1035" t="s">
        <v>535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477</v>
      </c>
      <c r="J15" s="223" t="str">
        <f>+'24'!J15</f>
        <v>MG 14 VP OW/HW</v>
      </c>
      <c r="K15" s="247"/>
      <c r="L15" s="247"/>
      <c r="M15" s="126">
        <f>+K15+'24'!M15+L15</f>
        <v>83225</v>
      </c>
    </row>
    <row r="16" spans="1:18" ht="13.5" thickBot="1">
      <c r="A16" s="1030"/>
      <c r="B16" s="224" t="s">
        <v>524</v>
      </c>
      <c r="C16" s="230">
        <v>9131</v>
      </c>
      <c r="D16" s="231"/>
      <c r="E16" s="232"/>
      <c r="F16" s="236">
        <v>3</v>
      </c>
      <c r="G16" s="240" t="s">
        <v>11</v>
      </c>
      <c r="H16" s="238" t="s">
        <v>484</v>
      </c>
      <c r="I16" s="1033"/>
      <c r="J16" s="223" t="str">
        <f>+'24'!J16</f>
        <v>MG 17 VP OW/HW</v>
      </c>
      <c r="K16" s="237"/>
      <c r="L16" s="237"/>
      <c r="M16" s="126">
        <f>+K16+'24'!M16+L16</f>
        <v>338028</v>
      </c>
      <c r="N16" s="158">
        <v>1700</v>
      </c>
      <c r="O16" s="158">
        <f>+N16-N16*0.24</f>
        <v>1292</v>
      </c>
      <c r="P16" s="158">
        <f>60+10</f>
        <v>70</v>
      </c>
      <c r="Q16" s="158">
        <f>+N16*P16</f>
        <v>119000</v>
      </c>
      <c r="R16" s="158">
        <f>+O16*P16</f>
        <v>90440</v>
      </c>
    </row>
    <row r="17" spans="1:18" ht="13.5" thickBot="1">
      <c r="A17" s="1030"/>
      <c r="B17" s="224" t="s">
        <v>544</v>
      </c>
      <c r="C17" s="225">
        <f>5270+5691</f>
        <v>10961</v>
      </c>
      <c r="D17" s="226"/>
      <c r="E17" s="233"/>
      <c r="F17" s="236">
        <v>9</v>
      </c>
      <c r="G17" s="240" t="s">
        <v>11</v>
      </c>
      <c r="H17" s="241" t="s">
        <v>451</v>
      </c>
      <c r="I17" s="1033"/>
      <c r="J17" s="223" t="str">
        <f>+'24'!J17</f>
        <v>MG 16 VP HW</v>
      </c>
      <c r="K17" s="237"/>
      <c r="L17" s="237"/>
      <c r="M17" s="126">
        <f>+K17+'24'!M17+L17</f>
        <v>338456</v>
      </c>
      <c r="N17" s="158">
        <v>1700</v>
      </c>
      <c r="O17" s="158">
        <f>+N17-N17*0.24</f>
        <v>1292</v>
      </c>
      <c r="P17" s="158">
        <f>50+360</f>
        <v>410</v>
      </c>
      <c r="Q17" s="158">
        <f>+N17*P17</f>
        <v>697000</v>
      </c>
      <c r="R17" s="158">
        <f>+O17*P17</f>
        <v>529720</v>
      </c>
    </row>
    <row r="18" spans="1:18" ht="13.5" thickBot="1">
      <c r="A18" s="1030"/>
      <c r="B18" s="224"/>
      <c r="C18" s="225"/>
      <c r="D18" s="226"/>
      <c r="E18" s="233"/>
      <c r="F18" s="236"/>
      <c r="G18" s="240"/>
      <c r="H18" s="241" t="s">
        <v>763</v>
      </c>
      <c r="I18" s="1033"/>
      <c r="J18" s="223" t="str">
        <f>+'24'!J18</f>
        <v>MG 19 VP HW</v>
      </c>
      <c r="K18" s="247"/>
      <c r="L18" s="247"/>
      <c r="M18" s="126">
        <f>+K18+'24'!M18+L18</f>
        <v>22191</v>
      </c>
      <c r="P18" s="158">
        <f>SUM(P16:P17)</f>
        <v>480</v>
      </c>
      <c r="Q18" s="158">
        <f t="shared" ref="Q18" si="1">SUM(Q16:Q17)</f>
        <v>816000</v>
      </c>
      <c r="R18" s="158">
        <f t="shared" ref="R18" si="2">SUM(R16:R17)</f>
        <v>620160</v>
      </c>
    </row>
    <row r="19" spans="1:18" ht="13.5" thickBot="1">
      <c r="A19" s="1030"/>
      <c r="B19" s="224"/>
      <c r="C19" s="225"/>
      <c r="D19" s="226"/>
      <c r="E19" s="233"/>
      <c r="F19" s="243"/>
      <c r="G19" s="240"/>
      <c r="H19" s="241" t="s">
        <v>757</v>
      </c>
      <c r="I19" s="1033"/>
      <c r="J19" s="223" t="str">
        <f>+'24'!J19</f>
        <v>MG 15,5 VP HW</v>
      </c>
      <c r="K19" s="247"/>
      <c r="L19" s="247"/>
      <c r="M19" s="126">
        <f>+K19+'24'!M19+L19</f>
        <v>26491</v>
      </c>
      <c r="Q19" s="158">
        <f>+Q18/P18</f>
        <v>1700</v>
      </c>
      <c r="R19" s="158">
        <f>+R18/P18</f>
        <v>1292</v>
      </c>
    </row>
    <row r="20" spans="1:18" ht="13.5" thickBot="1">
      <c r="A20" s="1030"/>
      <c r="B20" s="224"/>
      <c r="C20" s="225"/>
      <c r="D20" s="226"/>
      <c r="E20" s="233"/>
      <c r="F20" s="236"/>
      <c r="G20" s="240"/>
      <c r="H20" s="241" t="s">
        <v>758</v>
      </c>
      <c r="I20" s="1033"/>
      <c r="J20" s="223" t="str">
        <f>+'24'!J20</f>
        <v>MG 20 VP HW/OW</v>
      </c>
      <c r="K20" s="248"/>
      <c r="L20" s="248"/>
      <c r="M20" s="126">
        <f>+K20+'24'!M20+L20</f>
        <v>117211</v>
      </c>
    </row>
    <row r="21" spans="1:18" ht="13.5" thickBot="1">
      <c r="A21" s="1030"/>
      <c r="B21" s="224"/>
      <c r="C21" s="225"/>
      <c r="D21" s="226"/>
      <c r="E21" s="233"/>
      <c r="F21" s="239"/>
      <c r="G21" s="240"/>
      <c r="H21" s="503" t="s">
        <v>759</v>
      </c>
      <c r="I21" s="1033"/>
      <c r="J21" s="223" t="str">
        <f>+'24'!J21</f>
        <v>MG 20,5 VP OW</v>
      </c>
      <c r="K21" s="247"/>
      <c r="L21" s="247"/>
      <c r="M21" s="126">
        <f>+K21+'24'!M21+L21</f>
        <v>19381</v>
      </c>
    </row>
    <row r="22" spans="1:18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 t="str">
        <f>+'24'!J22</f>
        <v>MG 21,5 VP OW</v>
      </c>
      <c r="K22" s="247">
        <f>+C8</f>
        <v>2620</v>
      </c>
      <c r="L22" s="247"/>
      <c r="M22" s="126">
        <f>+K22+'24'!M22+L22</f>
        <v>54453</v>
      </c>
    </row>
    <row r="23" spans="1:18" ht="13.5" thickBot="1">
      <c r="A23" s="1031"/>
      <c r="B23" s="177" t="s">
        <v>2</v>
      </c>
      <c r="C23" s="109">
        <f>SUM(C16:C22)</f>
        <v>20092</v>
      </c>
      <c r="D23" s="120">
        <f>SUM(D16:D22)</f>
        <v>0</v>
      </c>
      <c r="E23" s="121">
        <f>SUM(E18:E22)</f>
        <v>0</v>
      </c>
      <c r="F23" s="125">
        <f>SUM(F15:F22)</f>
        <v>12</v>
      </c>
      <c r="G23" s="168"/>
      <c r="H23" s="175" t="s">
        <v>234</v>
      </c>
      <c r="I23" s="178"/>
      <c r="J23" s="223" t="str">
        <f>+'24'!J23</f>
        <v>MG 25 VP OW</v>
      </c>
      <c r="K23" s="247"/>
      <c r="L23" s="247"/>
      <c r="M23" s="126">
        <f>+K23+'24'!M23+L23</f>
        <v>0</v>
      </c>
    </row>
    <row r="24" spans="1:18" ht="13.5" customHeight="1" thickBot="1">
      <c r="A24" s="1035" t="s">
        <v>435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477</v>
      </c>
      <c r="J24" s="223">
        <f>+'24'!J24</f>
        <v>0</v>
      </c>
      <c r="K24" s="247"/>
      <c r="L24" s="247"/>
      <c r="M24" s="126">
        <f>+K24+'24'!M24+L24</f>
        <v>0</v>
      </c>
      <c r="N24" s="158">
        <v>1700</v>
      </c>
      <c r="O24" s="158">
        <v>1318.6942148760331</v>
      </c>
      <c r="P24" s="158">
        <v>484</v>
      </c>
      <c r="Q24" s="158" t="s">
        <v>532</v>
      </c>
    </row>
    <row r="25" spans="1:18" ht="13.5" thickBot="1">
      <c r="A25" s="1030"/>
      <c r="B25" s="224" t="s">
        <v>544</v>
      </c>
      <c r="C25" s="234">
        <v>22251</v>
      </c>
      <c r="D25" s="226"/>
      <c r="E25" s="233"/>
      <c r="F25" s="239">
        <v>3</v>
      </c>
      <c r="G25" s="240" t="s">
        <v>11</v>
      </c>
      <c r="H25" s="238" t="s">
        <v>484</v>
      </c>
      <c r="I25" s="1033"/>
      <c r="J25" s="223">
        <f>+'24'!J25</f>
        <v>0</v>
      </c>
      <c r="K25" s="247"/>
      <c r="L25" s="247"/>
      <c r="M25" s="126">
        <f>+K25+'24'!M25+L25</f>
        <v>0</v>
      </c>
      <c r="N25" s="158">
        <v>840</v>
      </c>
      <c r="O25" s="158">
        <f>+N25-N25*0.0035</f>
        <v>837.06</v>
      </c>
      <c r="P25" s="158">
        <v>66</v>
      </c>
      <c r="Q25" s="158" t="s">
        <v>751</v>
      </c>
    </row>
    <row r="26" spans="1:18" ht="13.5" thickBot="1">
      <c r="A26" s="1030"/>
      <c r="B26" s="224"/>
      <c r="C26" s="234"/>
      <c r="D26" s="226"/>
      <c r="E26" s="235"/>
      <c r="F26" s="239">
        <v>10</v>
      </c>
      <c r="G26" s="240" t="s">
        <v>11</v>
      </c>
      <c r="H26" s="241" t="s">
        <v>451</v>
      </c>
      <c r="I26" s="1033"/>
      <c r="J26" s="223">
        <f>+'24'!J26</f>
        <v>0</v>
      </c>
      <c r="K26" s="247"/>
      <c r="L26" s="247"/>
      <c r="M26" s="126">
        <f>+K26+'24'!M26+L26</f>
        <v>0</v>
      </c>
      <c r="N26" s="185">
        <v>1700</v>
      </c>
      <c r="O26" s="185">
        <f>+N26-N26*0.24</f>
        <v>1292</v>
      </c>
      <c r="P26" s="185">
        <f>50+360+480</f>
        <v>890</v>
      </c>
      <c r="Q26" s="158" t="s">
        <v>548</v>
      </c>
    </row>
    <row r="27" spans="1:18" ht="13.5" thickBot="1">
      <c r="A27" s="1030"/>
      <c r="B27" s="224"/>
      <c r="C27" s="225"/>
      <c r="D27" s="226"/>
      <c r="E27" s="233"/>
      <c r="F27" s="239"/>
      <c r="G27" s="240"/>
      <c r="H27" s="241" t="s">
        <v>762</v>
      </c>
      <c r="I27" s="1033"/>
      <c r="J27" s="223">
        <f>+'24'!J27</f>
        <v>0</v>
      </c>
      <c r="K27" s="247"/>
      <c r="L27" s="247"/>
      <c r="M27" s="126">
        <f>+K27+'24'!M27+L27</f>
        <v>0</v>
      </c>
      <c r="P27" s="158">
        <f>SUM(P24:P26)</f>
        <v>1440</v>
      </c>
    </row>
    <row r="28" spans="1:18" ht="13.5" thickBot="1">
      <c r="A28" s="1030"/>
      <c r="B28" s="224"/>
      <c r="C28" s="225"/>
      <c r="D28" s="226"/>
      <c r="E28" s="233"/>
      <c r="F28" s="239"/>
      <c r="G28" s="240"/>
      <c r="H28" s="241" t="s">
        <v>760</v>
      </c>
      <c r="I28" s="1033"/>
      <c r="J28" s="223">
        <f>+'24'!J28</f>
        <v>0</v>
      </c>
      <c r="K28" s="247"/>
      <c r="L28" s="247"/>
      <c r="M28" s="126">
        <f>+K28+'24'!M28+L28</f>
        <v>0</v>
      </c>
    </row>
    <row r="29" spans="1:18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+'24'!J29</f>
        <v>0</v>
      </c>
      <c r="K29" s="247"/>
      <c r="L29" s="247"/>
      <c r="M29" s="126">
        <f>+K29+'24'!M29+L29</f>
        <v>0</v>
      </c>
    </row>
    <row r="30" spans="1:18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+'24'!J30</f>
        <v>0</v>
      </c>
      <c r="K30" s="247"/>
      <c r="L30" s="247"/>
      <c r="M30" s="126">
        <f>+K30+'24'!M30+L30</f>
        <v>0</v>
      </c>
      <c r="N30" s="164"/>
    </row>
    <row r="31" spans="1:18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+'24'!J31</f>
        <v>0</v>
      </c>
      <c r="K31" s="247"/>
      <c r="L31" s="247"/>
      <c r="M31" s="126">
        <f>+K31+'24'!M31+L31</f>
        <v>0</v>
      </c>
    </row>
    <row r="32" spans="1:18" ht="13.5" thickBot="1">
      <c r="A32" s="1031"/>
      <c r="B32" s="174" t="s">
        <v>2</v>
      </c>
      <c r="C32" s="108">
        <f>SUM(C25:C31)</f>
        <v>22251</v>
      </c>
      <c r="D32" s="109">
        <f>SUM(D25:D31)</f>
        <v>0</v>
      </c>
      <c r="E32" s="110">
        <f>SUM(E25:E31)</f>
        <v>0</v>
      </c>
      <c r="F32" s="111">
        <f>SUM(F24:F31)</f>
        <v>13</v>
      </c>
      <c r="G32" s="180"/>
      <c r="H32" s="181"/>
      <c r="I32" s="178"/>
      <c r="J32" s="223">
        <f>+'24'!J32</f>
        <v>0</v>
      </c>
      <c r="K32" s="249"/>
      <c r="L32" s="251"/>
      <c r="M32" s="126">
        <f>+K32+'24'!M32+L32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60397</v>
      </c>
      <c r="D34" s="116">
        <f>D14+D23+D32</f>
        <v>0</v>
      </c>
      <c r="E34" s="116">
        <f>E14+E23+E32</f>
        <v>0</v>
      </c>
      <c r="F34" s="117">
        <f>F14+F23+F32</f>
        <v>44</v>
      </c>
      <c r="H34" s="187"/>
      <c r="I34" s="187"/>
      <c r="J34" s="132" t="s">
        <v>27</v>
      </c>
      <c r="K34" s="133">
        <f>SUM(K7:K32)</f>
        <v>60397</v>
      </c>
      <c r="L34" s="221">
        <f>SUM(L7:L32)</f>
        <v>0</v>
      </c>
      <c r="M34" s="129">
        <f>SUM(M7:M32)</f>
        <v>1690776</v>
      </c>
      <c r="N34" s="164"/>
    </row>
    <row r="35" spans="1:14" ht="13.5" thickBot="1">
      <c r="A35" s="188"/>
      <c r="B35" s="189"/>
      <c r="C35" s="113">
        <f>C34/($C$34+$D$34+$E$34)</f>
        <v>1</v>
      </c>
      <c r="D35" s="113">
        <f>D34/($C$34+$D$34+$E$34)</f>
        <v>0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(12*484+25*66+13*890)/1440*G42*2.77*1440/1000000</f>
        <v>67.472044166067775</v>
      </c>
      <c r="J37" s="134">
        <f>+I37+'24'!J37</f>
        <v>1811.2466537000914</v>
      </c>
      <c r="K37" s="135" t="s">
        <v>63</v>
      </c>
      <c r="L37" s="158">
        <f>20.803-L38+2.122+2.122</f>
        <v>21.999000000000002</v>
      </c>
    </row>
    <row r="38" spans="1:14" ht="17.45" customHeight="1">
      <c r="A38" s="1027" t="s">
        <v>11</v>
      </c>
      <c r="B38" s="1028"/>
      <c r="C38" s="173">
        <f>SUMIF($G$7:$G$31,"Process",$F$7:$F$31)</f>
        <v>44</v>
      </c>
      <c r="D38" s="127">
        <f>+C38+'24'!D38</f>
        <v>809</v>
      </c>
      <c r="E38" s="152">
        <f t="shared" ref="E38:E51" si="3">D38/60</f>
        <v>13.483333333333333</v>
      </c>
      <c r="F38" s="337">
        <v>1581.75</v>
      </c>
      <c r="G38" s="337">
        <v>1256.3624166666666</v>
      </c>
      <c r="H38" s="196" t="s">
        <v>64</v>
      </c>
      <c r="I38" s="548">
        <f>20.803+21.408+22.295</f>
        <v>64.506</v>
      </c>
      <c r="J38" s="136">
        <f>+I38+'24'!J38</f>
        <v>1734.0079999999998</v>
      </c>
      <c r="K38" s="137" t="s">
        <v>63</v>
      </c>
      <c r="L38" s="158">
        <f>1.626+1.422</f>
        <v>3.048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+C39+'24'!D39</f>
        <v>0</v>
      </c>
      <c r="E39" s="152">
        <f t="shared" si="3"/>
        <v>0</v>
      </c>
      <c r="F39" s="337">
        <v>1700</v>
      </c>
      <c r="G39" s="337">
        <v>1292</v>
      </c>
      <c r="H39" s="196" t="s">
        <v>65</v>
      </c>
      <c r="I39" s="151"/>
      <c r="J39" s="138">
        <f>J37/G4</f>
        <v>72.44986614800365</v>
      </c>
      <c r="K39" s="139" t="s">
        <v>63</v>
      </c>
      <c r="L39" s="556">
        <f>+I38-L37-L38</f>
        <v>39.458999999999996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+C40+'24'!D40</f>
        <v>0</v>
      </c>
      <c r="E40" s="152">
        <f t="shared" si="3"/>
        <v>0</v>
      </c>
      <c r="F40" s="337">
        <v>1700</v>
      </c>
      <c r="G40" s="337">
        <f>+F40-F40*0.24</f>
        <v>1292</v>
      </c>
      <c r="H40" s="196" t="s">
        <v>67</v>
      </c>
      <c r="I40" s="127">
        <f>(K34+L34)/1000</f>
        <v>60.396999999999998</v>
      </c>
      <c r="J40" s="140">
        <f>+I40+'24'!J40</f>
        <v>1690.7760000000001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+C41+'24'!D41</f>
        <v>55</v>
      </c>
      <c r="E41" s="152">
        <f t="shared" si="3"/>
        <v>0.91666666666666663</v>
      </c>
      <c r="F41" s="337"/>
      <c r="G41" s="337"/>
      <c r="H41" s="196" t="s">
        <v>69</v>
      </c>
      <c r="I41" s="151"/>
      <c r="J41" s="138">
        <f>J40/G4</f>
        <v>67.631039999999999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+C42+'24'!D42</f>
        <v>0</v>
      </c>
      <c r="E42" s="152">
        <f t="shared" si="3"/>
        <v>0</v>
      </c>
      <c r="F42" s="337">
        <f>+(F38*480+F39*480+F40*480)/1440</f>
        <v>1660.5833333333333</v>
      </c>
      <c r="G42" s="337">
        <f>+(G38*480+G39*480+G40*480)/1440</f>
        <v>1280.1208055555555</v>
      </c>
      <c r="H42" s="196" t="s">
        <v>70</v>
      </c>
      <c r="I42" s="254" t="s">
        <v>764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+C43+'24'!D43</f>
        <v>0</v>
      </c>
      <c r="E43" s="152">
        <f t="shared" si="3"/>
        <v>0</v>
      </c>
      <c r="F43" s="337"/>
      <c r="G43" s="338"/>
      <c r="H43" s="197" t="s">
        <v>73</v>
      </c>
      <c r="I43" s="127">
        <f>+Report1!T33</f>
        <v>135.602</v>
      </c>
      <c r="J43" s="142">
        <f>+I43+'24'!J43</f>
        <v>3526.623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+C44+'24'!D44</f>
        <v>515</v>
      </c>
      <c r="E44" s="152">
        <f t="shared" si="3"/>
        <v>8.5833333333333339</v>
      </c>
      <c r="F44" s="337"/>
      <c r="G44" s="338"/>
      <c r="H44" s="197" t="s">
        <v>74</v>
      </c>
      <c r="I44" s="127">
        <f>I43/I38</f>
        <v>2.1021610392831676</v>
      </c>
      <c r="J44" s="143">
        <f>J43/J38</f>
        <v>2.0337985753237589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+C45+'24'!D45</f>
        <v>0</v>
      </c>
      <c r="E45" s="152">
        <f t="shared" si="3"/>
        <v>0</v>
      </c>
      <c r="F45" s="337"/>
      <c r="G45" s="340"/>
      <c r="H45" s="197" t="s">
        <v>75</v>
      </c>
      <c r="I45" s="127">
        <f>I43/I40</f>
        <v>2.2451777406162559</v>
      </c>
      <c r="J45" s="143">
        <f>J43/J40</f>
        <v>2.085801430822297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+C46+'24'!D46</f>
        <v>0</v>
      </c>
      <c r="E46" s="152">
        <f t="shared" si="3"/>
        <v>0</v>
      </c>
      <c r="F46" s="337"/>
      <c r="G46" s="338"/>
      <c r="H46" s="197" t="s">
        <v>77</v>
      </c>
      <c r="I46" s="149">
        <f>+SUMIF(Listrik!AR32,"&gt;0")</f>
        <v>57017.39999999982</v>
      </c>
      <c r="J46" s="144">
        <f>+I46+'24'!J46</f>
        <v>1367172.2200000018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+C47+'24'!D47</f>
        <v>0</v>
      </c>
      <c r="E47" s="152">
        <f t="shared" si="3"/>
        <v>0</v>
      </c>
      <c r="F47" s="337"/>
      <c r="G47" s="338"/>
      <c r="H47" s="197" t="s">
        <v>80</v>
      </c>
      <c r="I47" s="127">
        <f>I46/I38</f>
        <v>883.90847363035721</v>
      </c>
      <c r="J47" s="144">
        <f>J46/J38</f>
        <v>788.44631627997217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+C48+'24'!D48</f>
        <v>0</v>
      </c>
      <c r="E48" s="152">
        <f t="shared" si="3"/>
        <v>0</v>
      </c>
      <c r="F48" s="337"/>
      <c r="G48" s="338"/>
      <c r="H48" s="197" t="s">
        <v>81</v>
      </c>
      <c r="I48" s="127">
        <f>I46/I40</f>
        <v>944.04357832342373</v>
      </c>
      <c r="J48" s="144">
        <f>J46/J40</f>
        <v>808.60635589812125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+C49+'24'!D49</f>
        <v>0</v>
      </c>
      <c r="E49" s="152">
        <f t="shared" si="3"/>
        <v>0</v>
      </c>
      <c r="F49" s="194"/>
      <c r="H49" s="197" t="s">
        <v>82</v>
      </c>
      <c r="I49" s="127">
        <v>0</v>
      </c>
      <c r="J49" s="144">
        <f>+I49+'24'!J49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+C50+'24'!D50</f>
        <v>0</v>
      </c>
      <c r="E50" s="152">
        <f t="shared" si="3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+C51+'24'!D51</f>
        <v>0</v>
      </c>
      <c r="E51" s="152">
        <f t="shared" si="3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44</v>
      </c>
      <c r="D52" s="153">
        <f>SUM(D38:D51)</f>
        <v>1379</v>
      </c>
      <c r="E52" s="154">
        <f>SUM(E38:E51)</f>
        <v>22.983333333333334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3.0555555555555555E-2</v>
      </c>
      <c r="D53" s="155">
        <f>D52/(24*60*G4)</f>
        <v>3.8305555555555558E-2</v>
      </c>
      <c r="E53" s="156">
        <f>E52/(G4*24)</f>
        <v>3.8305555555555558E-2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+D34+'24'!J56</f>
        <v>12098</v>
      </c>
      <c r="K56" s="210">
        <f>J56/(J40+J56/1000)/1000</f>
        <v>7.1044598719576437E-3</v>
      </c>
    </row>
    <row r="57" spans="1:11">
      <c r="A57" s="185"/>
      <c r="I57" s="208" t="s">
        <v>89</v>
      </c>
      <c r="J57" s="209">
        <f>+E34+'24'!J57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51:B51"/>
    <mergeCell ref="A52:B52"/>
    <mergeCell ref="A53:B53"/>
    <mergeCell ref="A47:B47"/>
    <mergeCell ref="A48:B48"/>
    <mergeCell ref="A49:B49"/>
    <mergeCell ref="A50:B50"/>
    <mergeCell ref="A43:B43"/>
    <mergeCell ref="A44:B44"/>
    <mergeCell ref="A45:B45"/>
    <mergeCell ref="A46:B46"/>
    <mergeCell ref="A39:B39"/>
    <mergeCell ref="A40:B40"/>
    <mergeCell ref="A41:B41"/>
    <mergeCell ref="A42:B42"/>
    <mergeCell ref="A37:B37"/>
    <mergeCell ref="A38:B38"/>
    <mergeCell ref="A24:A32"/>
    <mergeCell ref="I24:I31"/>
    <mergeCell ref="I7:I13"/>
    <mergeCell ref="A15:A23"/>
    <mergeCell ref="I15:I22"/>
    <mergeCell ref="A34:B34"/>
    <mergeCell ref="A7:A14"/>
  </mergeCells>
  <phoneticPr fontId="31" type="noConversion"/>
  <printOptions horizontalCentered="1"/>
  <pageMargins left="0.74791666666666667" right="0.74791666666666667" top="0.39027777777777778" bottom="0.19513888888888889" header="0" footer="0"/>
  <pageSetup paperSize="9" scale="62" firstPageNumber="4294963191" orientation="landscape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R61"/>
  <sheetViews>
    <sheetView zoomScale="80" zoomScaleNormal="80" workbookViewId="0">
      <selection activeCell="K12" sqref="K12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3.5703125" style="158" customWidth="1"/>
    <col min="14" max="16384" width="9.140625" style="158"/>
  </cols>
  <sheetData>
    <row r="1" spans="1:18" ht="15.75">
      <c r="A1" s="157"/>
    </row>
    <row r="2" spans="1:18" ht="15.75">
      <c r="A2" s="157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24</v>
      </c>
      <c r="H4" s="163" t="str">
        <f>+'1'!H4</f>
        <v>.06.24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265+240+223</f>
        <v>728</v>
      </c>
    </row>
    <row r="7" spans="1:18" ht="13.5" customHeight="1" thickBot="1">
      <c r="A7" s="1029" t="s">
        <v>646</v>
      </c>
      <c r="B7" s="224" t="s">
        <v>745</v>
      </c>
      <c r="C7" s="225">
        <v>19381</v>
      </c>
      <c r="D7" s="226"/>
      <c r="E7" s="227"/>
      <c r="F7" s="236"/>
      <c r="G7" s="237" t="s">
        <v>11</v>
      </c>
      <c r="H7" s="238" t="s">
        <v>277</v>
      </c>
      <c r="I7" s="1032" t="s">
        <v>742</v>
      </c>
      <c r="J7" s="223" t="str">
        <f>+'23'!J7</f>
        <v>T 14 VP OW</v>
      </c>
      <c r="K7" s="246"/>
      <c r="L7" s="250"/>
      <c r="M7" s="126">
        <f>+K7+'23'!M7+L7</f>
        <v>62499</v>
      </c>
      <c r="N7" s="158" t="s">
        <v>744</v>
      </c>
    </row>
    <row r="8" spans="1:18" ht="13.5" thickBot="1">
      <c r="A8" s="1030"/>
      <c r="B8" s="224" t="s">
        <v>752</v>
      </c>
      <c r="C8" s="225">
        <f>1324+2940</f>
        <v>4264</v>
      </c>
      <c r="D8" s="226"/>
      <c r="E8" s="228"/>
      <c r="F8" s="239"/>
      <c r="G8" s="240" t="s">
        <v>11</v>
      </c>
      <c r="H8" s="238" t="s">
        <v>591</v>
      </c>
      <c r="I8" s="1033"/>
      <c r="J8" s="223" t="str">
        <f>+'23'!J8</f>
        <v>T 15 VP OW</v>
      </c>
      <c r="K8" s="247"/>
      <c r="L8" s="247"/>
      <c r="M8" s="126">
        <f>+K8+'23'!M8+L8</f>
        <v>37584</v>
      </c>
      <c r="N8" s="158">
        <v>1010</v>
      </c>
      <c r="O8" s="158">
        <f>+N8-N8*0.0035</f>
        <v>1006.465</v>
      </c>
      <c r="P8" s="158">
        <v>329</v>
      </c>
    </row>
    <row r="9" spans="1:18" ht="13.5" thickBot="1">
      <c r="A9" s="1030"/>
      <c r="B9" s="224"/>
      <c r="C9" s="225"/>
      <c r="D9" s="226"/>
      <c r="E9" s="229"/>
      <c r="F9" s="236">
        <v>5</v>
      </c>
      <c r="G9" s="240" t="s">
        <v>11</v>
      </c>
      <c r="H9" s="241" t="s">
        <v>665</v>
      </c>
      <c r="I9" s="1033"/>
      <c r="J9" s="223" t="str">
        <f>+'23'!J9</f>
        <v>T 12,5 VP OW</v>
      </c>
      <c r="K9" s="247"/>
      <c r="L9" s="247"/>
      <c r="M9" s="126">
        <f>+K9+'23'!M9+L9</f>
        <v>148332</v>
      </c>
    </row>
    <row r="10" spans="1:18" ht="13.5" thickBot="1">
      <c r="A10" s="1030"/>
      <c r="B10" s="224"/>
      <c r="C10" s="225"/>
      <c r="D10" s="226"/>
      <c r="E10" s="228"/>
      <c r="F10" s="236"/>
      <c r="G10" s="240"/>
      <c r="H10" s="241" t="s">
        <v>740</v>
      </c>
      <c r="I10" s="1033"/>
      <c r="J10" s="223" t="str">
        <f>+'23'!J10</f>
        <v>T 12 VP OW</v>
      </c>
      <c r="K10" s="247"/>
      <c r="L10" s="247"/>
      <c r="M10" s="126">
        <f>+K10+'23'!M10+L10</f>
        <v>25679</v>
      </c>
    </row>
    <row r="11" spans="1:18" ht="13.5" thickBot="1">
      <c r="A11" s="1030"/>
      <c r="B11" s="224"/>
      <c r="C11" s="225"/>
      <c r="D11" s="226"/>
      <c r="E11" s="228"/>
      <c r="F11" s="236"/>
      <c r="G11" s="240"/>
      <c r="H11" s="241" t="s">
        <v>739</v>
      </c>
      <c r="I11" s="1033"/>
      <c r="J11" s="223" t="str">
        <f>+'23'!J11</f>
        <v>F 12 VP OW</v>
      </c>
      <c r="K11" s="247">
        <f>+C26</f>
        <v>6224</v>
      </c>
      <c r="L11" s="247"/>
      <c r="M11" s="126">
        <f>+K11+'23'!M11+L11</f>
        <v>125668</v>
      </c>
    </row>
    <row r="12" spans="1:18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+'23'!J12</f>
        <v>F 13 VP OW</v>
      </c>
      <c r="K12" s="247"/>
      <c r="L12" s="247"/>
      <c r="M12" s="126">
        <f>+K12+'23'!M12+L12</f>
        <v>149460</v>
      </c>
      <c r="N12" s="158" t="s">
        <v>743</v>
      </c>
    </row>
    <row r="13" spans="1:18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+'23'!J13</f>
        <v>F 13,5 VP OW</v>
      </c>
      <c r="K13" s="247"/>
      <c r="L13" s="247"/>
      <c r="M13" s="126">
        <f>+K13+'23'!M13+L13</f>
        <v>11138</v>
      </c>
      <c r="N13" s="158">
        <v>1010</v>
      </c>
      <c r="O13" s="158">
        <f>+N13-N13*0.0035</f>
        <v>1006.465</v>
      </c>
      <c r="P13" s="158">
        <f>31+120</f>
        <v>151</v>
      </c>
      <c r="Q13" s="158">
        <f>+N13*P13</f>
        <v>152510</v>
      </c>
      <c r="R13" s="158">
        <f>+O13*P13</f>
        <v>151976.215</v>
      </c>
    </row>
    <row r="14" spans="1:18" ht="13.5" thickBot="1">
      <c r="A14" s="1031"/>
      <c r="B14" s="174" t="s">
        <v>2</v>
      </c>
      <c r="C14" s="108">
        <f>SUM(C7:C13)</f>
        <v>23645</v>
      </c>
      <c r="D14" s="120">
        <f>SUM(D7:D13)</f>
        <v>0</v>
      </c>
      <c r="E14" s="121">
        <f>SUM(E5:E13)</f>
        <v>0</v>
      </c>
      <c r="F14" s="125">
        <f>SUM(F7:F13)</f>
        <v>5</v>
      </c>
      <c r="G14" s="168"/>
      <c r="H14" s="175"/>
      <c r="I14" s="176"/>
      <c r="J14" s="223" t="str">
        <f>+'23'!J14</f>
        <v>F 12,5 VP OW</v>
      </c>
      <c r="K14" s="247"/>
      <c r="L14" s="247"/>
      <c r="M14" s="126">
        <f>+K14+'23'!M14+L14</f>
        <v>73203</v>
      </c>
      <c r="N14" s="158">
        <v>1010</v>
      </c>
      <c r="O14" s="158">
        <f>+N14-N14*0.0035</f>
        <v>1006.465</v>
      </c>
      <c r="P14" s="158">
        <v>480</v>
      </c>
      <c r="Q14" s="158">
        <f t="shared" ref="Q14:Q15" si="0">+N14*P14</f>
        <v>484800</v>
      </c>
      <c r="R14" s="158">
        <f t="shared" ref="R14:R15" si="1">+O14*P14</f>
        <v>483103.2</v>
      </c>
    </row>
    <row r="15" spans="1:18" ht="13.5" customHeight="1" thickBot="1">
      <c r="A15" s="1035" t="s">
        <v>535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742</v>
      </c>
      <c r="J15" s="223" t="str">
        <f>+'23'!J15</f>
        <v>MG 14 VP OW/HW</v>
      </c>
      <c r="K15" s="247"/>
      <c r="L15" s="247"/>
      <c r="M15" s="126">
        <f>+K15+'23'!M15+L15</f>
        <v>83225</v>
      </c>
      <c r="N15" s="158">
        <v>1030</v>
      </c>
      <c r="O15" s="158">
        <f>+N15-N15*0.0035</f>
        <v>1026.395</v>
      </c>
      <c r="P15" s="158">
        <f>180+30</f>
        <v>210</v>
      </c>
      <c r="Q15" s="158">
        <f t="shared" si="0"/>
        <v>216300</v>
      </c>
      <c r="R15" s="158">
        <f t="shared" si="1"/>
        <v>215542.94999999998</v>
      </c>
    </row>
    <row r="16" spans="1:18" ht="13.5" thickBot="1">
      <c r="A16" s="1030"/>
      <c r="B16" s="224" t="s">
        <v>752</v>
      </c>
      <c r="C16" s="230">
        <v>27914</v>
      </c>
      <c r="D16" s="231"/>
      <c r="E16" s="232"/>
      <c r="F16" s="236"/>
      <c r="G16" s="240" t="s">
        <v>11</v>
      </c>
      <c r="H16" s="238" t="s">
        <v>591</v>
      </c>
      <c r="I16" s="1033"/>
      <c r="J16" s="223" t="str">
        <f>+'23'!J16</f>
        <v>MG 17 VP OW/HW</v>
      </c>
      <c r="K16" s="247"/>
      <c r="L16" s="247"/>
      <c r="M16" s="126">
        <f>+K16+'23'!M16+L16</f>
        <v>338028</v>
      </c>
      <c r="P16" s="158">
        <f>SUM(P13:P15)</f>
        <v>841</v>
      </c>
      <c r="Q16" s="158">
        <f t="shared" ref="Q16:R16" si="2">SUM(Q13:Q15)</f>
        <v>853610</v>
      </c>
      <c r="R16" s="158">
        <f t="shared" si="2"/>
        <v>850622.36499999999</v>
      </c>
    </row>
    <row r="17" spans="1:18" ht="13.5" thickBot="1">
      <c r="A17" s="1030"/>
      <c r="B17" s="224"/>
      <c r="C17" s="225"/>
      <c r="D17" s="226"/>
      <c r="E17" s="233"/>
      <c r="F17" s="236">
        <v>5</v>
      </c>
      <c r="G17" s="240" t="s">
        <v>11</v>
      </c>
      <c r="H17" s="241" t="s">
        <v>451</v>
      </c>
      <c r="I17" s="1033"/>
      <c r="J17" s="223" t="str">
        <f>+'23'!J17</f>
        <v>MG 16 VP HW</v>
      </c>
      <c r="K17" s="247"/>
      <c r="L17" s="247"/>
      <c r="M17" s="126">
        <f>+K17+'23'!M17+L17</f>
        <v>338456</v>
      </c>
      <c r="Q17" s="158">
        <f>+Q16/P16</f>
        <v>1014.9940546967896</v>
      </c>
      <c r="R17" s="158">
        <f>+R16/P16</f>
        <v>1011.4415755053508</v>
      </c>
    </row>
    <row r="18" spans="1:18" ht="13.5" thickBot="1">
      <c r="A18" s="1030"/>
      <c r="B18" s="224"/>
      <c r="C18" s="225"/>
      <c r="D18" s="226"/>
      <c r="E18" s="233"/>
      <c r="F18" s="236"/>
      <c r="G18" s="240"/>
      <c r="H18" s="241" t="s">
        <v>738</v>
      </c>
      <c r="I18" s="1033"/>
      <c r="J18" s="223" t="str">
        <f>+'23'!J18</f>
        <v>MG 19 VP HW</v>
      </c>
      <c r="K18" s="247"/>
      <c r="L18" s="247"/>
      <c r="M18" s="126">
        <f>+K18+'23'!M18+L18</f>
        <v>22191</v>
      </c>
    </row>
    <row r="19" spans="1:18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 t="str">
        <f>+'23'!J19</f>
        <v>MG 15,5 VP HW</v>
      </c>
      <c r="K19" s="247"/>
      <c r="L19" s="247"/>
      <c r="M19" s="126">
        <f>+K19+'23'!M19+L19</f>
        <v>26491</v>
      </c>
      <c r="N19" s="158" t="s">
        <v>751</v>
      </c>
    </row>
    <row r="20" spans="1:18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 t="str">
        <f>+'23'!J20</f>
        <v>MG 20 VP HW/OW</v>
      </c>
      <c r="K20" s="247"/>
      <c r="L20" s="247"/>
      <c r="M20" s="126">
        <f>+K20+'23'!M20+L20</f>
        <v>117211</v>
      </c>
      <c r="N20" s="158">
        <v>830</v>
      </c>
      <c r="O20" s="158">
        <f>+N20-N20*0.0035</f>
        <v>827.09500000000003</v>
      </c>
      <c r="P20" s="158">
        <v>60</v>
      </c>
    </row>
    <row r="21" spans="1:18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 t="s">
        <v>745</v>
      </c>
      <c r="K21" s="247">
        <f>+C7</f>
        <v>19381</v>
      </c>
      <c r="L21" s="247"/>
      <c r="M21" s="126">
        <f>+K21+'23'!M21+L21</f>
        <v>19381</v>
      </c>
    </row>
    <row r="22" spans="1:18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 t="s">
        <v>752</v>
      </c>
      <c r="K22" s="247">
        <f>+C8+C16+C25</f>
        <v>51833</v>
      </c>
      <c r="L22" s="247"/>
      <c r="M22" s="126">
        <f>+K22+'23'!M22+L22</f>
        <v>51833</v>
      </c>
      <c r="N22" s="158" t="s">
        <v>532</v>
      </c>
    </row>
    <row r="23" spans="1:18" ht="13.5" thickBot="1">
      <c r="A23" s="1031"/>
      <c r="B23" s="177" t="s">
        <v>2</v>
      </c>
      <c r="C23" s="109">
        <f>SUM(C16:C22)</f>
        <v>27914</v>
      </c>
      <c r="D23" s="120">
        <f>SUM(D16:D22)</f>
        <v>0</v>
      </c>
      <c r="E23" s="121">
        <f>SUM(E18:E22)</f>
        <v>0</v>
      </c>
      <c r="F23" s="125">
        <f>SUM(F15:F22)</f>
        <v>5</v>
      </c>
      <c r="G23" s="168"/>
      <c r="H23" s="175" t="s">
        <v>234</v>
      </c>
      <c r="I23" s="178"/>
      <c r="J23" s="223" t="s">
        <v>753</v>
      </c>
      <c r="K23" s="247">
        <v>0</v>
      </c>
      <c r="L23" s="247"/>
      <c r="M23" s="126">
        <f>+K23+'23'!M23+L23</f>
        <v>0</v>
      </c>
      <c r="N23" s="158">
        <v>1700</v>
      </c>
      <c r="O23" s="158">
        <f>+N23-N23*0.2</f>
        <v>1360</v>
      </c>
      <c r="P23" s="158">
        <v>210</v>
      </c>
    </row>
    <row r="24" spans="1:18" ht="13.5" customHeight="1" thickBot="1">
      <c r="A24" s="1035" t="s">
        <v>435</v>
      </c>
      <c r="B24" s="179"/>
      <c r="C24" s="122"/>
      <c r="D24" s="123"/>
      <c r="E24" s="124"/>
      <c r="F24" s="244">
        <v>10</v>
      </c>
      <c r="G24" s="237" t="s">
        <v>11</v>
      </c>
      <c r="H24" s="238" t="s">
        <v>555</v>
      </c>
      <c r="I24" s="1032" t="s">
        <v>749</v>
      </c>
      <c r="J24" s="223"/>
      <c r="K24" s="247"/>
      <c r="L24" s="247"/>
      <c r="M24" s="126">
        <f>+K24+'23'!M24+L24</f>
        <v>0</v>
      </c>
    </row>
    <row r="25" spans="1:18" ht="13.5" thickBot="1">
      <c r="A25" s="1030"/>
      <c r="B25" s="224" t="s">
        <v>752</v>
      </c>
      <c r="C25" s="234">
        <f>562+9587+9506</f>
        <v>19655</v>
      </c>
      <c r="D25" s="226"/>
      <c r="E25" s="233"/>
      <c r="F25" s="239">
        <v>3</v>
      </c>
      <c r="G25" s="240" t="s">
        <v>11</v>
      </c>
      <c r="H25" s="238" t="s">
        <v>721</v>
      </c>
      <c r="I25" s="1033"/>
      <c r="J25" s="223">
        <f>+'23'!J25</f>
        <v>0</v>
      </c>
      <c r="K25" s="247"/>
      <c r="L25" s="247"/>
      <c r="M25" s="126">
        <f>+K25+'23'!M25+L25</f>
        <v>0</v>
      </c>
      <c r="N25" s="158">
        <v>1030</v>
      </c>
      <c r="O25" s="158">
        <f>+N25-N25*0.0035</f>
        <v>1026.395</v>
      </c>
      <c r="P25" s="158">
        <f>180+30</f>
        <v>210</v>
      </c>
      <c r="Q25" s="158">
        <f>+N25*P25</f>
        <v>216300</v>
      </c>
      <c r="R25" s="158">
        <f>+O25*P25</f>
        <v>215542.94999999998</v>
      </c>
    </row>
    <row r="26" spans="1:18" ht="13.5" thickBot="1">
      <c r="A26" s="1030"/>
      <c r="B26" s="224" t="s">
        <v>524</v>
      </c>
      <c r="C26" s="234">
        <v>6224</v>
      </c>
      <c r="D26" s="226"/>
      <c r="E26" s="235"/>
      <c r="F26" s="239">
        <v>10</v>
      </c>
      <c r="G26" s="240" t="s">
        <v>11</v>
      </c>
      <c r="H26" s="241" t="s">
        <v>451</v>
      </c>
      <c r="I26" s="1033"/>
      <c r="J26" s="223">
        <f>+'23'!J26</f>
        <v>0</v>
      </c>
      <c r="K26" s="247"/>
      <c r="L26" s="247"/>
      <c r="M26" s="126">
        <f>+K26+'23'!M26+L26</f>
        <v>0</v>
      </c>
      <c r="N26" s="158">
        <v>830</v>
      </c>
      <c r="O26" s="158">
        <f>+N26-N26*0.0035</f>
        <v>827.09500000000003</v>
      </c>
      <c r="P26" s="158">
        <v>60</v>
      </c>
      <c r="Q26" s="158">
        <f>+N26*P26</f>
        <v>49800</v>
      </c>
      <c r="R26" s="158">
        <f>+O26*P26</f>
        <v>49625.700000000004</v>
      </c>
    </row>
    <row r="27" spans="1:18" ht="13.5" thickBot="1">
      <c r="A27" s="1030"/>
      <c r="B27" s="224"/>
      <c r="C27" s="225"/>
      <c r="D27" s="226"/>
      <c r="E27" s="233"/>
      <c r="F27" s="239"/>
      <c r="G27" s="240"/>
      <c r="H27" s="241" t="s">
        <v>741</v>
      </c>
      <c r="I27" s="1033"/>
      <c r="J27" s="223">
        <f>+'23'!J27</f>
        <v>0</v>
      </c>
      <c r="K27" s="247"/>
      <c r="L27" s="247"/>
      <c r="M27" s="126">
        <f>+K27+'23'!M27+L27</f>
        <v>0</v>
      </c>
      <c r="N27" s="158">
        <v>1700</v>
      </c>
      <c r="O27" s="158">
        <f>+N27-N27*0.2</f>
        <v>1360</v>
      </c>
      <c r="P27" s="158">
        <v>210</v>
      </c>
      <c r="Q27" s="158">
        <f>+N27*P27</f>
        <v>357000</v>
      </c>
      <c r="R27" s="158">
        <f>+O27*P27</f>
        <v>285600</v>
      </c>
    </row>
    <row r="28" spans="1:18" ht="13.5" thickBot="1">
      <c r="A28" s="1030"/>
      <c r="B28" s="224"/>
      <c r="C28" s="225"/>
      <c r="D28" s="226"/>
      <c r="E28" s="233"/>
      <c r="F28" s="239">
        <v>15</v>
      </c>
      <c r="G28" s="240" t="s">
        <v>11</v>
      </c>
      <c r="H28" s="241" t="s">
        <v>747</v>
      </c>
      <c r="I28" s="1033"/>
      <c r="J28" s="223">
        <f>+'23'!J28</f>
        <v>0</v>
      </c>
      <c r="K28" s="247"/>
      <c r="L28" s="247"/>
      <c r="M28" s="126">
        <f>+K28+'23'!M28+L28</f>
        <v>0</v>
      </c>
      <c r="P28" s="158">
        <f>SUM(P25:P27)</f>
        <v>480</v>
      </c>
      <c r="Q28" s="158">
        <f t="shared" ref="Q28:R28" si="3">SUM(Q25:Q27)</f>
        <v>623100</v>
      </c>
      <c r="R28" s="158">
        <f t="shared" si="3"/>
        <v>550768.64999999991</v>
      </c>
    </row>
    <row r="29" spans="1:18" ht="13.5" thickBot="1">
      <c r="A29" s="1030"/>
      <c r="B29" s="224"/>
      <c r="C29" s="225"/>
      <c r="D29" s="226"/>
      <c r="E29" s="233"/>
      <c r="F29" s="244"/>
      <c r="G29" s="240"/>
      <c r="H29" s="241" t="s">
        <v>748</v>
      </c>
      <c r="I29" s="1033"/>
      <c r="J29" s="223">
        <f>+'23'!J29</f>
        <v>0</v>
      </c>
      <c r="K29" s="247"/>
      <c r="L29" s="247"/>
      <c r="M29" s="126">
        <f>+K29+'23'!M29+L29</f>
        <v>0</v>
      </c>
      <c r="Q29" s="158">
        <f>+Q28/P28</f>
        <v>1298.125</v>
      </c>
      <c r="R29" s="158">
        <f>+R28/P28</f>
        <v>1147.4346874999999</v>
      </c>
    </row>
    <row r="30" spans="1:18" ht="13.5" thickBot="1">
      <c r="A30" s="1030"/>
      <c r="B30" s="224"/>
      <c r="C30" s="234"/>
      <c r="D30" s="226"/>
      <c r="E30" s="233"/>
      <c r="F30" s="244"/>
      <c r="G30" s="240"/>
      <c r="H30" s="242"/>
      <c r="I30" s="1033"/>
      <c r="J30" s="223">
        <f>+'23'!J30</f>
        <v>0</v>
      </c>
      <c r="K30" s="247"/>
      <c r="L30" s="247"/>
      <c r="M30" s="126">
        <f>+K30+'23'!M30+L30</f>
        <v>0</v>
      </c>
      <c r="N30" s="164"/>
    </row>
    <row r="31" spans="1:18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+'23'!J31</f>
        <v>0</v>
      </c>
      <c r="K31" s="247"/>
      <c r="L31" s="247"/>
      <c r="M31" s="126">
        <f>+K31+'23'!M31+L31</f>
        <v>0</v>
      </c>
    </row>
    <row r="32" spans="1:18" ht="13.5" thickBot="1">
      <c r="A32" s="1031"/>
      <c r="B32" s="174" t="s">
        <v>2</v>
      </c>
      <c r="C32" s="108">
        <f>SUM(C25:C31)</f>
        <v>25879</v>
      </c>
      <c r="D32" s="109">
        <f>SUM(D25:D31)</f>
        <v>0</v>
      </c>
      <c r="E32" s="110">
        <f>SUM(E25:E31)</f>
        <v>0</v>
      </c>
      <c r="F32" s="111">
        <f>SUM(F24:F31)</f>
        <v>38</v>
      </c>
      <c r="G32" s="180"/>
      <c r="H32" s="181"/>
      <c r="I32" s="178"/>
      <c r="J32" s="223">
        <f>+'23'!J32</f>
        <v>0</v>
      </c>
      <c r="K32" s="249"/>
      <c r="L32" s="251"/>
      <c r="M32" s="126">
        <f>+K32+'23'!M32+L32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77438</v>
      </c>
      <c r="D34" s="116">
        <f>D14+D23+D32</f>
        <v>0</v>
      </c>
      <c r="E34" s="116">
        <f>E14+E23+E32</f>
        <v>0</v>
      </c>
      <c r="F34" s="117">
        <f>F14+F23+F32</f>
        <v>48</v>
      </c>
      <c r="H34" s="187"/>
      <c r="I34" s="187"/>
      <c r="J34" s="132" t="s">
        <v>27</v>
      </c>
      <c r="K34" s="133">
        <f>SUM(K7:K32)</f>
        <v>77438</v>
      </c>
      <c r="L34" s="221">
        <f>SUM(L7:L32)</f>
        <v>0</v>
      </c>
      <c r="M34" s="129">
        <f>SUM(M7:M32)</f>
        <v>1630379</v>
      </c>
      <c r="N34" s="164"/>
    </row>
    <row r="35" spans="1:14" ht="13.5" thickBot="1">
      <c r="A35" s="188"/>
      <c r="B35" s="189"/>
      <c r="C35" s="113">
        <f>C34/($C$34+$D$34+$E$34)</f>
        <v>1</v>
      </c>
      <c r="D35" s="113">
        <f>D34/($C$34+$D$34+$E$34)</f>
        <v>0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(20.5*329+21.5*841+25*60+12*210)/1440*G42*2.77*1440/1000000</f>
        <v>84.307197460415665</v>
      </c>
      <c r="J37" s="134">
        <f>+I37+'23'!J37</f>
        <v>1743.7746095340237</v>
      </c>
      <c r="K37" s="135" t="s">
        <v>63</v>
      </c>
      <c r="L37" s="158">
        <v>17.137</v>
      </c>
    </row>
    <row r="38" spans="1:14" ht="17.45" customHeight="1">
      <c r="A38" s="1027" t="s">
        <v>11</v>
      </c>
      <c r="B38" s="1028"/>
      <c r="C38" s="173">
        <f>SUMIF($G$7:$G$31,"Process",$F$7:$F$31)</f>
        <v>48</v>
      </c>
      <c r="D38" s="127">
        <f>+C38+'23'!D38</f>
        <v>765</v>
      </c>
      <c r="E38" s="152">
        <f t="shared" ref="E38:E51" si="4">D38/60</f>
        <v>12.75</v>
      </c>
      <c r="F38" s="337">
        <v>1010</v>
      </c>
      <c r="G38" s="337">
        <v>1006.465</v>
      </c>
      <c r="H38" s="196" t="s">
        <v>64</v>
      </c>
      <c r="I38" s="548">
        <f>22.859+29.88+21.628</f>
        <v>74.367000000000004</v>
      </c>
      <c r="J38" s="136">
        <f>+I38+'23'!J38</f>
        <v>1669.5019999999997</v>
      </c>
      <c r="K38" s="137" t="s">
        <v>63</v>
      </c>
      <c r="L38" s="556">
        <f>+I38-L37-L39-L40</f>
        <v>48.199000000000005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+C39+'23'!D39</f>
        <v>0</v>
      </c>
      <c r="E39" s="152">
        <f t="shared" si="4"/>
        <v>0</v>
      </c>
      <c r="F39" s="337">
        <v>1014.9940546967896</v>
      </c>
      <c r="G39" s="337">
        <v>1011.4415755053508</v>
      </c>
      <c r="H39" s="196" t="s">
        <v>65</v>
      </c>
      <c r="I39" s="151"/>
      <c r="J39" s="138">
        <f>J37/G4</f>
        <v>72.657275397250984</v>
      </c>
      <c r="K39" s="139" t="s">
        <v>63</v>
      </c>
      <c r="L39" s="158">
        <v>2.5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+C40+'23'!D40</f>
        <v>0</v>
      </c>
      <c r="E40" s="152">
        <f t="shared" si="4"/>
        <v>0</v>
      </c>
      <c r="F40" s="337">
        <v>1298.125</v>
      </c>
      <c r="G40" s="337">
        <v>1147.4346874999999</v>
      </c>
      <c r="H40" s="196" t="s">
        <v>67</v>
      </c>
      <c r="I40" s="127">
        <f>(K34+L34)/1000</f>
        <v>77.438000000000002</v>
      </c>
      <c r="J40" s="140">
        <f>+I40+'23'!J40</f>
        <v>1630.3790000000001</v>
      </c>
      <c r="K40" s="139" t="s">
        <v>63</v>
      </c>
      <c r="L40" s="158">
        <f>7.731-1.2</f>
        <v>6.5309999999999997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+C41+'23'!D41</f>
        <v>55</v>
      </c>
      <c r="E41" s="152">
        <f t="shared" si="4"/>
        <v>0.91666666666666663</v>
      </c>
      <c r="F41" s="337"/>
      <c r="G41" s="337"/>
      <c r="H41" s="196" t="s">
        <v>69</v>
      </c>
      <c r="I41" s="151"/>
      <c r="J41" s="138">
        <f>J40/G4</f>
        <v>67.932458333333344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+C42+'23'!D42</f>
        <v>0</v>
      </c>
      <c r="E42" s="152">
        <f t="shared" si="4"/>
        <v>0</v>
      </c>
      <c r="F42" s="337">
        <f>+(F38*480+F39*480+F40*480)/1440</f>
        <v>1107.7063515655964</v>
      </c>
      <c r="G42" s="337">
        <f>+(G38*480+G39*480+G40*480)/1440</f>
        <v>1055.1137543351169</v>
      </c>
      <c r="H42" s="196" t="s">
        <v>70</v>
      </c>
      <c r="I42" s="254" t="s">
        <v>750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+C43+'23'!D43</f>
        <v>0</v>
      </c>
      <c r="E43" s="152">
        <f t="shared" si="4"/>
        <v>0</v>
      </c>
      <c r="F43" s="337"/>
      <c r="G43" s="338"/>
      <c r="H43" s="197" t="s">
        <v>73</v>
      </c>
      <c r="I43" s="127">
        <f>+Report1!T32</f>
        <v>142.70099999999999</v>
      </c>
      <c r="J43" s="142">
        <f>+I43+'23'!J43</f>
        <v>3391.0210000000002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+C44+'23'!D44</f>
        <v>515</v>
      </c>
      <c r="E44" s="152">
        <f t="shared" si="4"/>
        <v>8.5833333333333339</v>
      </c>
      <c r="F44" s="337"/>
      <c r="G44" s="338"/>
      <c r="H44" s="197" t="s">
        <v>74</v>
      </c>
      <c r="I44" s="127">
        <f>I43/I38</f>
        <v>1.9188753075961109</v>
      </c>
      <c r="J44" s="143">
        <f>J43/J38</f>
        <v>2.0311571953792211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+C45+'23'!D45</f>
        <v>0</v>
      </c>
      <c r="E45" s="152">
        <f t="shared" si="4"/>
        <v>0</v>
      </c>
      <c r="F45" s="337"/>
      <c r="G45" s="340"/>
      <c r="H45" s="197" t="s">
        <v>75</v>
      </c>
      <c r="I45" s="127">
        <f>I43/I40</f>
        <v>1.8427774477646632</v>
      </c>
      <c r="J45" s="143">
        <f>J43/J40</f>
        <v>2.079897373555474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+C46+'23'!D46</f>
        <v>0</v>
      </c>
      <c r="E46" s="152">
        <f t="shared" si="4"/>
        <v>0</v>
      </c>
      <c r="F46" s="337"/>
      <c r="G46" s="338"/>
      <c r="H46" s="197" t="s">
        <v>77</v>
      </c>
      <c r="I46" s="149">
        <f>+SUMIF(Listrik!AR31,"&gt;0")</f>
        <v>48027.620000000308</v>
      </c>
      <c r="J46" s="144">
        <f>+I46+'23'!J46</f>
        <v>1310154.8200000019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+C47+'23'!D47</f>
        <v>0</v>
      </c>
      <c r="E47" s="152">
        <f t="shared" si="4"/>
        <v>0</v>
      </c>
      <c r="F47" s="337"/>
      <c r="G47" s="338"/>
      <c r="H47" s="197" t="s">
        <v>80</v>
      </c>
      <c r="I47" s="127">
        <f>I46/I38</f>
        <v>645.81897884814907</v>
      </c>
      <c r="J47" s="144">
        <f>J46/J38</f>
        <v>784.75786192529392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+C48+'23'!D48</f>
        <v>0</v>
      </c>
      <c r="E48" s="152">
        <f t="shared" si="4"/>
        <v>0</v>
      </c>
      <c r="F48" s="337"/>
      <c r="G48" s="338"/>
      <c r="H48" s="197" t="s">
        <v>81</v>
      </c>
      <c r="I48" s="127">
        <f>I46/I40</f>
        <v>620.20739171983143</v>
      </c>
      <c r="J48" s="144">
        <f>J46/J40</f>
        <v>803.58911639563678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+C49+'23'!D49</f>
        <v>0</v>
      </c>
      <c r="E49" s="152">
        <f t="shared" si="4"/>
        <v>0</v>
      </c>
      <c r="F49" s="194"/>
      <c r="H49" s="197" t="s">
        <v>82</v>
      </c>
      <c r="I49" s="127">
        <v>0</v>
      </c>
      <c r="J49" s="144">
        <f>+I49+'23'!J49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+C50+'23'!D50</f>
        <v>0</v>
      </c>
      <c r="E50" s="152">
        <f t="shared" si="4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+C51+'23'!D51</f>
        <v>0</v>
      </c>
      <c r="E51" s="152">
        <f t="shared" si="4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48</v>
      </c>
      <c r="D52" s="153">
        <f>SUM(D38:D51)</f>
        <v>1335</v>
      </c>
      <c r="E52" s="154">
        <f>SUM(E38:E51)</f>
        <v>22.25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3.3333333333333333E-2</v>
      </c>
      <c r="D53" s="155">
        <f>D52/(24*60*G4)</f>
        <v>3.8628472222222224E-2</v>
      </c>
      <c r="E53" s="156">
        <f>E52/(G4*24)</f>
        <v>3.8628472222222224E-2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+D34+'23'!J56</f>
        <v>12098</v>
      </c>
      <c r="K56" s="210">
        <f>J56/(J40+J56/1000)/1000</f>
        <v>7.3657043599392865E-3</v>
      </c>
    </row>
    <row r="57" spans="1:11">
      <c r="A57" s="185"/>
      <c r="I57" s="208" t="s">
        <v>89</v>
      </c>
      <c r="J57" s="209">
        <f>+E34+'23'!J57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51:B51"/>
    <mergeCell ref="A52:B52"/>
    <mergeCell ref="A53:B53"/>
    <mergeCell ref="A47:B47"/>
    <mergeCell ref="A48:B48"/>
    <mergeCell ref="A49:B49"/>
    <mergeCell ref="A50:B50"/>
    <mergeCell ref="A43:B43"/>
    <mergeCell ref="A44:B44"/>
    <mergeCell ref="A45:B45"/>
    <mergeCell ref="A46:B46"/>
    <mergeCell ref="A39:B39"/>
    <mergeCell ref="A40:B40"/>
    <mergeCell ref="A41:B41"/>
    <mergeCell ref="A42:B42"/>
    <mergeCell ref="A37:B37"/>
    <mergeCell ref="A38:B38"/>
    <mergeCell ref="A24:A32"/>
    <mergeCell ref="I24:I31"/>
    <mergeCell ref="I7:I13"/>
    <mergeCell ref="A15:A23"/>
    <mergeCell ref="I15:I22"/>
    <mergeCell ref="A34:B34"/>
    <mergeCell ref="A7:A14"/>
  </mergeCells>
  <phoneticPr fontId="31" type="noConversion"/>
  <printOptions horizontalCentered="1"/>
  <pageMargins left="0.74791666666666667" right="0.74791666666666667" top="0.39027777777777778" bottom="0.39027777777777778" header="0" footer="0"/>
  <pageSetup paperSize="9" scale="62" firstPageNumber="4294963191" orientation="landscape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R61"/>
  <sheetViews>
    <sheetView zoomScale="80" zoomScaleNormal="80" workbookViewId="0">
      <selection activeCell="A7" sqref="A7:A32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3.7109375" style="158" customWidth="1"/>
    <col min="14" max="16384" width="9.140625" style="158"/>
  </cols>
  <sheetData>
    <row r="1" spans="1:18" ht="15.75">
      <c r="A1" s="157"/>
    </row>
    <row r="2" spans="1:18" ht="15.75">
      <c r="A2" s="157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23</v>
      </c>
      <c r="H4" s="163" t="str">
        <f>+'1'!H4</f>
        <v>.06.24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200+240+260</f>
        <v>700</v>
      </c>
    </row>
    <row r="7" spans="1:18" ht="13.5" customHeight="1" thickBot="1">
      <c r="A7" s="1029" t="s">
        <v>595</v>
      </c>
      <c r="B7" s="224" t="s">
        <v>524</v>
      </c>
      <c r="C7" s="225">
        <v>14316</v>
      </c>
      <c r="D7" s="226"/>
      <c r="E7" s="227"/>
      <c r="F7" s="236"/>
      <c r="G7" s="237" t="s">
        <v>11</v>
      </c>
      <c r="H7" s="238" t="s">
        <v>277</v>
      </c>
      <c r="I7" s="1032" t="s">
        <v>737</v>
      </c>
      <c r="J7" s="223" t="str">
        <f>+'22'!J7</f>
        <v>T 14 VP OW</v>
      </c>
      <c r="K7" s="246"/>
      <c r="L7" s="250"/>
      <c r="M7" s="126">
        <f>+K7+'22'!M7+L7</f>
        <v>62499</v>
      </c>
    </row>
    <row r="8" spans="1:18" ht="13.5" thickBot="1">
      <c r="A8" s="1030"/>
      <c r="B8" s="224"/>
      <c r="C8" s="225"/>
      <c r="D8" s="226"/>
      <c r="E8" s="228"/>
      <c r="F8" s="239">
        <v>4</v>
      </c>
      <c r="G8" s="240" t="s">
        <v>11</v>
      </c>
      <c r="H8" s="238" t="s">
        <v>721</v>
      </c>
      <c r="I8" s="1033"/>
      <c r="J8" s="223" t="str">
        <f>+'22'!J8</f>
        <v>T 15 VP OW</v>
      </c>
      <c r="K8" s="247"/>
      <c r="L8" s="247"/>
      <c r="M8" s="126">
        <f>+K8+'22'!M8+L8</f>
        <v>37584</v>
      </c>
      <c r="N8" s="158">
        <v>1720</v>
      </c>
      <c r="O8" s="158">
        <f>+N8-N8*0.2</f>
        <v>1376</v>
      </c>
      <c r="P8" s="158">
        <f>60+30</f>
        <v>90</v>
      </c>
      <c r="Q8" s="158">
        <f>+N8*P8</f>
        <v>154800</v>
      </c>
      <c r="R8" s="158">
        <f>+O8*P8</f>
        <v>123840</v>
      </c>
    </row>
    <row r="9" spans="1:18" ht="13.5" thickBot="1">
      <c r="A9" s="1030"/>
      <c r="B9" s="224"/>
      <c r="C9" s="225"/>
      <c r="D9" s="226"/>
      <c r="E9" s="229"/>
      <c r="F9" s="236">
        <v>13</v>
      </c>
      <c r="G9" s="240" t="s">
        <v>11</v>
      </c>
      <c r="H9" s="241" t="s">
        <v>521</v>
      </c>
      <c r="I9" s="1033"/>
      <c r="J9" s="223" t="str">
        <f>+'22'!J9</f>
        <v>T 12,5 VP OW</v>
      </c>
      <c r="K9" s="247"/>
      <c r="L9" s="247"/>
      <c r="M9" s="126">
        <f>+K9+'22'!M9+L9</f>
        <v>148332</v>
      </c>
      <c r="N9" s="158">
        <v>1010</v>
      </c>
      <c r="O9" s="158">
        <f>+N9-N9*0.0035</f>
        <v>1006.465</v>
      </c>
      <c r="P9" s="158">
        <f>30+60+15</f>
        <v>105</v>
      </c>
      <c r="Q9" s="158">
        <f>+N9*P9</f>
        <v>106050</v>
      </c>
      <c r="R9" s="158">
        <f>+O9*P9</f>
        <v>105678.825</v>
      </c>
    </row>
    <row r="10" spans="1:18" ht="13.5" thickBot="1">
      <c r="A10" s="1030"/>
      <c r="B10" s="224"/>
      <c r="C10" s="225"/>
      <c r="D10" s="226"/>
      <c r="E10" s="228"/>
      <c r="F10" s="236"/>
      <c r="G10" s="240"/>
      <c r="H10" s="241" t="s">
        <v>716</v>
      </c>
      <c r="I10" s="1033"/>
      <c r="J10" s="223" t="str">
        <f>+'22'!J10</f>
        <v>T 12 VP OW</v>
      </c>
      <c r="K10" s="247"/>
      <c r="L10" s="247"/>
      <c r="M10" s="126">
        <f>+K10+'22'!M10+L10</f>
        <v>25679</v>
      </c>
      <c r="N10" s="158">
        <v>1700</v>
      </c>
      <c r="O10" s="158">
        <f>+N10-N10*0.24</f>
        <v>1292</v>
      </c>
      <c r="P10" s="158">
        <f>45+120+40</f>
        <v>205</v>
      </c>
      <c r="Q10" s="158">
        <f>+N10*P10</f>
        <v>348500</v>
      </c>
      <c r="R10" s="158">
        <f>+O10*P10</f>
        <v>264860</v>
      </c>
    </row>
    <row r="11" spans="1:18" ht="13.5" thickBot="1">
      <c r="A11" s="1030"/>
      <c r="B11" s="224"/>
      <c r="C11" s="225"/>
      <c r="D11" s="226"/>
      <c r="E11" s="228"/>
      <c r="F11" s="236">
        <v>10</v>
      </c>
      <c r="G11" s="240" t="s">
        <v>11</v>
      </c>
      <c r="H11" s="241" t="s">
        <v>727</v>
      </c>
      <c r="I11" s="1033"/>
      <c r="J11" s="223" t="str">
        <f>+'22'!J11</f>
        <v>F 12 VP OW</v>
      </c>
      <c r="K11" s="247">
        <f>+C7+C16</f>
        <v>16365</v>
      </c>
      <c r="L11" s="247"/>
      <c r="M11" s="126">
        <f>+K11+'22'!M11+L11</f>
        <v>119444</v>
      </c>
      <c r="N11" s="158">
        <v>940</v>
      </c>
      <c r="O11" s="158">
        <f>+N11-N11*0.0035</f>
        <v>936.71</v>
      </c>
      <c r="P11" s="158">
        <v>40</v>
      </c>
      <c r="Q11" s="158">
        <f>+N11*P11</f>
        <v>37600</v>
      </c>
      <c r="R11" s="158">
        <f>+O11*P11</f>
        <v>37468.400000000001</v>
      </c>
    </row>
    <row r="12" spans="1:18" ht="13.5" thickBot="1">
      <c r="A12" s="1030"/>
      <c r="B12" s="224"/>
      <c r="C12" s="225"/>
      <c r="D12" s="226"/>
      <c r="E12" s="228"/>
      <c r="F12" s="236">
        <v>15</v>
      </c>
      <c r="G12" s="240" t="s">
        <v>11</v>
      </c>
      <c r="H12" s="241" t="s">
        <v>728</v>
      </c>
      <c r="I12" s="1033"/>
      <c r="J12" s="223" t="str">
        <f>+'22'!J12</f>
        <v>F 13 VP OW</v>
      </c>
      <c r="K12" s="247"/>
      <c r="L12" s="247"/>
      <c r="M12" s="126">
        <f>+K12+'22'!M12+L12</f>
        <v>149460</v>
      </c>
      <c r="P12" s="158">
        <f>SUM(P8:P11)</f>
        <v>440</v>
      </c>
      <c r="Q12" s="158">
        <f t="shared" ref="Q12:R12" si="0">SUM(Q8:Q11)</f>
        <v>646950</v>
      </c>
      <c r="R12" s="158">
        <f t="shared" si="0"/>
        <v>531847.22499999998</v>
      </c>
    </row>
    <row r="13" spans="1:18" ht="26.25" thickBot="1">
      <c r="A13" s="1030"/>
      <c r="B13" s="224"/>
      <c r="C13" s="225"/>
      <c r="D13" s="225"/>
      <c r="E13" s="228" t="s">
        <v>506</v>
      </c>
      <c r="F13" s="236">
        <v>40</v>
      </c>
      <c r="G13" s="240" t="s">
        <v>68</v>
      </c>
      <c r="H13" s="241" t="s">
        <v>730</v>
      </c>
      <c r="I13" s="1034"/>
      <c r="J13" s="223" t="str">
        <f>+'22'!J13</f>
        <v>F 13,5 VP OW</v>
      </c>
      <c r="K13" s="247"/>
      <c r="L13" s="247"/>
      <c r="M13" s="126">
        <f>+K13+'22'!M13+L13</f>
        <v>11138</v>
      </c>
      <c r="Q13" s="158">
        <f>+Q12/P12</f>
        <v>1470.340909090909</v>
      </c>
      <c r="R13" s="158">
        <f>+R12/P12</f>
        <v>1208.7436931818181</v>
      </c>
    </row>
    <row r="14" spans="1:18" ht="13.5" thickBot="1">
      <c r="A14" s="1031"/>
      <c r="B14" s="174" t="s">
        <v>2</v>
      </c>
      <c r="C14" s="108">
        <f>SUM(C7:C13)</f>
        <v>14316</v>
      </c>
      <c r="D14" s="120">
        <f>SUM(D7:D13)</f>
        <v>0</v>
      </c>
      <c r="E14" s="121">
        <f>SUM(E5:E13)</f>
        <v>0</v>
      </c>
      <c r="F14" s="125">
        <f>SUM(F7:F13)</f>
        <v>82</v>
      </c>
      <c r="G14" s="168"/>
      <c r="H14" s="175"/>
      <c r="I14" s="176"/>
      <c r="J14" s="223" t="str">
        <f>+'22'!J14</f>
        <v>F 12,5 VP OW</v>
      </c>
      <c r="K14" s="247"/>
      <c r="L14" s="247"/>
      <c r="M14" s="126">
        <f>+K14+'22'!M14+L14</f>
        <v>73203</v>
      </c>
    </row>
    <row r="15" spans="1:18" ht="13.5" customHeight="1" thickBot="1">
      <c r="A15" s="1035" t="s">
        <v>535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731</v>
      </c>
      <c r="J15" s="223" t="str">
        <f>+'22'!J15</f>
        <v>MG 14 VP OW/HW</v>
      </c>
      <c r="K15" s="247"/>
      <c r="L15" s="247"/>
      <c r="M15" s="126">
        <f>+K15+'22'!M15+L15</f>
        <v>83225</v>
      </c>
    </row>
    <row r="16" spans="1:18" ht="13.5" thickBot="1">
      <c r="A16" s="1030"/>
      <c r="B16" s="224" t="s">
        <v>524</v>
      </c>
      <c r="C16" s="230">
        <f>1103+946</f>
        <v>2049</v>
      </c>
      <c r="D16" s="231">
        <v>312</v>
      </c>
      <c r="E16" s="232"/>
      <c r="F16" s="236"/>
      <c r="G16" s="240" t="s">
        <v>11</v>
      </c>
      <c r="H16" s="238" t="s">
        <v>591</v>
      </c>
      <c r="I16" s="1033"/>
      <c r="J16" s="223" t="str">
        <f>+'22'!J16</f>
        <v>MG 17 VP OW/HW</v>
      </c>
      <c r="K16" s="247"/>
      <c r="L16" s="237"/>
      <c r="M16" s="126">
        <f>+K16+'22'!M16+L16</f>
        <v>338028</v>
      </c>
    </row>
    <row r="17" spans="1:18" ht="13.5" thickBot="1">
      <c r="A17" s="1030"/>
      <c r="B17" s="224" t="s">
        <v>736</v>
      </c>
      <c r="C17" s="225">
        <f>7257+13739</f>
        <v>20996</v>
      </c>
      <c r="D17" s="226"/>
      <c r="E17" s="233"/>
      <c r="F17" s="236">
        <v>0</v>
      </c>
      <c r="G17" s="240" t="s">
        <v>11</v>
      </c>
      <c r="H17" s="241" t="s">
        <v>483</v>
      </c>
      <c r="I17" s="1033"/>
      <c r="J17" s="223" t="str">
        <f>+'22'!J17</f>
        <v>MG 16 VP HW</v>
      </c>
      <c r="K17" s="247"/>
      <c r="L17" s="237"/>
      <c r="M17" s="126">
        <f>+K17+'22'!M17+L17</f>
        <v>338456</v>
      </c>
    </row>
    <row r="18" spans="1:18" ht="13.5" thickBot="1">
      <c r="A18" s="1030"/>
      <c r="B18" s="224"/>
      <c r="C18" s="225"/>
      <c r="D18" s="226"/>
      <c r="E18" s="233"/>
      <c r="F18" s="236"/>
      <c r="G18" s="240"/>
      <c r="H18" s="241" t="s">
        <v>729</v>
      </c>
      <c r="I18" s="1033"/>
      <c r="J18" s="223" t="str">
        <f>+'22'!J18</f>
        <v>MG 19 VP HW</v>
      </c>
      <c r="K18" s="247"/>
      <c r="L18" s="247"/>
      <c r="M18" s="126">
        <f>+K18+'22'!M18+L18</f>
        <v>22191</v>
      </c>
    </row>
    <row r="19" spans="1:18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 t="str">
        <f>+'22'!J19</f>
        <v>MG 15,5 VP HW</v>
      </c>
      <c r="K19" s="247"/>
      <c r="L19" s="247"/>
      <c r="M19" s="126">
        <f>+K19+'22'!M19+L19</f>
        <v>26491</v>
      </c>
      <c r="N19" s="158" t="s">
        <v>532</v>
      </c>
    </row>
    <row r="20" spans="1:18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 t="s">
        <v>733</v>
      </c>
      <c r="K20" s="247">
        <f>+C17+C25</f>
        <v>46621</v>
      </c>
      <c r="L20" s="248"/>
      <c r="M20" s="126">
        <f>+K20+'22'!M20+L20</f>
        <v>117211</v>
      </c>
      <c r="N20" s="158">
        <v>1720</v>
      </c>
      <c r="O20" s="158">
        <f>+N20-N20*0.2</f>
        <v>1376</v>
      </c>
      <c r="P20" s="158">
        <v>90</v>
      </c>
      <c r="Q20" s="158">
        <v>154800</v>
      </c>
      <c r="R20" s="158">
        <v>123840</v>
      </c>
    </row>
    <row r="21" spans="1:18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+'22'!J21</f>
        <v>0</v>
      </c>
      <c r="K21" s="247"/>
      <c r="L21" s="247"/>
      <c r="M21" s="126">
        <f>+K21+'22'!M21+L21</f>
        <v>0</v>
      </c>
      <c r="N21" s="158">
        <v>1700</v>
      </c>
      <c r="O21" s="158">
        <f>+N21-N21*0.24</f>
        <v>1292</v>
      </c>
      <c r="P21" s="158">
        <v>205</v>
      </c>
      <c r="Q21" s="158">
        <v>348500</v>
      </c>
      <c r="R21" s="158">
        <v>264860</v>
      </c>
    </row>
    <row r="22" spans="1:18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+'22'!J22</f>
        <v>0</v>
      </c>
      <c r="K22" s="247"/>
      <c r="L22" s="247"/>
      <c r="M22" s="126">
        <f>+K22+'22'!M22+L22</f>
        <v>0</v>
      </c>
      <c r="P22" s="158">
        <f>SUM(P20:P21)</f>
        <v>295</v>
      </c>
      <c r="Q22" s="158">
        <f t="shared" ref="Q22:R22" si="1">SUM(Q20:Q21)</f>
        <v>503300</v>
      </c>
      <c r="R22" s="158">
        <f t="shared" si="1"/>
        <v>388700</v>
      </c>
    </row>
    <row r="23" spans="1:18" ht="13.5" thickBot="1">
      <c r="A23" s="1031"/>
      <c r="B23" s="177" t="s">
        <v>2</v>
      </c>
      <c r="C23" s="109">
        <f>SUM(C16:C22)</f>
        <v>23045</v>
      </c>
      <c r="D23" s="120">
        <f>SUM(D16:D22)</f>
        <v>312</v>
      </c>
      <c r="E23" s="121">
        <f>SUM(E18:E22)</f>
        <v>0</v>
      </c>
      <c r="F23" s="125">
        <f>SUM(F15:F22)</f>
        <v>0</v>
      </c>
      <c r="G23" s="168"/>
      <c r="H23" s="175" t="s">
        <v>234</v>
      </c>
      <c r="I23" s="178"/>
      <c r="J23" s="223">
        <f>+'22'!J23</f>
        <v>0</v>
      </c>
      <c r="K23" s="247"/>
      <c r="L23" s="247"/>
      <c r="M23" s="126">
        <f>+K23+'22'!M23+L23</f>
        <v>0</v>
      </c>
      <c r="Q23" s="158">
        <f>+Q22/P22</f>
        <v>1706.1016949152543</v>
      </c>
      <c r="R23" s="158">
        <f>+R22/P22</f>
        <v>1317.6271186440679</v>
      </c>
    </row>
    <row r="24" spans="1:18" ht="13.5" customHeight="1" thickBot="1">
      <c r="A24" s="1035" t="s">
        <v>435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731</v>
      </c>
      <c r="J24" s="223">
        <f>+'22'!J24</f>
        <v>0</v>
      </c>
      <c r="K24" s="247"/>
      <c r="L24" s="247"/>
      <c r="M24" s="126">
        <f>+K24+'22'!M24+L24</f>
        <v>0</v>
      </c>
      <c r="N24" s="158" t="s">
        <v>694</v>
      </c>
    </row>
    <row r="25" spans="1:18" ht="13.5" thickBot="1">
      <c r="A25" s="1030"/>
      <c r="B25" s="224" t="s">
        <v>736</v>
      </c>
      <c r="C25" s="234">
        <v>25625</v>
      </c>
      <c r="D25" s="226"/>
      <c r="E25" s="233"/>
      <c r="F25" s="239"/>
      <c r="G25" s="240" t="s">
        <v>11</v>
      </c>
      <c r="H25" s="238" t="s">
        <v>591</v>
      </c>
      <c r="I25" s="1033"/>
      <c r="J25" s="223">
        <f>+'22'!J25</f>
        <v>0</v>
      </c>
      <c r="K25" s="247"/>
      <c r="L25" s="247"/>
      <c r="M25" s="126">
        <f>+K25+'22'!M25+L25</f>
        <v>0</v>
      </c>
      <c r="N25" s="158">
        <v>1010</v>
      </c>
      <c r="O25" s="158">
        <f>+N25-N25*0.0035</f>
        <v>1006.465</v>
      </c>
      <c r="P25" s="158">
        <f>30+60+15</f>
        <v>105</v>
      </c>
      <c r="Q25" s="158">
        <f>+N25*P25</f>
        <v>106050</v>
      </c>
      <c r="R25" s="158">
        <f>+O25*P25</f>
        <v>105678.825</v>
      </c>
    </row>
    <row r="26" spans="1:18" ht="13.5" thickBot="1">
      <c r="A26" s="1030"/>
      <c r="B26" s="224"/>
      <c r="C26" s="234"/>
      <c r="D26" s="226"/>
      <c r="E26" s="235"/>
      <c r="F26" s="239">
        <v>1</v>
      </c>
      <c r="G26" s="240" t="s">
        <v>11</v>
      </c>
      <c r="H26" s="241" t="s">
        <v>455</v>
      </c>
      <c r="I26" s="1033"/>
      <c r="J26" s="223">
        <f>+'22'!J26</f>
        <v>0</v>
      </c>
      <c r="K26" s="247"/>
      <c r="L26" s="247"/>
      <c r="M26" s="126">
        <f>+K26+'22'!M26+L26</f>
        <v>0</v>
      </c>
      <c r="N26" s="158">
        <v>940</v>
      </c>
      <c r="O26" s="158">
        <f t="shared" ref="O26:O27" si="2">+N26-N26*0.0035</f>
        <v>936.71</v>
      </c>
      <c r="P26" s="158">
        <f>40+480</f>
        <v>520</v>
      </c>
      <c r="Q26" s="158">
        <f>+N26*P26</f>
        <v>488800</v>
      </c>
      <c r="R26" s="158">
        <f>+O26*P26</f>
        <v>487089.2</v>
      </c>
    </row>
    <row r="27" spans="1:18" ht="13.5" thickBot="1">
      <c r="A27" s="1030"/>
      <c r="B27" s="224"/>
      <c r="C27" s="225"/>
      <c r="D27" s="226"/>
      <c r="E27" s="233"/>
      <c r="F27" s="239"/>
      <c r="G27" s="240"/>
      <c r="H27" s="241" t="s">
        <v>729</v>
      </c>
      <c r="I27" s="1033"/>
      <c r="J27" s="223">
        <f>+'22'!J27</f>
        <v>0</v>
      </c>
      <c r="K27" s="247"/>
      <c r="L27" s="247"/>
      <c r="M27" s="126">
        <f>+K27+'22'!M27+L27</f>
        <v>0</v>
      </c>
      <c r="N27" s="158">
        <v>1000</v>
      </c>
      <c r="O27" s="158">
        <f t="shared" si="2"/>
        <v>996.5</v>
      </c>
      <c r="P27" s="158">
        <v>480</v>
      </c>
      <c r="Q27" s="158">
        <f>+N27*P27</f>
        <v>480000</v>
      </c>
      <c r="R27" s="158">
        <f>+O27*P27</f>
        <v>478320</v>
      </c>
    </row>
    <row r="28" spans="1:18" ht="13.5" thickBot="1">
      <c r="A28" s="1030"/>
      <c r="B28" s="224"/>
      <c r="C28" s="225"/>
      <c r="D28" s="226"/>
      <c r="E28" s="233"/>
      <c r="F28" s="239"/>
      <c r="G28" s="240"/>
      <c r="H28" s="241"/>
      <c r="I28" s="1033"/>
      <c r="J28" s="223">
        <f>+'22'!J28</f>
        <v>0</v>
      </c>
      <c r="K28" s="247"/>
      <c r="L28" s="247"/>
      <c r="M28" s="126">
        <f>+K28+'22'!M28+L28</f>
        <v>0</v>
      </c>
      <c r="P28" s="158">
        <f>SUM(P25:P27)</f>
        <v>1105</v>
      </c>
      <c r="Q28" s="158">
        <f t="shared" ref="Q28:R28" si="3">SUM(Q25:Q27)</f>
        <v>1074850</v>
      </c>
      <c r="R28" s="158">
        <f t="shared" si="3"/>
        <v>1071088.0249999999</v>
      </c>
    </row>
    <row r="29" spans="1:18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+'22'!J29</f>
        <v>0</v>
      </c>
      <c r="K29" s="247"/>
      <c r="L29" s="247"/>
      <c r="M29" s="126">
        <f>+K29+'22'!M29+L29</f>
        <v>0</v>
      </c>
      <c r="Q29" s="158">
        <f>+Q28/P28</f>
        <v>972.71493212669679</v>
      </c>
      <c r="R29" s="158">
        <f>+R28/P28</f>
        <v>969.31042986425336</v>
      </c>
    </row>
    <row r="30" spans="1:18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+'22'!J30</f>
        <v>0</v>
      </c>
      <c r="K30" s="247"/>
      <c r="L30" s="247"/>
      <c r="M30" s="126">
        <f>+K30+'22'!M30+L30</f>
        <v>0</v>
      </c>
    </row>
    <row r="31" spans="1:18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+'22'!J31</f>
        <v>0</v>
      </c>
      <c r="K31" s="247"/>
      <c r="L31" s="247"/>
      <c r="M31" s="126">
        <f>+K31+'22'!M31+L31</f>
        <v>0</v>
      </c>
      <c r="N31" s="164"/>
    </row>
    <row r="32" spans="1:18" ht="13.5" thickBot="1">
      <c r="A32" s="1031"/>
      <c r="B32" s="174" t="s">
        <v>2</v>
      </c>
      <c r="C32" s="108">
        <f>SUM(C25:C31)</f>
        <v>25625</v>
      </c>
      <c r="D32" s="109">
        <f>SUM(D25:D31)</f>
        <v>0</v>
      </c>
      <c r="E32" s="110">
        <f>SUM(E25:E31)</f>
        <v>0</v>
      </c>
      <c r="F32" s="111">
        <f>SUM(F24:F31)</f>
        <v>1</v>
      </c>
      <c r="G32" s="180"/>
      <c r="H32" s="181"/>
      <c r="I32" s="178"/>
      <c r="J32" s="223">
        <f>+'22'!J32</f>
        <v>0</v>
      </c>
      <c r="K32" s="249"/>
      <c r="L32" s="251"/>
      <c r="M32" s="126">
        <f>+K32+'22'!M32+L32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62986</v>
      </c>
      <c r="D34" s="116">
        <f>D14+D23+D32</f>
        <v>312</v>
      </c>
      <c r="E34" s="116">
        <f>E14+E23+E32</f>
        <v>0</v>
      </c>
      <c r="F34" s="117">
        <f>F14+F23+F32</f>
        <v>83</v>
      </c>
      <c r="H34" s="187"/>
      <c r="I34" s="187"/>
      <c r="J34" s="132" t="s">
        <v>27</v>
      </c>
      <c r="K34" s="133">
        <f>SUM(K7:K32)</f>
        <v>62986</v>
      </c>
      <c r="L34" s="221">
        <f>SUM(L7:L32)</f>
        <v>0</v>
      </c>
      <c r="M34" s="129">
        <f>SUM(M7:M32)</f>
        <v>1552941</v>
      </c>
    </row>
    <row r="35" spans="1:14" ht="13.5" thickBot="1">
      <c r="A35" s="188"/>
      <c r="B35" s="189"/>
      <c r="C35" s="113">
        <f>C34/($C$34+$D$34+$E$34)</f>
        <v>0.99507093431072069</v>
      </c>
      <c r="D35" s="113">
        <f>D34/($C$34+$D$34+$E$34)</f>
        <v>4.9290656892792819E-3</v>
      </c>
      <c r="E35" s="118">
        <f>E34/($C$34+$D$34+$E$34)</f>
        <v>0</v>
      </c>
      <c r="K35" s="164"/>
      <c r="N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(12*295+20*1105)/1400*G42*2.77*1400/1000000</f>
        <v>74.055880672835727</v>
      </c>
      <c r="J37" s="134">
        <f>+I37+'22'!J37</f>
        <v>1659.4674120736081</v>
      </c>
      <c r="K37" s="135" t="s">
        <v>63</v>
      </c>
      <c r="L37" s="158">
        <v>12.401999999999999</v>
      </c>
    </row>
    <row r="38" spans="1:14" ht="17.45" customHeight="1">
      <c r="A38" s="1027" t="s">
        <v>11</v>
      </c>
      <c r="B38" s="1028"/>
      <c r="C38" s="173">
        <f>SUMIF($G$7:$G$31,"Process",$F$7:$F$31)</f>
        <v>43</v>
      </c>
      <c r="D38" s="127">
        <f>+C38+'22'!D38</f>
        <v>717</v>
      </c>
      <c r="E38" s="152">
        <f t="shared" ref="E38:E51" si="4">D38/60</f>
        <v>11.95</v>
      </c>
      <c r="F38" s="337">
        <v>1470.340909090909</v>
      </c>
      <c r="G38" s="337">
        <v>1208.7436931818181</v>
      </c>
      <c r="H38" s="196" t="s">
        <v>64</v>
      </c>
      <c r="I38" s="548">
        <f>16.79+24.491+26.732</f>
        <v>68.013000000000005</v>
      </c>
      <c r="J38" s="136">
        <f>+I38+'22'!J38</f>
        <v>1595.1349999999998</v>
      </c>
      <c r="K38" s="137" t="s">
        <v>63</v>
      </c>
      <c r="L38" s="556">
        <f>+I38-L37</f>
        <v>55.611000000000004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+C39+'22'!D39</f>
        <v>0</v>
      </c>
      <c r="E39" s="152">
        <f t="shared" si="4"/>
        <v>0</v>
      </c>
      <c r="F39" s="337">
        <v>940</v>
      </c>
      <c r="G39" s="337">
        <f>+F39-F39*0.0035</f>
        <v>936.71</v>
      </c>
      <c r="H39" s="196" t="s">
        <v>65</v>
      </c>
      <c r="I39" s="151"/>
      <c r="J39" s="138">
        <f>J37/G4</f>
        <v>72.150757046678606</v>
      </c>
      <c r="K39" s="139" t="s">
        <v>63</v>
      </c>
      <c r="L39" s="556"/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+C40+'22'!D40</f>
        <v>0</v>
      </c>
      <c r="E40" s="152">
        <f t="shared" si="4"/>
        <v>0</v>
      </c>
      <c r="F40" s="337">
        <v>1000</v>
      </c>
      <c r="G40" s="337">
        <f t="shared" ref="G40" si="5">+F40-F40*0.0035</f>
        <v>996.5</v>
      </c>
      <c r="H40" s="196" t="s">
        <v>67</v>
      </c>
      <c r="I40" s="127">
        <f>(K34+L34)/1000</f>
        <v>62.985999999999997</v>
      </c>
      <c r="J40" s="140">
        <f>+I40+'22'!J40</f>
        <v>1552.941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40</v>
      </c>
      <c r="D41" s="127">
        <f>+C41+'22'!D41</f>
        <v>55</v>
      </c>
      <c r="E41" s="152">
        <f t="shared" si="4"/>
        <v>0.91666666666666663</v>
      </c>
      <c r="F41" s="337"/>
      <c r="G41" s="337"/>
      <c r="H41" s="196" t="s">
        <v>69</v>
      </c>
      <c r="I41" s="151"/>
      <c r="J41" s="138">
        <f>J40/G4</f>
        <v>67.519173913043474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+C42+'22'!D42</f>
        <v>0</v>
      </c>
      <c r="E42" s="152">
        <f t="shared" si="4"/>
        <v>0</v>
      </c>
      <c r="F42" s="337">
        <f>+(F38*440+F39*480+F40*480)/1400</f>
        <v>1127.25</v>
      </c>
      <c r="G42" s="337">
        <f>+(G38*440+G39*480+G40*480)/1400</f>
        <v>1042.7057321428572</v>
      </c>
      <c r="H42" s="196" t="s">
        <v>70</v>
      </c>
      <c r="I42" s="254" t="s">
        <v>732</v>
      </c>
      <c r="J42" s="141"/>
      <c r="K42" s="139" t="s">
        <v>71</v>
      </c>
    </row>
    <row r="43" spans="1:14" ht="17.45" customHeight="1">
      <c r="A43" s="1023" t="s">
        <v>203</v>
      </c>
      <c r="B43" s="1024"/>
      <c r="C43" s="173">
        <f>SUMIF($G$7:$G$31,"Change Grade",$F$7:$F$31)</f>
        <v>0</v>
      </c>
      <c r="D43" s="127">
        <f>+C43+'22'!D43</f>
        <v>0</v>
      </c>
      <c r="E43" s="152">
        <f t="shared" si="4"/>
        <v>0</v>
      </c>
      <c r="F43" s="337"/>
      <c r="G43" s="338"/>
      <c r="H43" s="197" t="s">
        <v>73</v>
      </c>
      <c r="I43" s="127">
        <f>+Report1!T31</f>
        <v>136.57900000000001</v>
      </c>
      <c r="J43" s="142">
        <f>+I43+'22'!J43</f>
        <v>3248.32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+C44+'22'!D44</f>
        <v>515</v>
      </c>
      <c r="E44" s="152">
        <f t="shared" si="4"/>
        <v>8.5833333333333339</v>
      </c>
      <c r="F44" s="337"/>
      <c r="G44" s="338"/>
      <c r="H44" s="197" t="s">
        <v>74</v>
      </c>
      <c r="I44" s="127">
        <f>I43/I38</f>
        <v>2.0081307985238115</v>
      </c>
      <c r="J44" s="143">
        <f>J43/J38</f>
        <v>2.0363919041335063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+C45+'22'!D45</f>
        <v>0</v>
      </c>
      <c r="E45" s="152">
        <f t="shared" si="4"/>
        <v>0</v>
      </c>
      <c r="F45" s="337"/>
      <c r="G45" s="340"/>
      <c r="H45" s="197" t="s">
        <v>75</v>
      </c>
      <c r="I45" s="127">
        <f>I43/I40</f>
        <v>2.1684025021433335</v>
      </c>
      <c r="J45" s="143">
        <f>J43/J40</f>
        <v>2.0917214498168315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+C46+'22'!D46</f>
        <v>0</v>
      </c>
      <c r="E46" s="152">
        <f t="shared" si="4"/>
        <v>0</v>
      </c>
      <c r="F46" s="337"/>
      <c r="G46" s="338"/>
      <c r="H46" s="197" t="s">
        <v>77</v>
      </c>
      <c r="I46" s="149">
        <f>+SUMIF(Listrik!AR30,"&gt;0")</f>
        <v>53960.440000000322</v>
      </c>
      <c r="J46" s="144">
        <f>+I46+'22'!J46</f>
        <v>1262127.2000000016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+C47+'22'!D47</f>
        <v>0</v>
      </c>
      <c r="E47" s="152">
        <f t="shared" si="4"/>
        <v>0</v>
      </c>
      <c r="F47" s="337"/>
      <c r="G47" s="338"/>
      <c r="H47" s="197" t="s">
        <v>80</v>
      </c>
      <c r="I47" s="127">
        <f>I46/I38</f>
        <v>793.38420596062986</v>
      </c>
      <c r="J47" s="144">
        <f>J46/J38</f>
        <v>791.23534998605248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+C48+'22'!D48</f>
        <v>0</v>
      </c>
      <c r="E48" s="152">
        <f t="shared" si="4"/>
        <v>0</v>
      </c>
      <c r="F48" s="337"/>
      <c r="G48" s="338"/>
      <c r="H48" s="197" t="s">
        <v>81</v>
      </c>
      <c r="I48" s="127">
        <f>I46/I40</f>
        <v>856.70529959039027</v>
      </c>
      <c r="J48" s="144">
        <f>J46/J40</f>
        <v>812.73351659850664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+C49+'22'!D49</f>
        <v>0</v>
      </c>
      <c r="E49" s="152">
        <f t="shared" si="4"/>
        <v>0</v>
      </c>
      <c r="F49" s="194"/>
      <c r="H49" s="197" t="s">
        <v>82</v>
      </c>
      <c r="I49" s="127">
        <v>0</v>
      </c>
      <c r="J49" s="144">
        <f>+I49+'22'!J49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+C50+'22'!D50</f>
        <v>0</v>
      </c>
      <c r="E50" s="152">
        <f t="shared" si="4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+C51+'22'!D51</f>
        <v>0</v>
      </c>
      <c r="E51" s="152">
        <f t="shared" si="4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83</v>
      </c>
      <c r="D52" s="153">
        <f>SUM(D38:D51)</f>
        <v>1287</v>
      </c>
      <c r="E52" s="154">
        <f>SUM(E38:E51)</f>
        <v>21.45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5.7638888888888892E-2</v>
      </c>
      <c r="D53" s="155">
        <f>D52/(24*60*G4)</f>
        <v>3.8858695652173911E-2</v>
      </c>
      <c r="E53" s="156">
        <f>E52/(G4*24)</f>
        <v>3.8858695652173911E-2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+D34+'22'!J56</f>
        <v>12098</v>
      </c>
      <c r="K56" s="210">
        <f>J56/(J40+J56/1000)/1000</f>
        <v>7.7301588011544761E-3</v>
      </c>
    </row>
    <row r="57" spans="1:11">
      <c r="A57" s="185"/>
      <c r="I57" s="208" t="s">
        <v>89</v>
      </c>
      <c r="J57" s="209">
        <f>+E34+'22'!J57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39:B39"/>
    <mergeCell ref="A24:A32"/>
    <mergeCell ref="I24:I31"/>
    <mergeCell ref="A34:B34"/>
    <mergeCell ref="A37:B37"/>
    <mergeCell ref="A7:A14"/>
    <mergeCell ref="I7:I13"/>
    <mergeCell ref="A15:A23"/>
    <mergeCell ref="I15:I22"/>
    <mergeCell ref="A38:B38"/>
    <mergeCell ref="A46:B46"/>
    <mergeCell ref="A51:B51"/>
    <mergeCell ref="A40:B40"/>
    <mergeCell ref="A41:B41"/>
    <mergeCell ref="A42:B42"/>
    <mergeCell ref="A43:B43"/>
    <mergeCell ref="A44:B44"/>
    <mergeCell ref="A45:B45"/>
    <mergeCell ref="A52:B52"/>
    <mergeCell ref="A53:B53"/>
    <mergeCell ref="A47:B47"/>
    <mergeCell ref="A48:B48"/>
    <mergeCell ref="A49:B49"/>
    <mergeCell ref="A50:B50"/>
  </mergeCells>
  <phoneticPr fontId="31" type="noConversion"/>
  <printOptions horizontalCentered="1"/>
  <pageMargins left="0.19513888888888889" right="0.19513888888888889" top="0.19513888888888889" bottom="0.19513888888888889" header="0" footer="0"/>
  <pageSetup paperSize="9" scale="65" firstPageNumber="4294963191" orientation="landscape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R61"/>
  <sheetViews>
    <sheetView zoomScale="80" zoomScaleNormal="80" workbookViewId="0">
      <selection activeCell="B7" sqref="B7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7109375" style="158" bestFit="1" customWidth="1"/>
    <col min="12" max="12" width="8.28515625" style="158" customWidth="1"/>
    <col min="13" max="13" width="15.28515625" style="158" customWidth="1"/>
    <col min="14" max="16384" width="9.140625" style="158"/>
  </cols>
  <sheetData>
    <row r="1" spans="1:18" ht="15.75">
      <c r="A1" s="157"/>
    </row>
    <row r="2" spans="1:18" ht="15.75">
      <c r="A2" s="344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22</v>
      </c>
      <c r="H4" s="163" t="str">
        <f>+'1'!H4</f>
        <v>.06.24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206+254+220</f>
        <v>680</v>
      </c>
    </row>
    <row r="7" spans="1:18" ht="13.5" customHeight="1" thickBot="1">
      <c r="A7" s="1029" t="s">
        <v>595</v>
      </c>
      <c r="B7" s="224" t="s">
        <v>524</v>
      </c>
      <c r="C7" s="225">
        <v>16372</v>
      </c>
      <c r="D7" s="226">
        <v>333</v>
      </c>
      <c r="E7" s="227"/>
      <c r="F7" s="236"/>
      <c r="G7" s="237" t="s">
        <v>11</v>
      </c>
      <c r="H7" s="238" t="s">
        <v>277</v>
      </c>
      <c r="I7" s="1032" t="s">
        <v>717</v>
      </c>
      <c r="J7" s="223" t="str">
        <f>+'21'!J7</f>
        <v>T 14 VP OW</v>
      </c>
      <c r="K7" s="246"/>
      <c r="L7" s="250"/>
      <c r="M7" s="126">
        <f>+K7+'21'!M7+L7</f>
        <v>62499</v>
      </c>
    </row>
    <row r="8" spans="1:18" ht="13.5" thickBot="1">
      <c r="A8" s="1030"/>
      <c r="B8" s="224" t="s">
        <v>598</v>
      </c>
      <c r="C8" s="225">
        <f>188+1813</f>
        <v>2001</v>
      </c>
      <c r="D8" s="226">
        <v>240</v>
      </c>
      <c r="E8" s="228"/>
      <c r="F8" s="239">
        <v>5</v>
      </c>
      <c r="G8" s="240" t="s">
        <v>11</v>
      </c>
      <c r="H8" s="238" t="s">
        <v>484</v>
      </c>
      <c r="I8" s="1033"/>
      <c r="J8" s="223" t="str">
        <f>+'21'!J8</f>
        <v>T 15 VP OW</v>
      </c>
      <c r="K8" s="247"/>
      <c r="L8" s="247"/>
      <c r="M8" s="126">
        <f>+K8+'21'!M8+L8</f>
        <v>37584</v>
      </c>
      <c r="N8" s="158">
        <v>1700</v>
      </c>
      <c r="O8" s="158">
        <f>+N8-N8*0.2</f>
        <v>1360</v>
      </c>
      <c r="P8" s="158">
        <v>120</v>
      </c>
      <c r="Q8" s="158">
        <f>+N8*P8</f>
        <v>204000</v>
      </c>
      <c r="R8" s="158">
        <f>+O8*P8</f>
        <v>163200</v>
      </c>
    </row>
    <row r="9" spans="1:18" ht="13.5" thickBot="1">
      <c r="A9" s="1030"/>
      <c r="B9" s="224"/>
      <c r="C9" s="225"/>
      <c r="D9" s="226"/>
      <c r="E9" s="229"/>
      <c r="F9" s="236">
        <v>10</v>
      </c>
      <c r="G9" s="240" t="s">
        <v>11</v>
      </c>
      <c r="H9" s="241" t="s">
        <v>483</v>
      </c>
      <c r="I9" s="1033"/>
      <c r="J9" s="223" t="str">
        <f>+'21'!J9</f>
        <v>T 12,5 VP OW</v>
      </c>
      <c r="K9" s="247"/>
      <c r="L9" s="247"/>
      <c r="M9" s="126">
        <f>+K9+'21'!M9+L9</f>
        <v>148332</v>
      </c>
      <c r="N9" s="158">
        <v>1260</v>
      </c>
      <c r="O9" s="158">
        <f>+N9-N9*0.0035</f>
        <v>1255.5899999999999</v>
      </c>
      <c r="P9" s="158">
        <v>50</v>
      </c>
      <c r="Q9" s="158">
        <f>+N9*P9</f>
        <v>63000</v>
      </c>
      <c r="R9" s="158">
        <f>+O9*P9</f>
        <v>62779.499999999993</v>
      </c>
    </row>
    <row r="10" spans="1:18" ht="13.5" thickBot="1">
      <c r="A10" s="1030"/>
      <c r="B10" s="224"/>
      <c r="C10" s="225"/>
      <c r="D10" s="226"/>
      <c r="E10" s="228"/>
      <c r="F10" s="236"/>
      <c r="G10" s="240"/>
      <c r="H10" s="241" t="s">
        <v>715</v>
      </c>
      <c r="I10" s="1033"/>
      <c r="J10" s="223" t="str">
        <f>+'21'!J10</f>
        <v>T 12 VP OW</v>
      </c>
      <c r="K10" s="247"/>
      <c r="L10" s="247"/>
      <c r="M10" s="126">
        <f>+K10+'21'!M10+L10</f>
        <v>25679</v>
      </c>
      <c r="N10" s="158">
        <v>1700</v>
      </c>
      <c r="O10" s="158">
        <f>+N10-N10*0.2</f>
        <v>1360</v>
      </c>
      <c r="P10" s="158">
        <f>10+300</f>
        <v>310</v>
      </c>
      <c r="Q10" s="158">
        <f>+N10*P10</f>
        <v>527000</v>
      </c>
      <c r="R10" s="158">
        <f>+O10*P10</f>
        <v>421600</v>
      </c>
    </row>
    <row r="11" spans="1:18" ht="13.5" thickBot="1">
      <c r="A11" s="1030"/>
      <c r="B11" s="224"/>
      <c r="C11" s="225"/>
      <c r="D11" s="226"/>
      <c r="E11" s="228"/>
      <c r="F11" s="236">
        <v>10</v>
      </c>
      <c r="G11" s="240" t="s">
        <v>11</v>
      </c>
      <c r="H11" s="241" t="s">
        <v>708</v>
      </c>
      <c r="I11" s="1033"/>
      <c r="J11" s="223" t="str">
        <f>+'21'!J11</f>
        <v>F 12 VP OW</v>
      </c>
      <c r="K11" s="247">
        <f>+C7+C16+C25</f>
        <v>51394</v>
      </c>
      <c r="L11" s="247"/>
      <c r="M11" s="126">
        <f>+K11+'21'!M11+L11</f>
        <v>103079</v>
      </c>
      <c r="P11" s="158">
        <f>SUM(P8:P10)</f>
        <v>480</v>
      </c>
      <c r="Q11" s="158">
        <f t="shared" ref="Q11:R11" si="0">SUM(Q8:Q10)</f>
        <v>794000</v>
      </c>
      <c r="R11" s="158">
        <f t="shared" si="0"/>
        <v>647579.5</v>
      </c>
    </row>
    <row r="12" spans="1:18" ht="13.5" thickBot="1">
      <c r="A12" s="1030"/>
      <c r="B12" s="224"/>
      <c r="C12" s="225"/>
      <c r="D12" s="226"/>
      <c r="E12" s="228"/>
      <c r="F12" s="236">
        <v>5</v>
      </c>
      <c r="G12" s="240" t="s">
        <v>11</v>
      </c>
      <c r="H12" s="241" t="s">
        <v>709</v>
      </c>
      <c r="I12" s="1033"/>
      <c r="J12" s="223" t="str">
        <f>+'21'!J12</f>
        <v>F 13 VP OW</v>
      </c>
      <c r="K12" s="247"/>
      <c r="L12" s="247"/>
      <c r="M12" s="126">
        <f>+K12+'21'!M12+L12</f>
        <v>149460</v>
      </c>
      <c r="Q12" s="158">
        <f>+Q11/P11</f>
        <v>1654.1666666666667</v>
      </c>
      <c r="R12" s="158">
        <f>+R11/P11</f>
        <v>1349.1239583333333</v>
      </c>
    </row>
    <row r="13" spans="1:18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+'21'!J13</f>
        <v>F 13,5 VP OW</v>
      </c>
      <c r="K13" s="247"/>
      <c r="L13" s="247"/>
      <c r="M13" s="126">
        <f>+K13+'21'!M13+L13</f>
        <v>11138</v>
      </c>
    </row>
    <row r="14" spans="1:18" ht="13.5" thickBot="1">
      <c r="A14" s="1031"/>
      <c r="B14" s="174" t="s">
        <v>2</v>
      </c>
      <c r="C14" s="108">
        <f>SUM(C7:C13)</f>
        <v>18373</v>
      </c>
      <c r="D14" s="120">
        <f>SUM(D7:D13)</f>
        <v>573</v>
      </c>
      <c r="E14" s="121">
        <f>SUM(E5:E13)</f>
        <v>0</v>
      </c>
      <c r="F14" s="125">
        <f>SUM(F7:F13)</f>
        <v>30</v>
      </c>
      <c r="G14" s="168"/>
      <c r="H14" s="175"/>
      <c r="I14" s="176"/>
      <c r="J14" s="223" t="str">
        <f>+'21'!J14</f>
        <v>F 12,5 VP OW</v>
      </c>
      <c r="K14" s="247"/>
      <c r="L14" s="247"/>
      <c r="M14" s="126">
        <f>+K14+'21'!M14+L14</f>
        <v>73203</v>
      </c>
    </row>
    <row r="15" spans="1:18" ht="13.5" customHeight="1" thickBot="1">
      <c r="A15" s="1035" t="s">
        <v>535</v>
      </c>
      <c r="B15" s="174"/>
      <c r="C15" s="122"/>
      <c r="D15" s="123"/>
      <c r="E15" s="124"/>
      <c r="F15" s="236">
        <v>15</v>
      </c>
      <c r="G15" s="237" t="s">
        <v>11</v>
      </c>
      <c r="H15" s="238" t="s">
        <v>722</v>
      </c>
      <c r="I15" s="1032" t="s">
        <v>718</v>
      </c>
      <c r="J15" s="223" t="str">
        <f>+'21'!J15</f>
        <v>MG 14 VP OW/HW</v>
      </c>
      <c r="K15" s="247"/>
      <c r="L15" s="247"/>
      <c r="M15" s="126">
        <f>+K15+'21'!M15+L15</f>
        <v>83225</v>
      </c>
    </row>
    <row r="16" spans="1:18" ht="13.5" thickBot="1">
      <c r="A16" s="1030"/>
      <c r="B16" s="224" t="s">
        <v>524</v>
      </c>
      <c r="C16" s="230">
        <f>5310+4209+6367</f>
        <v>15886</v>
      </c>
      <c r="D16" s="231">
        <v>268</v>
      </c>
      <c r="E16" s="232"/>
      <c r="F16" s="236">
        <v>5</v>
      </c>
      <c r="G16" s="240" t="s">
        <v>11</v>
      </c>
      <c r="H16" s="238" t="s">
        <v>721</v>
      </c>
      <c r="I16" s="1033"/>
      <c r="J16" s="223" t="str">
        <f>+'21'!J16</f>
        <v>MG 17 VP OW/HW</v>
      </c>
      <c r="K16" s="247">
        <f>+C8+C17</f>
        <v>2917</v>
      </c>
      <c r="L16" s="237"/>
      <c r="M16" s="126">
        <f>+K16+'21'!M16+L16</f>
        <v>338028</v>
      </c>
      <c r="N16" s="158">
        <v>1700</v>
      </c>
      <c r="O16" s="158">
        <f t="shared" ref="O16:O18" si="1">+N16-N16*0.2</f>
        <v>1360</v>
      </c>
      <c r="P16" s="158">
        <f>120+480</f>
        <v>600</v>
      </c>
      <c r="Q16" s="158">
        <f>+N16*P16</f>
        <v>1020000</v>
      </c>
      <c r="R16" s="158">
        <f>+O16*P16</f>
        <v>816000</v>
      </c>
    </row>
    <row r="17" spans="1:18" ht="13.5" thickBot="1">
      <c r="A17" s="1030"/>
      <c r="B17" s="224" t="s">
        <v>598</v>
      </c>
      <c r="C17" s="225">
        <f>100+816</f>
        <v>916</v>
      </c>
      <c r="D17" s="226">
        <v>273</v>
      </c>
      <c r="E17" s="233"/>
      <c r="F17" s="236">
        <v>11</v>
      </c>
      <c r="G17" s="240" t="s">
        <v>11</v>
      </c>
      <c r="H17" s="241" t="s">
        <v>483</v>
      </c>
      <c r="I17" s="1033"/>
      <c r="J17" s="223" t="str">
        <f>+'21'!J17</f>
        <v>MG 16 VP HW</v>
      </c>
      <c r="K17" s="247"/>
      <c r="L17" s="237"/>
      <c r="M17" s="126">
        <f>+K17+'21'!M17+L17</f>
        <v>338456</v>
      </c>
      <c r="N17" s="158">
        <v>1720</v>
      </c>
      <c r="O17" s="158">
        <f t="shared" si="1"/>
        <v>1376</v>
      </c>
      <c r="P17" s="158">
        <v>480</v>
      </c>
      <c r="Q17" s="158">
        <f>+N17*P17</f>
        <v>825600</v>
      </c>
      <c r="R17" s="158">
        <f>+O17*P17</f>
        <v>660480</v>
      </c>
    </row>
    <row r="18" spans="1:18" ht="13.5" thickBot="1">
      <c r="A18" s="1030"/>
      <c r="B18" s="224"/>
      <c r="C18" s="225"/>
      <c r="D18" s="226"/>
      <c r="E18" s="233"/>
      <c r="F18" s="236"/>
      <c r="G18" s="240"/>
      <c r="H18" s="241" t="s">
        <v>715</v>
      </c>
      <c r="I18" s="1033"/>
      <c r="J18" s="223" t="str">
        <f>+'21'!J18</f>
        <v>MG 19 VP HW</v>
      </c>
      <c r="K18" s="247"/>
      <c r="L18" s="247"/>
      <c r="M18" s="126">
        <f>+K18+'21'!M18+L18</f>
        <v>22191</v>
      </c>
      <c r="N18" s="158">
        <v>1700</v>
      </c>
      <c r="O18" s="158">
        <f t="shared" si="1"/>
        <v>1360</v>
      </c>
      <c r="P18" s="158">
        <v>310</v>
      </c>
      <c r="Q18" s="158">
        <f>+N18*P18</f>
        <v>527000</v>
      </c>
      <c r="R18" s="158">
        <f>+O18*P18</f>
        <v>421600</v>
      </c>
    </row>
    <row r="19" spans="1:18" ht="13.5" thickBot="1">
      <c r="A19" s="1030"/>
      <c r="B19" s="224"/>
      <c r="C19" s="225"/>
      <c r="D19" s="226"/>
      <c r="E19" s="233" t="s">
        <v>710</v>
      </c>
      <c r="F19" s="243">
        <v>15</v>
      </c>
      <c r="G19" s="240" t="s">
        <v>68</v>
      </c>
      <c r="H19" s="614" t="s">
        <v>711</v>
      </c>
      <c r="I19" s="1033"/>
      <c r="J19" s="223" t="str">
        <f>+'21'!J19</f>
        <v>MG 15,5 VP HW</v>
      </c>
      <c r="K19" s="237"/>
      <c r="L19" s="247"/>
      <c r="M19" s="126">
        <f>+K19+'21'!M19+L19</f>
        <v>26491</v>
      </c>
      <c r="P19" s="158">
        <f>SUM(P16:P18)</f>
        <v>1390</v>
      </c>
      <c r="Q19" s="158">
        <f t="shared" ref="Q19" si="2">SUM(Q16:Q18)</f>
        <v>2372600</v>
      </c>
      <c r="R19" s="158">
        <f t="shared" ref="R19" si="3">SUM(R16:R18)</f>
        <v>1898080</v>
      </c>
    </row>
    <row r="20" spans="1:18" ht="13.5" thickBot="1">
      <c r="A20" s="1030"/>
      <c r="B20" s="224"/>
      <c r="C20" s="225"/>
      <c r="D20" s="226"/>
      <c r="E20" s="233"/>
      <c r="F20" s="236"/>
      <c r="G20" s="240"/>
      <c r="H20" s="614" t="s">
        <v>712</v>
      </c>
      <c r="I20" s="1033"/>
      <c r="J20" s="223" t="str">
        <f>+'21'!J20</f>
        <v>MG 20 VP HW</v>
      </c>
      <c r="K20" s="237"/>
      <c r="L20" s="248"/>
      <c r="M20" s="126">
        <f>+K20+'21'!M20+L20</f>
        <v>70590</v>
      </c>
      <c r="Q20" s="158">
        <f>+Q19/P19</f>
        <v>1706.9064748201438</v>
      </c>
      <c r="R20" s="158">
        <f>+R19/P19</f>
        <v>1365.5251798561151</v>
      </c>
    </row>
    <row r="21" spans="1:18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+'21'!J21</f>
        <v>0</v>
      </c>
      <c r="K21" s="237"/>
      <c r="L21" s="247"/>
      <c r="M21" s="126">
        <f>+K21+'21'!M21+L21</f>
        <v>0</v>
      </c>
    </row>
    <row r="22" spans="1:18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+'21'!J22</f>
        <v>0</v>
      </c>
      <c r="K22" s="237"/>
      <c r="L22" s="247"/>
      <c r="M22" s="126">
        <f>+K22+'21'!M22+L22</f>
        <v>0</v>
      </c>
    </row>
    <row r="23" spans="1:18" ht="13.5" thickBot="1">
      <c r="A23" s="1031"/>
      <c r="B23" s="177" t="s">
        <v>2</v>
      </c>
      <c r="C23" s="109">
        <f>SUM(C16:C22)</f>
        <v>16802</v>
      </c>
      <c r="D23" s="120">
        <f>SUM(D16:D22)</f>
        <v>541</v>
      </c>
      <c r="E23" s="121">
        <f>SUM(E18:E22)</f>
        <v>0</v>
      </c>
      <c r="F23" s="125">
        <f>SUM(F15:F22)</f>
        <v>46</v>
      </c>
      <c r="G23" s="168"/>
      <c r="H23" s="175" t="s">
        <v>234</v>
      </c>
      <c r="I23" s="178"/>
      <c r="J23" s="223">
        <f>+'21'!J23</f>
        <v>0</v>
      </c>
      <c r="K23" s="237"/>
      <c r="L23" s="247"/>
      <c r="M23" s="126">
        <f>+K23+'21'!M23+L23</f>
        <v>0</v>
      </c>
    </row>
    <row r="24" spans="1:18" ht="13.5" customHeight="1" thickBot="1">
      <c r="A24" s="1035" t="s">
        <v>435</v>
      </c>
      <c r="B24" s="179"/>
      <c r="C24" s="122"/>
      <c r="D24" s="123"/>
      <c r="E24" s="124"/>
      <c r="F24" s="244">
        <v>5</v>
      </c>
      <c r="G24" s="237" t="s">
        <v>11</v>
      </c>
      <c r="H24" s="238" t="s">
        <v>456</v>
      </c>
      <c r="I24" s="1032" t="s">
        <v>719</v>
      </c>
      <c r="J24" s="223">
        <f>+'21'!J24</f>
        <v>0</v>
      </c>
      <c r="K24" s="237"/>
      <c r="L24" s="247"/>
      <c r="M24" s="126">
        <f>+K24+'21'!M24+L24</f>
        <v>0</v>
      </c>
    </row>
    <row r="25" spans="1:18" ht="13.5" thickBot="1">
      <c r="A25" s="1030"/>
      <c r="B25" s="224" t="s">
        <v>524</v>
      </c>
      <c r="C25" s="234">
        <v>19136</v>
      </c>
      <c r="D25" s="226">
        <v>320</v>
      </c>
      <c r="E25" s="233"/>
      <c r="F25" s="239">
        <v>3</v>
      </c>
      <c r="G25" s="240" t="s">
        <v>11</v>
      </c>
      <c r="H25" s="238" t="s">
        <v>484</v>
      </c>
      <c r="I25" s="1033"/>
      <c r="J25" s="223">
        <f>+'21'!J25</f>
        <v>0</v>
      </c>
      <c r="K25" s="237"/>
      <c r="L25" s="247"/>
      <c r="M25" s="126">
        <f>+K25+'21'!M25+L25</f>
        <v>0</v>
      </c>
    </row>
    <row r="26" spans="1:18" ht="13.5" thickBot="1">
      <c r="A26" s="1030"/>
      <c r="B26" s="224"/>
      <c r="C26" s="234"/>
      <c r="D26" s="226"/>
      <c r="E26" s="235"/>
      <c r="F26" s="239">
        <v>10</v>
      </c>
      <c r="G26" s="240" t="s">
        <v>11</v>
      </c>
      <c r="H26" s="241" t="s">
        <v>483</v>
      </c>
      <c r="I26" s="1033"/>
      <c r="J26" s="223">
        <f>+'21'!J26</f>
        <v>0</v>
      </c>
      <c r="K26" s="237"/>
      <c r="L26" s="247"/>
      <c r="M26" s="126">
        <f>+K26+'21'!M26+L26</f>
        <v>0</v>
      </c>
    </row>
    <row r="27" spans="1:18" ht="13.5" thickBot="1">
      <c r="A27" s="1030"/>
      <c r="B27" s="224"/>
      <c r="C27" s="225"/>
      <c r="D27" s="226"/>
      <c r="E27" s="233"/>
      <c r="F27" s="239"/>
      <c r="G27" s="240"/>
      <c r="H27" s="241" t="s">
        <v>716</v>
      </c>
      <c r="I27" s="1033"/>
      <c r="J27" s="223">
        <f>+'21'!J27</f>
        <v>0</v>
      </c>
      <c r="K27" s="237"/>
      <c r="L27" s="247"/>
      <c r="M27" s="126">
        <f>+K27+'21'!M27+L27</f>
        <v>0</v>
      </c>
    </row>
    <row r="28" spans="1:18" ht="13.5" thickBot="1">
      <c r="A28" s="1030"/>
      <c r="B28" s="224"/>
      <c r="C28" s="225"/>
      <c r="D28" s="226"/>
      <c r="E28" s="233"/>
      <c r="F28" s="239"/>
      <c r="G28" s="240"/>
      <c r="H28" s="241" t="s">
        <v>713</v>
      </c>
      <c r="I28" s="1033"/>
      <c r="J28" s="223">
        <f>+'21'!J28</f>
        <v>0</v>
      </c>
      <c r="K28" s="237"/>
      <c r="L28" s="247"/>
      <c r="M28" s="126">
        <f>+K28+'21'!M28+L28</f>
        <v>0</v>
      </c>
    </row>
    <row r="29" spans="1:18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+'21'!J29</f>
        <v>0</v>
      </c>
      <c r="K29" s="237"/>
      <c r="L29" s="247"/>
      <c r="M29" s="126">
        <f>+K29+'21'!M29+L29</f>
        <v>0</v>
      </c>
    </row>
    <row r="30" spans="1:18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+'21'!J30</f>
        <v>0</v>
      </c>
      <c r="K30" s="247"/>
      <c r="L30" s="247"/>
      <c r="M30" s="126">
        <f>+K30+'21'!M30+L30</f>
        <v>0</v>
      </c>
      <c r="N30" s="164"/>
    </row>
    <row r="31" spans="1:18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+'21'!J31</f>
        <v>0</v>
      </c>
      <c r="K31" s="247"/>
      <c r="L31" s="247"/>
      <c r="M31" s="126">
        <f>+K31+'21'!M31+L31</f>
        <v>0</v>
      </c>
    </row>
    <row r="32" spans="1:18" ht="13.5" thickBot="1">
      <c r="A32" s="1031"/>
      <c r="B32" s="174" t="s">
        <v>2</v>
      </c>
      <c r="C32" s="108">
        <f>SUM(C25:C31)</f>
        <v>19136</v>
      </c>
      <c r="D32" s="109">
        <f>SUM(D25:D31)</f>
        <v>320</v>
      </c>
      <c r="E32" s="110">
        <f>SUM(E25:E31)</f>
        <v>0</v>
      </c>
      <c r="F32" s="111">
        <f>SUM(F24:F31)</f>
        <v>18</v>
      </c>
      <c r="G32" s="180"/>
      <c r="H32" s="181"/>
      <c r="I32" s="178"/>
      <c r="J32" s="223">
        <f>+'21'!J32</f>
        <v>0</v>
      </c>
      <c r="K32" s="249"/>
      <c r="L32" s="251"/>
      <c r="M32" s="126">
        <f>+K32+'21'!M32+L32</f>
        <v>0</v>
      </c>
    </row>
    <row r="33" spans="1:14" ht="13.5" thickBot="1">
      <c r="A33" s="182"/>
      <c r="B33" s="183"/>
      <c r="C33" s="112">
        <f>C32/($C$32+$D$32+$E$32)</f>
        <v>0.98355263157894735</v>
      </c>
      <c r="D33" s="113">
        <f>D32/($C$32+$D$32+$E$32)</f>
        <v>1.6447368421052631E-2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54311</v>
      </c>
      <c r="D34" s="116">
        <f>D14+D23+D32</f>
        <v>1434</v>
      </c>
      <c r="E34" s="116">
        <f>E14+E23+E32</f>
        <v>0</v>
      </c>
      <c r="F34" s="117">
        <f>F14+F23+F32</f>
        <v>94</v>
      </c>
      <c r="H34" s="187"/>
      <c r="I34" s="187"/>
      <c r="J34" s="132" t="s">
        <v>27</v>
      </c>
      <c r="K34" s="133">
        <f>SUM(K7:K32)</f>
        <v>54311</v>
      </c>
      <c r="L34" s="221">
        <f>SUM(L7:L32)</f>
        <v>0</v>
      </c>
      <c r="M34" s="129">
        <f>SUM(M7:M32)</f>
        <v>1489955</v>
      </c>
      <c r="N34" s="164"/>
    </row>
    <row r="35" spans="1:14" ht="13.5" thickBot="1">
      <c r="A35" s="188"/>
      <c r="B35" s="189"/>
      <c r="C35" s="113">
        <f>C34/($C$34+$D$34+$E$34)</f>
        <v>0.97427571979549732</v>
      </c>
      <c r="D35" s="113">
        <f>D34/($C$34+$D$34+$E$34)</f>
        <v>2.5724280204502646E-2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(12*1390+17*50)/1440*G42*2.77*1440/1000000</f>
        <v>66.121952560381942</v>
      </c>
      <c r="J37" s="134">
        <f>+I37+'21'!J37</f>
        <v>1585.4115314007724</v>
      </c>
      <c r="K37" s="135" t="s">
        <v>63</v>
      </c>
      <c r="L37" s="556">
        <f>+I38-L38</f>
        <v>56.061999999999998</v>
      </c>
    </row>
    <row r="38" spans="1:14" ht="17.45" customHeight="1">
      <c r="A38" s="1027" t="s">
        <v>11</v>
      </c>
      <c r="B38" s="1028"/>
      <c r="C38" s="173">
        <f>SUMIF($G$7:$G$31,"Process",$F$7:$F$31)</f>
        <v>79</v>
      </c>
      <c r="D38" s="127">
        <f>+C38+'21'!D38</f>
        <v>674</v>
      </c>
      <c r="E38" s="152">
        <f t="shared" ref="E38:E51" si="4">D38/60</f>
        <v>11.233333333333333</v>
      </c>
      <c r="F38" s="337">
        <v>1654.1666666666667</v>
      </c>
      <c r="G38" s="337">
        <v>1349.1239583333333</v>
      </c>
      <c r="H38" s="196" t="s">
        <v>64</v>
      </c>
      <c r="I38" s="548">
        <f>20.243+17.637+20.586</f>
        <v>58.465999999999994</v>
      </c>
      <c r="J38" s="136">
        <f>+I38+'21'!J38</f>
        <v>1527.1219999999998</v>
      </c>
      <c r="K38" s="137" t="s">
        <v>63</v>
      </c>
      <c r="L38" s="158">
        <f>1.202+1.202</f>
        <v>2.4039999999999999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+C39+'21'!D39</f>
        <v>0</v>
      </c>
      <c r="E39" s="152">
        <f t="shared" si="4"/>
        <v>0</v>
      </c>
      <c r="F39" s="337">
        <v>1700</v>
      </c>
      <c r="G39" s="337">
        <v>1360</v>
      </c>
      <c r="H39" s="196" t="s">
        <v>65</v>
      </c>
      <c r="I39" s="151"/>
      <c r="J39" s="138">
        <f>J37/G4</f>
        <v>72.064160518216923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+C40+'21'!D40</f>
        <v>0</v>
      </c>
      <c r="E40" s="152">
        <f t="shared" si="4"/>
        <v>0</v>
      </c>
      <c r="F40" s="337">
        <v>1720</v>
      </c>
      <c r="G40" s="337">
        <v>1376</v>
      </c>
      <c r="H40" s="196" t="s">
        <v>67</v>
      </c>
      <c r="I40" s="127">
        <f>(K34+L34)/1000</f>
        <v>54.311</v>
      </c>
      <c r="J40" s="140">
        <f>+I40+'21'!J40</f>
        <v>1489.9549999999999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15</v>
      </c>
      <c r="D41" s="127">
        <f>+C41+'21'!D41</f>
        <v>15</v>
      </c>
      <c r="E41" s="152">
        <f t="shared" si="4"/>
        <v>0.25</v>
      </c>
      <c r="F41" s="337"/>
      <c r="G41" s="337"/>
      <c r="H41" s="196" t="s">
        <v>69</v>
      </c>
      <c r="I41" s="151"/>
      <c r="J41" s="138">
        <f>J40/G4</f>
        <v>67.725227272727267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+C42+'21'!D42</f>
        <v>0</v>
      </c>
      <c r="E42" s="152">
        <f t="shared" si="4"/>
        <v>0</v>
      </c>
      <c r="F42" s="337">
        <f>+(F38*480+F39*480+F40*480)/1440</f>
        <v>1691.3888888888889</v>
      </c>
      <c r="G42" s="337">
        <f>+(G38*480+G39*480+G40*480)/1440</f>
        <v>1361.707986111111</v>
      </c>
      <c r="H42" s="196" t="s">
        <v>70</v>
      </c>
      <c r="I42" s="254" t="s">
        <v>720</v>
      </c>
      <c r="J42" s="141"/>
      <c r="K42" s="139" t="s">
        <v>71</v>
      </c>
    </row>
    <row r="43" spans="1:14" ht="17.45" customHeight="1">
      <c r="A43" s="1023" t="s">
        <v>203</v>
      </c>
      <c r="B43" s="1024"/>
      <c r="C43" s="173">
        <f>SUMIF($G$7:$G$31,"Change Grade",$F$7:$F$31)</f>
        <v>0</v>
      </c>
      <c r="D43" s="127">
        <f>+C43+'21'!D43</f>
        <v>0</v>
      </c>
      <c r="E43" s="152">
        <f t="shared" si="4"/>
        <v>0</v>
      </c>
      <c r="F43" s="337"/>
      <c r="G43" s="338"/>
      <c r="H43" s="197" t="s">
        <v>73</v>
      </c>
      <c r="I43" s="127">
        <f>+Report1!T30</f>
        <v>132.523</v>
      </c>
      <c r="J43" s="142">
        <f>+I43+'21'!J43</f>
        <v>3111.741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+C44+'21'!D44</f>
        <v>515</v>
      </c>
      <c r="E44" s="152">
        <f t="shared" si="4"/>
        <v>8.5833333333333339</v>
      </c>
      <c r="F44" s="337"/>
      <c r="G44" s="338"/>
      <c r="H44" s="197" t="s">
        <v>74</v>
      </c>
      <c r="I44" s="127">
        <f>I43/I38</f>
        <v>2.2666678069305237</v>
      </c>
      <c r="J44" s="143">
        <f>J43/J38</f>
        <v>2.0376505609898885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+C45+'21'!D45</f>
        <v>0</v>
      </c>
      <c r="E45" s="152">
        <f t="shared" si="4"/>
        <v>0</v>
      </c>
      <c r="F45" s="337"/>
      <c r="G45" s="340"/>
      <c r="H45" s="197" t="s">
        <v>75</v>
      </c>
      <c r="I45" s="127">
        <f>I43/I40</f>
        <v>2.4400765959013828</v>
      </c>
      <c r="J45" s="143">
        <f>J43/J40</f>
        <v>2.0884798534183919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+C46+'21'!D46</f>
        <v>0</v>
      </c>
      <c r="E46" s="152">
        <f t="shared" si="4"/>
        <v>0</v>
      </c>
      <c r="F46" s="337"/>
      <c r="G46" s="338"/>
      <c r="H46" s="197" t="s">
        <v>77</v>
      </c>
      <c r="I46" s="149">
        <f>+SUMIF(Listrik!AR29,"&gt;0")</f>
        <v>52838.200000000223</v>
      </c>
      <c r="J46" s="144">
        <f>+I46+'21'!J46</f>
        <v>1208166.7600000012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+C47+'21'!D47</f>
        <v>0</v>
      </c>
      <c r="E47" s="152">
        <f t="shared" si="4"/>
        <v>0</v>
      </c>
      <c r="F47" s="337"/>
      <c r="G47" s="338"/>
      <c r="H47" s="197" t="s">
        <v>80</v>
      </c>
      <c r="I47" s="127">
        <f>I46/I38</f>
        <v>903.74234597886345</v>
      </c>
      <c r="J47" s="144">
        <f>J46/J38</f>
        <v>791.13964699611506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+C48+'21'!D48</f>
        <v>0</v>
      </c>
      <c r="E48" s="152">
        <f t="shared" si="4"/>
        <v>0</v>
      </c>
      <c r="F48" s="337"/>
      <c r="G48" s="338"/>
      <c r="H48" s="197" t="s">
        <v>81</v>
      </c>
      <c r="I48" s="127">
        <f>I46/I40</f>
        <v>972.88210491429402</v>
      </c>
      <c r="J48" s="144">
        <f>J46/J40</f>
        <v>810.87466399992024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+C49+'21'!D49</f>
        <v>0</v>
      </c>
      <c r="E49" s="152">
        <f t="shared" si="4"/>
        <v>0</v>
      </c>
      <c r="F49" s="194"/>
      <c r="H49" s="197" t="s">
        <v>82</v>
      </c>
      <c r="I49" s="127">
        <v>0</v>
      </c>
      <c r="J49" s="144">
        <f>+I49+'21'!J49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+C50+'21'!D50</f>
        <v>0</v>
      </c>
      <c r="E50" s="152">
        <f t="shared" si="4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+C51+'21'!D51</f>
        <v>0</v>
      </c>
      <c r="E51" s="152">
        <f t="shared" si="4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94</v>
      </c>
      <c r="D52" s="153">
        <f>SUM(D38:D51)</f>
        <v>1204</v>
      </c>
      <c r="E52" s="154">
        <f>SUM(E38:E51)</f>
        <v>20.066666666666666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6.5277777777777782E-2</v>
      </c>
      <c r="D53" s="155">
        <f>D52/(24*60*G4)</f>
        <v>3.8005050505050507E-2</v>
      </c>
      <c r="E53" s="156">
        <f>E52/(G4*24)</f>
        <v>3.8005050505050507E-2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+D34+'21'!J56</f>
        <v>11786</v>
      </c>
      <c r="K56" s="210">
        <f>J56/(J40+J56/1000)/1000</f>
        <v>7.8482241611569515E-3</v>
      </c>
    </row>
    <row r="57" spans="1:11">
      <c r="A57" s="185"/>
      <c r="I57" s="208" t="s">
        <v>89</v>
      </c>
      <c r="J57" s="209">
        <f>+E34+'21'!J57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51:B51"/>
    <mergeCell ref="A52:B52"/>
    <mergeCell ref="A53:B53"/>
    <mergeCell ref="A47:B47"/>
    <mergeCell ref="A48:B48"/>
    <mergeCell ref="A49:B49"/>
    <mergeCell ref="A50:B50"/>
    <mergeCell ref="A43:B43"/>
    <mergeCell ref="A44:B44"/>
    <mergeCell ref="A45:B45"/>
    <mergeCell ref="A46:B46"/>
    <mergeCell ref="A39:B39"/>
    <mergeCell ref="A40:B40"/>
    <mergeCell ref="A41:B41"/>
    <mergeCell ref="A42:B42"/>
    <mergeCell ref="A37:B37"/>
    <mergeCell ref="A38:B38"/>
    <mergeCell ref="A24:A32"/>
    <mergeCell ref="I24:I31"/>
    <mergeCell ref="I7:I13"/>
    <mergeCell ref="A15:A23"/>
    <mergeCell ref="I15:I22"/>
    <mergeCell ref="A34:B34"/>
    <mergeCell ref="A7:A14"/>
  </mergeCells>
  <phoneticPr fontId="31" type="noConversion"/>
  <printOptions horizontalCentered="1"/>
  <pageMargins left="0.74791666666666667" right="0.74791666666666667" top="0.1388888888888889" bottom="0.39027777777777778" header="0" footer="0"/>
  <pageSetup paperSize="9" scale="62" firstPageNumber="4294963191" orientation="landscape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R61"/>
  <sheetViews>
    <sheetView zoomScale="80" zoomScaleNormal="80" workbookViewId="0">
      <selection activeCell="B16" sqref="B16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710937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4.7109375" style="158" customWidth="1"/>
    <col min="14" max="16384" width="9.140625" style="158"/>
  </cols>
  <sheetData>
    <row r="1" spans="1:18" ht="15.75">
      <c r="A1" s="157"/>
    </row>
    <row r="2" spans="1:18" ht="15.75">
      <c r="A2" s="344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21</v>
      </c>
      <c r="H4" s="163" t="str">
        <f>+'1'!H4</f>
        <v>.06.24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200+241+235</f>
        <v>676</v>
      </c>
    </row>
    <row r="7" spans="1:18" ht="13.5" customHeight="1" thickBot="1">
      <c r="A7" s="1029" t="s">
        <v>595</v>
      </c>
      <c r="B7" s="224" t="s">
        <v>697</v>
      </c>
      <c r="C7" s="225">
        <v>26561</v>
      </c>
      <c r="D7" s="226"/>
      <c r="E7" s="227"/>
      <c r="F7" s="236"/>
      <c r="G7" s="237" t="s">
        <v>11</v>
      </c>
      <c r="H7" s="238" t="s">
        <v>277</v>
      </c>
      <c r="I7" s="1032" t="s">
        <v>687</v>
      </c>
      <c r="J7" s="342" t="str">
        <f>+'20'!J7</f>
        <v>T 14 VP OW</v>
      </c>
      <c r="K7" s="246"/>
      <c r="L7" s="250"/>
      <c r="M7" s="126">
        <f>+K7+'20'!M7+L7</f>
        <v>62499</v>
      </c>
    </row>
    <row r="8" spans="1:18" ht="13.5" thickBot="1">
      <c r="A8" s="1030"/>
      <c r="B8" s="224"/>
      <c r="C8" s="225"/>
      <c r="D8" s="226"/>
      <c r="E8" s="228"/>
      <c r="F8" s="239"/>
      <c r="G8" s="240" t="s">
        <v>11</v>
      </c>
      <c r="H8" s="238" t="s">
        <v>640</v>
      </c>
      <c r="I8" s="1033"/>
      <c r="J8" s="223" t="str">
        <f>+'20'!J8</f>
        <v>T 15 VP OW</v>
      </c>
      <c r="K8" s="247"/>
      <c r="L8" s="247"/>
      <c r="M8" s="126">
        <f>+K8+'20'!M8+L8</f>
        <v>37584</v>
      </c>
      <c r="N8" s="158">
        <v>980</v>
      </c>
      <c r="O8" s="158">
        <f>+N8-N8*0.0035</f>
        <v>976.57</v>
      </c>
    </row>
    <row r="9" spans="1:18" ht="13.5" thickBot="1">
      <c r="A9" s="1030"/>
      <c r="B9" s="224"/>
      <c r="C9" s="225"/>
      <c r="D9" s="226"/>
      <c r="E9" s="229"/>
      <c r="F9" s="236">
        <v>0</v>
      </c>
      <c r="G9" s="240" t="s">
        <v>11</v>
      </c>
      <c r="H9" s="241" t="s">
        <v>665</v>
      </c>
      <c r="I9" s="1033"/>
      <c r="J9" s="223" t="str">
        <f>+'20'!J9</f>
        <v>T 12,5 VP OW</v>
      </c>
      <c r="K9" s="247"/>
      <c r="L9" s="247"/>
      <c r="M9" s="126">
        <f>+K9+'20'!M9+L9</f>
        <v>148332</v>
      </c>
    </row>
    <row r="10" spans="1:18" ht="13.5" thickBot="1">
      <c r="A10" s="1030"/>
      <c r="B10" s="224"/>
      <c r="C10" s="225"/>
      <c r="D10" s="226"/>
      <c r="E10" s="228"/>
      <c r="F10" s="236"/>
      <c r="G10" s="240"/>
      <c r="H10" s="241" t="s">
        <v>684</v>
      </c>
      <c r="I10" s="1033"/>
      <c r="J10" s="223" t="str">
        <f>+'20'!J10</f>
        <v>T 12 VP OW</v>
      </c>
      <c r="K10" s="247"/>
      <c r="L10" s="247"/>
      <c r="M10" s="126">
        <f>+K10+'20'!M10+L10</f>
        <v>25679</v>
      </c>
    </row>
    <row r="11" spans="1:18" ht="13.5" thickBot="1">
      <c r="A11" s="1030"/>
      <c r="B11" s="224"/>
      <c r="C11" s="225"/>
      <c r="D11" s="226"/>
      <c r="E11" s="228"/>
      <c r="F11" s="236"/>
      <c r="G11" s="240"/>
      <c r="H11" s="241"/>
      <c r="I11" s="1033"/>
      <c r="J11" s="223" t="str">
        <f>+'20'!J11</f>
        <v>F 12 VP OW</v>
      </c>
      <c r="K11" s="247">
        <f>+C17+C25</f>
        <v>21332</v>
      </c>
      <c r="L11" s="247"/>
      <c r="M11" s="126">
        <f>+K11+'20'!M11+L11</f>
        <v>51685</v>
      </c>
    </row>
    <row r="12" spans="1:18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+'20'!J12</f>
        <v>F 13 VP OW</v>
      </c>
      <c r="K12" s="247"/>
      <c r="L12" s="247"/>
      <c r="M12" s="126">
        <f>+K12+'20'!M12+L12</f>
        <v>149460</v>
      </c>
    </row>
    <row r="13" spans="1:18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+'20'!J13</f>
        <v>F 13,5 VP OW</v>
      </c>
      <c r="K13" s="247"/>
      <c r="L13" s="247"/>
      <c r="M13" s="126">
        <f>+K13+'20'!M13+L13</f>
        <v>11138</v>
      </c>
    </row>
    <row r="14" spans="1:18" ht="13.5" thickBot="1">
      <c r="A14" s="1031"/>
      <c r="B14" s="174" t="s">
        <v>2</v>
      </c>
      <c r="C14" s="108">
        <f>SUM(C7:C13)</f>
        <v>26561</v>
      </c>
      <c r="D14" s="120">
        <f>SUM(D7:D13)</f>
        <v>0</v>
      </c>
      <c r="E14" s="121">
        <f>SUM(E5:E13)</f>
        <v>0</v>
      </c>
      <c r="F14" s="125">
        <f>SUM(F7:F13)</f>
        <v>0</v>
      </c>
      <c r="G14" s="168"/>
      <c r="H14" s="175"/>
      <c r="I14" s="176"/>
      <c r="J14" s="223" t="str">
        <f>+'20'!J14</f>
        <v>F 12,5 VP OW</v>
      </c>
      <c r="K14" s="247"/>
      <c r="L14" s="247"/>
      <c r="M14" s="126">
        <f>+K14+'20'!M14+L14</f>
        <v>73203</v>
      </c>
    </row>
    <row r="15" spans="1:18" ht="13.5" customHeight="1" thickBot="1">
      <c r="A15" s="1035" t="s">
        <v>646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703</v>
      </c>
      <c r="J15" s="223" t="str">
        <f>+'20'!J15</f>
        <v>MG 14 VP OW/HW</v>
      </c>
      <c r="K15" s="247"/>
      <c r="L15" s="247"/>
      <c r="M15" s="126">
        <f>+K15+'20'!M15+L15</f>
        <v>83225</v>
      </c>
    </row>
    <row r="16" spans="1:18" ht="13.5" thickBot="1">
      <c r="A16" s="1030"/>
      <c r="B16" s="224" t="s">
        <v>697</v>
      </c>
      <c r="C16" s="230">
        <v>13311</v>
      </c>
      <c r="D16" s="231">
        <v>1203</v>
      </c>
      <c r="E16" s="232"/>
      <c r="F16" s="236">
        <v>2</v>
      </c>
      <c r="G16" s="240" t="s">
        <v>11</v>
      </c>
      <c r="H16" s="238" t="s">
        <v>484</v>
      </c>
      <c r="I16" s="1033"/>
      <c r="J16" s="223" t="str">
        <f>+'20'!J16</f>
        <v>MG 17 VP OW/HW</v>
      </c>
      <c r="K16" s="247"/>
      <c r="L16" s="237"/>
      <c r="M16" s="126">
        <f>+K16+'20'!M16+L16</f>
        <v>335111</v>
      </c>
      <c r="N16" s="158">
        <v>980</v>
      </c>
      <c r="O16" s="158">
        <f>+N16-N16*0.0035</f>
        <v>976.57</v>
      </c>
      <c r="P16" s="158">
        <f>240+15</f>
        <v>255</v>
      </c>
      <c r="Q16" s="158">
        <f>+N16*P16</f>
        <v>249900</v>
      </c>
      <c r="R16" s="158">
        <f>+O16*P16</f>
        <v>249025.35</v>
      </c>
    </row>
    <row r="17" spans="1:18" ht="13.5" thickBot="1">
      <c r="A17" s="1030"/>
      <c r="B17" s="224" t="s">
        <v>524</v>
      </c>
      <c r="C17" s="225">
        <v>3548</v>
      </c>
      <c r="D17" s="226"/>
      <c r="E17" s="233"/>
      <c r="F17" s="236">
        <v>4</v>
      </c>
      <c r="G17" s="240" t="s">
        <v>11</v>
      </c>
      <c r="H17" s="241" t="s">
        <v>455</v>
      </c>
      <c r="I17" s="1033"/>
      <c r="J17" s="223" t="str">
        <f>+'20'!J17</f>
        <v>MG 16 VP HW</v>
      </c>
      <c r="K17" s="247"/>
      <c r="L17" s="237"/>
      <c r="M17" s="126">
        <f>+K17+'20'!M17+L17</f>
        <v>338456</v>
      </c>
      <c r="N17" s="158">
        <v>1680</v>
      </c>
      <c r="O17" s="158">
        <f>+N17-N17*0.2</f>
        <v>1344</v>
      </c>
      <c r="P17" s="158">
        <f>45+180</f>
        <v>225</v>
      </c>
      <c r="Q17" s="158">
        <f>+N17*P17</f>
        <v>378000</v>
      </c>
      <c r="R17" s="158">
        <f>+O17*P17</f>
        <v>302400</v>
      </c>
    </row>
    <row r="18" spans="1:18" ht="13.5" thickBot="1">
      <c r="A18" s="1030"/>
      <c r="B18" s="224"/>
      <c r="C18" s="225"/>
      <c r="D18" s="226"/>
      <c r="E18" s="233"/>
      <c r="F18" s="236"/>
      <c r="G18" s="240"/>
      <c r="H18" s="241" t="s">
        <v>684</v>
      </c>
      <c r="I18" s="1033"/>
      <c r="J18" s="223" t="str">
        <f>+'20'!J18</f>
        <v>MG 19 VP HW</v>
      </c>
      <c r="K18" s="247"/>
      <c r="L18" s="247"/>
      <c r="M18" s="126">
        <f>+K18+'20'!M18+L18</f>
        <v>22191</v>
      </c>
      <c r="P18" s="158">
        <f>SUM(P16:P17)</f>
        <v>480</v>
      </c>
      <c r="Q18" s="158">
        <f t="shared" ref="Q18:R18" si="0">SUM(Q16:Q17)</f>
        <v>627900</v>
      </c>
      <c r="R18" s="158">
        <f t="shared" si="0"/>
        <v>551425.35</v>
      </c>
    </row>
    <row r="19" spans="1:18" ht="13.5" thickBot="1">
      <c r="A19" s="1030"/>
      <c r="B19" s="224"/>
      <c r="C19" s="225"/>
      <c r="D19" s="226"/>
      <c r="E19" s="233"/>
      <c r="F19" s="243">
        <v>10</v>
      </c>
      <c r="G19" s="240" t="s">
        <v>11</v>
      </c>
      <c r="H19" s="241" t="s">
        <v>698</v>
      </c>
      <c r="I19" s="1033"/>
      <c r="J19" s="223" t="str">
        <f>+'20'!J19</f>
        <v>MG 15,5 VP HW</v>
      </c>
      <c r="K19" s="247"/>
      <c r="L19" s="247"/>
      <c r="M19" s="126">
        <f>+K19+'20'!M19+L19</f>
        <v>26491</v>
      </c>
      <c r="Q19" s="158">
        <f>+Q18/P18</f>
        <v>1308.125</v>
      </c>
      <c r="R19" s="158">
        <f>+R18/P18</f>
        <v>1148.8028124999998</v>
      </c>
    </row>
    <row r="20" spans="1:18" ht="13.5" thickBot="1">
      <c r="A20" s="1030"/>
      <c r="B20" s="224"/>
      <c r="C20" s="225"/>
      <c r="D20" s="226"/>
      <c r="E20" s="233"/>
      <c r="F20" s="236"/>
      <c r="G20" s="240"/>
      <c r="H20" s="241" t="s">
        <v>699</v>
      </c>
      <c r="I20" s="1033"/>
      <c r="J20" s="223" t="str">
        <f>+'20'!J20</f>
        <v>MG 20 VP HW</v>
      </c>
      <c r="K20" s="247">
        <f>+C7+C16</f>
        <v>39872</v>
      </c>
      <c r="L20" s="248"/>
      <c r="M20" s="126">
        <f>+K20+'20'!M20+L20</f>
        <v>70590</v>
      </c>
    </row>
    <row r="21" spans="1:18" ht="13.5" thickBot="1">
      <c r="A21" s="1030"/>
      <c r="B21" s="224"/>
      <c r="C21" s="225"/>
      <c r="D21" s="226"/>
      <c r="E21" s="233"/>
      <c r="F21" s="239"/>
      <c r="G21" s="240"/>
      <c r="H21" s="503" t="s">
        <v>700</v>
      </c>
      <c r="I21" s="1033"/>
      <c r="J21" s="223">
        <f>+'20'!J21</f>
        <v>0</v>
      </c>
      <c r="K21" s="247"/>
      <c r="L21" s="247"/>
      <c r="M21" s="126">
        <f>+K21+'20'!M21+L21</f>
        <v>0</v>
      </c>
    </row>
    <row r="22" spans="1:18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+'20'!J22</f>
        <v>0</v>
      </c>
      <c r="K22" s="247"/>
      <c r="L22" s="247"/>
      <c r="M22" s="126">
        <f>+K22+'20'!M22+L22</f>
        <v>0</v>
      </c>
    </row>
    <row r="23" spans="1:18" ht="13.5" thickBot="1">
      <c r="A23" s="1031"/>
      <c r="B23" s="177" t="s">
        <v>2</v>
      </c>
      <c r="C23" s="109">
        <f>SUM(C16:C22)</f>
        <v>16859</v>
      </c>
      <c r="D23" s="120">
        <f>SUM(D16:D22)</f>
        <v>1203</v>
      </c>
      <c r="E23" s="121">
        <f>SUM(E18:E22)</f>
        <v>0</v>
      </c>
      <c r="F23" s="125">
        <f>SUM(F15:F22)</f>
        <v>16</v>
      </c>
      <c r="G23" s="168"/>
      <c r="H23" s="175" t="s">
        <v>234</v>
      </c>
      <c r="I23" s="178"/>
      <c r="J23" s="223">
        <f>+'20'!J23</f>
        <v>0</v>
      </c>
      <c r="K23" s="247"/>
      <c r="L23" s="247"/>
      <c r="M23" s="126">
        <f>+K23+'20'!M23+L23</f>
        <v>0</v>
      </c>
    </row>
    <row r="24" spans="1:18" ht="13.5" customHeight="1" thickBot="1">
      <c r="A24" s="1035" t="s">
        <v>435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704</v>
      </c>
      <c r="J24" s="223">
        <f>+'20'!J24</f>
        <v>0</v>
      </c>
      <c r="K24" s="247"/>
      <c r="L24" s="247"/>
      <c r="M24" s="126">
        <f>+K24+'20'!M24+L24</f>
        <v>0</v>
      </c>
    </row>
    <row r="25" spans="1:18" ht="13.5" thickBot="1">
      <c r="A25" s="1030"/>
      <c r="B25" s="224" t="s">
        <v>524</v>
      </c>
      <c r="C25" s="234">
        <v>17784</v>
      </c>
      <c r="D25" s="226"/>
      <c r="E25" s="233"/>
      <c r="F25" s="239">
        <v>5</v>
      </c>
      <c r="G25" s="240" t="s">
        <v>11</v>
      </c>
      <c r="H25" s="238" t="s">
        <v>488</v>
      </c>
      <c r="I25" s="1033"/>
      <c r="J25" s="223">
        <f>+'20'!J25</f>
        <v>0</v>
      </c>
      <c r="K25" s="247"/>
      <c r="L25" s="247"/>
      <c r="M25" s="126">
        <f>+K25+'20'!M25+L25</f>
        <v>0</v>
      </c>
    </row>
    <row r="26" spans="1:18" ht="13.5" thickBot="1">
      <c r="A26" s="1030"/>
      <c r="B26" s="224"/>
      <c r="C26" s="234"/>
      <c r="D26" s="226"/>
      <c r="E26" s="235"/>
      <c r="F26" s="239">
        <v>9</v>
      </c>
      <c r="G26" s="240" t="s">
        <v>11</v>
      </c>
      <c r="H26" s="241" t="s">
        <v>451</v>
      </c>
      <c r="I26" s="1033"/>
      <c r="J26" s="223">
        <f>+'20'!J26</f>
        <v>0</v>
      </c>
      <c r="K26" s="247"/>
      <c r="L26" s="247"/>
      <c r="M26" s="126">
        <f>+K26+'20'!M26+L26</f>
        <v>0</v>
      </c>
    </row>
    <row r="27" spans="1:18" ht="13.5" thickBot="1">
      <c r="A27" s="1030"/>
      <c r="B27" s="224"/>
      <c r="C27" s="225"/>
      <c r="D27" s="226"/>
      <c r="E27" s="233"/>
      <c r="F27" s="239"/>
      <c r="G27" s="240"/>
      <c r="H27" s="241" t="s">
        <v>714</v>
      </c>
      <c r="I27" s="1033"/>
      <c r="J27" s="223">
        <f>+'20'!J27</f>
        <v>0</v>
      </c>
      <c r="K27" s="247"/>
      <c r="L27" s="247"/>
      <c r="M27" s="126">
        <f>+K27+'20'!M27+L27</f>
        <v>0</v>
      </c>
    </row>
    <row r="28" spans="1:18" ht="26.25" thickBot="1">
      <c r="A28" s="1030"/>
      <c r="B28" s="224"/>
      <c r="C28" s="225"/>
      <c r="D28" s="226"/>
      <c r="E28" s="233"/>
      <c r="F28" s="239"/>
      <c r="G28" s="240"/>
      <c r="H28" s="241" t="s">
        <v>701</v>
      </c>
      <c r="I28" s="1033"/>
      <c r="J28" s="223">
        <f>+'20'!J28</f>
        <v>0</v>
      </c>
      <c r="K28" s="247"/>
      <c r="L28" s="247"/>
      <c r="M28" s="126">
        <f>+K28+'20'!M28+L28</f>
        <v>0</v>
      </c>
    </row>
    <row r="29" spans="1:18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+'20'!J29</f>
        <v>0</v>
      </c>
      <c r="K29" s="247"/>
      <c r="L29" s="247"/>
      <c r="M29" s="126">
        <f>+K29+'20'!M29+L29</f>
        <v>0</v>
      </c>
    </row>
    <row r="30" spans="1:18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+'20'!J30</f>
        <v>0</v>
      </c>
      <c r="K30" s="247"/>
      <c r="L30" s="247"/>
      <c r="M30" s="126">
        <f>+K30+'20'!M30+L30</f>
        <v>0</v>
      </c>
      <c r="N30" s="164"/>
    </row>
    <row r="31" spans="1:18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+'20'!J31</f>
        <v>0</v>
      </c>
      <c r="K31" s="247"/>
      <c r="L31" s="247"/>
      <c r="M31" s="126">
        <f>+K31+'20'!M31+L31</f>
        <v>0</v>
      </c>
    </row>
    <row r="32" spans="1:18" ht="13.5" thickBot="1">
      <c r="A32" s="1031"/>
      <c r="B32" s="174" t="s">
        <v>2</v>
      </c>
      <c r="C32" s="108">
        <f>SUM(C25:C31)</f>
        <v>17784</v>
      </c>
      <c r="D32" s="109">
        <f>SUM(D25:D31)</f>
        <v>0</v>
      </c>
      <c r="E32" s="110">
        <f>SUM(E25:E31)</f>
        <v>0</v>
      </c>
      <c r="F32" s="111">
        <f>SUM(F24:F31)</f>
        <v>14</v>
      </c>
      <c r="G32" s="180"/>
      <c r="H32" s="181"/>
      <c r="I32" s="178"/>
      <c r="J32" s="223">
        <f>+'20'!J32</f>
        <v>0</v>
      </c>
      <c r="K32" s="249"/>
      <c r="L32" s="251"/>
      <c r="M32" s="126">
        <f>+K32+'20'!M32+L32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61204</v>
      </c>
      <c r="D34" s="116">
        <f>D14+D23+D32</f>
        <v>1203</v>
      </c>
      <c r="E34" s="116">
        <f>E14+E23+E32</f>
        <v>0</v>
      </c>
      <c r="F34" s="117">
        <f>F14+F23+F32</f>
        <v>30</v>
      </c>
      <c r="H34" s="187"/>
      <c r="I34" s="187"/>
      <c r="J34" s="132" t="s">
        <v>27</v>
      </c>
      <c r="K34" s="133">
        <f>SUM(K7:K32)</f>
        <v>61204</v>
      </c>
      <c r="L34" s="221">
        <f>SUM(L7:L32)</f>
        <v>0</v>
      </c>
      <c r="M34" s="129">
        <f>SUM(M7:M32)</f>
        <v>1435644</v>
      </c>
      <c r="N34" s="164"/>
    </row>
    <row r="35" spans="1:14" ht="13.5" thickBot="1">
      <c r="A35" s="188"/>
      <c r="B35" s="189"/>
      <c r="C35" s="113">
        <f>C34/($C$34+$D$34+$E$34)</f>
        <v>0.98072331629464649</v>
      </c>
      <c r="D35" s="113">
        <f>D34/($C$34+$D$34+$E$34)</f>
        <v>1.9276683705353567E-2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(20*735+12*705)/1440*G42*2.77*1440/1000000</f>
        <v>74.190455971624999</v>
      </c>
      <c r="J37" s="134">
        <f>+I37+'20'!J37</f>
        <v>1519.2895788403905</v>
      </c>
      <c r="K37" s="135" t="s">
        <v>63</v>
      </c>
      <c r="L37" s="556">
        <f>+I38-L38</f>
        <v>41.640999999999991</v>
      </c>
    </row>
    <row r="38" spans="1:14" ht="17.45" customHeight="1">
      <c r="A38" s="1027" t="s">
        <v>11</v>
      </c>
      <c r="B38" s="1028"/>
      <c r="C38" s="173">
        <f>SUMIF($G$7:$G$31,"Process",$F$7:$F$31)</f>
        <v>30</v>
      </c>
      <c r="D38" s="127">
        <f>+C38+'20'!D38</f>
        <v>595</v>
      </c>
      <c r="E38" s="152">
        <f t="shared" ref="E38:E51" si="1">D38/60</f>
        <v>9.9166666666666661</v>
      </c>
      <c r="F38" s="337">
        <v>980</v>
      </c>
      <c r="G38" s="337">
        <v>976.57</v>
      </c>
      <c r="H38" s="196" t="s">
        <v>64</v>
      </c>
      <c r="I38" s="253">
        <f>24.974+22.428+21.781</f>
        <v>69.182999999999993</v>
      </c>
      <c r="J38" s="136">
        <f>+I38+'20'!J38</f>
        <v>1468.6559999999999</v>
      </c>
      <c r="K38" s="137" t="s">
        <v>63</v>
      </c>
      <c r="L38" s="158">
        <f>1.532+1.771+2.458+21.781</f>
        <v>27.541999999999998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+C39+'20'!D39</f>
        <v>0</v>
      </c>
      <c r="E39" s="152">
        <f t="shared" si="1"/>
        <v>0</v>
      </c>
      <c r="F39" s="337">
        <v>1308.125</v>
      </c>
      <c r="G39" s="337">
        <v>1148.8028124999998</v>
      </c>
      <c r="H39" s="196" t="s">
        <v>65</v>
      </c>
      <c r="I39" s="151"/>
      <c r="J39" s="138">
        <f>J37/G4</f>
        <v>72.347122801923362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+C40+'20'!D40</f>
        <v>0</v>
      </c>
      <c r="E40" s="152">
        <f t="shared" si="1"/>
        <v>0</v>
      </c>
      <c r="F40" s="337">
        <v>1680</v>
      </c>
      <c r="G40" s="337">
        <v>1344</v>
      </c>
      <c r="H40" s="196" t="s">
        <v>67</v>
      </c>
      <c r="I40" s="127">
        <f>(K34+L34)/1000</f>
        <v>61.204000000000001</v>
      </c>
      <c r="J40" s="140">
        <f>+I40+'20'!J40</f>
        <v>1435.644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+C41+'20'!D41</f>
        <v>0</v>
      </c>
      <c r="E41" s="152">
        <f t="shared" si="1"/>
        <v>0</v>
      </c>
      <c r="F41" s="337"/>
      <c r="G41" s="337"/>
      <c r="H41" s="196" t="s">
        <v>69</v>
      </c>
      <c r="I41" s="151"/>
      <c r="J41" s="138">
        <f>J40/G4</f>
        <v>68.364000000000004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+C42+'20'!D42</f>
        <v>0</v>
      </c>
      <c r="E42" s="152">
        <f t="shared" si="1"/>
        <v>0</v>
      </c>
      <c r="F42" s="337">
        <f>+(F38*480+F39*480+F40*480)/1440</f>
        <v>1322.7083333333333</v>
      </c>
      <c r="G42" s="337">
        <f>+(G38*480+G39*480+G40*480)/1440</f>
        <v>1156.4576041666667</v>
      </c>
      <c r="H42" s="196" t="s">
        <v>70</v>
      </c>
      <c r="I42" s="254" t="s">
        <v>702</v>
      </c>
      <c r="J42" s="141"/>
      <c r="K42" s="139" t="s">
        <v>71</v>
      </c>
    </row>
    <row r="43" spans="1:14" ht="17.45" customHeight="1">
      <c r="A43" s="1023" t="s">
        <v>203</v>
      </c>
      <c r="B43" s="1024"/>
      <c r="C43" s="173">
        <f>SUMIF($G$7:$G$31,"Change Grade",$F$7:$F$31)</f>
        <v>0</v>
      </c>
      <c r="D43" s="127">
        <f>+C43+'20'!D43</f>
        <v>0</v>
      </c>
      <c r="E43" s="152">
        <f t="shared" si="1"/>
        <v>0</v>
      </c>
      <c r="F43" s="337"/>
      <c r="G43" s="338"/>
      <c r="H43" s="197" t="s">
        <v>73</v>
      </c>
      <c r="I43" s="127">
        <f>+Report1!T29</f>
        <v>142.21899999999999</v>
      </c>
      <c r="J43" s="142">
        <f>+I43+'20'!J43</f>
        <v>2979.2179999999998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+C44+'20'!D44</f>
        <v>515</v>
      </c>
      <c r="E44" s="152">
        <f t="shared" si="1"/>
        <v>8.5833333333333339</v>
      </c>
      <c r="F44" s="337"/>
      <c r="G44" s="338"/>
      <c r="H44" s="197" t="s">
        <v>74</v>
      </c>
      <c r="I44" s="127">
        <f>I43/I38</f>
        <v>2.055692872526488</v>
      </c>
      <c r="J44" s="143">
        <f>J43/J38</f>
        <v>2.0285335708293841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+C45+'20'!D45</f>
        <v>0</v>
      </c>
      <c r="E45" s="152">
        <f t="shared" si="1"/>
        <v>0</v>
      </c>
      <c r="F45" s="337"/>
      <c r="G45" s="340"/>
      <c r="H45" s="197" t="s">
        <v>75</v>
      </c>
      <c r="I45" s="127">
        <f>I43/I40</f>
        <v>2.3236879942487416</v>
      </c>
      <c r="J45" s="143">
        <f>J43/J40</f>
        <v>2.0751788047733282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+C46+'20'!D46</f>
        <v>0</v>
      </c>
      <c r="E46" s="152">
        <f t="shared" si="1"/>
        <v>0</v>
      </c>
      <c r="F46" s="337"/>
      <c r="G46" s="338"/>
      <c r="H46" s="197" t="s">
        <v>77</v>
      </c>
      <c r="I46" s="149">
        <f>+SUMIF(Listrik!AR28,"&gt;0")</f>
        <v>55331.339999999866</v>
      </c>
      <c r="J46" s="144">
        <f>+I46+'20'!J46</f>
        <v>1155328.560000001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+C47+'20'!D47</f>
        <v>0</v>
      </c>
      <c r="E47" s="152">
        <f t="shared" si="1"/>
        <v>0</v>
      </c>
      <c r="F47" s="337"/>
      <c r="G47" s="338"/>
      <c r="H47" s="197" t="s">
        <v>80</v>
      </c>
      <c r="I47" s="127">
        <f>I46/I38</f>
        <v>799.7823164650257</v>
      </c>
      <c r="J47" s="144">
        <f>J46/J38</f>
        <v>786.6570251985496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+C48+'20'!D48</f>
        <v>0</v>
      </c>
      <c r="E48" s="152">
        <f t="shared" si="1"/>
        <v>0</v>
      </c>
      <c r="F48" s="337"/>
      <c r="G48" s="338"/>
      <c r="H48" s="197" t="s">
        <v>81</v>
      </c>
      <c r="I48" s="127">
        <f>I46/I40</f>
        <v>904.0477746552491</v>
      </c>
      <c r="J48" s="144">
        <f>J46/J40</f>
        <v>804.74585621505116</v>
      </c>
      <c r="K48" s="139" t="s">
        <v>23</v>
      </c>
    </row>
    <row r="49" spans="1:11" ht="17.45" customHeight="1">
      <c r="A49" s="1040" t="s">
        <v>19</v>
      </c>
      <c r="B49" s="1024"/>
      <c r="C49" s="173">
        <f>SUMIF($G$7:$G$31,"Others",$F$7:$F$31)</f>
        <v>0</v>
      </c>
      <c r="D49" s="127">
        <f>+C49+'20'!D49</f>
        <v>0</v>
      </c>
      <c r="E49" s="152">
        <f t="shared" si="1"/>
        <v>0</v>
      </c>
      <c r="F49" s="194"/>
      <c r="H49" s="197" t="s">
        <v>82</v>
      </c>
      <c r="I49" s="127">
        <v>0</v>
      </c>
      <c r="J49" s="144">
        <f>+I49+'20'!J49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+C50+'20'!D50</f>
        <v>0</v>
      </c>
      <c r="E50" s="152">
        <f t="shared" si="1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+C51+'20'!D51</f>
        <v>0</v>
      </c>
      <c r="E51" s="152">
        <f t="shared" si="1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30</v>
      </c>
      <c r="D52" s="153">
        <f>SUM(D38:D51)</f>
        <v>1110</v>
      </c>
      <c r="E52" s="154">
        <f>SUM(E38:E51)</f>
        <v>18.5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2.0833333333333332E-2</v>
      </c>
      <c r="D53" s="155">
        <f>D52/(24*60*G4)</f>
        <v>3.6706349206349208E-2</v>
      </c>
      <c r="E53" s="156">
        <f>E52/(G4*24)</f>
        <v>3.6706349206349208E-2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+D34+'20'!J56</f>
        <v>10352</v>
      </c>
      <c r="K56" s="210">
        <f>J56/(J40+J56/1000)/1000</f>
        <v>7.159079278227602E-3</v>
      </c>
    </row>
    <row r="57" spans="1:11">
      <c r="A57" s="185"/>
      <c r="I57" s="208" t="s">
        <v>89</v>
      </c>
      <c r="J57" s="209">
        <f>+E34+'20'!J57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39:B39"/>
    <mergeCell ref="A24:A32"/>
    <mergeCell ref="I24:I31"/>
    <mergeCell ref="A34:B34"/>
    <mergeCell ref="A37:B37"/>
    <mergeCell ref="A7:A14"/>
    <mergeCell ref="I7:I13"/>
    <mergeCell ref="A15:A23"/>
    <mergeCell ref="I15:I22"/>
    <mergeCell ref="A38:B38"/>
    <mergeCell ref="A46:B46"/>
    <mergeCell ref="A51:B51"/>
    <mergeCell ref="A40:B40"/>
    <mergeCell ref="A41:B41"/>
    <mergeCell ref="A42:B42"/>
    <mergeCell ref="A43:B43"/>
    <mergeCell ref="A44:B44"/>
    <mergeCell ref="A45:B45"/>
    <mergeCell ref="A52:B52"/>
    <mergeCell ref="A53:B53"/>
    <mergeCell ref="A47:B47"/>
    <mergeCell ref="A48:B48"/>
    <mergeCell ref="A49:B49"/>
    <mergeCell ref="A50:B50"/>
  </mergeCells>
  <phoneticPr fontId="31" type="noConversion"/>
  <printOptions horizontalCentered="1"/>
  <pageMargins left="0.19513888888888889" right="0.19513888888888889" top="0.39027777777777778" bottom="0.19513888888888889" header="0" footer="0"/>
  <pageSetup paperSize="9" scale="62" firstPageNumber="4294963191" orientation="landscape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R61"/>
  <sheetViews>
    <sheetView zoomScale="80" zoomScaleNormal="80" workbookViewId="0">
      <selection activeCell="A7" sqref="A7:A32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5.42578125" style="158" customWidth="1"/>
    <col min="14" max="16384" width="9.140625" style="158"/>
  </cols>
  <sheetData>
    <row r="1" spans="1:18" ht="15.75">
      <c r="A1" s="157"/>
    </row>
    <row r="2" spans="1:18" ht="15.75">
      <c r="A2" s="157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20</v>
      </c>
      <c r="H4" s="163" t="str">
        <f>+'1'!H4</f>
        <v>.06.24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205+227+226</f>
        <v>658</v>
      </c>
    </row>
    <row r="7" spans="1:18" ht="13.5" customHeight="1" thickBot="1">
      <c r="A7" s="1029" t="s">
        <v>595</v>
      </c>
      <c r="B7" s="224" t="s">
        <v>670</v>
      </c>
      <c r="C7" s="225">
        <f>4872+8003</f>
        <v>12875</v>
      </c>
      <c r="D7" s="226"/>
      <c r="E7" s="227"/>
      <c r="F7" s="236"/>
      <c r="G7" s="237" t="s">
        <v>11</v>
      </c>
      <c r="H7" s="238" t="s">
        <v>277</v>
      </c>
      <c r="I7" s="1032" t="s">
        <v>685</v>
      </c>
      <c r="J7" s="223" t="str">
        <f>+'19'!J7</f>
        <v>T 14 VP OW</v>
      </c>
      <c r="K7" s="246"/>
      <c r="L7" s="250"/>
      <c r="M7" s="126">
        <f>+K7+'19'!M7+L7</f>
        <v>62499</v>
      </c>
    </row>
    <row r="8" spans="1:18" ht="13.5" thickBot="1">
      <c r="A8" s="1030"/>
      <c r="B8" s="224" t="s">
        <v>615</v>
      </c>
      <c r="C8" s="225">
        <f>383+5223</f>
        <v>5606</v>
      </c>
      <c r="D8" s="226">
        <v>97</v>
      </c>
      <c r="E8" s="228"/>
      <c r="F8" s="239"/>
      <c r="G8" s="240" t="s">
        <v>11</v>
      </c>
      <c r="H8" s="238" t="s">
        <v>591</v>
      </c>
      <c r="I8" s="1033"/>
      <c r="J8" s="223" t="str">
        <f>+'19'!J8</f>
        <v>T 15 VP OW</v>
      </c>
      <c r="K8" s="247"/>
      <c r="L8" s="247"/>
      <c r="M8" s="126">
        <f>+K8+'19'!M8+L8</f>
        <v>37584</v>
      </c>
      <c r="N8" s="158">
        <v>1100</v>
      </c>
      <c r="O8" s="158">
        <f>+N8-N8*0.0035</f>
        <v>1096.1500000000001</v>
      </c>
      <c r="P8" s="158">
        <v>40</v>
      </c>
      <c r="Q8" s="158">
        <f>+N8*P8</f>
        <v>44000</v>
      </c>
      <c r="R8" s="158">
        <f>+O8*P8</f>
        <v>43846</v>
      </c>
    </row>
    <row r="9" spans="1:18" ht="13.5" thickBot="1">
      <c r="A9" s="1030"/>
      <c r="B9" s="224" t="s">
        <v>696</v>
      </c>
      <c r="C9" s="225">
        <f>1066+2304</f>
        <v>3370</v>
      </c>
      <c r="D9" s="226">
        <v>423</v>
      </c>
      <c r="E9" s="229"/>
      <c r="F9" s="236"/>
      <c r="G9" s="240" t="s">
        <v>11</v>
      </c>
      <c r="H9" s="241" t="s">
        <v>451</v>
      </c>
      <c r="I9" s="1033"/>
      <c r="J9" s="223" t="str">
        <f>+'19'!J9</f>
        <v>T 12,5 VP OW</v>
      </c>
      <c r="K9" s="247"/>
      <c r="L9" s="247"/>
      <c r="M9" s="126">
        <f>+K9+'19'!M9+L9</f>
        <v>148332</v>
      </c>
      <c r="N9" s="158">
        <v>1260</v>
      </c>
      <c r="O9" s="158">
        <f>+N9-N9*0.0035</f>
        <v>1255.5899999999999</v>
      </c>
      <c r="P9" s="158">
        <f>20+120+30</f>
        <v>170</v>
      </c>
      <c r="Q9" s="158">
        <f>+N9*P9</f>
        <v>214200</v>
      </c>
      <c r="R9" s="158">
        <f>+O9*P9</f>
        <v>213450.3</v>
      </c>
    </row>
    <row r="10" spans="1:18" ht="13.5" thickBot="1">
      <c r="A10" s="1030"/>
      <c r="B10" s="224" t="s">
        <v>669</v>
      </c>
      <c r="C10" s="225">
        <f>538+4653</f>
        <v>5191</v>
      </c>
      <c r="D10" s="226"/>
      <c r="E10" s="228"/>
      <c r="F10" s="236"/>
      <c r="G10" s="240"/>
      <c r="H10" s="241" t="s">
        <v>679</v>
      </c>
      <c r="I10" s="1033"/>
      <c r="J10" s="223" t="str">
        <f>+'19'!J10</f>
        <v>T 12 VP OW</v>
      </c>
      <c r="K10" s="247"/>
      <c r="L10" s="247"/>
      <c r="M10" s="126">
        <f>+K10+'19'!M10+L10</f>
        <v>25679</v>
      </c>
      <c r="N10" s="158">
        <v>1300</v>
      </c>
      <c r="O10" s="158">
        <f>+N10-N10*0.0035</f>
        <v>1295.45</v>
      </c>
      <c r="P10" s="158">
        <f>30+240</f>
        <v>270</v>
      </c>
      <c r="Q10" s="158">
        <f>+N10*P10</f>
        <v>351000</v>
      </c>
      <c r="R10" s="158">
        <f>+O10*P10</f>
        <v>349771.5</v>
      </c>
    </row>
    <row r="11" spans="1:18" ht="13.5" thickBot="1">
      <c r="A11" s="1030"/>
      <c r="B11" s="224"/>
      <c r="C11" s="225"/>
      <c r="D11" s="226"/>
      <c r="E11" s="228"/>
      <c r="F11" s="236">
        <v>5</v>
      </c>
      <c r="G11" s="240" t="s">
        <v>11</v>
      </c>
      <c r="H11" s="241" t="s">
        <v>680</v>
      </c>
      <c r="I11" s="1033"/>
      <c r="J11" s="223" t="str">
        <f>+'19'!J11</f>
        <v>F 12 VP OW</v>
      </c>
      <c r="K11" s="247"/>
      <c r="L11" s="247"/>
      <c r="M11" s="126">
        <f>+K11+'19'!M11+L11</f>
        <v>30353</v>
      </c>
      <c r="P11" s="158">
        <f>SUM(P8:P10)</f>
        <v>480</v>
      </c>
      <c r="Q11" s="158">
        <f t="shared" ref="Q11:R11" si="0">SUM(Q8:Q10)</f>
        <v>609200</v>
      </c>
      <c r="R11" s="158">
        <f t="shared" si="0"/>
        <v>607067.80000000005</v>
      </c>
    </row>
    <row r="12" spans="1:18" ht="13.5" thickBot="1">
      <c r="A12" s="1030"/>
      <c r="B12" s="224"/>
      <c r="C12" s="225"/>
      <c r="D12" s="226"/>
      <c r="E12" s="228"/>
      <c r="F12" s="236">
        <v>8</v>
      </c>
      <c r="G12" s="240" t="s">
        <v>11</v>
      </c>
      <c r="H12" s="241" t="s">
        <v>681</v>
      </c>
      <c r="I12" s="1033"/>
      <c r="J12" s="223" t="str">
        <f>+'19'!J12</f>
        <v>F 13 VP OW</v>
      </c>
      <c r="K12" s="247"/>
      <c r="L12" s="247"/>
      <c r="M12" s="126">
        <f>+K12+'19'!M12+L12</f>
        <v>149460</v>
      </c>
      <c r="Q12" s="158">
        <f>+Q11/P11</f>
        <v>1269.1666666666667</v>
      </c>
      <c r="R12" s="158">
        <f>+R11/P11</f>
        <v>1264.7245833333334</v>
      </c>
    </row>
    <row r="13" spans="1:18" ht="13.5" thickBot="1">
      <c r="A13" s="1030"/>
      <c r="B13" s="224"/>
      <c r="C13" s="225"/>
      <c r="D13" s="225"/>
      <c r="E13" s="228"/>
      <c r="F13" s="236"/>
      <c r="G13" s="240"/>
      <c r="H13" s="241" t="s">
        <v>689</v>
      </c>
      <c r="I13" s="1034"/>
      <c r="J13" s="223" t="str">
        <f>+'19'!J13</f>
        <v>F 13,5 VP OW</v>
      </c>
      <c r="K13" s="247"/>
      <c r="L13" s="247"/>
      <c r="M13" s="126">
        <f>+K13+'19'!M13+L13</f>
        <v>11138</v>
      </c>
    </row>
    <row r="14" spans="1:18" ht="13.5" thickBot="1">
      <c r="A14" s="1031"/>
      <c r="B14" s="174" t="s">
        <v>2</v>
      </c>
      <c r="C14" s="108">
        <f>SUM(C7:C13)</f>
        <v>27042</v>
      </c>
      <c r="D14" s="120">
        <f>SUM(D7:D13)</f>
        <v>520</v>
      </c>
      <c r="E14" s="121">
        <f>SUM(E5:E13)</f>
        <v>0</v>
      </c>
      <c r="F14" s="125">
        <f>SUM(F7:F13)</f>
        <v>13</v>
      </c>
      <c r="G14" s="168"/>
      <c r="H14" s="175"/>
      <c r="I14" s="176"/>
      <c r="J14" s="223" t="str">
        <f>+'19'!J14</f>
        <v>F 12,5 VP OW</v>
      </c>
      <c r="K14" s="247"/>
      <c r="L14" s="247"/>
      <c r="M14" s="126">
        <f>+K14+'19'!M14+L14</f>
        <v>73203</v>
      </c>
    </row>
    <row r="15" spans="1:18" ht="13.5" customHeight="1" thickBot="1">
      <c r="A15" s="1035" t="s">
        <v>646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686</v>
      </c>
      <c r="J15" s="223" t="str">
        <f>+'19'!J15</f>
        <v>MG 14 VP OW/HW</v>
      </c>
      <c r="K15" s="247">
        <f>+C10</f>
        <v>5191</v>
      </c>
      <c r="L15" s="247"/>
      <c r="M15" s="126">
        <f>+K15+'19'!M15+L15</f>
        <v>83225</v>
      </c>
    </row>
    <row r="16" spans="1:18" ht="13.5" thickBot="1">
      <c r="A16" s="1030"/>
      <c r="B16" s="224" t="s">
        <v>696</v>
      </c>
      <c r="C16" s="230">
        <f>7840+12453</f>
        <v>20293</v>
      </c>
      <c r="D16" s="231">
        <v>290</v>
      </c>
      <c r="E16" s="232"/>
      <c r="F16" s="236"/>
      <c r="G16" s="240" t="s">
        <v>11</v>
      </c>
      <c r="H16" s="238" t="s">
        <v>591</v>
      </c>
      <c r="I16" s="1033"/>
      <c r="J16" s="223" t="str">
        <f>+'19'!J16</f>
        <v>MG 17 VP OW/HW</v>
      </c>
      <c r="K16" s="247">
        <f>+C8+C17</f>
        <v>9111</v>
      </c>
      <c r="L16" s="237"/>
      <c r="M16" s="126">
        <f>+K16+'19'!M16+L16</f>
        <v>335111</v>
      </c>
      <c r="N16" s="158">
        <v>1300</v>
      </c>
      <c r="O16" s="158">
        <f t="shared" ref="O16:O17" si="1">+N16-N16*0.0035</f>
        <v>1295.45</v>
      </c>
      <c r="P16" s="158">
        <f>240+10</f>
        <v>250</v>
      </c>
      <c r="Q16" s="158">
        <f>+N16*P16</f>
        <v>325000</v>
      </c>
      <c r="R16" s="158">
        <f>+O16*P16</f>
        <v>323862.5</v>
      </c>
    </row>
    <row r="17" spans="1:18" ht="13.5" thickBot="1">
      <c r="A17" s="1030"/>
      <c r="B17" s="224" t="s">
        <v>615</v>
      </c>
      <c r="C17" s="225">
        <f>295+3210</f>
        <v>3505</v>
      </c>
      <c r="D17" s="226"/>
      <c r="E17" s="233"/>
      <c r="F17" s="236">
        <v>0</v>
      </c>
      <c r="G17" s="240" t="s">
        <v>11</v>
      </c>
      <c r="H17" s="241" t="s">
        <v>455</v>
      </c>
      <c r="I17" s="1033"/>
      <c r="J17" s="223" t="str">
        <f>+'19'!J17</f>
        <v>MG 16 VP HW</v>
      </c>
      <c r="K17" s="247"/>
      <c r="L17" s="237"/>
      <c r="M17" s="126">
        <f>+K17+'19'!M17+L17</f>
        <v>338456</v>
      </c>
      <c r="N17" s="158">
        <v>980</v>
      </c>
      <c r="O17" s="158">
        <f t="shared" si="1"/>
        <v>976.57</v>
      </c>
      <c r="P17" s="158">
        <f>50+180</f>
        <v>230</v>
      </c>
      <c r="Q17" s="158">
        <f>+N17*P17</f>
        <v>225400</v>
      </c>
      <c r="R17" s="158">
        <f>+O17*P17</f>
        <v>224611.1</v>
      </c>
    </row>
    <row r="18" spans="1:18" ht="13.5" thickBot="1">
      <c r="A18" s="1030"/>
      <c r="B18" s="224"/>
      <c r="C18" s="225"/>
      <c r="D18" s="226"/>
      <c r="E18" s="233"/>
      <c r="F18" s="236"/>
      <c r="G18" s="240"/>
      <c r="H18" s="241" t="s">
        <v>682</v>
      </c>
      <c r="I18" s="1033"/>
      <c r="J18" s="223" t="str">
        <f>+'19'!J18</f>
        <v>MG 19 VP HW</v>
      </c>
      <c r="K18" s="247">
        <f>+C7</f>
        <v>12875</v>
      </c>
      <c r="L18" s="247"/>
      <c r="M18" s="126">
        <f>+K18+'19'!M18+L18</f>
        <v>22191</v>
      </c>
      <c r="P18" s="158">
        <f>SUM(P16:P17)</f>
        <v>480</v>
      </c>
      <c r="Q18" s="158">
        <f t="shared" ref="Q18:R18" si="2">SUM(Q16:Q17)</f>
        <v>550400</v>
      </c>
      <c r="R18" s="158">
        <f t="shared" si="2"/>
        <v>548473.59999999998</v>
      </c>
    </row>
    <row r="19" spans="1:18" ht="13.5" thickBot="1">
      <c r="A19" s="1030"/>
      <c r="B19" s="224"/>
      <c r="C19" s="225"/>
      <c r="D19" s="226"/>
      <c r="E19" s="233"/>
      <c r="F19" s="243">
        <v>4</v>
      </c>
      <c r="G19" s="240" t="s">
        <v>11</v>
      </c>
      <c r="H19" s="241" t="s">
        <v>683</v>
      </c>
      <c r="I19" s="1033"/>
      <c r="J19" s="223" t="s">
        <v>696</v>
      </c>
      <c r="K19" s="247">
        <f>+C9+C16+C25</f>
        <v>26491</v>
      </c>
      <c r="L19" s="247"/>
      <c r="M19" s="126">
        <f>+K19+'19'!M19+L19</f>
        <v>26491</v>
      </c>
      <c r="Q19" s="158">
        <f>+Q18/P18</f>
        <v>1146.6666666666667</v>
      </c>
      <c r="R19" s="158">
        <f>+R18/P18</f>
        <v>1142.6533333333332</v>
      </c>
    </row>
    <row r="20" spans="1:18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 t="s">
        <v>697</v>
      </c>
      <c r="K20" s="248">
        <f>+C26</f>
        <v>30718</v>
      </c>
      <c r="L20" s="248"/>
      <c r="M20" s="126">
        <f>+K20+'19'!M20+L20</f>
        <v>30718</v>
      </c>
    </row>
    <row r="21" spans="1:18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+'19'!J21</f>
        <v>0</v>
      </c>
      <c r="K21" s="248"/>
      <c r="L21" s="247"/>
      <c r="M21" s="126">
        <f>+K21+'19'!M21+L21</f>
        <v>0</v>
      </c>
    </row>
    <row r="22" spans="1:18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+'19'!J22</f>
        <v>0</v>
      </c>
      <c r="K22" s="248"/>
      <c r="L22" s="247"/>
      <c r="M22" s="126">
        <f>+K22+'19'!M22+L22</f>
        <v>0</v>
      </c>
    </row>
    <row r="23" spans="1:18" ht="13.5" thickBot="1">
      <c r="A23" s="1031"/>
      <c r="B23" s="177" t="s">
        <v>2</v>
      </c>
      <c r="C23" s="109">
        <f>SUM(C16:C22)</f>
        <v>23798</v>
      </c>
      <c r="D23" s="120">
        <f>SUM(D16:D22)</f>
        <v>290</v>
      </c>
      <c r="E23" s="121">
        <f>SUM(E18:E22)</f>
        <v>0</v>
      </c>
      <c r="F23" s="125">
        <f>SUM(F15:F22)</f>
        <v>4</v>
      </c>
      <c r="G23" s="168"/>
      <c r="H23" s="175" t="s">
        <v>234</v>
      </c>
      <c r="I23" s="178"/>
      <c r="J23" s="223">
        <f>+'19'!J23</f>
        <v>0</v>
      </c>
      <c r="K23" s="248"/>
      <c r="L23" s="247"/>
      <c r="M23" s="126">
        <f>+K23+'19'!M23+L23</f>
        <v>0</v>
      </c>
    </row>
    <row r="24" spans="1:18" ht="13.5" customHeight="1" thickBot="1">
      <c r="A24" s="1035" t="s">
        <v>435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687</v>
      </c>
      <c r="J24" s="223">
        <f>+'19'!J24</f>
        <v>0</v>
      </c>
      <c r="K24" s="248"/>
      <c r="L24" s="247"/>
      <c r="M24" s="126">
        <f>+K24+'19'!M24+L24</f>
        <v>0</v>
      </c>
    </row>
    <row r="25" spans="1:18" ht="13.5" thickBot="1">
      <c r="A25" s="1030"/>
      <c r="B25" s="224" t="s">
        <v>696</v>
      </c>
      <c r="C25" s="234">
        <f>1078+1750</f>
        <v>2828</v>
      </c>
      <c r="D25" s="226"/>
      <c r="E25" s="233"/>
      <c r="F25" s="239"/>
      <c r="G25" s="240" t="s">
        <v>11</v>
      </c>
      <c r="H25" s="238" t="s">
        <v>591</v>
      </c>
      <c r="I25" s="1033"/>
      <c r="J25" s="223">
        <f>+'19'!J25</f>
        <v>0</v>
      </c>
      <c r="K25" s="248"/>
      <c r="L25" s="247"/>
      <c r="M25" s="126">
        <f>+K25+'19'!M25+L25</f>
        <v>0</v>
      </c>
    </row>
    <row r="26" spans="1:18" ht="13.5" thickBot="1">
      <c r="A26" s="1030"/>
      <c r="B26" s="224" t="s">
        <v>697</v>
      </c>
      <c r="C26" s="234">
        <v>30718</v>
      </c>
      <c r="D26" s="226"/>
      <c r="E26" s="235"/>
      <c r="F26" s="239">
        <v>0</v>
      </c>
      <c r="G26" s="240" t="s">
        <v>11</v>
      </c>
      <c r="H26" s="241" t="s">
        <v>455</v>
      </c>
      <c r="I26" s="1033"/>
      <c r="J26" s="223">
        <f>+'19'!J26</f>
        <v>0</v>
      </c>
      <c r="K26" s="248"/>
      <c r="L26" s="247"/>
      <c r="M26" s="126">
        <f>+K26+'19'!M26+L26</f>
        <v>0</v>
      </c>
    </row>
    <row r="27" spans="1:18" ht="13.5" thickBot="1">
      <c r="A27" s="1030"/>
      <c r="B27" s="224"/>
      <c r="C27" s="225"/>
      <c r="D27" s="226"/>
      <c r="E27" s="233"/>
      <c r="F27" s="239"/>
      <c r="G27" s="240"/>
      <c r="H27" s="241" t="s">
        <v>684</v>
      </c>
      <c r="I27" s="1033"/>
      <c r="J27" s="223">
        <f>+'19'!J27</f>
        <v>0</v>
      </c>
      <c r="K27" s="247"/>
      <c r="L27" s="247"/>
      <c r="M27" s="126">
        <f>+K27+'19'!M27+L27</f>
        <v>0</v>
      </c>
    </row>
    <row r="28" spans="1:18" ht="13.5" thickBot="1">
      <c r="A28" s="1030"/>
      <c r="B28" s="224"/>
      <c r="C28" s="225"/>
      <c r="D28" s="226"/>
      <c r="E28" s="233"/>
      <c r="F28" s="239"/>
      <c r="G28" s="240"/>
      <c r="H28" s="241"/>
      <c r="I28" s="1033"/>
      <c r="J28" s="223">
        <f>+'19'!J28</f>
        <v>0</v>
      </c>
      <c r="K28" s="247"/>
      <c r="L28" s="247"/>
      <c r="M28" s="126">
        <f>+K28+'19'!M28+L28</f>
        <v>0</v>
      </c>
    </row>
    <row r="29" spans="1:18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+'19'!J29</f>
        <v>0</v>
      </c>
      <c r="K29" s="247"/>
      <c r="L29" s="247"/>
      <c r="M29" s="126">
        <f>+K29+'19'!M29+L29</f>
        <v>0</v>
      </c>
    </row>
    <row r="30" spans="1:18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+'19'!J30</f>
        <v>0</v>
      </c>
      <c r="K30" s="247"/>
      <c r="L30" s="247"/>
      <c r="M30" s="126">
        <f>+K30+'19'!M30+L30</f>
        <v>0</v>
      </c>
      <c r="N30" s="164"/>
    </row>
    <row r="31" spans="1:18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+'19'!J31</f>
        <v>0</v>
      </c>
      <c r="K31" s="247"/>
      <c r="L31" s="247"/>
      <c r="M31" s="126">
        <f>+K31+'19'!M31+L31</f>
        <v>0</v>
      </c>
    </row>
    <row r="32" spans="1:18" ht="13.5" thickBot="1">
      <c r="A32" s="1031"/>
      <c r="B32" s="174" t="s">
        <v>2</v>
      </c>
      <c r="C32" s="108">
        <f>SUM(C25:C31)</f>
        <v>33546</v>
      </c>
      <c r="D32" s="109">
        <f>SUM(D25:D31)</f>
        <v>0</v>
      </c>
      <c r="E32" s="110">
        <f>SUM(E25:E31)</f>
        <v>0</v>
      </c>
      <c r="F32" s="111">
        <f>SUM(F24:F31)</f>
        <v>0</v>
      </c>
      <c r="G32" s="180"/>
      <c r="H32" s="181"/>
      <c r="I32" s="178"/>
      <c r="J32" s="223">
        <f>+'19'!J32</f>
        <v>0</v>
      </c>
      <c r="K32" s="249"/>
      <c r="L32" s="251"/>
      <c r="M32" s="126">
        <f>+K32+'19'!M32+L32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84386</v>
      </c>
      <c r="D34" s="116">
        <f>D14+D23+D32</f>
        <v>810</v>
      </c>
      <c r="E34" s="116">
        <f>E14+E23+E32</f>
        <v>0</v>
      </c>
      <c r="F34" s="117">
        <f>F14+F23+F32</f>
        <v>17</v>
      </c>
      <c r="H34" s="187"/>
      <c r="I34" s="187"/>
      <c r="J34" s="132" t="s">
        <v>27</v>
      </c>
      <c r="K34" s="133">
        <f>SUM(K7:K32)</f>
        <v>84386</v>
      </c>
      <c r="L34" s="221">
        <f>SUM(L7:L32)</f>
        <v>0</v>
      </c>
      <c r="M34" s="129">
        <f>SUM(M7:M32)</f>
        <v>1374440</v>
      </c>
      <c r="N34" s="164"/>
    </row>
    <row r="35" spans="1:14" ht="13.5" thickBot="1">
      <c r="A35" s="188"/>
      <c r="B35" s="189"/>
      <c r="C35" s="113">
        <f>C34/($C$34+$D$34+$E$34)</f>
        <v>0.99049251138551109</v>
      </c>
      <c r="D35" s="113">
        <f>D34/($C$34+$D$34+$E$34)</f>
        <v>9.5074886144889438E-3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(19*40+17*170+15.5*520+20*710)/1440*G42*2.77*1440/1000000</f>
        <v>80.956103580902791</v>
      </c>
      <c r="J37" s="134">
        <f>+I37+'19'!J37</f>
        <v>1445.0991228687656</v>
      </c>
      <c r="K37" s="135" t="s">
        <v>63</v>
      </c>
      <c r="L37" s="158">
        <f>3.182+1.731</f>
        <v>4.9130000000000003</v>
      </c>
    </row>
    <row r="38" spans="1:14" ht="17.45" customHeight="1">
      <c r="A38" s="1027" t="s">
        <v>11</v>
      </c>
      <c r="B38" s="1028"/>
      <c r="C38" s="173">
        <f>SUMIF($G$7:$G$31,"Process",$F$7:$F$31)</f>
        <v>17</v>
      </c>
      <c r="D38" s="127">
        <f>+C38+'19'!D38</f>
        <v>565</v>
      </c>
      <c r="E38" s="152">
        <f t="shared" ref="E38:E51" si="3">D38/60</f>
        <v>9.4166666666666661</v>
      </c>
      <c r="F38" s="337">
        <v>1269.1666666666667</v>
      </c>
      <c r="G38" s="337">
        <v>1264.7245833333334</v>
      </c>
      <c r="H38" s="196" t="s">
        <v>64</v>
      </c>
      <c r="I38" s="548">
        <f>28.454+24.182+28.95</f>
        <v>81.585999999999999</v>
      </c>
      <c r="J38" s="136">
        <f>+I38+'19'!J38</f>
        <v>1399.473</v>
      </c>
      <c r="K38" s="137" t="s">
        <v>63</v>
      </c>
      <c r="L38" s="158">
        <f>3.606+3.606+2.843</f>
        <v>10.055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+C39+'19'!D39</f>
        <v>0</v>
      </c>
      <c r="E39" s="152">
        <f t="shared" si="3"/>
        <v>0</v>
      </c>
      <c r="F39" s="337">
        <v>1146.6666666666667</v>
      </c>
      <c r="G39" s="337">
        <v>1142.6533333333332</v>
      </c>
      <c r="H39" s="196" t="s">
        <v>65</v>
      </c>
      <c r="I39" s="151"/>
      <c r="J39" s="138">
        <f>J37/G4</f>
        <v>72.254956143438278</v>
      </c>
      <c r="K39" s="139" t="s">
        <v>63</v>
      </c>
      <c r="L39" s="556">
        <f>+I38-L37-L38-L40</f>
        <v>29.401999999999994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+C40+'19'!D40</f>
        <v>0</v>
      </c>
      <c r="E40" s="152">
        <f t="shared" si="3"/>
        <v>0</v>
      </c>
      <c r="F40" s="337">
        <v>980</v>
      </c>
      <c r="G40" s="337">
        <v>976.57</v>
      </c>
      <c r="H40" s="196" t="s">
        <v>67</v>
      </c>
      <c r="I40" s="127">
        <f>(K34+L34)/1000</f>
        <v>84.385999999999996</v>
      </c>
      <c r="J40" s="140">
        <f>+I40+'19'!J40</f>
        <v>1374.44</v>
      </c>
      <c r="K40" s="139" t="s">
        <v>63</v>
      </c>
      <c r="L40" s="158">
        <f>1.162+3.564+3.54+28.95</f>
        <v>37.216000000000001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+C41+'19'!D41</f>
        <v>0</v>
      </c>
      <c r="E41" s="152">
        <f t="shared" si="3"/>
        <v>0</v>
      </c>
      <c r="F41" s="337"/>
      <c r="G41" s="337"/>
      <c r="H41" s="196" t="s">
        <v>69</v>
      </c>
      <c r="I41" s="151"/>
      <c r="J41" s="138">
        <f>J40/G4</f>
        <v>68.722000000000008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+C42+'19'!D42</f>
        <v>0</v>
      </c>
      <c r="E42" s="152">
        <f t="shared" si="3"/>
        <v>0</v>
      </c>
      <c r="F42" s="337">
        <f>+(F38*480+F39*480+F40*480)/1440</f>
        <v>1131.9444444444443</v>
      </c>
      <c r="G42" s="337">
        <f>+(G38*480+G39*480+G40*480)/1440</f>
        <v>1127.9826388888889</v>
      </c>
      <c r="H42" s="196" t="s">
        <v>70</v>
      </c>
      <c r="I42" s="254" t="s">
        <v>688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+C43+'19'!D43</f>
        <v>0</v>
      </c>
      <c r="E43" s="152">
        <f t="shared" si="3"/>
        <v>0</v>
      </c>
      <c r="F43" s="337"/>
      <c r="G43" s="338"/>
      <c r="H43" s="197" t="s">
        <v>73</v>
      </c>
      <c r="I43" s="127">
        <f>+Report1!T28</f>
        <v>149.94</v>
      </c>
      <c r="J43" s="142">
        <f>+I43+'19'!J43</f>
        <v>2836.9989999999998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+C44+'19'!D44</f>
        <v>515</v>
      </c>
      <c r="E44" s="152">
        <f t="shared" si="3"/>
        <v>8.5833333333333339</v>
      </c>
      <c r="F44" s="337"/>
      <c r="G44" s="338"/>
      <c r="H44" s="197" t="s">
        <v>74</v>
      </c>
      <c r="I44" s="127">
        <f>I43/I38</f>
        <v>1.837815311450494</v>
      </c>
      <c r="J44" s="143">
        <f>J43/J38</f>
        <v>2.0271909497360792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+C45+'19'!D45</f>
        <v>0</v>
      </c>
      <c r="E45" s="152">
        <f t="shared" si="3"/>
        <v>0</v>
      </c>
      <c r="F45" s="337"/>
      <c r="G45" s="340"/>
      <c r="H45" s="197" t="s">
        <v>75</v>
      </c>
      <c r="I45" s="127">
        <f>I43/I40</f>
        <v>1.7768350200270189</v>
      </c>
      <c r="J45" s="143">
        <f>J43/J40</f>
        <v>2.0641126567911292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+C46+'19'!D46</f>
        <v>0</v>
      </c>
      <c r="E46" s="152">
        <f t="shared" si="3"/>
        <v>0</v>
      </c>
      <c r="F46" s="337"/>
      <c r="G46" s="338"/>
      <c r="H46" s="197" t="s">
        <v>77</v>
      </c>
      <c r="I46" s="149">
        <f>+SUMIF(Listrik!AR27,"&gt;0")</f>
        <v>50584.180000000109</v>
      </c>
      <c r="J46" s="144">
        <f>+I46+'19'!J46</f>
        <v>1099997.2200000011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+C47+'19'!D47</f>
        <v>0</v>
      </c>
      <c r="E47" s="152">
        <f t="shared" si="3"/>
        <v>0</v>
      </c>
      <c r="F47" s="337"/>
      <c r="G47" s="338"/>
      <c r="H47" s="197" t="s">
        <v>80</v>
      </c>
      <c r="I47" s="127">
        <f>I46/I38</f>
        <v>620.01054102419664</v>
      </c>
      <c r="J47" s="144">
        <f>J46/J38</f>
        <v>786.00817593479917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+C48+'19'!D48</f>
        <v>0</v>
      </c>
      <c r="E48" s="152">
        <f t="shared" si="3"/>
        <v>0</v>
      </c>
      <c r="F48" s="337"/>
      <c r="G48" s="338"/>
      <c r="H48" s="197" t="s">
        <v>81</v>
      </c>
      <c r="I48" s="127">
        <f>I46/I40</f>
        <v>599.43805844571511</v>
      </c>
      <c r="J48" s="144">
        <f>J46/J40</f>
        <v>800.32392829079561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+C49+'19'!D49</f>
        <v>0</v>
      </c>
      <c r="E49" s="152">
        <f t="shared" si="3"/>
        <v>0</v>
      </c>
      <c r="F49" s="194"/>
      <c r="H49" s="197" t="s">
        <v>82</v>
      </c>
      <c r="I49" s="127">
        <v>0</v>
      </c>
      <c r="J49" s="144">
        <f>+I49+'19'!J49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+C50+'19'!D50</f>
        <v>0</v>
      </c>
      <c r="E50" s="152">
        <f t="shared" si="3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+C51+'19'!D51</f>
        <v>0</v>
      </c>
      <c r="E51" s="152">
        <f t="shared" si="3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17</v>
      </c>
      <c r="D52" s="153">
        <f>SUM(D38:D51)</f>
        <v>1080</v>
      </c>
      <c r="E52" s="154">
        <f>SUM(E38:E51)</f>
        <v>18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1.1805555555555555E-2</v>
      </c>
      <c r="D53" s="155">
        <f>D52/(24*60*G4)</f>
        <v>3.7499999999999999E-2</v>
      </c>
      <c r="E53" s="156">
        <f>E52/(G4*24)</f>
        <v>3.7499999999999999E-2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+D34+'19'!J56</f>
        <v>9149</v>
      </c>
      <c r="K56" s="210">
        <f>J56/(J40+J56/1000)/1000</f>
        <v>6.6125128199197884E-3</v>
      </c>
    </row>
    <row r="57" spans="1:11">
      <c r="A57" s="185"/>
      <c r="I57" s="208" t="s">
        <v>89</v>
      </c>
      <c r="J57" s="209">
        <f>+E34+'19'!J57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51:B51"/>
    <mergeCell ref="A52:B52"/>
    <mergeCell ref="A53:B53"/>
    <mergeCell ref="A47:B47"/>
    <mergeCell ref="A48:B48"/>
    <mergeCell ref="A49:B49"/>
    <mergeCell ref="A50:B50"/>
    <mergeCell ref="A43:B43"/>
    <mergeCell ref="A44:B44"/>
    <mergeCell ref="A45:B45"/>
    <mergeCell ref="A46:B46"/>
    <mergeCell ref="A39:B39"/>
    <mergeCell ref="A40:B40"/>
    <mergeCell ref="A41:B41"/>
    <mergeCell ref="A42:B42"/>
    <mergeCell ref="A37:B37"/>
    <mergeCell ref="A38:B38"/>
    <mergeCell ref="A24:A32"/>
    <mergeCell ref="I24:I31"/>
    <mergeCell ref="I7:I13"/>
    <mergeCell ref="A15:A23"/>
    <mergeCell ref="I15:I22"/>
    <mergeCell ref="A34:B34"/>
    <mergeCell ref="A7:A14"/>
  </mergeCells>
  <phoneticPr fontId="31" type="noConversion"/>
  <printOptions horizontalCentered="1"/>
  <pageMargins left="0.74791666666666667" right="0.74791666666666667" top="0.39027777777777778" bottom="0.59027777777777779" header="0" footer="0"/>
  <pageSetup paperSize="9" scale="61" firstPageNumber="4294963191" orientation="landscape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R61"/>
  <sheetViews>
    <sheetView zoomScale="80" zoomScaleNormal="80" workbookViewId="0">
      <selection activeCell="A7" sqref="A7:A32"/>
    </sheetView>
  </sheetViews>
  <sheetFormatPr defaultColWidth="9.140625" defaultRowHeight="12.75"/>
  <cols>
    <col min="1" max="1" width="8" style="158" customWidth="1"/>
    <col min="2" max="2" width="8.7109375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9.42578125" style="158" bestFit="1" customWidth="1"/>
    <col min="11" max="11" width="12.5703125" style="158" bestFit="1" customWidth="1"/>
    <col min="12" max="12" width="8.28515625" style="158" customWidth="1"/>
    <col min="13" max="13" width="14.140625" style="158" customWidth="1"/>
    <col min="14" max="16384" width="9.140625" style="158"/>
  </cols>
  <sheetData>
    <row r="1" spans="1:16" ht="15.75">
      <c r="A1" s="157"/>
    </row>
    <row r="2" spans="1:16" ht="15.75">
      <c r="A2" s="157" t="s">
        <v>148</v>
      </c>
    </row>
    <row r="3" spans="1:16" ht="15">
      <c r="A3" s="159"/>
    </row>
    <row r="4" spans="1:16" ht="20.25">
      <c r="A4" s="160" t="s">
        <v>3</v>
      </c>
      <c r="B4" s="161"/>
      <c r="F4" s="162" t="s">
        <v>29</v>
      </c>
      <c r="G4" s="163">
        <v>19</v>
      </c>
      <c r="H4" s="163" t="str">
        <f>+'1'!H4</f>
        <v>.06.24</v>
      </c>
    </row>
    <row r="5" spans="1:16" ht="13.5" thickBot="1">
      <c r="C5" s="164"/>
      <c r="D5" s="164"/>
    </row>
    <row r="6" spans="1:16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195+223+202</f>
        <v>620</v>
      </c>
    </row>
    <row r="7" spans="1:16" ht="13.5" customHeight="1" thickBot="1">
      <c r="A7" s="1029" t="s">
        <v>595</v>
      </c>
      <c r="B7" s="224" t="s">
        <v>669</v>
      </c>
      <c r="C7" s="225">
        <f>5584+12097</f>
        <v>17681</v>
      </c>
      <c r="D7" s="226"/>
      <c r="E7" s="227"/>
      <c r="F7" s="236"/>
      <c r="G7" s="237" t="s">
        <v>11</v>
      </c>
      <c r="H7" s="238" t="s">
        <v>277</v>
      </c>
      <c r="I7" s="1032" t="s">
        <v>644</v>
      </c>
      <c r="J7" s="223" t="str">
        <f>+'18'!J7</f>
        <v>T 14 VP OW</v>
      </c>
      <c r="K7" s="246"/>
      <c r="L7" s="250"/>
      <c r="M7" s="126">
        <f>+K7+'18'!M7+L7</f>
        <v>62499</v>
      </c>
    </row>
    <row r="8" spans="1:16" ht="13.5" thickBot="1">
      <c r="A8" s="1030"/>
      <c r="B8" s="224" t="s">
        <v>615</v>
      </c>
      <c r="C8" s="225">
        <f>796+1140+3399</f>
        <v>5335</v>
      </c>
      <c r="D8" s="226">
        <v>325</v>
      </c>
      <c r="E8" s="228"/>
      <c r="F8" s="239">
        <v>1</v>
      </c>
      <c r="G8" s="240" t="s">
        <v>11</v>
      </c>
      <c r="H8" s="238" t="s">
        <v>640</v>
      </c>
      <c r="I8" s="1033"/>
      <c r="J8" s="223" t="str">
        <f>+'18'!J8</f>
        <v>T 15 VP OW</v>
      </c>
      <c r="K8" s="247"/>
      <c r="L8" s="247"/>
      <c r="M8" s="126">
        <f>+K8+'18'!M8+L8</f>
        <v>37584</v>
      </c>
      <c r="N8" s="158">
        <v>1300</v>
      </c>
      <c r="O8" s="158">
        <f>+N8-N8*0.0035</f>
        <v>1295.45</v>
      </c>
      <c r="P8" s="158">
        <f>480+480+60+53</f>
        <v>1073</v>
      </c>
    </row>
    <row r="9" spans="1:16" ht="13.5" thickBot="1">
      <c r="A9" s="1030"/>
      <c r="B9" s="224"/>
      <c r="C9" s="225"/>
      <c r="D9" s="226"/>
      <c r="E9" s="229"/>
      <c r="F9" s="236">
        <v>2</v>
      </c>
      <c r="G9" s="240" t="s">
        <v>11</v>
      </c>
      <c r="H9" s="241" t="s">
        <v>665</v>
      </c>
      <c r="I9" s="1033"/>
      <c r="J9" s="223" t="str">
        <f>+'18'!J9</f>
        <v>T 12,5 VP OW</v>
      </c>
      <c r="K9" s="247"/>
      <c r="L9" s="247"/>
      <c r="M9" s="126">
        <f>+K9+'18'!M9+L9</f>
        <v>148332</v>
      </c>
      <c r="N9" s="158">
        <v>1100</v>
      </c>
      <c r="O9" s="158">
        <f>+N9-N9*0.0035</f>
        <v>1096.1500000000001</v>
      </c>
      <c r="P9" s="158">
        <f>7+360</f>
        <v>367</v>
      </c>
    </row>
    <row r="10" spans="1:16" ht="13.5" thickBot="1">
      <c r="A10" s="1030"/>
      <c r="B10" s="224"/>
      <c r="C10" s="225"/>
      <c r="D10" s="226"/>
      <c r="E10" s="228"/>
      <c r="F10" s="236"/>
      <c r="G10" s="240"/>
      <c r="H10" s="241" t="s">
        <v>659</v>
      </c>
      <c r="I10" s="1033"/>
      <c r="J10" s="223" t="str">
        <f>+'18'!J10</f>
        <v>T 12 VP OW</v>
      </c>
      <c r="K10" s="247"/>
      <c r="L10" s="247"/>
      <c r="M10" s="126">
        <f>+K10+'18'!M10+L10</f>
        <v>25679</v>
      </c>
      <c r="P10" s="158">
        <f>SUM(P8:P9)</f>
        <v>1440</v>
      </c>
    </row>
    <row r="11" spans="1:16" ht="13.5" thickBot="1">
      <c r="A11" s="1030"/>
      <c r="B11" s="224"/>
      <c r="C11" s="225"/>
      <c r="D11" s="226"/>
      <c r="E11" s="228"/>
      <c r="F11" s="236"/>
      <c r="G11" s="240"/>
      <c r="H11" s="241"/>
      <c r="I11" s="1033"/>
      <c r="J11" s="223" t="str">
        <f>+'18'!J11</f>
        <v>F 12 VP OW</v>
      </c>
      <c r="K11" s="247"/>
      <c r="L11" s="247"/>
      <c r="M11" s="126">
        <f>+K11+'18'!M11+L11</f>
        <v>30353</v>
      </c>
    </row>
    <row r="12" spans="1:16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+'18'!J12</f>
        <v>F 13 VP OW</v>
      </c>
      <c r="K12" s="247"/>
      <c r="L12" s="247"/>
      <c r="M12" s="126">
        <f>+K12+'18'!M12+L12</f>
        <v>149460</v>
      </c>
    </row>
    <row r="13" spans="1:16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+'18'!J13</f>
        <v>F 13,5 VP OW</v>
      </c>
      <c r="K13" s="247"/>
      <c r="L13" s="247"/>
      <c r="M13" s="126">
        <f>+K13+'18'!M13+L13</f>
        <v>11138</v>
      </c>
    </row>
    <row r="14" spans="1:16" ht="13.5" thickBot="1">
      <c r="A14" s="1031"/>
      <c r="B14" s="174" t="s">
        <v>2</v>
      </c>
      <c r="C14" s="108">
        <f>SUM(C7:C13)</f>
        <v>23016</v>
      </c>
      <c r="D14" s="120">
        <f>SUM(D7:D13)</f>
        <v>325</v>
      </c>
      <c r="E14" s="121">
        <f>SUM(E5:E13)</f>
        <v>0</v>
      </c>
      <c r="F14" s="125">
        <f>SUM(F7:F13)</f>
        <v>3</v>
      </c>
      <c r="G14" s="168"/>
      <c r="H14" s="175"/>
      <c r="I14" s="176"/>
      <c r="J14" s="223" t="str">
        <f>+'18'!J14</f>
        <v>F 12,5 VP OW</v>
      </c>
      <c r="K14" s="247"/>
      <c r="L14" s="247"/>
      <c r="M14" s="126">
        <f>+K14+'18'!M14+L14</f>
        <v>73203</v>
      </c>
    </row>
    <row r="15" spans="1:16" ht="13.5" customHeight="1" thickBot="1">
      <c r="A15" s="1035" t="s">
        <v>646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644</v>
      </c>
      <c r="J15" s="223" t="str">
        <f>+'18'!J15</f>
        <v>MG 14 VP OW/HW</v>
      </c>
      <c r="K15" s="247">
        <f>+C7+C16+C25</f>
        <v>58483</v>
      </c>
      <c r="L15" s="247"/>
      <c r="M15" s="126">
        <f>+K15+'18'!M15+L15</f>
        <v>78034</v>
      </c>
    </row>
    <row r="16" spans="1:16" ht="13.5" thickBot="1">
      <c r="A16" s="1030"/>
      <c r="B16" s="224" t="s">
        <v>669</v>
      </c>
      <c r="C16" s="230">
        <v>24073</v>
      </c>
      <c r="D16" s="231">
        <v>134</v>
      </c>
      <c r="E16" s="232"/>
      <c r="F16" s="236"/>
      <c r="G16" s="240" t="s">
        <v>11</v>
      </c>
      <c r="H16" s="238" t="s">
        <v>591</v>
      </c>
      <c r="I16" s="1033"/>
      <c r="J16" s="223" t="str">
        <f>+'18'!J16</f>
        <v>MG 17 VP OW/HW</v>
      </c>
      <c r="K16" s="247">
        <f>+C8</f>
        <v>5335</v>
      </c>
      <c r="L16" s="237"/>
      <c r="M16" s="126">
        <f>+K16+'18'!M16+L16</f>
        <v>326000</v>
      </c>
    </row>
    <row r="17" spans="1:18" ht="13.5" thickBot="1">
      <c r="A17" s="1030"/>
      <c r="B17" s="224"/>
      <c r="C17" s="225"/>
      <c r="D17" s="226"/>
      <c r="E17" s="233"/>
      <c r="F17" s="236">
        <v>2</v>
      </c>
      <c r="G17" s="240" t="s">
        <v>11</v>
      </c>
      <c r="H17" s="241" t="s">
        <v>665</v>
      </c>
      <c r="I17" s="1033"/>
      <c r="J17" s="223" t="str">
        <f>+'18'!J17</f>
        <v>MG 16 VP HW</v>
      </c>
      <c r="K17" s="247"/>
      <c r="L17" s="237"/>
      <c r="M17" s="126">
        <f>+K17+'18'!M17+L17</f>
        <v>338456</v>
      </c>
    </row>
    <row r="18" spans="1:18" ht="13.5" thickBot="1">
      <c r="A18" s="1030"/>
      <c r="B18" s="224"/>
      <c r="C18" s="225"/>
      <c r="D18" s="226"/>
      <c r="E18" s="233"/>
      <c r="F18" s="236"/>
      <c r="G18" s="240"/>
      <c r="H18" s="241" t="s">
        <v>659</v>
      </c>
      <c r="I18" s="1033"/>
      <c r="J18" s="223" t="s">
        <v>670</v>
      </c>
      <c r="K18" s="247">
        <f>+C26</f>
        <v>9316</v>
      </c>
      <c r="L18" s="247"/>
      <c r="M18" s="126">
        <f>+K18+'18'!M18+L18</f>
        <v>9316</v>
      </c>
    </row>
    <row r="19" spans="1:18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>
        <f>+'18'!J19</f>
        <v>0</v>
      </c>
      <c r="K19" s="247"/>
      <c r="L19" s="247"/>
      <c r="M19" s="126">
        <f>+K19+'18'!M19+L19</f>
        <v>0</v>
      </c>
    </row>
    <row r="20" spans="1:18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+'18'!J20</f>
        <v>0</v>
      </c>
      <c r="K20" s="247"/>
      <c r="L20" s="248"/>
      <c r="M20" s="126">
        <f>+K20+'18'!M20+L20</f>
        <v>0</v>
      </c>
    </row>
    <row r="21" spans="1:18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+'18'!J21</f>
        <v>0</v>
      </c>
      <c r="K21" s="247"/>
      <c r="L21" s="247"/>
      <c r="M21" s="126">
        <f>+K21+'18'!M21+L21</f>
        <v>0</v>
      </c>
    </row>
    <row r="22" spans="1:18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+'18'!J22</f>
        <v>0</v>
      </c>
      <c r="K22" s="247"/>
      <c r="L22" s="247"/>
      <c r="M22" s="126">
        <f>+K22+'18'!M22+L22</f>
        <v>0</v>
      </c>
    </row>
    <row r="23" spans="1:18" ht="13.5" thickBot="1">
      <c r="A23" s="1031"/>
      <c r="B23" s="177" t="s">
        <v>2</v>
      </c>
      <c r="C23" s="109">
        <f>SUM(C16:C22)</f>
        <v>24073</v>
      </c>
      <c r="D23" s="120">
        <f>SUM(D16:D22)</f>
        <v>134</v>
      </c>
      <c r="E23" s="121">
        <f>SUM(E18:E22)</f>
        <v>0</v>
      </c>
      <c r="F23" s="125">
        <f>SUM(F15:F22)</f>
        <v>2</v>
      </c>
      <c r="G23" s="168"/>
      <c r="H23" s="175" t="s">
        <v>234</v>
      </c>
      <c r="I23" s="178"/>
      <c r="J23" s="223">
        <f>+'18'!J23</f>
        <v>0</v>
      </c>
      <c r="K23" s="247"/>
      <c r="L23" s="247"/>
      <c r="M23" s="126">
        <f>+K23+'18'!M23+L23</f>
        <v>0</v>
      </c>
    </row>
    <row r="24" spans="1:18" ht="13.5" customHeight="1" thickBot="1">
      <c r="A24" s="1035" t="s">
        <v>434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663</v>
      </c>
      <c r="J24" s="223">
        <f>+'18'!J24</f>
        <v>0</v>
      </c>
      <c r="K24" s="247"/>
      <c r="L24" s="247"/>
      <c r="M24" s="126">
        <f>+K24+'18'!M24+L24</f>
        <v>0</v>
      </c>
    </row>
    <row r="25" spans="1:18" ht="13.5" thickBot="1">
      <c r="A25" s="1030"/>
      <c r="B25" s="224" t="s">
        <v>669</v>
      </c>
      <c r="C25" s="234">
        <f>726+3209+12794</f>
        <v>16729</v>
      </c>
      <c r="D25" s="226">
        <v>385</v>
      </c>
      <c r="E25" s="233"/>
      <c r="F25" s="239"/>
      <c r="G25" s="240" t="s">
        <v>11</v>
      </c>
      <c r="H25" s="238" t="s">
        <v>591</v>
      </c>
      <c r="I25" s="1033"/>
      <c r="J25" s="223">
        <f>+'18'!J25</f>
        <v>0</v>
      </c>
      <c r="K25" s="247"/>
      <c r="L25" s="247"/>
      <c r="M25" s="126">
        <f>+K25+'18'!M25+L25</f>
        <v>0</v>
      </c>
      <c r="N25" s="158">
        <v>1300</v>
      </c>
      <c r="O25" s="158">
        <f>+N25-N25*0.0035</f>
        <v>1295.45</v>
      </c>
      <c r="P25" s="158">
        <f>60+53</f>
        <v>113</v>
      </c>
      <c r="Q25" s="158">
        <f>+N25*P25</f>
        <v>146900</v>
      </c>
      <c r="R25" s="158">
        <f>+O25*P25</f>
        <v>146385.85</v>
      </c>
    </row>
    <row r="26" spans="1:18" ht="13.5" thickBot="1">
      <c r="A26" s="1030"/>
      <c r="B26" s="224" t="s">
        <v>670</v>
      </c>
      <c r="C26" s="234">
        <f>3718+5598</f>
        <v>9316</v>
      </c>
      <c r="D26" s="226">
        <v>518</v>
      </c>
      <c r="E26" s="235"/>
      <c r="F26" s="239">
        <v>5</v>
      </c>
      <c r="G26" s="240" t="s">
        <v>11</v>
      </c>
      <c r="H26" s="241" t="s">
        <v>451</v>
      </c>
      <c r="I26" s="1033"/>
      <c r="J26" s="223">
        <f>+'18'!J26</f>
        <v>0</v>
      </c>
      <c r="K26" s="247"/>
      <c r="L26" s="247"/>
      <c r="M26" s="126">
        <f>+K26+'18'!M26+L26</f>
        <v>0</v>
      </c>
      <c r="N26" s="158">
        <v>1100</v>
      </c>
      <c r="O26" s="158">
        <f>+N26-N26*0.0035</f>
        <v>1096.1500000000001</v>
      </c>
      <c r="P26" s="158">
        <f>7+360</f>
        <v>367</v>
      </c>
      <c r="Q26" s="158">
        <f>+N26*P26</f>
        <v>403700</v>
      </c>
      <c r="R26" s="158">
        <f>+O26*P26</f>
        <v>402287.05000000005</v>
      </c>
    </row>
    <row r="27" spans="1:18" ht="13.5" thickBot="1">
      <c r="A27" s="1030"/>
      <c r="B27" s="224"/>
      <c r="C27" s="225"/>
      <c r="D27" s="226"/>
      <c r="E27" s="233"/>
      <c r="F27" s="239"/>
      <c r="G27" s="240"/>
      <c r="H27" s="241" t="s">
        <v>659</v>
      </c>
      <c r="I27" s="1033"/>
      <c r="J27" s="223">
        <f>+'18'!J27</f>
        <v>0</v>
      </c>
      <c r="K27" s="247"/>
      <c r="L27" s="247"/>
      <c r="M27" s="126">
        <f>+K27+'18'!M27+L27</f>
        <v>0</v>
      </c>
      <c r="P27" s="158">
        <f>SUM(P25:P26)</f>
        <v>480</v>
      </c>
      <c r="Q27" s="158">
        <f>SUM(Q25:Q26)</f>
        <v>550600</v>
      </c>
      <c r="R27" s="158">
        <f>SUM(R25:R26)</f>
        <v>548672.9</v>
      </c>
    </row>
    <row r="28" spans="1:18" ht="13.5" thickBot="1">
      <c r="A28" s="1030"/>
      <c r="B28" s="224"/>
      <c r="C28" s="225"/>
      <c r="D28" s="226"/>
      <c r="E28" s="233"/>
      <c r="F28" s="239"/>
      <c r="G28" s="240"/>
      <c r="H28" s="241" t="s">
        <v>660</v>
      </c>
      <c r="I28" s="1033"/>
      <c r="J28" s="223">
        <f>+'18'!J28</f>
        <v>0</v>
      </c>
      <c r="K28" s="247"/>
      <c r="L28" s="247"/>
      <c r="M28" s="126">
        <f>+K28+'18'!M28+L28</f>
        <v>0</v>
      </c>
      <c r="Q28" s="158">
        <f>+Q27/P27</f>
        <v>1147.0833333333333</v>
      </c>
      <c r="R28" s="158">
        <f>+R27/P27</f>
        <v>1143.0685416666668</v>
      </c>
    </row>
    <row r="29" spans="1:18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+'18'!J29</f>
        <v>0</v>
      </c>
      <c r="K29" s="247"/>
      <c r="L29" s="247"/>
      <c r="M29" s="126">
        <f>+K29+'18'!M29+L29</f>
        <v>0</v>
      </c>
    </row>
    <row r="30" spans="1:18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+'18'!J30</f>
        <v>0</v>
      </c>
      <c r="K30" s="247"/>
      <c r="L30" s="247"/>
      <c r="M30" s="126">
        <f>+K30+'18'!M30+L30</f>
        <v>0</v>
      </c>
    </row>
    <row r="31" spans="1:18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+'18'!J31</f>
        <v>0</v>
      </c>
      <c r="K31" s="247"/>
      <c r="L31" s="247"/>
      <c r="M31" s="126">
        <f>+K31+'18'!M31+L31</f>
        <v>0</v>
      </c>
      <c r="N31" s="164"/>
    </row>
    <row r="32" spans="1:18" ht="13.5" thickBot="1">
      <c r="A32" s="1031"/>
      <c r="B32" s="174" t="s">
        <v>2</v>
      </c>
      <c r="C32" s="108">
        <f>SUM(C25:C31)</f>
        <v>26045</v>
      </c>
      <c r="D32" s="109">
        <f>SUM(D25:D31)</f>
        <v>903</v>
      </c>
      <c r="E32" s="110">
        <f>SUM(E25:E31)</f>
        <v>0</v>
      </c>
      <c r="F32" s="111">
        <f>SUM(F24:F31)</f>
        <v>5</v>
      </c>
      <c r="G32" s="180"/>
      <c r="H32" s="181"/>
      <c r="I32" s="178"/>
      <c r="J32" s="223">
        <f>+'18'!J32</f>
        <v>0</v>
      </c>
      <c r="K32" s="249"/>
      <c r="L32" s="251"/>
      <c r="M32" s="126">
        <f>+K32+'18'!M32+L32</f>
        <v>0</v>
      </c>
    </row>
    <row r="33" spans="1:14" ht="13.5" thickBot="1">
      <c r="A33" s="182"/>
      <c r="B33" s="183"/>
      <c r="C33" s="112">
        <f>C32/($C$32+$D$32+$E$32)</f>
        <v>0.9664910197417248</v>
      </c>
      <c r="D33" s="113">
        <f>D32/($C$32+$D$32+$E$32)</f>
        <v>3.3508980258275194E-2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73134</v>
      </c>
      <c r="D34" s="116">
        <f>D14+D23+D32</f>
        <v>1362</v>
      </c>
      <c r="E34" s="116">
        <f>E14+E23+E32</f>
        <v>0</v>
      </c>
      <c r="F34" s="117">
        <f>F14+F23+F32</f>
        <v>10</v>
      </c>
      <c r="H34" s="187"/>
      <c r="I34" s="187"/>
      <c r="J34" s="132" t="s">
        <v>27</v>
      </c>
      <c r="K34" s="133">
        <f>SUM(K7:K32)</f>
        <v>73134</v>
      </c>
      <c r="L34" s="221">
        <f>SUM(L7:L32)</f>
        <v>0</v>
      </c>
      <c r="M34" s="129">
        <f>SUM(M7:M32)</f>
        <v>1290054</v>
      </c>
    </row>
    <row r="35" spans="1:14" ht="13.5" thickBot="1">
      <c r="A35" s="188"/>
      <c r="B35" s="189"/>
      <c r="C35" s="113">
        <f>C34/($C$34+$D$34+$E$34)</f>
        <v>0.98171713917525771</v>
      </c>
      <c r="D35" s="113">
        <f>D34/($C$34+$D$34+$E$34)</f>
        <v>1.8282860824742269E-2</v>
      </c>
      <c r="E35" s="118">
        <f>E34/($C$34+$D$34+$E$34)</f>
        <v>0</v>
      </c>
      <c r="K35" s="164"/>
      <c r="N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(14*1073+19*367)/1440*G42*2.77*1440/1000000</f>
        <v>71.784581923288187</v>
      </c>
      <c r="J37" s="134">
        <f>+I37+'18'!J37</f>
        <v>1364.1430192878627</v>
      </c>
      <c r="K37" s="135" t="s">
        <v>63</v>
      </c>
      <c r="L37" s="556">
        <f>3.312+3.312+1.637+22.297+22.841</f>
        <v>53.399000000000001</v>
      </c>
    </row>
    <row r="38" spans="1:14" ht="17.45" customHeight="1">
      <c r="A38" s="1027" t="s">
        <v>11</v>
      </c>
      <c r="B38" s="1028"/>
      <c r="C38" s="173">
        <f>SUMIF($G$7:$G$31,"Process",$F$7:$F$31)</f>
        <v>10</v>
      </c>
      <c r="D38" s="127">
        <f>+C38+'18'!D38</f>
        <v>548</v>
      </c>
      <c r="E38" s="152">
        <f t="shared" ref="E38:E51" si="0">D38/60</f>
        <v>9.1333333333333329</v>
      </c>
      <c r="F38" s="337">
        <v>1300</v>
      </c>
      <c r="G38" s="337">
        <f>+F38-F38*0.0035</f>
        <v>1295.45</v>
      </c>
      <c r="H38" s="196" t="s">
        <v>64</v>
      </c>
      <c r="I38" s="253">
        <f>22.297+22.841+26.031</f>
        <v>71.169000000000011</v>
      </c>
      <c r="J38" s="136">
        <f>+I38+'18'!J38</f>
        <v>1317.8869999999999</v>
      </c>
      <c r="K38" s="137" t="s">
        <v>63</v>
      </c>
      <c r="L38" s="615">
        <f>+I38-L37</f>
        <v>17.77000000000001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+C39+'18'!D39</f>
        <v>0</v>
      </c>
      <c r="E39" s="152">
        <f t="shared" si="0"/>
        <v>0</v>
      </c>
      <c r="F39" s="337">
        <v>1100</v>
      </c>
      <c r="G39" s="337">
        <f>+F39-F39*0.0035</f>
        <v>1096.1500000000001</v>
      </c>
      <c r="H39" s="196" t="s">
        <v>65</v>
      </c>
      <c r="I39" s="151"/>
      <c r="J39" s="138">
        <f>J37/G4</f>
        <v>71.79700101515067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+C40+'18'!D40</f>
        <v>0</v>
      </c>
      <c r="E40" s="152">
        <f t="shared" si="0"/>
        <v>0</v>
      </c>
      <c r="F40" s="337">
        <v>1147.0833333333333</v>
      </c>
      <c r="G40" s="337">
        <v>1143.0685416666668</v>
      </c>
      <c r="H40" s="196" t="s">
        <v>67</v>
      </c>
      <c r="I40" s="127">
        <f>(K34+L34)/1000</f>
        <v>73.134</v>
      </c>
      <c r="J40" s="140">
        <f>+I40+'18'!J40</f>
        <v>1290.0540000000001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+C41+'18'!D41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67.89757894736843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+C42+'18'!D42</f>
        <v>0</v>
      </c>
      <c r="E42" s="152">
        <f t="shared" si="0"/>
        <v>0</v>
      </c>
      <c r="F42" s="337">
        <f>+(F38*480+F39*480+F40*480)/1440</f>
        <v>1182.3611111111111</v>
      </c>
      <c r="G42" s="337">
        <f>+(G38*480+G39*480+G40*480)/1440</f>
        <v>1178.2228472222221</v>
      </c>
      <c r="H42" s="196" t="s">
        <v>70</v>
      </c>
      <c r="I42" s="254" t="s">
        <v>664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+C43+'18'!D43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+Report1!T27</f>
        <v>145.72399999999999</v>
      </c>
      <c r="J43" s="142">
        <f>+I43+'18'!J43</f>
        <v>2687.0589999999997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+C44+'18'!D44</f>
        <v>515</v>
      </c>
      <c r="E44" s="152">
        <f t="shared" si="0"/>
        <v>8.5833333333333339</v>
      </c>
      <c r="F44" s="337"/>
      <c r="G44" s="338"/>
      <c r="H44" s="197" t="s">
        <v>74</v>
      </c>
      <c r="I44" s="127">
        <f>I43/I38</f>
        <v>2.047576894434374</v>
      </c>
      <c r="J44" s="143">
        <f>J43/J38</f>
        <v>2.0389145655128247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+C45+'18'!D45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1.9925615992561598</v>
      </c>
      <c r="J45" s="143">
        <f>J43/J40</f>
        <v>2.0829042815261993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+C46+'18'!D46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+SUMIF(Listrik!AR26,"&gt;0")</f>
        <v>60142.460000000792</v>
      </c>
      <c r="J46" s="144">
        <f>+I46+'18'!J46</f>
        <v>1049413.040000001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+C47+'18'!D47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845.06540769156209</v>
      </c>
      <c r="J47" s="144">
        <f>J46/J38</f>
        <v>796.28453729341061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+C48+'18'!D48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822.35977794187102</v>
      </c>
      <c r="J48" s="144">
        <f>J46/J40</f>
        <v>813.46442862081813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+C49+'18'!D49</f>
        <v>0</v>
      </c>
      <c r="E49" s="152">
        <f t="shared" si="0"/>
        <v>0</v>
      </c>
      <c r="F49" s="194"/>
      <c r="H49" s="197" t="s">
        <v>82</v>
      </c>
      <c r="I49" s="127">
        <v>0</v>
      </c>
      <c r="J49" s="144">
        <f>+I49+'18'!J49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+C50+'18'!D50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+C51+'18'!D51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10</v>
      </c>
      <c r="D52" s="153">
        <f>SUM(D38:D51)</f>
        <v>1063</v>
      </c>
      <c r="E52" s="154">
        <f>SUM(E38:E51)</f>
        <v>17.716666666666669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6.9444444444444441E-3</v>
      </c>
      <c r="D53" s="155">
        <f>D52/(24*60*G4)</f>
        <v>3.8852339181286548E-2</v>
      </c>
      <c r="E53" s="156">
        <f>E52/(G4*24)</f>
        <v>3.8852339181286555E-2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+D34+'18'!J56</f>
        <v>8339</v>
      </c>
      <c r="K56" s="210">
        <f>J56/(J40+J56/1000)/1000</f>
        <v>6.4225546502484224E-3</v>
      </c>
    </row>
    <row r="57" spans="1:11">
      <c r="A57" s="185"/>
      <c r="I57" s="208" t="s">
        <v>89</v>
      </c>
      <c r="J57" s="209">
        <f>+E34+'18'!J57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I24:I31"/>
    <mergeCell ref="A7:A14"/>
    <mergeCell ref="A41:B41"/>
    <mergeCell ref="I7:I13"/>
    <mergeCell ref="A15:A23"/>
    <mergeCell ref="I15:I22"/>
    <mergeCell ref="A43:B43"/>
    <mergeCell ref="A44:B44"/>
    <mergeCell ref="A45:B45"/>
    <mergeCell ref="A24:A32"/>
    <mergeCell ref="A42:B42"/>
    <mergeCell ref="A34:B34"/>
    <mergeCell ref="A37:B37"/>
    <mergeCell ref="A38:B38"/>
    <mergeCell ref="A39:B39"/>
    <mergeCell ref="A40:B40"/>
    <mergeCell ref="A46:B46"/>
    <mergeCell ref="A52:B52"/>
    <mergeCell ref="A53:B53"/>
    <mergeCell ref="A47:B47"/>
    <mergeCell ref="A48:B48"/>
    <mergeCell ref="A49:B49"/>
    <mergeCell ref="A50:B50"/>
    <mergeCell ref="A51:B51"/>
  </mergeCells>
  <phoneticPr fontId="31" type="noConversion"/>
  <printOptions horizontalCentered="1"/>
  <pageMargins left="0.74791666666666667" right="0.74791666666666667" top="0.39027777777777778" bottom="0.39027777777777778" header="0" footer="0"/>
  <pageSetup paperSize="9" scale="62" firstPageNumber="4294963191" orientation="landscape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61"/>
  <sheetViews>
    <sheetView topLeftCell="A13" zoomScale="80" zoomScaleNormal="80" workbookViewId="0">
      <selection activeCell="D17" sqref="D17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2.28515625" style="158" customWidth="1"/>
    <col min="8" max="8" width="64.85546875" style="158" customWidth="1"/>
    <col min="9" max="9" width="14.7109375" style="158" bestFit="1" customWidth="1"/>
    <col min="10" max="10" width="19.42578125" style="158" bestFit="1" customWidth="1"/>
    <col min="11" max="11" width="12.5703125" style="158" bestFit="1" customWidth="1"/>
    <col min="12" max="12" width="8.28515625" style="158" customWidth="1"/>
    <col min="13" max="13" width="15.140625" style="158" customWidth="1"/>
    <col min="14" max="16384" width="9.140625" style="158"/>
  </cols>
  <sheetData>
    <row r="1" spans="1:16" ht="15.75">
      <c r="A1" s="157"/>
    </row>
    <row r="2" spans="1:16" ht="15.75">
      <c r="A2" s="157" t="s">
        <v>148</v>
      </c>
    </row>
    <row r="3" spans="1:16" ht="15">
      <c r="A3" s="159"/>
    </row>
    <row r="4" spans="1:16" ht="20.25">
      <c r="A4" s="160" t="s">
        <v>3</v>
      </c>
      <c r="B4" s="161"/>
      <c r="F4" s="162" t="s">
        <v>29</v>
      </c>
      <c r="G4" s="163">
        <v>18</v>
      </c>
      <c r="H4" s="163" t="str">
        <f>+'1'!H4</f>
        <v>.06.24</v>
      </c>
    </row>
    <row r="5" spans="1:16" ht="13.5" thickBot="1">
      <c r="C5" s="164"/>
      <c r="D5" s="164"/>
    </row>
    <row r="6" spans="1:16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185+190+195</f>
        <v>570</v>
      </c>
    </row>
    <row r="7" spans="1:16" ht="13.5" customHeight="1" thickBot="1">
      <c r="A7" s="1029" t="s">
        <v>595</v>
      </c>
      <c r="B7" s="224" t="s">
        <v>615</v>
      </c>
      <c r="C7" s="225">
        <v>22204</v>
      </c>
      <c r="D7" s="226"/>
      <c r="E7" s="227"/>
      <c r="F7" s="236"/>
      <c r="G7" s="237" t="s">
        <v>11</v>
      </c>
      <c r="H7" s="238" t="s">
        <v>277</v>
      </c>
      <c r="I7" s="1032" t="s">
        <v>644</v>
      </c>
      <c r="J7" s="223" t="str">
        <f>+'17'!J7</f>
        <v>T 14 VP OW</v>
      </c>
      <c r="K7" s="246"/>
      <c r="L7" s="250"/>
      <c r="M7" s="126">
        <f>+K7+'17'!M7+L7</f>
        <v>62499</v>
      </c>
    </row>
    <row r="8" spans="1:16" ht="13.5" thickBot="1">
      <c r="A8" s="1030"/>
      <c r="B8" s="224"/>
      <c r="C8" s="225"/>
      <c r="D8" s="226"/>
      <c r="E8" s="228"/>
      <c r="F8" s="239">
        <v>1</v>
      </c>
      <c r="G8" s="240" t="s">
        <v>11</v>
      </c>
      <c r="H8" s="238" t="s">
        <v>640</v>
      </c>
      <c r="I8" s="1033"/>
      <c r="J8" s="223" t="str">
        <f>+'17'!J8</f>
        <v>T 15 VP OW</v>
      </c>
      <c r="K8" s="247"/>
      <c r="L8" s="247"/>
      <c r="M8" s="126">
        <f>+K8+'17'!M8+L8</f>
        <v>37584</v>
      </c>
      <c r="N8" s="158">
        <v>1300</v>
      </c>
      <c r="O8" s="158">
        <f>+N8-N8*0.0035</f>
        <v>1295.45</v>
      </c>
      <c r="P8" s="158">
        <f>480+480+240+18</f>
        <v>1218</v>
      </c>
    </row>
    <row r="9" spans="1:16" ht="13.5" thickBot="1">
      <c r="A9" s="1030"/>
      <c r="B9" s="224"/>
      <c r="C9" s="225"/>
      <c r="D9" s="226"/>
      <c r="E9" s="229"/>
      <c r="F9" s="236">
        <v>1</v>
      </c>
      <c r="G9" s="240" t="s">
        <v>11</v>
      </c>
      <c r="H9" s="241" t="s">
        <v>455</v>
      </c>
      <c r="I9" s="1033"/>
      <c r="J9" s="223" t="str">
        <f>+'17'!J9</f>
        <v>T 12,5 VP OW</v>
      </c>
      <c r="K9" s="247"/>
      <c r="L9" s="247"/>
      <c r="M9" s="126">
        <f>+K9+'17'!M9+L9</f>
        <v>148332</v>
      </c>
      <c r="N9" s="158">
        <v>1300</v>
      </c>
      <c r="O9" s="158">
        <f>+N9-N9*0.0035</f>
        <v>1295.45</v>
      </c>
      <c r="P9" s="158">
        <f>42+180</f>
        <v>222</v>
      </c>
    </row>
    <row r="10" spans="1:16" ht="13.5" thickBot="1">
      <c r="A10" s="1030"/>
      <c r="B10" s="224"/>
      <c r="C10" s="225"/>
      <c r="D10" s="226"/>
      <c r="E10" s="228"/>
      <c r="F10" s="236"/>
      <c r="G10" s="240"/>
      <c r="H10" s="241" t="s">
        <v>658</v>
      </c>
      <c r="I10" s="1033"/>
      <c r="J10" s="223" t="str">
        <f>+'17'!J10</f>
        <v>T 12 VP OW</v>
      </c>
      <c r="K10" s="247"/>
      <c r="L10" s="247"/>
      <c r="M10" s="126">
        <f>+K10+'17'!M10+L10</f>
        <v>25679</v>
      </c>
      <c r="P10" s="158">
        <f>SUM(P8:P9)</f>
        <v>1440</v>
      </c>
    </row>
    <row r="11" spans="1:16" ht="13.5" thickBot="1">
      <c r="A11" s="1030"/>
      <c r="B11" s="224"/>
      <c r="C11" s="225"/>
      <c r="D11" s="226"/>
      <c r="E11" s="228"/>
      <c r="F11" s="236"/>
      <c r="G11" s="240"/>
      <c r="H11" s="241"/>
      <c r="I11" s="1033"/>
      <c r="J11" s="223" t="str">
        <f>+'17'!J11</f>
        <v>F 12 VP OW</v>
      </c>
      <c r="K11" s="247"/>
      <c r="L11" s="247"/>
      <c r="M11" s="126">
        <f>+K11+'17'!M11+L11</f>
        <v>30353</v>
      </c>
    </row>
    <row r="12" spans="1:16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+'17'!J12</f>
        <v>F 13 VP OW</v>
      </c>
      <c r="K12" s="247"/>
      <c r="L12" s="247"/>
      <c r="M12" s="126">
        <f>+K12+'17'!M12+L12</f>
        <v>149460</v>
      </c>
    </row>
    <row r="13" spans="1:16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+'17'!J13</f>
        <v>F 13,5 VP OW</v>
      </c>
      <c r="K13" s="247"/>
      <c r="L13" s="247"/>
      <c r="M13" s="126">
        <f>+K13+'17'!M13+L13</f>
        <v>11138</v>
      </c>
    </row>
    <row r="14" spans="1:16" ht="13.5" thickBot="1">
      <c r="A14" s="1031"/>
      <c r="B14" s="174" t="s">
        <v>2</v>
      </c>
      <c r="C14" s="108">
        <f>SUM(C7:C13)</f>
        <v>22204</v>
      </c>
      <c r="D14" s="120">
        <f>SUM(D7:D13)</f>
        <v>0</v>
      </c>
      <c r="E14" s="121">
        <f>SUM(E5:E13)</f>
        <v>0</v>
      </c>
      <c r="F14" s="125">
        <f>SUM(F7:F13)</f>
        <v>2</v>
      </c>
      <c r="G14" s="168"/>
      <c r="H14" s="175"/>
      <c r="I14" s="176"/>
      <c r="J14" s="223" t="str">
        <f>+'17'!J14</f>
        <v>F 12,5 VP OW</v>
      </c>
      <c r="K14" s="247"/>
      <c r="L14" s="247"/>
      <c r="M14" s="126">
        <f>+K14+'17'!M14+L14</f>
        <v>73203</v>
      </c>
    </row>
    <row r="15" spans="1:16" ht="13.5" customHeight="1" thickBot="1">
      <c r="A15" s="1035" t="s">
        <v>646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644</v>
      </c>
      <c r="J15" s="223" t="s">
        <v>662</v>
      </c>
      <c r="K15" s="247"/>
      <c r="L15" s="247"/>
      <c r="M15" s="126">
        <f>+K15+'17'!M15+L15</f>
        <v>19551</v>
      </c>
    </row>
    <row r="16" spans="1:16" ht="13.5" thickBot="1">
      <c r="A16" s="1030"/>
      <c r="B16" s="224" t="s">
        <v>615</v>
      </c>
      <c r="C16" s="230">
        <v>26453</v>
      </c>
      <c r="D16" s="231">
        <v>185</v>
      </c>
      <c r="E16" s="232"/>
      <c r="F16" s="236"/>
      <c r="G16" s="240" t="s">
        <v>11</v>
      </c>
      <c r="H16" s="238" t="s">
        <v>591</v>
      </c>
      <c r="I16" s="1033"/>
      <c r="J16" s="223" t="str">
        <f>+'17'!J16</f>
        <v>MG 17 VP OW/HW</v>
      </c>
      <c r="K16" s="237">
        <f>+C34</f>
        <v>76516</v>
      </c>
      <c r="L16" s="237"/>
      <c r="M16" s="126">
        <f>+K16+'17'!M16+L16</f>
        <v>320665</v>
      </c>
    </row>
    <row r="17" spans="1:14" ht="13.5" thickBot="1">
      <c r="A17" s="1030"/>
      <c r="B17" s="224"/>
      <c r="C17" s="225"/>
      <c r="D17" s="226"/>
      <c r="E17" s="233"/>
      <c r="F17" s="236">
        <v>0</v>
      </c>
      <c r="G17" s="240" t="s">
        <v>11</v>
      </c>
      <c r="H17" s="241" t="s">
        <v>455</v>
      </c>
      <c r="I17" s="1033"/>
      <c r="J17" s="223" t="str">
        <f>+'17'!J17</f>
        <v>MG 16 VP HW</v>
      </c>
      <c r="K17" s="237"/>
      <c r="L17" s="237"/>
      <c r="M17" s="126">
        <f>+K17+'17'!M17+L17</f>
        <v>338456</v>
      </c>
    </row>
    <row r="18" spans="1:14" ht="13.5" thickBot="1">
      <c r="A18" s="1030"/>
      <c r="B18" s="224"/>
      <c r="C18" s="225"/>
      <c r="D18" s="226"/>
      <c r="E18" s="233"/>
      <c r="F18" s="236"/>
      <c r="G18" s="240"/>
      <c r="H18" s="241" t="s">
        <v>658</v>
      </c>
      <c r="I18" s="1033"/>
      <c r="J18" s="223">
        <f>+'17'!J18</f>
        <v>0</v>
      </c>
      <c r="K18" s="247"/>
      <c r="L18" s="247"/>
      <c r="M18" s="126">
        <f>+K18+'17'!M18+L18</f>
        <v>0</v>
      </c>
    </row>
    <row r="19" spans="1:14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>
        <f>+'17'!J19</f>
        <v>0</v>
      </c>
      <c r="K19" s="247"/>
      <c r="L19" s="247"/>
      <c r="M19" s="126">
        <f>+K19+'17'!M19+L19</f>
        <v>0</v>
      </c>
    </row>
    <row r="20" spans="1:14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+'17'!J20</f>
        <v>0</v>
      </c>
      <c r="K20" s="248"/>
      <c r="L20" s="248"/>
      <c r="M20" s="126">
        <f>+K20+'17'!M20+L20</f>
        <v>0</v>
      </c>
    </row>
    <row r="21" spans="1:14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+'17'!J21</f>
        <v>0</v>
      </c>
      <c r="K21" s="247"/>
      <c r="L21" s="247"/>
      <c r="M21" s="126">
        <f>+K21+'17'!M21+L21</f>
        <v>0</v>
      </c>
    </row>
    <row r="22" spans="1:14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+'17'!J22</f>
        <v>0</v>
      </c>
      <c r="K22" s="247"/>
      <c r="L22" s="247"/>
      <c r="M22" s="126">
        <f>+K22+'17'!M22+L22</f>
        <v>0</v>
      </c>
    </row>
    <row r="23" spans="1:14" ht="13.5" thickBot="1">
      <c r="A23" s="1031"/>
      <c r="B23" s="177" t="s">
        <v>2</v>
      </c>
      <c r="C23" s="109">
        <f>SUM(C16:C22)</f>
        <v>26453</v>
      </c>
      <c r="D23" s="120">
        <f>SUM(D16:D22)</f>
        <v>185</v>
      </c>
      <c r="E23" s="121">
        <f>SUM(E18:E22)</f>
        <v>0</v>
      </c>
      <c r="F23" s="125">
        <f>SUM(F15:F22)</f>
        <v>0</v>
      </c>
      <c r="G23" s="168"/>
      <c r="H23" s="175" t="s">
        <v>234</v>
      </c>
      <c r="I23" s="178"/>
      <c r="J23" s="223">
        <f>+'17'!J23</f>
        <v>0</v>
      </c>
      <c r="K23" s="247"/>
      <c r="L23" s="247"/>
      <c r="M23" s="126">
        <f>+K23+'17'!M23+L23</f>
        <v>0</v>
      </c>
    </row>
    <row r="24" spans="1:14" ht="13.5" customHeight="1" thickBot="1">
      <c r="A24" s="1035" t="s">
        <v>434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644</v>
      </c>
      <c r="J24" s="223">
        <f>+'17'!J24</f>
        <v>0</v>
      </c>
      <c r="K24" s="247"/>
      <c r="L24" s="247"/>
      <c r="M24" s="126">
        <f>+K24+'17'!M24+L24</f>
        <v>0</v>
      </c>
    </row>
    <row r="25" spans="1:14" ht="13.5" thickBot="1">
      <c r="A25" s="1030"/>
      <c r="B25" s="224" t="s">
        <v>615</v>
      </c>
      <c r="C25" s="234">
        <v>27859</v>
      </c>
      <c r="D25" s="226"/>
      <c r="E25" s="233"/>
      <c r="F25" s="239"/>
      <c r="G25" s="240" t="s">
        <v>11</v>
      </c>
      <c r="H25" s="238" t="s">
        <v>591</v>
      </c>
      <c r="I25" s="1033"/>
      <c r="J25" s="223">
        <f>+'17'!J25</f>
        <v>0</v>
      </c>
      <c r="K25" s="247"/>
      <c r="L25" s="247"/>
      <c r="M25" s="126">
        <f>+K25+'17'!M25+L25</f>
        <v>0</v>
      </c>
    </row>
    <row r="26" spans="1:14" ht="13.5" thickBot="1">
      <c r="A26" s="1030"/>
      <c r="B26" s="224"/>
      <c r="C26" s="234"/>
      <c r="D26" s="226"/>
      <c r="E26" s="235"/>
      <c r="F26" s="239">
        <v>5</v>
      </c>
      <c r="G26" s="240" t="s">
        <v>11</v>
      </c>
      <c r="H26" s="241" t="s">
        <v>451</v>
      </c>
      <c r="I26" s="1033"/>
      <c r="J26" s="223">
        <f>+'17'!J26</f>
        <v>0</v>
      </c>
      <c r="K26" s="247"/>
      <c r="L26" s="247"/>
      <c r="M26" s="126">
        <f>+K26+'17'!M26+L26</f>
        <v>0</v>
      </c>
    </row>
    <row r="27" spans="1:14" ht="13.5" thickBot="1">
      <c r="A27" s="1030"/>
      <c r="B27" s="224"/>
      <c r="C27" s="225"/>
      <c r="D27" s="226"/>
      <c r="E27" s="233"/>
      <c r="F27" s="239"/>
      <c r="G27" s="240"/>
      <c r="H27" s="241" t="s">
        <v>659</v>
      </c>
      <c r="I27" s="1033"/>
      <c r="J27" s="223">
        <f>+'17'!J27</f>
        <v>0</v>
      </c>
      <c r="K27" s="247"/>
      <c r="L27" s="247"/>
      <c r="M27" s="126">
        <f>+K27+'17'!M27+L27</f>
        <v>0</v>
      </c>
    </row>
    <row r="28" spans="1:14" ht="13.5" thickBot="1">
      <c r="A28" s="1030"/>
      <c r="B28" s="224"/>
      <c r="C28" s="225"/>
      <c r="D28" s="226"/>
      <c r="E28" s="233"/>
      <c r="F28" s="239"/>
      <c r="G28" s="240"/>
      <c r="H28" s="241" t="s">
        <v>661</v>
      </c>
      <c r="I28" s="1033"/>
      <c r="J28" s="223">
        <f>+'17'!J28</f>
        <v>0</v>
      </c>
      <c r="K28" s="247"/>
      <c r="L28" s="247"/>
      <c r="M28" s="126">
        <f>+K28+'17'!M28+L28</f>
        <v>0</v>
      </c>
    </row>
    <row r="29" spans="1:14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+'17'!J29</f>
        <v>0</v>
      </c>
      <c r="K29" s="247"/>
      <c r="L29" s="247"/>
      <c r="M29" s="126">
        <f>+K29+'17'!M29+L29</f>
        <v>0</v>
      </c>
    </row>
    <row r="30" spans="1:14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+'17'!J30</f>
        <v>0</v>
      </c>
      <c r="K30" s="247"/>
      <c r="L30" s="247"/>
      <c r="M30" s="126">
        <f>+K30+'17'!M30+L30</f>
        <v>0</v>
      </c>
      <c r="N30" s="164"/>
    </row>
    <row r="31" spans="1:14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+'17'!J31</f>
        <v>0</v>
      </c>
      <c r="K31" s="247"/>
      <c r="L31" s="247"/>
      <c r="M31" s="126">
        <f>+K31+'17'!M31+L31</f>
        <v>0</v>
      </c>
    </row>
    <row r="32" spans="1:14" ht="13.5" thickBot="1">
      <c r="A32" s="1031"/>
      <c r="B32" s="174" t="s">
        <v>2</v>
      </c>
      <c r="C32" s="108">
        <f>SUM(C25:C31)</f>
        <v>27859</v>
      </c>
      <c r="D32" s="109">
        <f>SUM(D25:D31)</f>
        <v>0</v>
      </c>
      <c r="E32" s="110">
        <f>SUM(E25:E31)</f>
        <v>0</v>
      </c>
      <c r="F32" s="111">
        <f>SUM(F24:F31)</f>
        <v>5</v>
      </c>
      <c r="G32" s="180"/>
      <c r="H32" s="181"/>
      <c r="I32" s="178"/>
      <c r="J32" s="223">
        <f>+'17'!J32</f>
        <v>0</v>
      </c>
      <c r="K32" s="249"/>
      <c r="L32" s="251"/>
      <c r="M32" s="126">
        <f>+K32+'17'!M32+L32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76516</v>
      </c>
      <c r="D34" s="116">
        <f>D14+D23+D32</f>
        <v>185</v>
      </c>
      <c r="E34" s="116">
        <f>E14+E23+E32</f>
        <v>0</v>
      </c>
      <c r="F34" s="117">
        <f>F14+F23+F32</f>
        <v>7</v>
      </c>
      <c r="H34" s="187"/>
      <c r="I34" s="187"/>
      <c r="J34" s="132" t="s">
        <v>27</v>
      </c>
      <c r="K34" s="133">
        <f>SUM(K7:K32)</f>
        <v>76516</v>
      </c>
      <c r="L34" s="221">
        <f>SUM(L7:L32)</f>
        <v>0</v>
      </c>
      <c r="M34" s="129">
        <f>SUM(M7:M32)</f>
        <v>1216920</v>
      </c>
      <c r="N34" s="164"/>
    </row>
    <row r="35" spans="1:14" ht="13.5" thickBot="1">
      <c r="A35" s="188"/>
      <c r="B35" s="189"/>
      <c r="C35" s="113">
        <f>C34/($C$34+$D$34+$E$34)</f>
        <v>0.9975880366618427</v>
      </c>
      <c r="D35" s="113">
        <f>D34/($C$34+$D$34+$E$34)</f>
        <v>2.41196333815726E-3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(17*1218+14*222)/1440*G42*2.77*1440/1000000</f>
        <v>85.454074251000023</v>
      </c>
      <c r="J37" s="134">
        <f>+I37+'17'!J37</f>
        <v>1292.3584373645745</v>
      </c>
      <c r="K37" s="135" t="s">
        <v>63</v>
      </c>
      <c r="L37" s="556">
        <f>+I38-L38</f>
        <v>71.067999999999998</v>
      </c>
    </row>
    <row r="38" spans="1:14" ht="17.45" customHeight="1">
      <c r="A38" s="1027" t="s">
        <v>11</v>
      </c>
      <c r="B38" s="1028"/>
      <c r="C38" s="173">
        <f>SUMIF($G$7:$G$31,"Process",$F$7:$F$31)</f>
        <v>7</v>
      </c>
      <c r="D38" s="127">
        <f>+C38+'17'!D38</f>
        <v>538</v>
      </c>
      <c r="E38" s="152">
        <f t="shared" ref="E38:E51" si="0">D38/60</f>
        <v>8.9666666666666668</v>
      </c>
      <c r="F38" s="337">
        <v>1300</v>
      </c>
      <c r="G38" s="337">
        <f>+F38-F38*0.0035</f>
        <v>1295.45</v>
      </c>
      <c r="H38" s="196" t="s">
        <v>64</v>
      </c>
      <c r="I38" s="548">
        <f>26.473+26.632+27.419</f>
        <v>80.524000000000001</v>
      </c>
      <c r="J38" s="136">
        <f>+I38+'17'!J38</f>
        <v>1246.7179999999998</v>
      </c>
      <c r="K38" s="137" t="s">
        <v>63</v>
      </c>
      <c r="L38" s="158">
        <f>3.177+3.177+3.102</f>
        <v>9.4559999999999995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+C39+'17'!D39</f>
        <v>0</v>
      </c>
      <c r="E39" s="152">
        <f t="shared" si="0"/>
        <v>0</v>
      </c>
      <c r="F39" s="337">
        <v>1300</v>
      </c>
      <c r="G39" s="337">
        <f>+F39-F39*0.0035</f>
        <v>1295.45</v>
      </c>
      <c r="H39" s="196" t="s">
        <v>65</v>
      </c>
      <c r="I39" s="151"/>
      <c r="J39" s="138">
        <f>J37/G4</f>
        <v>71.797690964698575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+C40+'17'!D40</f>
        <v>0</v>
      </c>
      <c r="E40" s="152">
        <f t="shared" si="0"/>
        <v>0</v>
      </c>
      <c r="F40" s="337">
        <v>1300</v>
      </c>
      <c r="G40" s="337">
        <f>+F40-F40*0.0035</f>
        <v>1295.45</v>
      </c>
      <c r="H40" s="196" t="s">
        <v>67</v>
      </c>
      <c r="I40" s="127">
        <f>(K34+L34)/1000</f>
        <v>76.516000000000005</v>
      </c>
      <c r="J40" s="140">
        <f>+I40+'17'!J40</f>
        <v>1216.92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+C41+'17'!D41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67.606666666666669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+C42+'17'!D42</f>
        <v>0</v>
      </c>
      <c r="E42" s="152">
        <f t="shared" si="0"/>
        <v>0</v>
      </c>
      <c r="F42" s="337">
        <f>+(F38*480+F39*480+F40*480)/1440</f>
        <v>1300</v>
      </c>
      <c r="G42" s="337">
        <f>+(G38*480+G39*480+G40*480)/1440</f>
        <v>1295.45</v>
      </c>
      <c r="H42" s="196" t="s">
        <v>70</v>
      </c>
      <c r="I42" s="254" t="s">
        <v>644</v>
      </c>
      <c r="J42" s="141"/>
      <c r="K42" s="139" t="s">
        <v>71</v>
      </c>
    </row>
    <row r="43" spans="1:14" ht="17.45" customHeight="1">
      <c r="A43" s="1023" t="s">
        <v>203</v>
      </c>
      <c r="B43" s="1024"/>
      <c r="C43" s="173">
        <f>SUMIF($G$7:$G$31,"Change GRade",$F$7:$F$31)</f>
        <v>0</v>
      </c>
      <c r="D43" s="127">
        <f>+C43+'17'!D43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+Report1!T26</f>
        <v>151.24699999999999</v>
      </c>
      <c r="J43" s="142">
        <f>+I43+'17'!J43</f>
        <v>2541.3349999999996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+C44+'17'!D44</f>
        <v>515</v>
      </c>
      <c r="E44" s="152">
        <f t="shared" si="0"/>
        <v>8.5833333333333339</v>
      </c>
      <c r="F44" s="337"/>
      <c r="G44" s="338"/>
      <c r="H44" s="197" t="s">
        <v>74</v>
      </c>
      <c r="I44" s="127">
        <f>I43/I38</f>
        <v>1.8782847349858425</v>
      </c>
      <c r="J44" s="143">
        <f>J43/J38</f>
        <v>2.0384200757508912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+C45+'17'!D45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1.9766715458204818</v>
      </c>
      <c r="J45" s="143">
        <f>J43/J40</f>
        <v>2.088333662032015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+C46+'17'!D46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+SUMIF(Listrik!AR25,"&gt;0")</f>
        <v>53373.779999999271</v>
      </c>
      <c r="J46" s="144">
        <f>+I46+'17'!J46</f>
        <v>989270.58000000007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+C47+'17'!D47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662.83070885697771</v>
      </c>
      <c r="J47" s="144">
        <f>J46/J38</f>
        <v>793.49987727778068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+C48+'17'!D48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697.55057765695108</v>
      </c>
      <c r="J48" s="144">
        <f>J46/J40</f>
        <v>812.92983926634452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+C49+'17'!D49</f>
        <v>0</v>
      </c>
      <c r="E49" s="152">
        <f t="shared" si="0"/>
        <v>0</v>
      </c>
      <c r="F49" s="194"/>
      <c r="H49" s="197" t="s">
        <v>82</v>
      </c>
      <c r="I49" s="127">
        <v>0</v>
      </c>
      <c r="J49" s="144">
        <f>+I49+'17'!J49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+C50+'17'!D50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+C51+'17'!D51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7</v>
      </c>
      <c r="D52" s="153">
        <f>SUM(D38:D51)</f>
        <v>1053</v>
      </c>
      <c r="E52" s="154">
        <f>SUM(E38:E51)</f>
        <v>17.55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4.8611111111111112E-3</v>
      </c>
      <c r="D53" s="155">
        <f>D52/(24*60*G4)</f>
        <v>4.0625000000000001E-2</v>
      </c>
      <c r="E53" s="156">
        <f>E52/(G4*24)</f>
        <v>4.0625000000000001E-2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+D34+'17'!J56</f>
        <v>6977</v>
      </c>
      <c r="K56" s="210">
        <f>J56/(J40+J56/1000)/1000</f>
        <v>5.700643109673444E-3</v>
      </c>
    </row>
    <row r="57" spans="1:11">
      <c r="A57" s="185"/>
      <c r="I57" s="208" t="s">
        <v>89</v>
      </c>
      <c r="J57" s="209">
        <f>+E34+'17'!J57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39:B39"/>
    <mergeCell ref="A24:A32"/>
    <mergeCell ref="I24:I31"/>
    <mergeCell ref="A34:B34"/>
    <mergeCell ref="A37:B37"/>
    <mergeCell ref="A7:A14"/>
    <mergeCell ref="I7:I13"/>
    <mergeCell ref="A15:A23"/>
    <mergeCell ref="I15:I22"/>
    <mergeCell ref="A38:B38"/>
    <mergeCell ref="A46:B46"/>
    <mergeCell ref="A51:B51"/>
    <mergeCell ref="A40:B40"/>
    <mergeCell ref="A41:B41"/>
    <mergeCell ref="A42:B42"/>
    <mergeCell ref="A43:B43"/>
    <mergeCell ref="A44:B44"/>
    <mergeCell ref="A45:B45"/>
    <mergeCell ref="A52:B52"/>
    <mergeCell ref="A53:B53"/>
    <mergeCell ref="A47:B47"/>
    <mergeCell ref="A48:B48"/>
    <mergeCell ref="A49:B49"/>
    <mergeCell ref="A50:B50"/>
  </mergeCells>
  <phoneticPr fontId="31" type="noConversion"/>
  <printOptions horizontalCentered="1"/>
  <pageMargins left="0.74791666666666667" right="0.74791666666666667" top="0.39027777777777778" bottom="0.39027777777777778" header="0" footer="0"/>
  <pageSetup paperSize="9" scale="62" firstPageNumber="4294963191" orientation="landscape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S61"/>
  <sheetViews>
    <sheetView topLeftCell="D16" zoomScale="80" zoomScaleNormal="80" workbookViewId="0">
      <selection activeCell="L39" sqref="L39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3.85546875" style="158" bestFit="1" customWidth="1"/>
    <col min="14" max="16384" width="9.140625" style="158"/>
  </cols>
  <sheetData>
    <row r="1" spans="1:19" ht="15.75">
      <c r="A1" s="157"/>
    </row>
    <row r="2" spans="1:19" ht="15.75">
      <c r="A2" s="157" t="s">
        <v>148</v>
      </c>
    </row>
    <row r="3" spans="1:19" ht="15">
      <c r="A3" s="159"/>
    </row>
    <row r="4" spans="1:19" ht="20.25">
      <c r="A4" s="160" t="s">
        <v>3</v>
      </c>
      <c r="B4" s="161"/>
      <c r="F4" s="162" t="s">
        <v>29</v>
      </c>
      <c r="G4" s="163">
        <v>17</v>
      </c>
      <c r="H4" s="163" t="str">
        <f>+'1'!H4</f>
        <v>.06.24</v>
      </c>
    </row>
    <row r="5" spans="1:19" ht="13.5" thickBot="1">
      <c r="C5" s="164"/>
      <c r="D5" s="164"/>
    </row>
    <row r="6" spans="1:19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229+180+211</f>
        <v>620</v>
      </c>
    </row>
    <row r="7" spans="1:19" ht="13.5" customHeight="1" thickBot="1">
      <c r="A7" s="1029" t="s">
        <v>435</v>
      </c>
      <c r="B7" s="224" t="s">
        <v>611</v>
      </c>
      <c r="C7" s="225">
        <f>7418+16107</f>
        <v>23525</v>
      </c>
      <c r="D7" s="226"/>
      <c r="E7" s="227"/>
      <c r="F7" s="236"/>
      <c r="G7" s="237" t="s">
        <v>11</v>
      </c>
      <c r="H7" s="238" t="s">
        <v>277</v>
      </c>
      <c r="I7" s="1032" t="s">
        <v>654</v>
      </c>
      <c r="J7" s="223" t="str">
        <f>+'16'!J7</f>
        <v>T 14 VP OW</v>
      </c>
      <c r="K7" s="246"/>
      <c r="L7" s="250"/>
      <c r="M7" s="126">
        <f>+K7+'16'!M7+L7</f>
        <v>62499</v>
      </c>
    </row>
    <row r="8" spans="1:19" ht="13.5" thickBot="1">
      <c r="A8" s="1030"/>
      <c r="B8" s="224" t="s">
        <v>615</v>
      </c>
      <c r="C8" s="225">
        <f>25969-C7</f>
        <v>2444</v>
      </c>
      <c r="D8" s="226"/>
      <c r="E8" s="228"/>
      <c r="F8" s="239"/>
      <c r="G8" s="240" t="s">
        <v>11</v>
      </c>
      <c r="H8" s="238" t="s">
        <v>591</v>
      </c>
      <c r="I8" s="1033"/>
      <c r="J8" s="223" t="str">
        <f>+'16'!J8</f>
        <v>T 15 VP OW</v>
      </c>
      <c r="K8" s="247"/>
      <c r="L8" s="247"/>
      <c r="M8" s="126">
        <f>+K8+'16'!M8+L8</f>
        <v>37584</v>
      </c>
      <c r="N8" s="158" t="s">
        <v>620</v>
      </c>
      <c r="O8" s="158">
        <v>1260</v>
      </c>
      <c r="P8" s="158">
        <f>+O8-O8*0.0035</f>
        <v>1255.5899999999999</v>
      </c>
      <c r="Q8" s="158">
        <f>60*4+30</f>
        <v>270</v>
      </c>
      <c r="R8" s="158">
        <f>+O8*Q8</f>
        <v>340200</v>
      </c>
      <c r="S8" s="158">
        <f>+P8*Q8</f>
        <v>339009.3</v>
      </c>
    </row>
    <row r="9" spans="1:19" ht="13.5" thickBot="1">
      <c r="A9" s="1030"/>
      <c r="B9" s="224"/>
      <c r="C9" s="225"/>
      <c r="D9" s="226"/>
      <c r="E9" s="229"/>
      <c r="F9" s="236">
        <v>3</v>
      </c>
      <c r="G9" s="240" t="s">
        <v>11</v>
      </c>
      <c r="H9" s="241" t="s">
        <v>455</v>
      </c>
      <c r="I9" s="1033"/>
      <c r="J9" s="223" t="str">
        <f>+'16'!J9</f>
        <v>T 12,5 VP OW</v>
      </c>
      <c r="K9" s="247"/>
      <c r="L9" s="247"/>
      <c r="M9" s="126">
        <f>+K9+'16'!M9+L9</f>
        <v>148332</v>
      </c>
      <c r="N9" s="158" t="s">
        <v>602</v>
      </c>
      <c r="O9" s="158">
        <v>1280</v>
      </c>
      <c r="P9" s="158">
        <f>+O9-O9*0.0035</f>
        <v>1275.52</v>
      </c>
      <c r="Q9" s="158">
        <f>480-Q8</f>
        <v>210</v>
      </c>
      <c r="R9" s="158">
        <f>+O9*Q9</f>
        <v>268800</v>
      </c>
      <c r="S9" s="158">
        <f>+P9*Q9</f>
        <v>267859.20000000001</v>
      </c>
    </row>
    <row r="10" spans="1:19" ht="26.25" thickBot="1">
      <c r="A10" s="1030"/>
      <c r="B10" s="224"/>
      <c r="C10" s="225"/>
      <c r="D10" s="226"/>
      <c r="E10" s="228"/>
      <c r="F10" s="236"/>
      <c r="G10" s="240"/>
      <c r="H10" s="241" t="s">
        <v>649</v>
      </c>
      <c r="I10" s="1033"/>
      <c r="J10" s="223" t="str">
        <f>+'16'!J10</f>
        <v>T 12 VP OW</v>
      </c>
      <c r="K10" s="247"/>
      <c r="L10" s="247"/>
      <c r="M10" s="126">
        <f>+K10+'16'!M10+L10</f>
        <v>25679</v>
      </c>
    </row>
    <row r="11" spans="1:19" ht="13.5" thickBot="1">
      <c r="A11" s="1030"/>
      <c r="B11" s="224"/>
      <c r="C11" s="225"/>
      <c r="D11" s="226"/>
      <c r="E11" s="228"/>
      <c r="F11" s="236"/>
      <c r="G11" s="240"/>
      <c r="H11" s="241" t="s">
        <v>651</v>
      </c>
      <c r="I11" s="1033"/>
      <c r="J11" s="223" t="str">
        <f>+'16'!J11</f>
        <v>F 12 VP OW</v>
      </c>
      <c r="K11" s="247"/>
      <c r="L11" s="247"/>
      <c r="M11" s="126">
        <f>+K11+'16'!M11+L11</f>
        <v>30353</v>
      </c>
    </row>
    <row r="12" spans="1:19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+'16'!J12</f>
        <v>F 13 VP OW</v>
      </c>
      <c r="K12" s="247"/>
      <c r="L12" s="247"/>
      <c r="M12" s="126">
        <f>+K12+'16'!M12+L12</f>
        <v>149460</v>
      </c>
    </row>
    <row r="13" spans="1:19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+'16'!J13</f>
        <v>F 13,5 VP OW</v>
      </c>
      <c r="K13" s="247"/>
      <c r="L13" s="247"/>
      <c r="M13" s="126">
        <f>+K13+'16'!M13+L13</f>
        <v>11138</v>
      </c>
    </row>
    <row r="14" spans="1:19" ht="13.5" thickBot="1">
      <c r="A14" s="1031"/>
      <c r="B14" s="174" t="s">
        <v>2</v>
      </c>
      <c r="C14" s="108">
        <f>SUM(C7:C13)</f>
        <v>25969</v>
      </c>
      <c r="D14" s="120">
        <f>SUM(D7:D13)</f>
        <v>0</v>
      </c>
      <c r="E14" s="121">
        <f>SUM(E5:E13)</f>
        <v>0</v>
      </c>
      <c r="F14" s="125">
        <f>SUM(F7:F13)</f>
        <v>3</v>
      </c>
      <c r="G14" s="168"/>
      <c r="H14" s="175"/>
      <c r="I14" s="176"/>
      <c r="J14" s="223" t="str">
        <f>+'16'!J14</f>
        <v>F 12,5 VP OW</v>
      </c>
      <c r="K14" s="247"/>
      <c r="L14" s="247"/>
      <c r="M14" s="126">
        <f>+K14+'16'!M14+L14</f>
        <v>73203</v>
      </c>
    </row>
    <row r="15" spans="1:19" ht="13.5" customHeight="1" thickBot="1">
      <c r="A15" s="1035" t="s">
        <v>646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655</v>
      </c>
      <c r="J15" s="223" t="str">
        <f>+'16'!J15</f>
        <v>MG 14 VP OW</v>
      </c>
      <c r="K15" s="247"/>
      <c r="L15" s="247"/>
      <c r="M15" s="126">
        <f>+K15+'16'!M15+L15</f>
        <v>19551</v>
      </c>
    </row>
    <row r="16" spans="1:19" ht="13.5" thickBot="1">
      <c r="A16" s="1030"/>
      <c r="B16" s="224" t="s">
        <v>611</v>
      </c>
      <c r="C16" s="230">
        <f>1322+2874</f>
        <v>4196</v>
      </c>
      <c r="D16" s="231"/>
      <c r="E16" s="232"/>
      <c r="F16" s="236"/>
      <c r="G16" s="240" t="s">
        <v>11</v>
      </c>
      <c r="H16" s="238" t="s">
        <v>591</v>
      </c>
      <c r="I16" s="1033"/>
      <c r="J16" s="223" t="str">
        <f>+'16'!J16</f>
        <v>MG 17 VP OW/HW</v>
      </c>
      <c r="K16" s="247">
        <f>+C8+C17+C25</f>
        <v>55118</v>
      </c>
      <c r="L16" s="237"/>
      <c r="M16" s="126">
        <f>+K16+'16'!M16+L16</f>
        <v>244149</v>
      </c>
      <c r="Q16" s="185">
        <f>SUM(Q8:Q13)</f>
        <v>480</v>
      </c>
      <c r="R16" s="185">
        <f>SUM(R8:R13)</f>
        <v>609000</v>
      </c>
      <c r="S16" s="185">
        <f>SUM(S8:S13)</f>
        <v>606868.5</v>
      </c>
    </row>
    <row r="17" spans="1:19" ht="13.5" thickBot="1">
      <c r="A17" s="1030"/>
      <c r="B17" s="224" t="s">
        <v>615</v>
      </c>
      <c r="C17" s="225">
        <f>27076-C16</f>
        <v>22880</v>
      </c>
      <c r="D17" s="226">
        <v>219</v>
      </c>
      <c r="E17" s="233"/>
      <c r="F17" s="236">
        <v>3</v>
      </c>
      <c r="G17" s="240" t="s">
        <v>11</v>
      </c>
      <c r="H17" s="241" t="s">
        <v>455</v>
      </c>
      <c r="I17" s="1033"/>
      <c r="J17" s="223" t="str">
        <f>+'16'!J17</f>
        <v>MG 16 VP HW</v>
      </c>
      <c r="K17" s="247">
        <f>+C7+C16</f>
        <v>27721</v>
      </c>
      <c r="L17" s="237"/>
      <c r="M17" s="126">
        <f>+K17+'16'!M17+L17</f>
        <v>338456</v>
      </c>
      <c r="Q17" s="158">
        <f>480-Q16</f>
        <v>0</v>
      </c>
      <c r="R17" s="185">
        <f>+R16/Q16</f>
        <v>1268.75</v>
      </c>
      <c r="S17" s="185">
        <f>+S16/Q16</f>
        <v>1264.309375</v>
      </c>
    </row>
    <row r="18" spans="1:19" ht="39" thickBot="1">
      <c r="A18" s="1030"/>
      <c r="B18" s="224"/>
      <c r="C18" s="225"/>
      <c r="D18" s="226"/>
      <c r="E18" s="233"/>
      <c r="F18" s="236"/>
      <c r="G18" s="240"/>
      <c r="H18" s="241" t="s">
        <v>647</v>
      </c>
      <c r="I18" s="1033"/>
      <c r="J18" s="223">
        <f>+'16'!J18</f>
        <v>0</v>
      </c>
      <c r="K18" s="247"/>
      <c r="L18" s="247"/>
      <c r="M18" s="126">
        <f>+K18+'16'!M18+L18</f>
        <v>0</v>
      </c>
      <c r="N18" s="158" t="s">
        <v>602</v>
      </c>
      <c r="O18" s="158">
        <v>1280</v>
      </c>
      <c r="P18" s="158">
        <f>+O18-O18*0.0035</f>
        <v>1275.52</v>
      </c>
      <c r="Q18" s="158">
        <v>480</v>
      </c>
      <c r="R18" s="158">
        <f>+O18*Q18</f>
        <v>614400</v>
      </c>
      <c r="S18" s="158">
        <f>+P18*Q18</f>
        <v>612249.59999999998</v>
      </c>
    </row>
    <row r="19" spans="1:19" ht="13.5" thickBot="1">
      <c r="A19" s="1030"/>
      <c r="B19" s="224"/>
      <c r="C19" s="225"/>
      <c r="D19" s="226"/>
      <c r="E19" s="233"/>
      <c r="F19" s="243"/>
      <c r="G19" s="240"/>
      <c r="H19" s="241" t="s">
        <v>648</v>
      </c>
      <c r="I19" s="1033"/>
      <c r="J19" s="223">
        <f>+'16'!J19</f>
        <v>0</v>
      </c>
      <c r="K19" s="247"/>
      <c r="L19" s="247"/>
      <c r="M19" s="126">
        <f>+K19+'16'!M19+L19</f>
        <v>0</v>
      </c>
    </row>
    <row r="20" spans="1:19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+'16'!J20</f>
        <v>0</v>
      </c>
      <c r="K20" s="248"/>
      <c r="L20" s="248"/>
      <c r="M20" s="126">
        <f>+K20+'16'!M20+L20</f>
        <v>0</v>
      </c>
    </row>
    <row r="21" spans="1:19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+'16'!J21</f>
        <v>0</v>
      </c>
      <c r="K21" s="247"/>
      <c r="L21" s="247"/>
      <c r="M21" s="126">
        <f>+K21+'16'!M21+L21</f>
        <v>0</v>
      </c>
    </row>
    <row r="22" spans="1:19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+'16'!J22</f>
        <v>0</v>
      </c>
      <c r="K22" s="247"/>
      <c r="L22" s="247"/>
      <c r="M22" s="126">
        <f>+K22+'16'!M22+L22</f>
        <v>0</v>
      </c>
    </row>
    <row r="23" spans="1:19" ht="13.5" thickBot="1">
      <c r="A23" s="1031"/>
      <c r="B23" s="177" t="s">
        <v>2</v>
      </c>
      <c r="C23" s="109">
        <f>SUM(C16:C22)</f>
        <v>27076</v>
      </c>
      <c r="D23" s="120">
        <f>SUM(D16:D22)</f>
        <v>219</v>
      </c>
      <c r="E23" s="121">
        <f>SUM(E18:E22)</f>
        <v>0</v>
      </c>
      <c r="F23" s="125">
        <f>SUM(F15:F22)</f>
        <v>3</v>
      </c>
      <c r="G23" s="168"/>
      <c r="H23" s="175" t="s">
        <v>234</v>
      </c>
      <c r="I23" s="178"/>
      <c r="J23" s="223">
        <f>+'16'!J23</f>
        <v>0</v>
      </c>
      <c r="K23" s="247"/>
      <c r="L23" s="247"/>
      <c r="M23" s="126">
        <f>+K23+'16'!M23+L23</f>
        <v>0</v>
      </c>
    </row>
    <row r="24" spans="1:19" ht="13.5" customHeight="1" thickBot="1">
      <c r="A24" s="1035" t="s">
        <v>434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655</v>
      </c>
      <c r="J24" s="223">
        <f>+'16'!J24</f>
        <v>0</v>
      </c>
      <c r="K24" s="247"/>
      <c r="L24" s="247"/>
      <c r="M24" s="126">
        <f>+K24+'16'!M24+L24</f>
        <v>0</v>
      </c>
    </row>
    <row r="25" spans="1:19" ht="13.5" thickBot="1">
      <c r="A25" s="1030"/>
      <c r="B25" s="224" t="s">
        <v>615</v>
      </c>
      <c r="C25" s="234">
        <v>29794</v>
      </c>
      <c r="D25" s="226">
        <v>274</v>
      </c>
      <c r="E25" s="233"/>
      <c r="F25" s="239"/>
      <c r="G25" s="240" t="s">
        <v>11</v>
      </c>
      <c r="H25" s="238" t="s">
        <v>591</v>
      </c>
      <c r="I25" s="1033"/>
      <c r="J25" s="223">
        <f>+'16'!J25</f>
        <v>0</v>
      </c>
      <c r="K25" s="247"/>
      <c r="L25" s="247"/>
      <c r="M25" s="126">
        <f>+K25+'16'!M25+L25</f>
        <v>0</v>
      </c>
    </row>
    <row r="26" spans="1:19" ht="13.5" thickBot="1">
      <c r="A26" s="1030"/>
      <c r="B26" s="224"/>
      <c r="C26" s="234"/>
      <c r="D26" s="226"/>
      <c r="E26" s="235"/>
      <c r="F26" s="239">
        <v>5</v>
      </c>
      <c r="G26" s="240" t="s">
        <v>11</v>
      </c>
      <c r="H26" s="241" t="s">
        <v>455</v>
      </c>
      <c r="I26" s="1033"/>
      <c r="J26" s="223">
        <f>+'16'!J26</f>
        <v>0</v>
      </c>
      <c r="K26" s="247"/>
      <c r="L26" s="247"/>
      <c r="M26" s="126">
        <f>+K26+'16'!M26+L26</f>
        <v>0</v>
      </c>
      <c r="Q26" s="185">
        <f>SUM(Q18:Q23)</f>
        <v>480</v>
      </c>
      <c r="R26" s="185">
        <f>SUM(R18:R23)</f>
        <v>614400</v>
      </c>
      <c r="S26" s="185">
        <f>SUM(S18:S23)</f>
        <v>612249.59999999998</v>
      </c>
    </row>
    <row r="27" spans="1:19" ht="26.25" thickBot="1">
      <c r="A27" s="1030"/>
      <c r="B27" s="224"/>
      <c r="C27" s="225"/>
      <c r="D27" s="226"/>
      <c r="E27" s="233"/>
      <c r="F27" s="239"/>
      <c r="G27" s="240"/>
      <c r="H27" s="241" t="s">
        <v>650</v>
      </c>
      <c r="I27" s="1033"/>
      <c r="J27" s="223">
        <f>+'16'!J27</f>
        <v>0</v>
      </c>
      <c r="K27" s="247"/>
      <c r="L27" s="247"/>
      <c r="M27" s="126">
        <f>+K27+'16'!M27+L27</f>
        <v>0</v>
      </c>
      <c r="Q27" s="158">
        <f>480-Q26</f>
        <v>0</v>
      </c>
      <c r="R27" s="185">
        <f>+R26/Q26</f>
        <v>1280</v>
      </c>
      <c r="S27" s="185">
        <f>+S26/Q26</f>
        <v>1275.52</v>
      </c>
    </row>
    <row r="28" spans="1:19" ht="13.5" thickBot="1">
      <c r="A28" s="1030"/>
      <c r="B28" s="224"/>
      <c r="C28" s="225"/>
      <c r="D28" s="226"/>
      <c r="E28" s="233"/>
      <c r="F28" s="239"/>
      <c r="G28" s="240"/>
      <c r="H28" s="241"/>
      <c r="I28" s="1033"/>
      <c r="J28" s="223">
        <f>+'16'!J28</f>
        <v>0</v>
      </c>
      <c r="K28" s="247"/>
      <c r="L28" s="247"/>
      <c r="M28" s="126">
        <f>+K28+'16'!M28+L28</f>
        <v>0</v>
      </c>
    </row>
    <row r="29" spans="1:19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+'16'!J29</f>
        <v>0</v>
      </c>
      <c r="K29" s="247"/>
      <c r="L29" s="247"/>
      <c r="M29" s="126">
        <f>+K29+'16'!M29+L29</f>
        <v>0</v>
      </c>
      <c r="N29" s="158" t="s">
        <v>602</v>
      </c>
      <c r="O29" s="158">
        <v>1280</v>
      </c>
      <c r="P29" s="158">
        <f>+O29-O29*0.0035</f>
        <v>1275.52</v>
      </c>
      <c r="Q29" s="158">
        <v>480</v>
      </c>
      <c r="R29" s="158">
        <f>+O29*Q29</f>
        <v>614400</v>
      </c>
      <c r="S29" s="158">
        <f>+P29*Q29</f>
        <v>612249.59999999998</v>
      </c>
    </row>
    <row r="30" spans="1:19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+'16'!J30</f>
        <v>0</v>
      </c>
      <c r="K30" s="247"/>
      <c r="L30" s="247"/>
      <c r="M30" s="126">
        <f>+K30+'16'!M30+L30</f>
        <v>0</v>
      </c>
    </row>
    <row r="31" spans="1:19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+'16'!J31</f>
        <v>0</v>
      </c>
      <c r="K31" s="247"/>
      <c r="L31" s="247"/>
      <c r="M31" s="126">
        <f>+K31+'16'!M31+L31</f>
        <v>0</v>
      </c>
    </row>
    <row r="32" spans="1:19" ht="13.5" thickBot="1">
      <c r="A32" s="1031"/>
      <c r="B32" s="174" t="s">
        <v>2</v>
      </c>
      <c r="C32" s="108">
        <f>SUM(C25:C31)</f>
        <v>29794</v>
      </c>
      <c r="D32" s="109">
        <f>SUM(D25:D31)</f>
        <v>274</v>
      </c>
      <c r="E32" s="110">
        <f>SUM(E25:E31)</f>
        <v>0</v>
      </c>
      <c r="F32" s="111">
        <f>SUM(F24:F31)</f>
        <v>5</v>
      </c>
      <c r="G32" s="180"/>
      <c r="H32" s="181"/>
      <c r="I32" s="178"/>
      <c r="J32" s="223">
        <f>+'16'!J32</f>
        <v>0</v>
      </c>
      <c r="K32" s="249"/>
      <c r="L32" s="251"/>
      <c r="M32" s="126">
        <f>+K32+'16'!M32+L32</f>
        <v>0</v>
      </c>
    </row>
    <row r="33" spans="1:19" ht="13.5" thickBot="1">
      <c r="A33" s="182"/>
      <c r="B33" s="183"/>
      <c r="C33" s="112">
        <f>C32/($C$32+$D$32+$E$32)</f>
        <v>0.99088732206997476</v>
      </c>
      <c r="D33" s="113">
        <f>D32/($C$32+$D$32+$E$32)</f>
        <v>9.1126779300252769E-3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9" ht="13.5" thickBot="1">
      <c r="A34" s="1036" t="s">
        <v>57</v>
      </c>
      <c r="B34" s="1037"/>
      <c r="C34" s="116">
        <f>C14+C23+C32</f>
        <v>82839</v>
      </c>
      <c r="D34" s="116">
        <f>D14+D23+D32</f>
        <v>493</v>
      </c>
      <c r="E34" s="116">
        <f>E14+E23+E32</f>
        <v>0</v>
      </c>
      <c r="F34" s="117">
        <f>F14+F23+F32</f>
        <v>11</v>
      </c>
      <c r="H34" s="187"/>
      <c r="I34" s="187"/>
      <c r="J34" s="132" t="s">
        <v>27</v>
      </c>
      <c r="K34" s="133">
        <f>SUM(K7:K32)</f>
        <v>82839</v>
      </c>
      <c r="L34" s="221">
        <f>SUM(L7:L32)</f>
        <v>0</v>
      </c>
      <c r="M34" s="129">
        <f>SUM(M7:M32)</f>
        <v>1140404</v>
      </c>
    </row>
    <row r="35" spans="1:19" ht="13.5" thickBot="1">
      <c r="A35" s="188"/>
      <c r="B35" s="189"/>
      <c r="C35" s="113">
        <f>C34/($C$34+$D$34+$E$34)</f>
        <v>0.99408390534248547</v>
      </c>
      <c r="D35" s="113">
        <f>D34/($C$34+$D$34+$E$34)</f>
        <v>5.9160946575145205E-3</v>
      </c>
      <c r="E35" s="118">
        <f>E34/($C$34+$D$34+$E$34)</f>
        <v>0</v>
      </c>
      <c r="K35" s="164"/>
    </row>
    <row r="36" spans="1:19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9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(16*270+17*1170)/1440*G42*2.77*1440/1000000</f>
        <v>85.28793839381251</v>
      </c>
      <c r="J37" s="134">
        <f>+I37+'16'!J37</f>
        <v>1206.9043631135744</v>
      </c>
      <c r="K37" s="135" t="s">
        <v>63</v>
      </c>
      <c r="L37" s="158">
        <f>26.426-3.652-3.674-3.67</f>
        <v>15.429999999999998</v>
      </c>
      <c r="Q37" s="185">
        <f>SUM(Q29:Q34)</f>
        <v>480</v>
      </c>
      <c r="R37" s="185">
        <f>SUM(R29:R34)</f>
        <v>614400</v>
      </c>
      <c r="S37" s="185">
        <f>SUM(S29:S34)</f>
        <v>612249.59999999998</v>
      </c>
    </row>
    <row r="38" spans="1:19" ht="17.45" customHeight="1">
      <c r="A38" s="1027" t="s">
        <v>11</v>
      </c>
      <c r="B38" s="1028"/>
      <c r="C38" s="173">
        <f>SUMIF($G$7:$G$31,"Process",$F$7:$F$31)</f>
        <v>11</v>
      </c>
      <c r="D38" s="127">
        <f>+C38+'16'!D38</f>
        <v>531</v>
      </c>
      <c r="E38" s="152">
        <f t="shared" ref="E38:E51" si="0">D38/60</f>
        <v>8.85</v>
      </c>
      <c r="F38" s="337">
        <v>1268.75</v>
      </c>
      <c r="G38" s="337">
        <v>1264.309375</v>
      </c>
      <c r="H38" s="196" t="s">
        <v>64</v>
      </c>
      <c r="I38" s="548">
        <f>26.426+27.186+27.859</f>
        <v>81.471000000000004</v>
      </c>
      <c r="J38" s="136">
        <f>+I38+'16'!J38</f>
        <v>1166.194</v>
      </c>
      <c r="K38" s="137" t="s">
        <v>63</v>
      </c>
      <c r="L38" s="556">
        <f>+I38-L37</f>
        <v>66.041000000000011</v>
      </c>
      <c r="Q38" s="158">
        <f>480-Q37</f>
        <v>0</v>
      </c>
      <c r="R38" s="185">
        <f>+R37/Q37</f>
        <v>1280</v>
      </c>
      <c r="S38" s="185">
        <f>+S37/Q37</f>
        <v>1275.52</v>
      </c>
    </row>
    <row r="39" spans="1:19" ht="17.45" customHeight="1">
      <c r="A39" s="1023" t="s">
        <v>12</v>
      </c>
      <c r="B39" s="1024"/>
      <c r="C39" s="173">
        <f>SUMIF($G$7:$G$31,"Cleaning",$F$7:$F$31)</f>
        <v>0</v>
      </c>
      <c r="D39" s="127">
        <f>+C39+'16'!D39</f>
        <v>0</v>
      </c>
      <c r="E39" s="152">
        <f t="shared" si="0"/>
        <v>0</v>
      </c>
      <c r="F39" s="337">
        <v>1280</v>
      </c>
      <c r="G39" s="337">
        <v>1275.52</v>
      </c>
      <c r="H39" s="196" t="s">
        <v>65</v>
      </c>
      <c r="I39" s="151"/>
      <c r="J39" s="138">
        <f>J37/G4</f>
        <v>70.994374300798498</v>
      </c>
      <c r="K39" s="139" t="s">
        <v>63</v>
      </c>
      <c r="N39" s="158" t="s">
        <v>620</v>
      </c>
      <c r="O39" s="158">
        <v>1260</v>
      </c>
      <c r="P39" s="158">
        <v>1255.5899999999999</v>
      </c>
      <c r="Q39" s="158">
        <v>270</v>
      </c>
    </row>
    <row r="40" spans="1:19" ht="17.45" customHeight="1">
      <c r="A40" s="1023" t="s">
        <v>66</v>
      </c>
      <c r="B40" s="1024"/>
      <c r="C40" s="173">
        <f>SUMIF($G$7:$G$31,"Mechanical",$F$7:$F$31)</f>
        <v>0</v>
      </c>
      <c r="D40" s="127">
        <f>+C40+'16'!D40</f>
        <v>0</v>
      </c>
      <c r="E40" s="152">
        <f t="shared" si="0"/>
        <v>0</v>
      </c>
      <c r="F40" s="337">
        <v>1280</v>
      </c>
      <c r="G40" s="337">
        <v>1275.52</v>
      </c>
      <c r="H40" s="196" t="s">
        <v>67</v>
      </c>
      <c r="I40" s="127">
        <f>(K34+L34)/1000</f>
        <v>82.838999999999999</v>
      </c>
      <c r="J40" s="140">
        <f>+I40+'16'!J40</f>
        <v>1140.404</v>
      </c>
      <c r="K40" s="139" t="s">
        <v>63</v>
      </c>
      <c r="N40" s="158" t="s">
        <v>602</v>
      </c>
      <c r="O40" s="158">
        <v>1280</v>
      </c>
      <c r="P40" s="158">
        <v>1275.52</v>
      </c>
      <c r="Q40" s="158">
        <f>210+480+480</f>
        <v>1170</v>
      </c>
    </row>
    <row r="41" spans="1:19" ht="17.45" customHeight="1">
      <c r="A41" s="1023" t="s">
        <v>68</v>
      </c>
      <c r="B41" s="1024"/>
      <c r="C41" s="173">
        <f>SUMIF($G$7:$G$31,"Electrical",$F$7:$F$31)</f>
        <v>0</v>
      </c>
      <c r="D41" s="127">
        <f>+C41+'16'!D41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67.082588235294111</v>
      </c>
      <c r="K41" s="139" t="s">
        <v>63</v>
      </c>
      <c r="Q41" s="158">
        <f>+Q39+Q40</f>
        <v>1440</v>
      </c>
    </row>
    <row r="42" spans="1:19" ht="17.45" customHeight="1">
      <c r="A42" s="1023" t="s">
        <v>15</v>
      </c>
      <c r="B42" s="1024"/>
      <c r="C42" s="173">
        <f>SUMIF($G$7:$G$31,"Instrument",$F$7:$F$31)</f>
        <v>0</v>
      </c>
      <c r="D42" s="127">
        <f>+C42+'16'!D42</f>
        <v>0</v>
      </c>
      <c r="E42" s="152">
        <f t="shared" si="0"/>
        <v>0</v>
      </c>
      <c r="F42" s="337">
        <f>+(480*F38+480*F39+480*F40)/1440</f>
        <v>1276.25</v>
      </c>
      <c r="G42" s="337">
        <f>+(480*G38+480*G39+480*G40)/1440</f>
        <v>1271.7831250000002</v>
      </c>
      <c r="H42" s="196" t="s">
        <v>70</v>
      </c>
      <c r="I42" s="254" t="s">
        <v>652</v>
      </c>
      <c r="J42" s="141"/>
      <c r="K42" s="139" t="s">
        <v>71</v>
      </c>
    </row>
    <row r="43" spans="1:19" ht="17.45" customHeight="1">
      <c r="A43" s="1023" t="s">
        <v>203</v>
      </c>
      <c r="B43" s="1024"/>
      <c r="C43" s="173">
        <f>SUMIF($G$7:$G$31,"Change Grade",$F$7:$F$31)</f>
        <v>0</v>
      </c>
      <c r="D43" s="127">
        <f>+C43+'16'!D43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+Report1!T25</f>
        <v>155.52799999999999</v>
      </c>
      <c r="J43" s="142">
        <f>+I43+'16'!J43</f>
        <v>2390.0879999999997</v>
      </c>
      <c r="K43" s="139" t="s">
        <v>63</v>
      </c>
      <c r="L43" s="198"/>
    </row>
    <row r="44" spans="1:19" ht="17.45" customHeight="1">
      <c r="A44" s="1023" t="s">
        <v>16</v>
      </c>
      <c r="B44" s="1024"/>
      <c r="C44" s="173">
        <f>SUMIF($G$7:$G$31,"PLN",$F$7:$F$31)</f>
        <v>0</v>
      </c>
      <c r="D44" s="127">
        <f>+C44+'16'!D44</f>
        <v>515</v>
      </c>
      <c r="E44" s="152">
        <f t="shared" si="0"/>
        <v>8.5833333333333339</v>
      </c>
      <c r="F44" s="337"/>
      <c r="G44" s="338"/>
      <c r="H44" s="197" t="s">
        <v>74</v>
      </c>
      <c r="I44" s="127">
        <f>I43/I38</f>
        <v>1.9089982938714387</v>
      </c>
      <c r="J44" s="143">
        <f>J43/J38</f>
        <v>2.0494771881865281</v>
      </c>
      <c r="K44" s="139" t="s">
        <v>63</v>
      </c>
    </row>
    <row r="45" spans="1:19" ht="17.45" customHeight="1">
      <c r="A45" s="1023" t="s">
        <v>17</v>
      </c>
      <c r="B45" s="1024"/>
      <c r="C45" s="173">
        <f>SUMIF($G$7:$G$31,"Boiler",$F$7:$F$31)</f>
        <v>0</v>
      </c>
      <c r="D45" s="127">
        <f>+C45+'16'!D45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1.877473170849479</v>
      </c>
      <c r="J45" s="143">
        <f>J43/J40</f>
        <v>2.0958256898432484</v>
      </c>
      <c r="K45" s="139" t="s">
        <v>63</v>
      </c>
    </row>
    <row r="46" spans="1:19" ht="17.45" customHeight="1">
      <c r="A46" s="1023" t="s">
        <v>76</v>
      </c>
      <c r="B46" s="1024"/>
      <c r="C46" s="173">
        <f>SUMIF($G$7:$G$31,"Gas",$F$7:$F$31)</f>
        <v>0</v>
      </c>
      <c r="D46" s="127">
        <f>+C46+'16'!D46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+SUMIF(Listrik!AR24,"&gt;0")</f>
        <v>56579.839999998316</v>
      </c>
      <c r="J46" s="144">
        <f>+I46+'16'!J46</f>
        <v>935896.80000000075</v>
      </c>
      <c r="K46" s="139" t="s">
        <v>78</v>
      </c>
    </row>
    <row r="47" spans="1:19" ht="17.45" customHeight="1">
      <c r="A47" s="1023" t="s">
        <v>79</v>
      </c>
      <c r="B47" s="1024"/>
      <c r="C47" s="173">
        <f>SUMIF($G$7:$G$31,"Gas",$F$7:$F$31)</f>
        <v>0</v>
      </c>
      <c r="D47" s="127">
        <f>+C47+'16'!D47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694.47828061516748</v>
      </c>
      <c r="J47" s="144">
        <f>J46/J38</f>
        <v>802.52239335822412</v>
      </c>
      <c r="K47" s="139" t="s">
        <v>23</v>
      </c>
    </row>
    <row r="48" spans="1:19" ht="17.45" customHeight="1">
      <c r="A48" s="1023" t="s">
        <v>13</v>
      </c>
      <c r="B48" s="1024"/>
      <c r="C48" s="173">
        <f>SUMIF($G$7:$G$31,"Start Up",$F$7:$F$31)</f>
        <v>0</v>
      </c>
      <c r="D48" s="127">
        <f>+C48+'16'!D48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683.00969350183266</v>
      </c>
      <c r="J48" s="144">
        <f>J46/J40</f>
        <v>820.67127088295092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+C49+'16'!D49</f>
        <v>0</v>
      </c>
      <c r="E49" s="152">
        <f t="shared" si="0"/>
        <v>0</v>
      </c>
      <c r="F49" s="194"/>
      <c r="H49" s="197" t="s">
        <v>82</v>
      </c>
      <c r="I49" s="127">
        <v>0</v>
      </c>
      <c r="J49" s="144">
        <f>+I49+'16'!J49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+C50+'16'!D50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+C51+'16'!D51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11</v>
      </c>
      <c r="D52" s="153">
        <f>SUM(D38:D51)</f>
        <v>1046</v>
      </c>
      <c r="E52" s="154">
        <f>SUM(E38:E51)</f>
        <v>17.433333333333334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7.6388888888888886E-3</v>
      </c>
      <c r="D53" s="155">
        <f>D52/(24*60*G4)</f>
        <v>4.2728758169934641E-2</v>
      </c>
      <c r="E53" s="156">
        <f>E52/(G4*24)</f>
        <v>4.2728758169934641E-2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+D34+'16'!J56</f>
        <v>6792</v>
      </c>
      <c r="K56" s="210">
        <f>J56/(J40+J56/1000)/1000</f>
        <v>5.9205227354349223E-3</v>
      </c>
    </row>
    <row r="57" spans="1:11">
      <c r="A57" s="185"/>
      <c r="I57" s="208" t="s">
        <v>89</v>
      </c>
      <c r="J57" s="209">
        <f>+E34+'16'!J57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1:B41"/>
    <mergeCell ref="A7:A14"/>
    <mergeCell ref="I7:I13"/>
    <mergeCell ref="A15:A23"/>
    <mergeCell ref="I15:I22"/>
    <mergeCell ref="A34:B34"/>
    <mergeCell ref="A37:B37"/>
    <mergeCell ref="A38:B38"/>
    <mergeCell ref="I24:I31"/>
    <mergeCell ref="A24:A32"/>
    <mergeCell ref="A39:B39"/>
    <mergeCell ref="A40:B40"/>
    <mergeCell ref="A42:B42"/>
    <mergeCell ref="A43:B43"/>
    <mergeCell ref="A44:B44"/>
    <mergeCell ref="A45:B45"/>
    <mergeCell ref="A46:B46"/>
    <mergeCell ref="A52:B52"/>
    <mergeCell ref="A53:B53"/>
    <mergeCell ref="A47:B47"/>
    <mergeCell ref="A48:B48"/>
    <mergeCell ref="A49:B49"/>
    <mergeCell ref="A50:B50"/>
    <mergeCell ref="A51:B51"/>
  </mergeCells>
  <phoneticPr fontId="31" type="noConversion"/>
  <printOptions horizontalCentered="1"/>
  <pageMargins left="0.74791666666666667" right="0.74791666666666667" top="0.39027777777777778" bottom="0.39027777777777778" header="0" footer="0"/>
  <pageSetup paperSize="9" scale="62" firstPageNumber="4294963191" orientation="landscape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O61"/>
  <sheetViews>
    <sheetView topLeftCell="C1" zoomScale="80" zoomScaleNormal="80" workbookViewId="0">
      <selection activeCell="O8" sqref="O8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2.140625" style="158" customWidth="1"/>
    <col min="14" max="16384" width="9.140625" style="158"/>
  </cols>
  <sheetData>
    <row r="1" spans="1:15" ht="15.75">
      <c r="A1" s="157"/>
    </row>
    <row r="2" spans="1:15" ht="15.75">
      <c r="A2" s="157" t="s">
        <v>148</v>
      </c>
    </row>
    <row r="3" spans="1:15" ht="15">
      <c r="A3" s="159"/>
    </row>
    <row r="4" spans="1:15" ht="20.25">
      <c r="A4" s="160" t="s">
        <v>3</v>
      </c>
      <c r="B4" s="161"/>
      <c r="F4" s="162" t="s">
        <v>29</v>
      </c>
      <c r="G4" s="163">
        <v>16</v>
      </c>
      <c r="H4" s="163" t="str">
        <f>+'1'!H4</f>
        <v>.06.24</v>
      </c>
    </row>
    <row r="5" spans="1:15" ht="13.5" thickBot="1">
      <c r="C5" s="164"/>
      <c r="D5" s="164"/>
    </row>
    <row r="6" spans="1:15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180+230+215</f>
        <v>625</v>
      </c>
    </row>
    <row r="7" spans="1:15" ht="13.5" customHeight="1" thickBot="1">
      <c r="A7" s="1029" t="s">
        <v>435</v>
      </c>
      <c r="B7" s="224" t="s">
        <v>611</v>
      </c>
      <c r="C7" s="225">
        <v>26186</v>
      </c>
      <c r="D7" s="226">
        <v>173</v>
      </c>
      <c r="E7" s="227"/>
      <c r="F7" s="236"/>
      <c r="G7" s="237" t="s">
        <v>11</v>
      </c>
      <c r="H7" s="238" t="s">
        <v>277</v>
      </c>
      <c r="I7" s="1032" t="s">
        <v>644</v>
      </c>
      <c r="J7" s="223" t="str">
        <f>+'15'!J7</f>
        <v>T 14 VP OW</v>
      </c>
      <c r="K7" s="246"/>
      <c r="L7" s="250"/>
      <c r="M7" s="126">
        <f>+K7+'15'!M7+L7</f>
        <v>62499</v>
      </c>
    </row>
    <row r="8" spans="1:15" ht="13.5" thickBot="1">
      <c r="A8" s="1030"/>
      <c r="B8" s="224"/>
      <c r="C8" s="225"/>
      <c r="D8" s="226"/>
      <c r="E8" s="228"/>
      <c r="F8" s="239"/>
      <c r="G8" s="240" t="s">
        <v>11</v>
      </c>
      <c r="H8" s="238" t="s">
        <v>591</v>
      </c>
      <c r="I8" s="1033"/>
      <c r="J8" s="223" t="str">
        <f>+'15'!J8</f>
        <v>T 15 VP OW</v>
      </c>
      <c r="K8" s="247"/>
      <c r="L8" s="247"/>
      <c r="M8" s="126">
        <f>+K8+'15'!M8+L8</f>
        <v>37584</v>
      </c>
      <c r="N8" s="158">
        <v>1300</v>
      </c>
      <c r="O8" s="158">
        <f>+N8-N8*0.0035</f>
        <v>1295.45</v>
      </c>
    </row>
    <row r="9" spans="1:15" ht="13.5" thickBot="1">
      <c r="A9" s="1030"/>
      <c r="B9" s="224"/>
      <c r="C9" s="225"/>
      <c r="D9" s="226"/>
      <c r="E9" s="229"/>
      <c r="F9" s="236">
        <v>3</v>
      </c>
      <c r="G9" s="240" t="s">
        <v>11</v>
      </c>
      <c r="H9" s="241" t="s">
        <v>455</v>
      </c>
      <c r="I9" s="1033"/>
      <c r="J9" s="223" t="str">
        <f>+'15'!J9</f>
        <v>T 12,5 VP OW</v>
      </c>
      <c r="K9" s="247"/>
      <c r="L9" s="247"/>
      <c r="M9" s="126">
        <f>+K9+'15'!M9+L9</f>
        <v>148332</v>
      </c>
      <c r="N9" s="158">
        <v>1300</v>
      </c>
      <c r="O9" s="158">
        <f>+N9-N9*0.0035</f>
        <v>1295.45</v>
      </c>
    </row>
    <row r="10" spans="1:15" ht="13.5" thickBot="1">
      <c r="A10" s="1030"/>
      <c r="B10" s="224"/>
      <c r="C10" s="225"/>
      <c r="D10" s="226"/>
      <c r="E10" s="228"/>
      <c r="F10" s="236"/>
      <c r="G10" s="240"/>
      <c r="H10" s="241" t="s">
        <v>643</v>
      </c>
      <c r="I10" s="1033"/>
      <c r="J10" s="223" t="str">
        <f>+'15'!J10</f>
        <v>T 12 VP OW</v>
      </c>
      <c r="K10" s="247"/>
      <c r="L10" s="247"/>
      <c r="M10" s="126">
        <f>+K10+'15'!M10+L10</f>
        <v>25679</v>
      </c>
      <c r="N10" s="158">
        <v>1300</v>
      </c>
      <c r="O10" s="158">
        <f>+N10-N10*0.0035</f>
        <v>1295.45</v>
      </c>
    </row>
    <row r="11" spans="1:15" ht="13.5" thickBot="1">
      <c r="A11" s="1030"/>
      <c r="B11" s="224"/>
      <c r="C11" s="225"/>
      <c r="D11" s="226"/>
      <c r="E11" s="228"/>
      <c r="F11" s="236"/>
      <c r="G11" s="240"/>
      <c r="H11" s="241"/>
      <c r="I11" s="1033"/>
      <c r="J11" s="223" t="str">
        <f>+'15'!J11</f>
        <v>F 12 VP OW</v>
      </c>
      <c r="K11" s="247"/>
      <c r="L11" s="247"/>
      <c r="M11" s="126">
        <f>+K11+'15'!M11+L11</f>
        <v>30353</v>
      </c>
    </row>
    <row r="12" spans="1:15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+'15'!J12</f>
        <v>F 13 VP OW</v>
      </c>
      <c r="K12" s="247"/>
      <c r="L12" s="247"/>
      <c r="M12" s="126">
        <f>+K12+'15'!M12+L12</f>
        <v>149460</v>
      </c>
    </row>
    <row r="13" spans="1:15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+'15'!J13</f>
        <v>F 13,5 VP OW</v>
      </c>
      <c r="K13" s="247"/>
      <c r="L13" s="247"/>
      <c r="M13" s="126">
        <f>+K13+'15'!M13+L13</f>
        <v>11138</v>
      </c>
    </row>
    <row r="14" spans="1:15" ht="13.5" thickBot="1">
      <c r="A14" s="1031"/>
      <c r="B14" s="174" t="s">
        <v>2</v>
      </c>
      <c r="C14" s="108">
        <f>SUM(C7:C13)</f>
        <v>26186</v>
      </c>
      <c r="D14" s="120">
        <f>SUM(D7:D13)</f>
        <v>173</v>
      </c>
      <c r="E14" s="121">
        <f>SUM(E5:E13)</f>
        <v>0</v>
      </c>
      <c r="F14" s="125">
        <f>SUM(F7:F13)</f>
        <v>3</v>
      </c>
      <c r="G14" s="168"/>
      <c r="H14" s="175"/>
      <c r="I14" s="176"/>
      <c r="J14" s="223" t="str">
        <f>+'15'!J14</f>
        <v>F 12,5 VP OW</v>
      </c>
      <c r="K14" s="247"/>
      <c r="L14" s="247"/>
      <c r="M14" s="126">
        <f>+K14+'15'!M14+L14</f>
        <v>73203</v>
      </c>
    </row>
    <row r="15" spans="1:15" ht="13.5" customHeight="1" thickBot="1">
      <c r="A15" s="1035" t="s">
        <v>646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644</v>
      </c>
      <c r="J15" s="223" t="str">
        <f>+'15'!J15</f>
        <v>MG 14 VP OW</v>
      </c>
      <c r="K15" s="247"/>
      <c r="L15" s="247"/>
      <c r="M15" s="126">
        <f>+K15+'15'!M15+L15</f>
        <v>19551</v>
      </c>
    </row>
    <row r="16" spans="1:15" ht="13.5" thickBot="1">
      <c r="A16" s="1030"/>
      <c r="B16" s="224" t="s">
        <v>611</v>
      </c>
      <c r="C16" s="230">
        <v>24548</v>
      </c>
      <c r="D16" s="231">
        <v>380</v>
      </c>
      <c r="E16" s="232"/>
      <c r="F16" s="236"/>
      <c r="G16" s="240" t="s">
        <v>11</v>
      </c>
      <c r="H16" s="238" t="s">
        <v>591</v>
      </c>
      <c r="I16" s="1033"/>
      <c r="J16" s="223" t="str">
        <f>+'15'!J16</f>
        <v>MG 17 VP OW/HW</v>
      </c>
      <c r="K16" s="247"/>
      <c r="L16" s="237"/>
      <c r="M16" s="126">
        <f>+K16+'15'!M16+L16</f>
        <v>189031</v>
      </c>
    </row>
    <row r="17" spans="1:14" ht="13.5" thickBot="1">
      <c r="A17" s="1030"/>
      <c r="B17" s="224"/>
      <c r="C17" s="225"/>
      <c r="D17" s="226"/>
      <c r="E17" s="233"/>
      <c r="F17" s="236">
        <v>3</v>
      </c>
      <c r="G17" s="240" t="s">
        <v>11</v>
      </c>
      <c r="H17" s="241" t="s">
        <v>451</v>
      </c>
      <c r="I17" s="1033"/>
      <c r="J17" s="223" t="str">
        <f>+'15'!J17</f>
        <v>MG 16 VP HW</v>
      </c>
      <c r="K17" s="247">
        <f>+C34</f>
        <v>79995</v>
      </c>
      <c r="L17" s="237"/>
      <c r="M17" s="126">
        <f>+K17+'15'!M17+L17</f>
        <v>310735</v>
      </c>
    </row>
    <row r="18" spans="1:14" ht="13.5" thickBot="1">
      <c r="A18" s="1030"/>
      <c r="B18" s="224"/>
      <c r="C18" s="225"/>
      <c r="D18" s="226"/>
      <c r="E18" s="233"/>
      <c r="F18" s="236"/>
      <c r="G18" s="240"/>
      <c r="H18" s="241" t="s">
        <v>643</v>
      </c>
      <c r="I18" s="1033"/>
      <c r="J18" s="223">
        <f>+'15'!J18</f>
        <v>0</v>
      </c>
      <c r="K18" s="247"/>
      <c r="L18" s="247"/>
      <c r="M18" s="126">
        <f>+K18+'15'!M18+L18</f>
        <v>0</v>
      </c>
    </row>
    <row r="19" spans="1:14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>
        <f>+'15'!J19</f>
        <v>0</v>
      </c>
      <c r="K19" s="247"/>
      <c r="L19" s="247"/>
      <c r="M19" s="126">
        <f>+K19+'15'!M19+L19</f>
        <v>0</v>
      </c>
    </row>
    <row r="20" spans="1:14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+'15'!J20</f>
        <v>0</v>
      </c>
      <c r="K20" s="248"/>
      <c r="L20" s="248"/>
      <c r="M20" s="126">
        <f>+K20+'15'!M20+L20</f>
        <v>0</v>
      </c>
    </row>
    <row r="21" spans="1:14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+'15'!J21</f>
        <v>0</v>
      </c>
      <c r="K21" s="247"/>
      <c r="L21" s="247"/>
      <c r="M21" s="126">
        <f>+K21+'15'!M21+L21</f>
        <v>0</v>
      </c>
    </row>
    <row r="22" spans="1:14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+'15'!J22</f>
        <v>0</v>
      </c>
      <c r="K22" s="247"/>
      <c r="L22" s="247"/>
      <c r="M22" s="126">
        <f>+K22+'15'!M22+L22</f>
        <v>0</v>
      </c>
    </row>
    <row r="23" spans="1:14" ht="13.5" thickBot="1">
      <c r="A23" s="1031"/>
      <c r="B23" s="177" t="s">
        <v>2</v>
      </c>
      <c r="C23" s="109">
        <f>SUM(C16:C22)</f>
        <v>24548</v>
      </c>
      <c r="D23" s="120">
        <f>SUM(D16:D22)</f>
        <v>380</v>
      </c>
      <c r="E23" s="121">
        <f>SUM(E18:E22)</f>
        <v>0</v>
      </c>
      <c r="F23" s="125">
        <f>SUM(F15:F22)</f>
        <v>3</v>
      </c>
      <c r="G23" s="168"/>
      <c r="H23" s="175" t="s">
        <v>234</v>
      </c>
      <c r="I23" s="178"/>
      <c r="J23" s="223">
        <f>+'15'!J23</f>
        <v>0</v>
      </c>
      <c r="K23" s="247"/>
      <c r="L23" s="247"/>
      <c r="M23" s="126">
        <f>+K23+'15'!M23+L23</f>
        <v>0</v>
      </c>
    </row>
    <row r="24" spans="1:14" ht="13.5" customHeight="1" thickBot="1">
      <c r="A24" s="1035" t="s">
        <v>434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644</v>
      </c>
      <c r="J24" s="223">
        <f>+'15'!J24</f>
        <v>0</v>
      </c>
      <c r="K24" s="247"/>
      <c r="L24" s="247"/>
      <c r="M24" s="126">
        <f>+K24+'15'!M24+L24</f>
        <v>0</v>
      </c>
    </row>
    <row r="25" spans="1:14" ht="13.5" thickBot="1">
      <c r="A25" s="1030"/>
      <c r="B25" s="224" t="s">
        <v>611</v>
      </c>
      <c r="C25" s="234">
        <v>29261</v>
      </c>
      <c r="D25" s="226">
        <v>190</v>
      </c>
      <c r="E25" s="233"/>
      <c r="F25" s="239"/>
      <c r="G25" s="240" t="s">
        <v>11</v>
      </c>
      <c r="H25" s="238" t="s">
        <v>591</v>
      </c>
      <c r="I25" s="1033"/>
      <c r="J25" s="223">
        <f>+'15'!J25</f>
        <v>0</v>
      </c>
      <c r="K25" s="247"/>
      <c r="L25" s="247"/>
      <c r="M25" s="126">
        <f>+K25+'15'!M25+L25</f>
        <v>0</v>
      </c>
    </row>
    <row r="26" spans="1:14" ht="13.5" thickBot="1">
      <c r="A26" s="1030"/>
      <c r="B26" s="224"/>
      <c r="C26" s="234"/>
      <c r="D26" s="226"/>
      <c r="E26" s="235"/>
      <c r="F26" s="239">
        <v>0</v>
      </c>
      <c r="G26" s="240" t="s">
        <v>11</v>
      </c>
      <c r="H26" s="241" t="s">
        <v>455</v>
      </c>
      <c r="I26" s="1033"/>
      <c r="J26" s="223">
        <f>+'15'!J26</f>
        <v>0</v>
      </c>
      <c r="K26" s="247"/>
      <c r="L26" s="247"/>
      <c r="M26" s="126">
        <f>+K26+'15'!M26+L26</f>
        <v>0</v>
      </c>
    </row>
    <row r="27" spans="1:14" ht="13.5" thickBot="1">
      <c r="A27" s="1030"/>
      <c r="B27" s="224"/>
      <c r="C27" s="225"/>
      <c r="D27" s="226"/>
      <c r="E27" s="233"/>
      <c r="F27" s="239"/>
      <c r="G27" s="240"/>
      <c r="H27" s="241" t="s">
        <v>643</v>
      </c>
      <c r="I27" s="1033"/>
      <c r="J27" s="223">
        <f>+'15'!J27</f>
        <v>0</v>
      </c>
      <c r="K27" s="247"/>
      <c r="L27" s="247"/>
      <c r="M27" s="126">
        <f>+K27+'15'!M27+L27</f>
        <v>0</v>
      </c>
    </row>
    <row r="28" spans="1:14" ht="13.5" thickBot="1">
      <c r="A28" s="1030"/>
      <c r="B28" s="224"/>
      <c r="C28" s="225"/>
      <c r="D28" s="226"/>
      <c r="E28" s="233"/>
      <c r="F28" s="239"/>
      <c r="G28" s="240"/>
      <c r="H28" s="241"/>
      <c r="I28" s="1033"/>
      <c r="J28" s="223">
        <f>+'15'!J28</f>
        <v>0</v>
      </c>
      <c r="K28" s="247"/>
      <c r="L28" s="247"/>
      <c r="M28" s="126">
        <f>+K28+'15'!M28+L28</f>
        <v>0</v>
      </c>
    </row>
    <row r="29" spans="1:14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+'15'!J29</f>
        <v>0</v>
      </c>
      <c r="K29" s="247"/>
      <c r="L29" s="247"/>
      <c r="M29" s="126">
        <f>+K29+'15'!M29+L29</f>
        <v>0</v>
      </c>
    </row>
    <row r="30" spans="1:14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+'15'!J30</f>
        <v>0</v>
      </c>
      <c r="K30" s="247"/>
      <c r="L30" s="247"/>
      <c r="M30" s="126">
        <f>+K30+'15'!M30+L30</f>
        <v>0</v>
      </c>
    </row>
    <row r="31" spans="1:14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+'15'!J31</f>
        <v>0</v>
      </c>
      <c r="K31" s="247"/>
      <c r="L31" s="247"/>
      <c r="M31" s="126">
        <f>+K31+'15'!M31+L31</f>
        <v>0</v>
      </c>
      <c r="N31" s="164"/>
    </row>
    <row r="32" spans="1:14" ht="13.5" thickBot="1">
      <c r="A32" s="1031"/>
      <c r="B32" s="174" t="s">
        <v>2</v>
      </c>
      <c r="C32" s="108">
        <f>SUM(C25:C31)</f>
        <v>29261</v>
      </c>
      <c r="D32" s="109">
        <f>SUM(D25:D31)</f>
        <v>190</v>
      </c>
      <c r="E32" s="110">
        <f>SUM(E25:E31)</f>
        <v>0</v>
      </c>
      <c r="F32" s="111">
        <f>SUM(F24:F31)</f>
        <v>0</v>
      </c>
      <c r="G32" s="180"/>
      <c r="H32" s="181"/>
      <c r="I32" s="178"/>
      <c r="J32" s="223">
        <f>+'15'!J32</f>
        <v>0</v>
      </c>
      <c r="K32" s="249"/>
      <c r="L32" s="251"/>
      <c r="M32" s="126">
        <f>+K32+'15'!M32+L32</f>
        <v>0</v>
      </c>
    </row>
    <row r="33" spans="1:14" ht="13.5" thickBot="1">
      <c r="A33" s="182"/>
      <c r="B33" s="183"/>
      <c r="C33" s="112">
        <f>C32/($C$32+$D$32+$E$32)</f>
        <v>0.99354860615938334</v>
      </c>
      <c r="D33" s="113">
        <f>D32/($C$32+$D$32+$E$32)</f>
        <v>6.4513938406166177E-3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79995</v>
      </c>
      <c r="D34" s="116">
        <f>D14+D23+D32</f>
        <v>743</v>
      </c>
      <c r="E34" s="116">
        <f>E14+E23+E32</f>
        <v>0</v>
      </c>
      <c r="F34" s="117">
        <f>F14+F23+F32</f>
        <v>6</v>
      </c>
      <c r="H34" s="187"/>
      <c r="I34" s="187"/>
      <c r="J34" s="132" t="s">
        <v>27</v>
      </c>
      <c r="K34" s="133">
        <f>SUM(K7:K32)</f>
        <v>79995</v>
      </c>
      <c r="L34" s="221">
        <f>SUM(L7:L32)</f>
        <v>0</v>
      </c>
      <c r="M34" s="129">
        <f>SUM(M7:M32)</f>
        <v>1057565</v>
      </c>
    </row>
    <row r="35" spans="1:14" ht="13.5" thickBot="1">
      <c r="A35" s="188"/>
      <c r="B35" s="189"/>
      <c r="C35" s="113">
        <f>C34/($C$34+$D$34+$E$34)</f>
        <v>0.99079739403998113</v>
      </c>
      <c r="D35" s="113">
        <f>D34/($C$34+$D$34+$E$34)</f>
        <v>9.2026059600188257E-3</v>
      </c>
      <c r="E35" s="118">
        <f>E34/($C$34+$D$34+$E$34)</f>
        <v>0</v>
      </c>
      <c r="K35" s="164"/>
      <c r="N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(16*1440)/1440*G42*2.77*1440/1000000</f>
        <v>82.676655359999998</v>
      </c>
      <c r="J37" s="134">
        <f>+I37+'15'!J37</f>
        <v>1121.6164247197619</v>
      </c>
      <c r="K37" s="135" t="s">
        <v>63</v>
      </c>
    </row>
    <row r="38" spans="1:14" ht="17.45" customHeight="1">
      <c r="A38" s="1027" t="s">
        <v>11</v>
      </c>
      <c r="B38" s="1028"/>
      <c r="C38" s="173">
        <f>SUMIF($G$7:$G$31,"Process",$F$7:$F$31)</f>
        <v>6</v>
      </c>
      <c r="D38" s="127">
        <f>+C38+'15'!D38</f>
        <v>520</v>
      </c>
      <c r="E38" s="152">
        <f t="shared" ref="E38:E51" si="0">D38/60</f>
        <v>8.6666666666666661</v>
      </c>
      <c r="F38" s="337">
        <v>1300</v>
      </c>
      <c r="G38" s="337">
        <f>+F38-F38*0.0035</f>
        <v>1295.45</v>
      </c>
      <c r="H38" s="196" t="s">
        <v>64</v>
      </c>
      <c r="I38" s="548">
        <f>25.968+27.937+26.784</f>
        <v>80.688999999999993</v>
      </c>
      <c r="J38" s="136">
        <f>+I38+'15'!J38</f>
        <v>1084.723</v>
      </c>
      <c r="K38" s="137" t="s">
        <v>63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+C39+'15'!D39</f>
        <v>0</v>
      </c>
      <c r="E39" s="152">
        <f t="shared" si="0"/>
        <v>0</v>
      </c>
      <c r="F39" s="337">
        <v>1300</v>
      </c>
      <c r="G39" s="337">
        <f>+F39-F39*0.0035</f>
        <v>1295.45</v>
      </c>
      <c r="H39" s="196" t="s">
        <v>65</v>
      </c>
      <c r="I39" s="151"/>
      <c r="J39" s="138">
        <f>J37/G4</f>
        <v>70.101026544985118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+C40+'15'!D40</f>
        <v>0</v>
      </c>
      <c r="E40" s="152">
        <f t="shared" si="0"/>
        <v>0</v>
      </c>
      <c r="F40" s="337">
        <v>1300</v>
      </c>
      <c r="G40" s="337">
        <f>+F40-F40*0.0035</f>
        <v>1295.45</v>
      </c>
      <c r="H40" s="196" t="s">
        <v>67</v>
      </c>
      <c r="I40" s="127">
        <f>(K34+L34)/1000</f>
        <v>79.995000000000005</v>
      </c>
      <c r="J40" s="140">
        <f>+I40+'15'!J40</f>
        <v>1057.5650000000001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+C41+'15'!D41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66.097812500000003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+C42+'15'!D42</f>
        <v>0</v>
      </c>
      <c r="E42" s="152">
        <f t="shared" si="0"/>
        <v>0</v>
      </c>
      <c r="F42" s="337">
        <f>+(F38*480+F40*480+F39*480)/1440</f>
        <v>1300</v>
      </c>
      <c r="G42" s="337">
        <f>+(G38*480+G40*480+G39*480)/1440</f>
        <v>1295.45</v>
      </c>
      <c r="H42" s="196" t="s">
        <v>70</v>
      </c>
      <c r="I42" s="254" t="s">
        <v>645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+C43+'15'!D43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+Report1!T24</f>
        <v>154.684</v>
      </c>
      <c r="J43" s="142">
        <f>+I43+'15'!J43</f>
        <v>2234.56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+C44+'15'!D44</f>
        <v>515</v>
      </c>
      <c r="E44" s="152">
        <f t="shared" si="0"/>
        <v>8.5833333333333339</v>
      </c>
      <c r="F44" s="337"/>
      <c r="G44" s="338"/>
      <c r="H44" s="197" t="s">
        <v>74</v>
      </c>
      <c r="I44" s="127">
        <f>I43/I38</f>
        <v>1.9170394973292519</v>
      </c>
      <c r="J44" s="143">
        <f>J43/J38</f>
        <v>2.0600282284048554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+C45+'15'!D45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1.9336708544284016</v>
      </c>
      <c r="J45" s="143">
        <f>J43/J40</f>
        <v>2.1129292289362827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+C46+'15'!D46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+SUMIF(Listrik!AR23,"&gt;0")</f>
        <v>59216.34000000159</v>
      </c>
      <c r="J46" s="144">
        <f>+I46+'15'!J46</f>
        <v>879316.96000000241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+C47+'15'!D47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733.88367683329318</v>
      </c>
      <c r="J47" s="144">
        <f>J46/J38</f>
        <v>810.63733321779148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+C48+'15'!D48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740.25051565724846</v>
      </c>
      <c r="J48" s="144">
        <f>J46/J40</f>
        <v>831.45429358952151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+C49+'15'!D49</f>
        <v>0</v>
      </c>
      <c r="E49" s="152">
        <f t="shared" si="0"/>
        <v>0</v>
      </c>
      <c r="F49" s="194"/>
      <c r="H49" s="197" t="s">
        <v>82</v>
      </c>
      <c r="I49" s="127">
        <v>0</v>
      </c>
      <c r="J49" s="144">
        <f>+I49+'15'!J49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+C50+'15'!D50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+C51+'15'!D51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6</v>
      </c>
      <c r="D52" s="153">
        <f>SUM(D38:D51)</f>
        <v>1035</v>
      </c>
      <c r="E52" s="154">
        <f>SUM(E38:E51)</f>
        <v>17.25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4.1666666666666666E-3</v>
      </c>
      <c r="D53" s="155">
        <f>D52/(24*60*G4)</f>
        <v>4.4921875E-2</v>
      </c>
      <c r="E53" s="156">
        <f>E52/(G4*24)</f>
        <v>4.4921875E-2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+D34+'15'!J56</f>
        <v>6299</v>
      </c>
      <c r="K56" s="210">
        <f>J56/(J40+J56/1000)/1000</f>
        <v>5.9208695848341512E-3</v>
      </c>
    </row>
    <row r="57" spans="1:11">
      <c r="A57" s="185"/>
      <c r="I57" s="208" t="s">
        <v>89</v>
      </c>
      <c r="J57" s="209">
        <f>+E34+'15'!J57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I7:I13"/>
    <mergeCell ref="A15:A23"/>
    <mergeCell ref="I15:I22"/>
    <mergeCell ref="A46:B46"/>
    <mergeCell ref="A47:B47"/>
    <mergeCell ref="A44:B44"/>
    <mergeCell ref="A45:B45"/>
    <mergeCell ref="A7:A14"/>
    <mergeCell ref="A40:B40"/>
    <mergeCell ref="I24:I31"/>
    <mergeCell ref="A42:B42"/>
    <mergeCell ref="A39:B39"/>
    <mergeCell ref="A43:B43"/>
    <mergeCell ref="A24:A32"/>
    <mergeCell ref="A34:B34"/>
    <mergeCell ref="A37:B37"/>
    <mergeCell ref="A38:B38"/>
    <mergeCell ref="A41:B41"/>
    <mergeCell ref="A53:B53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39027777777777778" right="0.39027777777777778" top="0.39027777777777778" bottom="0.39027777777777778" header="0" footer="0"/>
  <pageSetup paperSize="9" scale="62" firstPageNumber="4294963191" orientation="landscape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61"/>
  <sheetViews>
    <sheetView view="pageBreakPreview" zoomScale="80" zoomScaleNormal="75" zoomScaleSheetLayoutView="80" workbookViewId="0">
      <selection activeCell="G18" sqref="G18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2.140625" style="158" customWidth="1"/>
    <col min="14" max="16384" width="9.140625" style="158"/>
  </cols>
  <sheetData>
    <row r="1" spans="1:16" ht="15.75">
      <c r="A1" s="157"/>
    </row>
    <row r="2" spans="1:16" ht="15.75">
      <c r="A2" s="157" t="s">
        <v>148</v>
      </c>
    </row>
    <row r="3" spans="1:16" ht="15">
      <c r="A3" s="159"/>
    </row>
    <row r="4" spans="1:16" ht="20.25">
      <c r="A4" s="160" t="s">
        <v>3</v>
      </c>
      <c r="B4" s="161"/>
      <c r="F4" s="162" t="s">
        <v>29</v>
      </c>
      <c r="G4" s="163">
        <v>15</v>
      </c>
      <c r="H4" s="163" t="str">
        <f>+'1'!H4</f>
        <v>.06.24</v>
      </c>
    </row>
    <row r="5" spans="1:16" ht="13.5" thickBot="1">
      <c r="C5" s="164"/>
      <c r="D5" s="164"/>
    </row>
    <row r="6" spans="1:16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212+232+233</f>
        <v>677</v>
      </c>
    </row>
    <row r="7" spans="1:16" ht="13.5" customHeight="1" thickBot="1">
      <c r="A7" s="1029" t="s">
        <v>435</v>
      </c>
      <c r="B7" s="224" t="s">
        <v>611</v>
      </c>
      <c r="C7" s="225">
        <v>25817</v>
      </c>
      <c r="D7" s="226">
        <v>323</v>
      </c>
      <c r="E7" s="227"/>
      <c r="F7" s="236"/>
      <c r="G7" s="237" t="s">
        <v>11</v>
      </c>
      <c r="H7" s="238" t="s">
        <v>277</v>
      </c>
      <c r="I7" s="1032" t="s">
        <v>644</v>
      </c>
      <c r="J7" s="223" t="str">
        <f>+'14'!J7</f>
        <v>T 14 VP OW</v>
      </c>
      <c r="K7" s="246"/>
      <c r="L7" s="250"/>
      <c r="M7" s="126">
        <f>+K7+'14'!M7+L7</f>
        <v>62499</v>
      </c>
    </row>
    <row r="8" spans="1:16" ht="13.5" thickBot="1">
      <c r="A8" s="1030"/>
      <c r="B8" s="224"/>
      <c r="C8" s="225"/>
      <c r="D8" s="226"/>
      <c r="E8" s="228"/>
      <c r="F8" s="239"/>
      <c r="G8" s="240" t="s">
        <v>11</v>
      </c>
      <c r="H8" s="238" t="s">
        <v>591</v>
      </c>
      <c r="I8" s="1033"/>
      <c r="J8" s="223" t="str">
        <f>+'14'!J8</f>
        <v>T 15 VP OW</v>
      </c>
      <c r="K8" s="247"/>
      <c r="L8" s="247"/>
      <c r="M8" s="126">
        <f>+K8+'14'!M8+L8</f>
        <v>37584</v>
      </c>
      <c r="N8" s="158">
        <v>1300</v>
      </c>
      <c r="O8" s="158">
        <f>+N8-N8*0.0035</f>
        <v>1295.45</v>
      </c>
      <c r="P8" s="158">
        <v>480</v>
      </c>
    </row>
    <row r="9" spans="1:16" ht="13.5" thickBot="1">
      <c r="A9" s="1030"/>
      <c r="B9" s="224"/>
      <c r="C9" s="225"/>
      <c r="D9" s="226"/>
      <c r="E9" s="229"/>
      <c r="F9" s="236">
        <v>5</v>
      </c>
      <c r="G9" s="240" t="s">
        <v>11</v>
      </c>
      <c r="H9" s="614" t="s">
        <v>455</v>
      </c>
      <c r="I9" s="1033"/>
      <c r="J9" s="223" t="str">
        <f>+'14'!J9</f>
        <v>T 12,5 VP OW</v>
      </c>
      <c r="K9" s="247"/>
      <c r="L9" s="247"/>
      <c r="M9" s="126">
        <f>+K9+'14'!M9+L9</f>
        <v>148332</v>
      </c>
      <c r="N9" s="158">
        <v>1260</v>
      </c>
      <c r="O9" s="158">
        <f>+N9-N9*0.0035</f>
        <v>1255.5899999999999</v>
      </c>
      <c r="P9" s="158">
        <v>480</v>
      </c>
    </row>
    <row r="10" spans="1:16" ht="13.5" thickBot="1">
      <c r="A10" s="1030"/>
      <c r="B10" s="224"/>
      <c r="C10" s="225"/>
      <c r="D10" s="226"/>
      <c r="E10" s="228"/>
      <c r="F10" s="236"/>
      <c r="G10" s="240"/>
      <c r="H10" s="614" t="s">
        <v>643</v>
      </c>
      <c r="I10" s="1033"/>
      <c r="J10" s="223" t="str">
        <f>+'14'!J10</f>
        <v>T 12 VP OW</v>
      </c>
      <c r="K10" s="247"/>
      <c r="L10" s="247"/>
      <c r="M10" s="126">
        <f>+K10+'14'!M10+L10</f>
        <v>25679</v>
      </c>
      <c r="N10" s="158">
        <v>1260</v>
      </c>
      <c r="O10" s="158">
        <f>+N10-N10*0.0035</f>
        <v>1255.5899999999999</v>
      </c>
      <c r="P10" s="158">
        <v>480</v>
      </c>
    </row>
    <row r="11" spans="1:16" ht="13.5" thickBot="1">
      <c r="A11" s="1030"/>
      <c r="B11" s="224"/>
      <c r="C11" s="225"/>
      <c r="D11" s="226"/>
      <c r="E11" s="228"/>
      <c r="F11" s="236"/>
      <c r="G11" s="240"/>
      <c r="H11" s="241"/>
      <c r="I11" s="1033"/>
      <c r="J11" s="223" t="str">
        <f>+'14'!J11</f>
        <v>F 12 VP OW</v>
      </c>
      <c r="K11" s="247"/>
      <c r="L11" s="247"/>
      <c r="M11" s="126">
        <f>+K11+'14'!M11+L11</f>
        <v>30353</v>
      </c>
    </row>
    <row r="12" spans="1:16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+'14'!J12</f>
        <v>F 13 VP OW</v>
      </c>
      <c r="K12" s="247"/>
      <c r="L12" s="247"/>
      <c r="M12" s="126">
        <f>+K12+'14'!M12+L12</f>
        <v>149460</v>
      </c>
    </row>
    <row r="13" spans="1:16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+'14'!J13</f>
        <v>F 13,5 VP OW</v>
      </c>
      <c r="K13" s="247"/>
      <c r="L13" s="247"/>
      <c r="M13" s="126">
        <f>+K13+'14'!M13+L13</f>
        <v>11138</v>
      </c>
    </row>
    <row r="14" spans="1:16" ht="13.5" thickBot="1">
      <c r="A14" s="1031"/>
      <c r="B14" s="174" t="s">
        <v>2</v>
      </c>
      <c r="C14" s="108">
        <f>SUM(C7:C13)</f>
        <v>25817</v>
      </c>
      <c r="D14" s="120">
        <f>SUM(D7:D13)</f>
        <v>323</v>
      </c>
      <c r="E14" s="121">
        <f>SUM(E5:E13)</f>
        <v>0</v>
      </c>
      <c r="F14" s="125">
        <f>SUM(F7:F13)</f>
        <v>5</v>
      </c>
      <c r="G14" s="168"/>
      <c r="H14" s="175"/>
      <c r="I14" s="176"/>
      <c r="J14" s="223" t="str">
        <f>+'14'!J14</f>
        <v>F 12,5 VP OW</v>
      </c>
      <c r="K14" s="247"/>
      <c r="L14" s="247"/>
      <c r="M14" s="126">
        <f>+K14+'14'!M14+L14</f>
        <v>73203</v>
      </c>
    </row>
    <row r="15" spans="1:16" ht="13.5" customHeight="1" thickBot="1">
      <c r="A15" s="1035" t="s">
        <v>595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589</v>
      </c>
      <c r="J15" s="223" t="str">
        <f>+'14'!J15</f>
        <v>MG 14 VP OW</v>
      </c>
      <c r="K15" s="247"/>
      <c r="L15" s="247"/>
      <c r="M15" s="126">
        <f>+K15+'14'!M15+L15</f>
        <v>19551</v>
      </c>
    </row>
    <row r="16" spans="1:16" ht="13.5" thickBot="1">
      <c r="A16" s="1030"/>
      <c r="B16" s="224" t="s">
        <v>611</v>
      </c>
      <c r="C16" s="230">
        <v>28063</v>
      </c>
      <c r="D16" s="231"/>
      <c r="E16" s="232"/>
      <c r="F16" s="236">
        <v>1</v>
      </c>
      <c r="G16" s="240" t="s">
        <v>11</v>
      </c>
      <c r="H16" s="238" t="s">
        <v>640</v>
      </c>
      <c r="I16" s="1033"/>
      <c r="J16" s="223" t="str">
        <f>+'14'!J16</f>
        <v>MG 17 VP OW/HW</v>
      </c>
      <c r="K16" s="247"/>
      <c r="L16" s="237"/>
      <c r="M16" s="126">
        <f>+K16+'14'!M16+L16</f>
        <v>189031</v>
      </c>
    </row>
    <row r="17" spans="1:14" ht="13.5" thickBot="1">
      <c r="A17" s="1030"/>
      <c r="B17" s="224"/>
      <c r="C17" s="225"/>
      <c r="D17" s="226"/>
      <c r="E17" s="233"/>
      <c r="F17" s="236">
        <v>1</v>
      </c>
      <c r="G17" s="240" t="s">
        <v>11</v>
      </c>
      <c r="H17" s="614" t="s">
        <v>451</v>
      </c>
      <c r="I17" s="1033"/>
      <c r="J17" s="223" t="str">
        <f>+'14'!J17</f>
        <v>MG 16 VP HW</v>
      </c>
      <c r="K17" s="247">
        <f>+C34</f>
        <v>80089</v>
      </c>
      <c r="L17" s="237"/>
      <c r="M17" s="126">
        <f>+K17+'14'!M17+L17</f>
        <v>230740</v>
      </c>
    </row>
    <row r="18" spans="1:14" ht="13.5" thickBot="1">
      <c r="A18" s="1030"/>
      <c r="B18" s="224"/>
      <c r="C18" s="225"/>
      <c r="D18" s="226"/>
      <c r="E18" s="233"/>
      <c r="F18" s="236"/>
      <c r="G18" s="240"/>
      <c r="H18" s="614" t="s">
        <v>623</v>
      </c>
      <c r="I18" s="1033"/>
      <c r="J18" s="223">
        <f>+'14'!J18</f>
        <v>0</v>
      </c>
      <c r="K18" s="247"/>
      <c r="L18" s="247"/>
      <c r="M18" s="126">
        <f>+K18+'14'!M18+L18</f>
        <v>0</v>
      </c>
    </row>
    <row r="19" spans="1:14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>
        <f>+'14'!J19</f>
        <v>0</v>
      </c>
      <c r="K19" s="247"/>
      <c r="L19" s="247"/>
      <c r="M19" s="126">
        <f>+K19+'14'!M19+L19</f>
        <v>0</v>
      </c>
    </row>
    <row r="20" spans="1:14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+'14'!J20</f>
        <v>0</v>
      </c>
      <c r="K20" s="248"/>
      <c r="L20" s="248"/>
      <c r="M20" s="126">
        <f>+K20+'14'!M20+L20</f>
        <v>0</v>
      </c>
    </row>
    <row r="21" spans="1:14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+'14'!J21</f>
        <v>0</v>
      </c>
      <c r="K21" s="247"/>
      <c r="L21" s="247"/>
      <c r="M21" s="126">
        <f>+K21+'14'!M21+L21</f>
        <v>0</v>
      </c>
    </row>
    <row r="22" spans="1:14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+'14'!J22</f>
        <v>0</v>
      </c>
      <c r="K22" s="247"/>
      <c r="L22" s="247"/>
      <c r="M22" s="126">
        <f>+K22+'14'!M22+L22</f>
        <v>0</v>
      </c>
    </row>
    <row r="23" spans="1:14" ht="13.5" thickBot="1">
      <c r="A23" s="1031"/>
      <c r="B23" s="177" t="s">
        <v>2</v>
      </c>
      <c r="C23" s="109">
        <f>SUM(C16:C22)</f>
        <v>28063</v>
      </c>
      <c r="D23" s="120">
        <f>SUM(D16:D22)</f>
        <v>0</v>
      </c>
      <c r="E23" s="121">
        <f>SUM(E18:E22)</f>
        <v>0</v>
      </c>
      <c r="F23" s="125">
        <f>SUM(F15:F22)</f>
        <v>2</v>
      </c>
      <c r="G23" s="168"/>
      <c r="H23" s="175" t="s">
        <v>234</v>
      </c>
      <c r="I23" s="178"/>
      <c r="J23" s="223">
        <f>+'14'!J23</f>
        <v>0</v>
      </c>
      <c r="K23" s="247"/>
      <c r="L23" s="247"/>
      <c r="M23" s="126">
        <f>+K23+'14'!M23+L23</f>
        <v>0</v>
      </c>
    </row>
    <row r="24" spans="1:14" ht="13.5" customHeight="1" thickBot="1">
      <c r="A24" s="1035" t="s">
        <v>434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589</v>
      </c>
      <c r="J24" s="223">
        <f>+'14'!J24</f>
        <v>0</v>
      </c>
      <c r="K24" s="247"/>
      <c r="L24" s="247"/>
      <c r="M24" s="126">
        <f>+K24+'14'!M24+L24</f>
        <v>0</v>
      </c>
    </row>
    <row r="25" spans="1:14" ht="13.5" thickBot="1">
      <c r="A25" s="1030"/>
      <c r="B25" s="224" t="s">
        <v>611</v>
      </c>
      <c r="C25" s="234">
        <v>26209</v>
      </c>
      <c r="D25" s="226">
        <v>383</v>
      </c>
      <c r="E25" s="233"/>
      <c r="F25" s="239"/>
      <c r="G25" s="240" t="s">
        <v>11</v>
      </c>
      <c r="H25" s="238" t="s">
        <v>591</v>
      </c>
      <c r="I25" s="1033"/>
      <c r="J25" s="223">
        <f>+'14'!J25</f>
        <v>0</v>
      </c>
      <c r="K25" s="247"/>
      <c r="L25" s="247"/>
      <c r="M25" s="126">
        <f>+K25+'14'!M25+L25</f>
        <v>0</v>
      </c>
    </row>
    <row r="26" spans="1:14" ht="13.5" thickBot="1">
      <c r="A26" s="1030"/>
      <c r="B26" s="224"/>
      <c r="C26" s="234"/>
      <c r="D26" s="226"/>
      <c r="E26" s="235"/>
      <c r="F26" s="239">
        <v>3</v>
      </c>
      <c r="G26" s="240" t="s">
        <v>11</v>
      </c>
      <c r="H26" s="614" t="s">
        <v>455</v>
      </c>
      <c r="I26" s="1033"/>
      <c r="J26" s="223">
        <f>+'14'!J26</f>
        <v>0</v>
      </c>
      <c r="K26" s="247"/>
      <c r="L26" s="247"/>
      <c r="M26" s="126">
        <f>+K26+'14'!M26+L26</f>
        <v>0</v>
      </c>
    </row>
    <row r="27" spans="1:14" ht="13.5" thickBot="1">
      <c r="A27" s="1030"/>
      <c r="B27" s="224"/>
      <c r="C27" s="225"/>
      <c r="D27" s="226"/>
      <c r="E27" s="233"/>
      <c r="F27" s="239"/>
      <c r="G27" s="240"/>
      <c r="H27" s="614" t="s">
        <v>623</v>
      </c>
      <c r="I27" s="1033"/>
      <c r="J27" s="223">
        <f>+'14'!J27</f>
        <v>0</v>
      </c>
      <c r="K27" s="247"/>
      <c r="L27" s="247"/>
      <c r="M27" s="126">
        <f>+K27+'14'!M27+L27</f>
        <v>0</v>
      </c>
    </row>
    <row r="28" spans="1:14" ht="13.5" thickBot="1">
      <c r="A28" s="1030"/>
      <c r="B28" s="224"/>
      <c r="C28" s="225"/>
      <c r="D28" s="226"/>
      <c r="E28" s="233"/>
      <c r="F28" s="239"/>
      <c r="G28" s="240"/>
      <c r="H28" s="241"/>
      <c r="I28" s="1033"/>
      <c r="J28" s="223">
        <f>+'14'!J28</f>
        <v>0</v>
      </c>
      <c r="K28" s="247"/>
      <c r="L28" s="247"/>
      <c r="M28" s="126">
        <f>+K28+'14'!M28+L28</f>
        <v>0</v>
      </c>
    </row>
    <row r="29" spans="1:14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+'14'!J29</f>
        <v>0</v>
      </c>
      <c r="K29" s="247"/>
      <c r="L29" s="247"/>
      <c r="M29" s="126">
        <f>+K29+'14'!M29+L29</f>
        <v>0</v>
      </c>
    </row>
    <row r="30" spans="1:14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+'14'!J30</f>
        <v>0</v>
      </c>
      <c r="K30" s="247"/>
      <c r="L30" s="247"/>
      <c r="M30" s="126">
        <f>+K30+'14'!M30+L30</f>
        <v>0</v>
      </c>
      <c r="N30" s="164"/>
    </row>
    <row r="31" spans="1:14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+'14'!J31</f>
        <v>0</v>
      </c>
      <c r="K31" s="247"/>
      <c r="L31" s="247"/>
      <c r="M31" s="126">
        <f>+K31+'14'!M31+L31</f>
        <v>0</v>
      </c>
    </row>
    <row r="32" spans="1:14" ht="13.5" thickBot="1">
      <c r="A32" s="1031"/>
      <c r="B32" s="174" t="s">
        <v>2</v>
      </c>
      <c r="C32" s="108">
        <f>SUM(C25:C31)</f>
        <v>26209</v>
      </c>
      <c r="D32" s="109">
        <f>SUM(D25:D31)</f>
        <v>383</v>
      </c>
      <c r="E32" s="110">
        <f>SUM(E25:E31)</f>
        <v>0</v>
      </c>
      <c r="F32" s="111">
        <f>SUM(F24:F31)</f>
        <v>3</v>
      </c>
      <c r="G32" s="180"/>
      <c r="H32" s="181"/>
      <c r="I32" s="178"/>
      <c r="J32" s="223">
        <f>+'14'!J32</f>
        <v>0</v>
      </c>
      <c r="K32" s="249"/>
      <c r="L32" s="251"/>
      <c r="M32" s="126">
        <f>+K32+'14'!M32+L32</f>
        <v>0</v>
      </c>
    </row>
    <row r="33" spans="1:14" ht="13.5" thickBot="1">
      <c r="A33" s="182"/>
      <c r="B33" s="183"/>
      <c r="C33" s="112">
        <f>C32/($C$32+$D$32+$E$32)</f>
        <v>0.98559717208182918</v>
      </c>
      <c r="D33" s="113">
        <f>D32/($C$32+$D$32+$E$32)</f>
        <v>1.4402827918170878E-2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80089</v>
      </c>
      <c r="D34" s="116">
        <f>D14+D23+D32</f>
        <v>706</v>
      </c>
      <c r="E34" s="116">
        <f>E14+E23+E32</f>
        <v>0</v>
      </c>
      <c r="F34" s="117">
        <f>F14+F23+F32</f>
        <v>10</v>
      </c>
      <c r="H34" s="187"/>
      <c r="I34" s="187"/>
      <c r="J34" s="132" t="s">
        <v>27</v>
      </c>
      <c r="K34" s="133">
        <f>SUM(K7:K32)</f>
        <v>80089</v>
      </c>
      <c r="L34" s="221">
        <f>SUM(L7:L32)</f>
        <v>0</v>
      </c>
      <c r="M34" s="129">
        <f>SUM(M7:M32)</f>
        <v>977570</v>
      </c>
      <c r="N34" s="164"/>
    </row>
    <row r="35" spans="1:14" ht="13.5" thickBot="1">
      <c r="A35" s="188"/>
      <c r="B35" s="189"/>
      <c r="C35" s="113">
        <f>C34/($C$34+$D$34+$E$34)</f>
        <v>0.9912618355096231</v>
      </c>
      <c r="D35" s="113">
        <f>D34/($C$34+$D$34+$E$34)</f>
        <v>8.7381644903768794E-3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(16*1440)/1440*G42*2.77*1440/1000000</f>
        <v>80.980723967999992</v>
      </c>
      <c r="J37" s="134">
        <f>+I37+'14'!J37</f>
        <v>1038.9397693597618</v>
      </c>
      <c r="K37" s="135" t="s">
        <v>63</v>
      </c>
    </row>
    <row r="38" spans="1:14" ht="17.45" customHeight="1">
      <c r="A38" s="1027" t="s">
        <v>11</v>
      </c>
      <c r="B38" s="1028"/>
      <c r="C38" s="173">
        <f>SUMIF($G$7:$G$31,"Process",$F$7:$F$31)</f>
        <v>10</v>
      </c>
      <c r="D38" s="127">
        <f>+C38+'14'!D38</f>
        <v>514</v>
      </c>
      <c r="E38" s="152">
        <f t="shared" ref="E38:E51" si="0">D38/60</f>
        <v>8.5666666666666664</v>
      </c>
      <c r="F38" s="337">
        <v>1300</v>
      </c>
      <c r="G38" s="337">
        <f>+F38-F38*0.0035</f>
        <v>1295.45</v>
      </c>
      <c r="H38" s="196" t="s">
        <v>64</v>
      </c>
      <c r="I38" s="253">
        <f>25.637+28.045+25.8</f>
        <v>79.481999999999999</v>
      </c>
      <c r="J38" s="136">
        <f>+I38+'14'!J38</f>
        <v>1004.034</v>
      </c>
      <c r="K38" s="137" t="s">
        <v>63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+C39+'14'!D39</f>
        <v>0</v>
      </c>
      <c r="E39" s="152">
        <f t="shared" si="0"/>
        <v>0</v>
      </c>
      <c r="F39" s="337">
        <v>1260</v>
      </c>
      <c r="G39" s="337">
        <f>+F39-F39*0.0035</f>
        <v>1255.5899999999999</v>
      </c>
      <c r="H39" s="196" t="s">
        <v>65</v>
      </c>
      <c r="I39" s="151"/>
      <c r="J39" s="138">
        <f>J37/G4</f>
        <v>69.262651290650794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+C40+'14'!D40</f>
        <v>0</v>
      </c>
      <c r="E40" s="152">
        <f t="shared" si="0"/>
        <v>0</v>
      </c>
      <c r="F40" s="337">
        <v>1260</v>
      </c>
      <c r="G40" s="337">
        <f>+F40-F40*0.0035</f>
        <v>1255.5899999999999</v>
      </c>
      <c r="H40" s="196" t="s">
        <v>67</v>
      </c>
      <c r="I40" s="127">
        <f>(K34+L34)/1000</f>
        <v>80.088999999999999</v>
      </c>
      <c r="J40" s="140">
        <f>+I40+'14'!J40</f>
        <v>977.56999999999994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+C41+'14'!D41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65.171333333333322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+C42+'14'!D42</f>
        <v>0</v>
      </c>
      <c r="E42" s="152">
        <f t="shared" si="0"/>
        <v>0</v>
      </c>
      <c r="F42" s="337">
        <f>+(F38*480+F39*480+F40*480)/1440</f>
        <v>1273.3333333333333</v>
      </c>
      <c r="G42" s="337">
        <f>+(G38*480+G39*480+G40*480)/1440</f>
        <v>1268.8766666666666</v>
      </c>
      <c r="H42" s="196" t="s">
        <v>70</v>
      </c>
      <c r="I42" s="254" t="s">
        <v>645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+C43+'14'!D43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+Report1!T23</f>
        <v>154.47900000000001</v>
      </c>
      <c r="J43" s="142">
        <f>+I43+'14'!J43</f>
        <v>2079.8759999999997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+C44+'14'!D44</f>
        <v>515</v>
      </c>
      <c r="E44" s="152">
        <f t="shared" si="0"/>
        <v>8.5833333333333339</v>
      </c>
      <c r="F44" s="337"/>
      <c r="G44" s="338"/>
      <c r="H44" s="197" t="s">
        <v>74</v>
      </c>
      <c r="I44" s="127">
        <f>I43/I38</f>
        <v>1.9435721295387636</v>
      </c>
      <c r="J44" s="143">
        <f>J43/J38</f>
        <v>2.0715194903758238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+C45+'14'!D45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1.9288416636491905</v>
      </c>
      <c r="J45" s="143">
        <f>J43/J40</f>
        <v>2.1275980236709389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+C46+'14'!D46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+SUMIF(Listrik!AR22,"&gt;0")</f>
        <v>56872.360000000044</v>
      </c>
      <c r="J46" s="144">
        <f>+I46+'14'!J46</f>
        <v>820100.62000000081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+C47+'14'!D47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715.53760599884311</v>
      </c>
      <c r="J47" s="144">
        <f>J46/J38</f>
        <v>816.80562610429604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+C48+'14'!D48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710.11449762139671</v>
      </c>
      <c r="J48" s="144">
        <f>J46/J40</f>
        <v>838.91754043188814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+C49+'14'!D49</f>
        <v>0</v>
      </c>
      <c r="E49" s="152">
        <f t="shared" si="0"/>
        <v>0</v>
      </c>
      <c r="F49" s="194"/>
      <c r="H49" s="197" t="s">
        <v>82</v>
      </c>
      <c r="I49" s="127">
        <v>0</v>
      </c>
      <c r="J49" s="144">
        <f>+I49+'14'!J49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+C50+'14'!D50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+C51+'14'!D51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10</v>
      </c>
      <c r="D52" s="153">
        <f>SUM(D38:D51)</f>
        <v>1029</v>
      </c>
      <c r="E52" s="154">
        <f>SUM(E38:E51)</f>
        <v>17.149999999999999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6.9444444444444441E-3</v>
      </c>
      <c r="D53" s="155">
        <f>D52/(24*60*G4)</f>
        <v>4.763888888888889E-2</v>
      </c>
      <c r="E53" s="156">
        <f>E52/(G4*24)</f>
        <v>4.7638888888888883E-2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+D34+'14'!J56</f>
        <v>5556</v>
      </c>
      <c r="K56" s="210">
        <f>J56/(J40+J56/1000)/1000</f>
        <v>5.6513610666384575E-3</v>
      </c>
    </row>
    <row r="57" spans="1:11">
      <c r="A57" s="185"/>
      <c r="I57" s="208" t="s">
        <v>89</v>
      </c>
      <c r="J57" s="209">
        <f>+E34+'14'!J57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I7:I13"/>
    <mergeCell ref="A15:A23"/>
    <mergeCell ref="I15:I22"/>
    <mergeCell ref="A44:B44"/>
    <mergeCell ref="A45:B45"/>
    <mergeCell ref="A42:B42"/>
    <mergeCell ref="I24:I31"/>
    <mergeCell ref="A24:A32"/>
    <mergeCell ref="A47:B47"/>
    <mergeCell ref="A7:A14"/>
    <mergeCell ref="A34:B34"/>
    <mergeCell ref="A37:B37"/>
    <mergeCell ref="A38:B38"/>
    <mergeCell ref="A39:B39"/>
    <mergeCell ref="A46:B46"/>
    <mergeCell ref="A40:B40"/>
    <mergeCell ref="A41:B41"/>
    <mergeCell ref="A43:B43"/>
    <mergeCell ref="A53:B53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7" right="0.16" top="0.17" bottom="0.16" header="0" footer="0"/>
  <pageSetup paperSize="9" scale="62" firstPageNumber="4294963191" orientation="landscape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O61"/>
  <sheetViews>
    <sheetView view="pageBreakPreview" topLeftCell="A4" zoomScale="80" zoomScaleNormal="75" zoomScaleSheetLayoutView="80" workbookViewId="0">
      <selection activeCell="D26" sqref="D26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2.140625" style="158" customWidth="1"/>
    <col min="14" max="16384" width="9.140625" style="158"/>
  </cols>
  <sheetData>
    <row r="1" spans="1:15" ht="15.75">
      <c r="A1" s="157"/>
    </row>
    <row r="2" spans="1:15" ht="15.75">
      <c r="A2" s="157" t="s">
        <v>148</v>
      </c>
    </row>
    <row r="3" spans="1:15" ht="15">
      <c r="A3" s="159"/>
    </row>
    <row r="4" spans="1:15" ht="20.25">
      <c r="A4" s="160" t="s">
        <v>3</v>
      </c>
      <c r="B4" s="161"/>
      <c r="F4" s="162" t="s">
        <v>29</v>
      </c>
      <c r="G4" s="163">
        <v>14</v>
      </c>
      <c r="H4" s="163" t="str">
        <f>+'1'!H4</f>
        <v>.06.24</v>
      </c>
    </row>
    <row r="5" spans="1:15" ht="13.5" thickBot="1">
      <c r="C5" s="164"/>
      <c r="D5" s="164"/>
    </row>
    <row r="6" spans="1:15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210+235+205</f>
        <v>650</v>
      </c>
    </row>
    <row r="7" spans="1:15" ht="13.5" customHeight="1" thickBot="1">
      <c r="A7" s="1029" t="s">
        <v>435</v>
      </c>
      <c r="B7" s="224" t="s">
        <v>611</v>
      </c>
      <c r="C7" s="225">
        <v>22695</v>
      </c>
      <c r="D7" s="226">
        <v>647</v>
      </c>
      <c r="E7" s="227"/>
      <c r="F7" s="236"/>
      <c r="G7" s="237" t="s">
        <v>11</v>
      </c>
      <c r="H7" s="238" t="s">
        <v>277</v>
      </c>
      <c r="I7" s="1032" t="s">
        <v>638</v>
      </c>
      <c r="J7" s="223" t="str">
        <f>+'13'!J7</f>
        <v>T 14 VP OW</v>
      </c>
      <c r="K7" s="246"/>
      <c r="L7" s="250"/>
      <c r="M7" s="126">
        <f>+K7+'13'!M7+L7</f>
        <v>62499</v>
      </c>
    </row>
    <row r="8" spans="1:15" ht="13.5" thickBot="1">
      <c r="A8" s="1030"/>
      <c r="B8" s="224"/>
      <c r="C8" s="225"/>
      <c r="D8" s="226"/>
      <c r="E8" s="228"/>
      <c r="F8" s="239"/>
      <c r="G8" s="240" t="s">
        <v>11</v>
      </c>
      <c r="H8" s="238" t="s">
        <v>591</v>
      </c>
      <c r="I8" s="1033"/>
      <c r="J8" s="223" t="str">
        <f>+'13'!J8</f>
        <v>T 15 VP OW</v>
      </c>
      <c r="K8" s="247"/>
      <c r="L8" s="247"/>
      <c r="M8" s="126">
        <f>+K8+'13'!M8+L8</f>
        <v>37584</v>
      </c>
      <c r="N8" s="158">
        <v>1260</v>
      </c>
      <c r="O8" s="158">
        <f>+N8-N8*0.0035</f>
        <v>1255.5899999999999</v>
      </c>
    </row>
    <row r="9" spans="1:15" ht="13.5" thickBot="1">
      <c r="A9" s="1030"/>
      <c r="B9" s="224"/>
      <c r="C9" s="225"/>
      <c r="D9" s="226"/>
      <c r="E9" s="229"/>
      <c r="F9" s="236">
        <v>2</v>
      </c>
      <c r="G9" s="240" t="s">
        <v>11</v>
      </c>
      <c r="H9" s="614" t="s">
        <v>455</v>
      </c>
      <c r="I9" s="1033"/>
      <c r="J9" s="223" t="str">
        <f>+'13'!J9</f>
        <v>T 12,5 VP OW</v>
      </c>
      <c r="K9" s="247"/>
      <c r="L9" s="247"/>
      <c r="M9" s="126">
        <f>+K9+'13'!M9+L9</f>
        <v>148332</v>
      </c>
    </row>
    <row r="10" spans="1:15" ht="13.5" thickBot="1">
      <c r="A10" s="1030"/>
      <c r="B10" s="224"/>
      <c r="C10" s="225"/>
      <c r="D10" s="226"/>
      <c r="E10" s="228"/>
      <c r="F10" s="236"/>
      <c r="G10" s="240"/>
      <c r="H10" s="614" t="s">
        <v>630</v>
      </c>
      <c r="I10" s="1033"/>
      <c r="J10" s="223" t="str">
        <f>+'13'!J10</f>
        <v>T 12 VP OW</v>
      </c>
      <c r="K10" s="247"/>
      <c r="L10" s="247"/>
      <c r="M10" s="126">
        <f>+K10+'13'!M10+L10</f>
        <v>25679</v>
      </c>
    </row>
    <row r="11" spans="1:15" ht="13.5" thickBot="1">
      <c r="A11" s="1030"/>
      <c r="B11" s="224"/>
      <c r="C11" s="225"/>
      <c r="D11" s="226"/>
      <c r="E11" s="228"/>
      <c r="F11" s="236"/>
      <c r="G11" s="240"/>
      <c r="H11" s="241"/>
      <c r="I11" s="1033"/>
      <c r="J11" s="223" t="str">
        <f>+'13'!J11</f>
        <v>F 12 VP OW</v>
      </c>
      <c r="K11" s="247"/>
      <c r="L11" s="247"/>
      <c r="M11" s="126">
        <f>+K11+'13'!M11+L11</f>
        <v>30353</v>
      </c>
    </row>
    <row r="12" spans="1:15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+'13'!J12</f>
        <v>F 13 VP OW</v>
      </c>
      <c r="K12" s="247"/>
      <c r="L12" s="247"/>
      <c r="M12" s="126">
        <f>+K12+'13'!M12+L12</f>
        <v>149460</v>
      </c>
    </row>
    <row r="13" spans="1:15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+'13'!J13</f>
        <v>F 13,5 VP OW</v>
      </c>
      <c r="K13" s="247"/>
      <c r="L13" s="247"/>
      <c r="M13" s="126">
        <f>+K13+'13'!M13+L13</f>
        <v>11138</v>
      </c>
    </row>
    <row r="14" spans="1:15" ht="13.5" thickBot="1">
      <c r="A14" s="1031"/>
      <c r="B14" s="174" t="s">
        <v>2</v>
      </c>
      <c r="C14" s="108">
        <f>SUM(C7:C13)</f>
        <v>22695</v>
      </c>
      <c r="D14" s="120">
        <f>SUM(D7:D13)</f>
        <v>647</v>
      </c>
      <c r="E14" s="121">
        <f>SUM(E5:E13)</f>
        <v>0</v>
      </c>
      <c r="F14" s="125">
        <f>SUM(F7:F13)</f>
        <v>2</v>
      </c>
      <c r="G14" s="168"/>
      <c r="H14" s="175"/>
      <c r="I14" s="176"/>
      <c r="J14" s="223" t="str">
        <f>+'13'!J14</f>
        <v>F 12,5 VP OW</v>
      </c>
      <c r="K14" s="247"/>
      <c r="L14" s="247"/>
      <c r="M14" s="126">
        <f>+K14+'13'!M14+L14</f>
        <v>73203</v>
      </c>
    </row>
    <row r="15" spans="1:15" ht="13.5" customHeight="1" thickBot="1">
      <c r="A15" s="1035" t="s">
        <v>595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638</v>
      </c>
      <c r="J15" s="223" t="str">
        <f>+'13'!J15</f>
        <v>MG 14 VP OW</v>
      </c>
      <c r="K15" s="247"/>
      <c r="L15" s="247"/>
      <c r="M15" s="126">
        <f>+K15+'13'!M15+L15</f>
        <v>19551</v>
      </c>
    </row>
    <row r="16" spans="1:15" ht="13.5" thickBot="1">
      <c r="A16" s="1030"/>
      <c r="B16" s="224" t="s">
        <v>611</v>
      </c>
      <c r="C16" s="230">
        <v>25988</v>
      </c>
      <c r="D16" s="231">
        <v>260</v>
      </c>
      <c r="E16" s="232"/>
      <c r="F16" s="236">
        <v>1</v>
      </c>
      <c r="G16" s="240" t="s">
        <v>11</v>
      </c>
      <c r="H16" s="238" t="s">
        <v>640</v>
      </c>
      <c r="I16" s="1033"/>
      <c r="J16" s="223" t="str">
        <f>+'13'!J16</f>
        <v>MG 17 VP OW/HW</v>
      </c>
      <c r="K16" s="247"/>
      <c r="L16" s="237"/>
      <c r="M16" s="126">
        <f>+K16+'13'!M16+L16</f>
        <v>189031</v>
      </c>
    </row>
    <row r="17" spans="1:14" ht="13.5" thickBot="1">
      <c r="A17" s="1030"/>
      <c r="B17" s="224"/>
      <c r="C17" s="225"/>
      <c r="D17" s="226"/>
      <c r="E17" s="233"/>
      <c r="F17" s="236">
        <v>5</v>
      </c>
      <c r="G17" s="240" t="s">
        <v>11</v>
      </c>
      <c r="H17" s="614" t="s">
        <v>455</v>
      </c>
      <c r="I17" s="1033"/>
      <c r="J17" s="223" t="str">
        <f>+'13'!J17</f>
        <v>MG 16 VP HW</v>
      </c>
      <c r="K17" s="247">
        <f>+C34</f>
        <v>73937</v>
      </c>
      <c r="L17" s="237"/>
      <c r="M17" s="126">
        <f>+K17+'13'!M17+L17</f>
        <v>150651</v>
      </c>
    </row>
    <row r="18" spans="1:14" ht="13.5" thickBot="1">
      <c r="A18" s="1030"/>
      <c r="B18" s="224"/>
      <c r="C18" s="225"/>
      <c r="D18" s="226"/>
      <c r="E18" s="233"/>
      <c r="F18" s="236"/>
      <c r="G18" s="240"/>
      <c r="H18" s="614" t="s">
        <v>623</v>
      </c>
      <c r="I18" s="1033"/>
      <c r="J18" s="223">
        <f>+'13'!J18</f>
        <v>0</v>
      </c>
      <c r="K18" s="247"/>
      <c r="L18" s="247"/>
      <c r="M18" s="126">
        <f>+K18+'13'!M18+L18</f>
        <v>0</v>
      </c>
    </row>
    <row r="19" spans="1:14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>
        <f>+'13'!J19</f>
        <v>0</v>
      </c>
      <c r="K19" s="247"/>
      <c r="L19" s="247"/>
      <c r="M19" s="126">
        <f>+K19+'13'!M19+L19</f>
        <v>0</v>
      </c>
    </row>
    <row r="20" spans="1:14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+'13'!J20</f>
        <v>0</v>
      </c>
      <c r="K20" s="248"/>
      <c r="L20" s="248"/>
      <c r="M20" s="126">
        <f>+K20+'13'!M20+L20</f>
        <v>0</v>
      </c>
    </row>
    <row r="21" spans="1:14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+'13'!J21</f>
        <v>0</v>
      </c>
      <c r="K21" s="247"/>
      <c r="L21" s="247"/>
      <c r="M21" s="126">
        <f>+K21+'13'!M21+L21</f>
        <v>0</v>
      </c>
    </row>
    <row r="22" spans="1:14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+'13'!J22</f>
        <v>0</v>
      </c>
      <c r="K22" s="247"/>
      <c r="L22" s="247"/>
      <c r="M22" s="126">
        <f>+K22+'13'!M22+L22</f>
        <v>0</v>
      </c>
    </row>
    <row r="23" spans="1:14" ht="13.5" thickBot="1">
      <c r="A23" s="1031"/>
      <c r="B23" s="177" t="s">
        <v>2</v>
      </c>
      <c r="C23" s="109">
        <f>SUM(C16:C22)</f>
        <v>25988</v>
      </c>
      <c r="D23" s="120">
        <f>SUM(D16:D22)</f>
        <v>260</v>
      </c>
      <c r="E23" s="121">
        <f>SUM(E18:E22)</f>
        <v>0</v>
      </c>
      <c r="F23" s="125">
        <f>SUM(F15:F22)</f>
        <v>6</v>
      </c>
      <c r="G23" s="168"/>
      <c r="H23" s="175" t="s">
        <v>234</v>
      </c>
      <c r="I23" s="178"/>
      <c r="J23" s="223">
        <f>+'13'!J23</f>
        <v>0</v>
      </c>
      <c r="K23" s="247"/>
      <c r="L23" s="247"/>
      <c r="M23" s="126">
        <f>+K23+'13'!M23+L23</f>
        <v>0</v>
      </c>
    </row>
    <row r="24" spans="1:14" ht="13.5" customHeight="1" thickBot="1">
      <c r="A24" s="1035" t="s">
        <v>434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638</v>
      </c>
      <c r="J24" s="223">
        <f>+'13'!J24</f>
        <v>0</v>
      </c>
      <c r="K24" s="247"/>
      <c r="L24" s="247"/>
      <c r="M24" s="126">
        <f>+K24+'13'!M24+L24</f>
        <v>0</v>
      </c>
    </row>
    <row r="25" spans="1:14" ht="13.5" thickBot="1">
      <c r="A25" s="1030"/>
      <c r="B25" s="224" t="s">
        <v>611</v>
      </c>
      <c r="C25" s="234">
        <v>25254</v>
      </c>
      <c r="D25" s="226">
        <v>356</v>
      </c>
      <c r="E25" s="233"/>
      <c r="F25" s="239"/>
      <c r="G25" s="240" t="s">
        <v>11</v>
      </c>
      <c r="H25" s="238" t="s">
        <v>591</v>
      </c>
      <c r="I25" s="1033"/>
      <c r="J25" s="223">
        <f>+'13'!J25</f>
        <v>0</v>
      </c>
      <c r="K25" s="247"/>
      <c r="L25" s="247"/>
      <c r="M25" s="126">
        <f>+K25+'13'!M25+L25</f>
        <v>0</v>
      </c>
    </row>
    <row r="26" spans="1:14" ht="13.5" thickBot="1">
      <c r="A26" s="1030"/>
      <c r="B26" s="224"/>
      <c r="C26" s="234"/>
      <c r="D26" s="226"/>
      <c r="E26" s="235"/>
      <c r="F26" s="239">
        <v>9</v>
      </c>
      <c r="G26" s="240" t="s">
        <v>11</v>
      </c>
      <c r="H26" s="614" t="s">
        <v>455</v>
      </c>
      <c r="I26" s="1033"/>
      <c r="J26" s="223">
        <f>+'13'!J26</f>
        <v>0</v>
      </c>
      <c r="K26" s="247"/>
      <c r="L26" s="247"/>
      <c r="M26" s="126">
        <f>+K26+'13'!M26+L26</f>
        <v>0</v>
      </c>
    </row>
    <row r="27" spans="1:14" ht="13.5" thickBot="1">
      <c r="A27" s="1030"/>
      <c r="B27" s="224"/>
      <c r="C27" s="225"/>
      <c r="D27" s="226"/>
      <c r="E27" s="233"/>
      <c r="F27" s="239"/>
      <c r="G27" s="240"/>
      <c r="H27" s="614" t="s">
        <v>623</v>
      </c>
      <c r="I27" s="1033"/>
      <c r="J27" s="223">
        <f>+'13'!J27</f>
        <v>0</v>
      </c>
      <c r="K27" s="247"/>
      <c r="L27" s="247"/>
      <c r="M27" s="126">
        <f>+K27+'13'!M27+L27</f>
        <v>0</v>
      </c>
    </row>
    <row r="28" spans="1:14" ht="13.5" thickBot="1">
      <c r="A28" s="1030"/>
      <c r="B28" s="224"/>
      <c r="C28" s="225"/>
      <c r="D28" s="226"/>
      <c r="E28" s="233"/>
      <c r="F28" s="239"/>
      <c r="G28" s="240"/>
      <c r="H28" s="241"/>
      <c r="I28" s="1033"/>
      <c r="J28" s="223">
        <f>+'13'!J28</f>
        <v>0</v>
      </c>
      <c r="K28" s="247"/>
      <c r="L28" s="247"/>
      <c r="M28" s="126">
        <f>+K28+'13'!M28+L28</f>
        <v>0</v>
      </c>
    </row>
    <row r="29" spans="1:14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+'13'!J29</f>
        <v>0</v>
      </c>
      <c r="K29" s="247"/>
      <c r="L29" s="247"/>
      <c r="M29" s="126">
        <f>+K29+'13'!M29+L29</f>
        <v>0</v>
      </c>
    </row>
    <row r="30" spans="1:14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+'13'!J30</f>
        <v>0</v>
      </c>
      <c r="K30" s="247"/>
      <c r="L30" s="247"/>
      <c r="M30" s="126">
        <f>+K30+'13'!M30+L30</f>
        <v>0</v>
      </c>
      <c r="N30" s="164"/>
    </row>
    <row r="31" spans="1:14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+'13'!J31</f>
        <v>0</v>
      </c>
      <c r="K31" s="247"/>
      <c r="L31" s="247"/>
      <c r="M31" s="126">
        <f>+K31+'13'!M31+L31</f>
        <v>0</v>
      </c>
    </row>
    <row r="32" spans="1:14" ht="13.5" thickBot="1">
      <c r="A32" s="1031"/>
      <c r="B32" s="174" t="s">
        <v>2</v>
      </c>
      <c r="C32" s="108">
        <f>SUM(C25:C31)</f>
        <v>25254</v>
      </c>
      <c r="D32" s="109">
        <f>SUM(D25:D31)</f>
        <v>356</v>
      </c>
      <c r="E32" s="110">
        <f>SUM(E25:E31)</f>
        <v>0</v>
      </c>
      <c r="F32" s="111">
        <f>SUM(F24:F31)</f>
        <v>9</v>
      </c>
      <c r="G32" s="180"/>
      <c r="H32" s="181"/>
      <c r="I32" s="178"/>
      <c r="J32" s="223">
        <f>+'13'!J32</f>
        <v>0</v>
      </c>
      <c r="K32" s="249"/>
      <c r="L32" s="251"/>
      <c r="M32" s="126">
        <f>+K32+'13'!M32+L32</f>
        <v>0</v>
      </c>
    </row>
    <row r="33" spans="1:14" ht="13.5" thickBot="1">
      <c r="A33" s="182"/>
      <c r="B33" s="183"/>
      <c r="C33" s="112">
        <f>C32/($C$32+$D$32+$E$32)</f>
        <v>0.98609918000780949</v>
      </c>
      <c r="D33" s="113">
        <f>D32/($C$32+$D$32+$E$32)</f>
        <v>1.390081999219055E-2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73937</v>
      </c>
      <c r="D34" s="116">
        <f>D14+D23+D32</f>
        <v>1263</v>
      </c>
      <c r="E34" s="116">
        <f>E14+E23+E32</f>
        <v>0</v>
      </c>
      <c r="F34" s="117">
        <f>F14+F23+F32</f>
        <v>17</v>
      </c>
      <c r="H34" s="187"/>
      <c r="I34" s="187"/>
      <c r="J34" s="132" t="s">
        <v>27</v>
      </c>
      <c r="K34" s="133">
        <f>SUM(K7:K32)</f>
        <v>73937</v>
      </c>
      <c r="L34" s="221">
        <f>SUM(L7:L32)</f>
        <v>0</v>
      </c>
      <c r="M34" s="129">
        <f>SUM(M7:M32)</f>
        <v>897481</v>
      </c>
      <c r="N34" s="164"/>
    </row>
    <row r="35" spans="1:14" ht="13.5" thickBot="1">
      <c r="A35" s="188"/>
      <c r="B35" s="189"/>
      <c r="C35" s="113">
        <f>C34/($C$34+$D$34+$E$34)</f>
        <v>0.98320478723404259</v>
      </c>
      <c r="D35" s="113">
        <f>D34/($C$34+$D$34+$E$34)</f>
        <v>1.6795212765957447E-2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(16*1440)/1440*G42*2.77*1440/1000000</f>
        <v>80.556741119999984</v>
      </c>
      <c r="J37" s="134">
        <f>+I37+'13'!J37</f>
        <v>957.95904539176195</v>
      </c>
      <c r="K37" s="135" t="s">
        <v>63</v>
      </c>
    </row>
    <row r="38" spans="1:14" ht="17.45" customHeight="1">
      <c r="A38" s="1027" t="s">
        <v>11</v>
      </c>
      <c r="B38" s="1028"/>
      <c r="C38" s="173">
        <f>SUMIF($G$7:$G$31,"Process",$F$7:$F$31)</f>
        <v>17</v>
      </c>
      <c r="D38" s="127">
        <f>+C38+'13'!D38</f>
        <v>504</v>
      </c>
      <c r="E38" s="152">
        <f t="shared" ref="E38:E51" si="0">D38/60</f>
        <v>8.4</v>
      </c>
      <c r="F38" s="337">
        <v>1280</v>
      </c>
      <c r="G38" s="337">
        <f>+F38-F38*0.0035</f>
        <v>1275.52</v>
      </c>
      <c r="H38" s="196" t="s">
        <v>64</v>
      </c>
      <c r="I38" s="548">
        <f>26.324+25.754+25.417</f>
        <v>77.495000000000005</v>
      </c>
      <c r="J38" s="136">
        <f>+I38+'13'!J38</f>
        <v>924.55200000000002</v>
      </c>
      <c r="K38" s="137" t="s">
        <v>63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+C39+'13'!D39</f>
        <v>0</v>
      </c>
      <c r="E39" s="152">
        <f t="shared" si="0"/>
        <v>0</v>
      </c>
      <c r="F39" s="337">
        <v>1260</v>
      </c>
      <c r="G39" s="337">
        <f>+F39-F39*0.0035</f>
        <v>1255.5899999999999</v>
      </c>
      <c r="H39" s="196" t="s">
        <v>65</v>
      </c>
      <c r="I39" s="151"/>
      <c r="J39" s="138">
        <f>J37/G4</f>
        <v>68.425646099411566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+C40+'13'!D40</f>
        <v>0</v>
      </c>
      <c r="E40" s="152">
        <f t="shared" si="0"/>
        <v>0</v>
      </c>
      <c r="F40" s="337">
        <v>1260</v>
      </c>
      <c r="G40" s="337">
        <f>+F40-F40*0.0035</f>
        <v>1255.5899999999999</v>
      </c>
      <c r="H40" s="196" t="s">
        <v>67</v>
      </c>
      <c r="I40" s="127">
        <f>(K34+L34)/1000</f>
        <v>73.936999999999998</v>
      </c>
      <c r="J40" s="140">
        <f>+I40+'13'!J40</f>
        <v>897.48099999999999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+C41+'13'!D41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64.105785714285716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+C42+'13'!D42</f>
        <v>0</v>
      </c>
      <c r="E42" s="152">
        <f t="shared" si="0"/>
        <v>0</v>
      </c>
      <c r="F42" s="337">
        <f>+(F38*480+F39*480+F40*480)/1440</f>
        <v>1266.6666666666667</v>
      </c>
      <c r="G42" s="337">
        <f>+(G38*480+G39*480+G40*480)/1440</f>
        <v>1262.2333333333331</v>
      </c>
      <c r="H42" s="196" t="s">
        <v>70</v>
      </c>
      <c r="I42" s="254" t="s">
        <v>639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+C43+'13'!D43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+Report1!T22</f>
        <v>152.643</v>
      </c>
      <c r="J43" s="142">
        <f>+I43+'13'!J43</f>
        <v>1925.3969999999997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+C44+'13'!D44</f>
        <v>515</v>
      </c>
      <c r="E44" s="152">
        <f t="shared" si="0"/>
        <v>8.5833333333333339</v>
      </c>
      <c r="F44" s="337"/>
      <c r="G44" s="338"/>
      <c r="H44" s="197" t="s">
        <v>74</v>
      </c>
      <c r="I44" s="127">
        <f>I43/I38</f>
        <v>1.9697141751080713</v>
      </c>
      <c r="J44" s="143">
        <f>J43/J38</f>
        <v>2.0825188848220542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+C45+'13'!D45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2.0645008588392821</v>
      </c>
      <c r="J45" s="143">
        <f>J43/J40</f>
        <v>2.1453345530434627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+C46+'13'!D46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+SUMIF(Listrik!AR21,"&gt;0")</f>
        <v>56622.340000001226</v>
      </c>
      <c r="J46" s="144">
        <f>+I46+'13'!J46</f>
        <v>763228.26000000082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+C47+'13'!D47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730.65797793407603</v>
      </c>
      <c r="J47" s="144">
        <f>J46/J38</f>
        <v>825.51144770656583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+C48+'13'!D48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765.81873757389712</v>
      </c>
      <c r="J48" s="144">
        <f>J46/J40</f>
        <v>850.41160759949332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+C49+'13'!D49</f>
        <v>0</v>
      </c>
      <c r="E49" s="152">
        <f t="shared" si="0"/>
        <v>0</v>
      </c>
      <c r="F49" s="194"/>
      <c r="H49" s="197" t="s">
        <v>82</v>
      </c>
      <c r="I49" s="127">
        <v>0</v>
      </c>
      <c r="J49" s="144">
        <f>+I49+'13'!J49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+C50+'13'!D50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+C51+'13'!D51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17</v>
      </c>
      <c r="D52" s="153">
        <f>SUM(D38:D51)</f>
        <v>1019</v>
      </c>
      <c r="E52" s="154">
        <f>SUM(E38:E51)</f>
        <v>16.983333333333334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1.1805555555555555E-2</v>
      </c>
      <c r="D53" s="155">
        <f>D52/(24*60*G4)</f>
        <v>5.0545634920634921E-2</v>
      </c>
      <c r="E53" s="156">
        <f>E52/(G4*24)</f>
        <v>5.0545634920634921E-2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+D34+'13'!J56</f>
        <v>4850</v>
      </c>
      <c r="K56" s="210">
        <f>J56/(J40+J56/1000)/1000</f>
        <v>5.3749677224876457E-3</v>
      </c>
    </row>
    <row r="57" spans="1:11">
      <c r="A57" s="185"/>
      <c r="I57" s="208" t="s">
        <v>89</v>
      </c>
      <c r="J57" s="209">
        <f>+E34+'13'!J57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6:B46"/>
    <mergeCell ref="A47:B47"/>
    <mergeCell ref="A52:B52"/>
    <mergeCell ref="A53:B53"/>
    <mergeCell ref="A48:B48"/>
    <mergeCell ref="A49:B49"/>
    <mergeCell ref="A50:B50"/>
    <mergeCell ref="A51:B51"/>
    <mergeCell ref="A40:B40"/>
    <mergeCell ref="A41:B41"/>
    <mergeCell ref="A44:B44"/>
    <mergeCell ref="A45:B45"/>
    <mergeCell ref="A42:B42"/>
    <mergeCell ref="A43:B43"/>
    <mergeCell ref="A37:B37"/>
    <mergeCell ref="I24:I31"/>
    <mergeCell ref="A24:A32"/>
    <mergeCell ref="A38:B38"/>
    <mergeCell ref="A39:B39"/>
    <mergeCell ref="A7:A14"/>
    <mergeCell ref="I7:I13"/>
    <mergeCell ref="A15:A23"/>
    <mergeCell ref="I15:I22"/>
    <mergeCell ref="A34:B34"/>
  </mergeCells>
  <phoneticPr fontId="31" type="noConversion"/>
  <printOptions horizontalCentered="1"/>
  <pageMargins left="0.17" right="0.16" top="0.17" bottom="0.16" header="0" footer="0"/>
  <pageSetup paperSize="9" scale="62" firstPageNumber="4294963191" fitToWidth="20" orientation="landscape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P61"/>
  <sheetViews>
    <sheetView view="pageBreakPreview" topLeftCell="A22" zoomScale="85" zoomScaleNormal="70" zoomScaleSheetLayoutView="85" workbookViewId="0">
      <selection activeCell="I47" sqref="I47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2.140625" style="158" customWidth="1"/>
    <col min="14" max="16384" width="9.140625" style="158"/>
  </cols>
  <sheetData>
    <row r="1" spans="1:16" ht="15.75">
      <c r="A1" s="157"/>
    </row>
    <row r="2" spans="1:16" ht="15.75">
      <c r="A2" s="157" t="s">
        <v>148</v>
      </c>
    </row>
    <row r="3" spans="1:16" ht="15">
      <c r="A3" s="159"/>
    </row>
    <row r="4" spans="1:16" ht="20.25">
      <c r="A4" s="160" t="s">
        <v>3</v>
      </c>
      <c r="B4" s="161"/>
      <c r="F4" s="162" t="s">
        <v>29</v>
      </c>
      <c r="G4" s="163">
        <v>13</v>
      </c>
      <c r="H4" s="163" t="str">
        <f>+'1'!H4</f>
        <v>.06.24</v>
      </c>
    </row>
    <row r="5" spans="1:16" ht="13.5" thickBot="1">
      <c r="C5" s="164"/>
      <c r="D5" s="164"/>
    </row>
    <row r="6" spans="1:16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50+274+239</f>
        <v>563</v>
      </c>
    </row>
    <row r="7" spans="1:16" ht="13.5" customHeight="1" thickBot="1">
      <c r="A7" s="1029" t="s">
        <v>435</v>
      </c>
      <c r="B7" s="224" t="s">
        <v>611</v>
      </c>
      <c r="C7" s="225">
        <v>9687</v>
      </c>
      <c r="D7" s="226"/>
      <c r="E7" s="227"/>
      <c r="F7" s="236"/>
      <c r="G7" s="237" t="s">
        <v>11</v>
      </c>
      <c r="H7" s="238" t="s">
        <v>277</v>
      </c>
      <c r="I7" s="1032" t="s">
        <v>632</v>
      </c>
      <c r="J7" s="223" t="str">
        <f>+'12'!J7</f>
        <v>T 14 VP OW</v>
      </c>
      <c r="K7" s="246"/>
      <c r="L7" s="250"/>
      <c r="M7" s="126">
        <f>+K7+'12'!M7+L7</f>
        <v>62499</v>
      </c>
    </row>
    <row r="8" spans="1:16" ht="13.5" thickBot="1">
      <c r="A8" s="1030"/>
      <c r="B8" s="224"/>
      <c r="C8" s="225"/>
      <c r="D8" s="226"/>
      <c r="E8" s="228"/>
      <c r="F8" s="239"/>
      <c r="G8" s="240" t="s">
        <v>11</v>
      </c>
      <c r="H8" s="238" t="s">
        <v>591</v>
      </c>
      <c r="I8" s="1033"/>
      <c r="J8" s="223" t="str">
        <f>+'12'!J8</f>
        <v>T 15 VP OW</v>
      </c>
      <c r="K8" s="247"/>
      <c r="L8" s="247"/>
      <c r="M8" s="126">
        <f>+K8+'12'!M8+L8</f>
        <v>37584</v>
      </c>
      <c r="N8" s="158">
        <v>1280</v>
      </c>
      <c r="O8" s="158">
        <f>+N8-N8*0.0035</f>
        <v>1275.52</v>
      </c>
      <c r="P8" s="158">
        <v>180</v>
      </c>
    </row>
    <row r="9" spans="1:16" ht="13.5" thickBot="1">
      <c r="A9" s="1030"/>
      <c r="B9" s="224"/>
      <c r="C9" s="225"/>
      <c r="D9" s="226"/>
      <c r="E9" s="229"/>
      <c r="F9" s="236">
        <v>0</v>
      </c>
      <c r="G9" s="240" t="s">
        <v>11</v>
      </c>
      <c r="H9" s="614" t="s">
        <v>629</v>
      </c>
      <c r="I9" s="1033"/>
      <c r="J9" s="223" t="str">
        <f>+'12'!J9</f>
        <v>T 12,5 VP OW</v>
      </c>
      <c r="K9" s="247"/>
      <c r="L9" s="247"/>
      <c r="M9" s="126">
        <f>+K9+'12'!M9+L9</f>
        <v>148332</v>
      </c>
      <c r="N9" s="158">
        <v>1000</v>
      </c>
      <c r="O9" s="158">
        <f>+N9-N9*0.0035</f>
        <v>996.5</v>
      </c>
      <c r="P9" s="158">
        <f>40+360</f>
        <v>400</v>
      </c>
    </row>
    <row r="10" spans="1:16" ht="13.5" thickBot="1">
      <c r="A10" s="1030"/>
      <c r="B10" s="224"/>
      <c r="C10" s="225"/>
      <c r="D10" s="226"/>
      <c r="E10" s="228"/>
      <c r="F10" s="236"/>
      <c r="G10" s="240"/>
      <c r="H10" s="614" t="s">
        <v>630</v>
      </c>
      <c r="I10" s="1033"/>
      <c r="J10" s="223" t="str">
        <f>+'12'!J10</f>
        <v>T 12 VP OW</v>
      </c>
      <c r="K10" s="247"/>
      <c r="L10" s="247"/>
      <c r="M10" s="126">
        <f>+K10+'12'!M10+L10</f>
        <v>25679</v>
      </c>
      <c r="N10" s="158">
        <v>1260</v>
      </c>
      <c r="O10" s="158">
        <f>+N10-N10*0.0035</f>
        <v>1255.5899999999999</v>
      </c>
      <c r="P10" s="158">
        <v>480</v>
      </c>
    </row>
    <row r="11" spans="1:16" ht="39" thickBot="1">
      <c r="A11" s="1030"/>
      <c r="B11" s="224"/>
      <c r="C11" s="225"/>
      <c r="D11" s="226"/>
      <c r="E11" s="228" t="s">
        <v>506</v>
      </c>
      <c r="F11" s="236">
        <v>300</v>
      </c>
      <c r="G11" s="240" t="s">
        <v>16</v>
      </c>
      <c r="H11" s="241" t="s">
        <v>624</v>
      </c>
      <c r="I11" s="1033"/>
      <c r="J11" s="223" t="str">
        <f>+'12'!J11</f>
        <v>F 12 VP OW</v>
      </c>
      <c r="K11" s="247"/>
      <c r="L11" s="247"/>
      <c r="M11" s="126">
        <f>+K11+'12'!M11+L11</f>
        <v>30353</v>
      </c>
      <c r="P11" s="158">
        <f>SUM(P8:P10)</f>
        <v>1060</v>
      </c>
    </row>
    <row r="12" spans="1:16" ht="39" thickBot="1">
      <c r="A12" s="1030"/>
      <c r="B12" s="224"/>
      <c r="C12" s="225"/>
      <c r="D12" s="226"/>
      <c r="E12" s="228"/>
      <c r="F12" s="236"/>
      <c r="G12" s="240"/>
      <c r="H12" s="241" t="s">
        <v>625</v>
      </c>
      <c r="I12" s="1033"/>
      <c r="J12" s="223" t="str">
        <f>+'12'!J12</f>
        <v>F 13 VP OW</v>
      </c>
      <c r="K12" s="247"/>
      <c r="L12" s="247"/>
      <c r="M12" s="126">
        <f>+K12+'12'!M12+L12</f>
        <v>149460</v>
      </c>
    </row>
    <row r="13" spans="1:16" ht="51.75" thickBot="1">
      <c r="A13" s="1030"/>
      <c r="B13" s="224"/>
      <c r="C13" s="225"/>
      <c r="D13" s="225"/>
      <c r="E13" s="228"/>
      <c r="F13" s="236"/>
      <c r="G13" s="240"/>
      <c r="H13" s="241" t="s">
        <v>626</v>
      </c>
      <c r="I13" s="1034"/>
      <c r="J13" s="223" t="str">
        <f>+'12'!J13</f>
        <v>F 13,5 VP OW</v>
      </c>
      <c r="K13" s="247"/>
      <c r="L13" s="247"/>
      <c r="M13" s="126">
        <f>+K13+'12'!M13+L13</f>
        <v>11138</v>
      </c>
    </row>
    <row r="14" spans="1:16" ht="13.5" thickBot="1">
      <c r="A14" s="1031"/>
      <c r="B14" s="174" t="s">
        <v>2</v>
      </c>
      <c r="C14" s="108">
        <f>SUM(C7:C13)</f>
        <v>9687</v>
      </c>
      <c r="D14" s="120">
        <f>SUM(D7:D13)</f>
        <v>0</v>
      </c>
      <c r="E14" s="121">
        <f>SUM(E5:E13)</f>
        <v>0</v>
      </c>
      <c r="F14" s="125">
        <f>SUM(F7:F13)</f>
        <v>300</v>
      </c>
      <c r="G14" s="168"/>
      <c r="H14" s="175"/>
      <c r="I14" s="176"/>
      <c r="J14" s="223" t="str">
        <f>+'12'!J14</f>
        <v>F 12,5 VP OW</v>
      </c>
      <c r="K14" s="247"/>
      <c r="L14" s="247"/>
      <c r="M14" s="126">
        <f>+K14+'12'!M14+L14</f>
        <v>73203</v>
      </c>
    </row>
    <row r="15" spans="1:16" ht="13.5" customHeight="1" thickBot="1">
      <c r="A15" s="1035" t="s">
        <v>595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633</v>
      </c>
      <c r="J15" s="223" t="str">
        <f>+'12'!J15</f>
        <v>MG 14 VP OW</v>
      </c>
      <c r="K15" s="247"/>
      <c r="L15" s="247"/>
      <c r="M15" s="126">
        <f>+K15+'12'!M15+L15</f>
        <v>19551</v>
      </c>
    </row>
    <row r="16" spans="1:16" ht="13.5" thickBot="1">
      <c r="A16" s="1030"/>
      <c r="B16" s="224" t="s">
        <v>611</v>
      </c>
      <c r="C16" s="230">
        <v>24109</v>
      </c>
      <c r="D16" s="231"/>
      <c r="E16" s="232"/>
      <c r="F16" s="236"/>
      <c r="G16" s="240" t="s">
        <v>11</v>
      </c>
      <c r="H16" s="238" t="s">
        <v>591</v>
      </c>
      <c r="I16" s="1033"/>
      <c r="J16" s="223" t="str">
        <f>+'12'!J16</f>
        <v>MG 17 VP OW/HW</v>
      </c>
      <c r="K16" s="237"/>
      <c r="L16" s="237"/>
      <c r="M16" s="126">
        <f>+K16+'12'!M16+L16</f>
        <v>189031</v>
      </c>
    </row>
    <row r="17" spans="1:14" ht="13.5" thickBot="1">
      <c r="A17" s="1030"/>
      <c r="B17" s="224"/>
      <c r="C17" s="225"/>
      <c r="D17" s="226"/>
      <c r="E17" s="233"/>
      <c r="F17" s="236">
        <v>8</v>
      </c>
      <c r="G17" s="240" t="s">
        <v>11</v>
      </c>
      <c r="H17" s="614" t="s">
        <v>483</v>
      </c>
      <c r="I17" s="1033"/>
      <c r="J17" s="223" t="str">
        <f>+'12'!J17</f>
        <v>MG 16 VP HW</v>
      </c>
      <c r="K17" s="237">
        <f>+C34</f>
        <v>55878</v>
      </c>
      <c r="L17" s="237"/>
      <c r="M17" s="126">
        <f>+K17+'12'!M17+L17</f>
        <v>76714</v>
      </c>
    </row>
    <row r="18" spans="1:14" ht="13.5" thickBot="1">
      <c r="A18" s="1030"/>
      <c r="B18" s="224"/>
      <c r="C18" s="225"/>
      <c r="D18" s="226"/>
      <c r="E18" s="233" t="s">
        <v>506</v>
      </c>
      <c r="F18" s="236">
        <f>60+20</f>
        <v>80</v>
      </c>
      <c r="G18" s="240" t="s">
        <v>16</v>
      </c>
      <c r="H18" s="614" t="s">
        <v>628</v>
      </c>
      <c r="I18" s="1033"/>
      <c r="J18" s="223">
        <f>+'12'!J18</f>
        <v>0</v>
      </c>
      <c r="K18" s="247"/>
      <c r="L18" s="247"/>
      <c r="M18" s="126">
        <f>+K18+'12'!M18+L18</f>
        <v>0</v>
      </c>
    </row>
    <row r="19" spans="1:14" ht="13.5" thickBot="1">
      <c r="A19" s="1030"/>
      <c r="B19" s="224"/>
      <c r="C19" s="225"/>
      <c r="D19" s="226"/>
      <c r="E19" s="233"/>
      <c r="F19" s="243"/>
      <c r="G19" s="240"/>
      <c r="H19" s="241" t="s">
        <v>627</v>
      </c>
      <c r="I19" s="1033"/>
      <c r="J19" s="223">
        <f>+'12'!J19</f>
        <v>0</v>
      </c>
      <c r="K19" s="247"/>
      <c r="L19" s="247"/>
      <c r="M19" s="126">
        <f>+K19+'12'!M19+L19</f>
        <v>0</v>
      </c>
    </row>
    <row r="20" spans="1:14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+'12'!J20</f>
        <v>0</v>
      </c>
      <c r="K20" s="248"/>
      <c r="L20" s="248"/>
      <c r="M20" s="126">
        <f>+K20+'12'!M20+L20</f>
        <v>0</v>
      </c>
    </row>
    <row r="21" spans="1:14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+'12'!J21</f>
        <v>0</v>
      </c>
      <c r="K21" s="247"/>
      <c r="L21" s="247"/>
      <c r="M21" s="126">
        <f>+K21+'12'!M21+L21</f>
        <v>0</v>
      </c>
    </row>
    <row r="22" spans="1:14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+'12'!J22</f>
        <v>0</v>
      </c>
      <c r="K22" s="247"/>
      <c r="L22" s="247"/>
      <c r="M22" s="126">
        <f>+K22+'12'!M22+L22</f>
        <v>0</v>
      </c>
    </row>
    <row r="23" spans="1:14" ht="13.5" thickBot="1">
      <c r="A23" s="1031"/>
      <c r="B23" s="177" t="s">
        <v>2</v>
      </c>
      <c r="C23" s="109">
        <f>SUM(C16:C22)</f>
        <v>24109</v>
      </c>
      <c r="D23" s="120">
        <f>SUM(D16:D22)</f>
        <v>0</v>
      </c>
      <c r="E23" s="121">
        <f>SUM(E18:E22)</f>
        <v>0</v>
      </c>
      <c r="F23" s="125">
        <f>SUM(F15:F22)</f>
        <v>88</v>
      </c>
      <c r="G23" s="168"/>
      <c r="H23" s="175" t="s">
        <v>234</v>
      </c>
      <c r="I23" s="178"/>
      <c r="J23" s="223">
        <f>+'12'!J23</f>
        <v>0</v>
      </c>
      <c r="K23" s="247"/>
      <c r="L23" s="247"/>
      <c r="M23" s="126">
        <f>+K23+'12'!M23+L23</f>
        <v>0</v>
      </c>
    </row>
    <row r="24" spans="1:14" ht="13.5" customHeight="1" thickBot="1">
      <c r="A24" s="1035" t="s">
        <v>433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589</v>
      </c>
      <c r="J24" s="223">
        <f>+'12'!J24</f>
        <v>0</v>
      </c>
      <c r="K24" s="247"/>
      <c r="L24" s="247"/>
      <c r="M24" s="126">
        <f>+K24+'12'!M24+L24</f>
        <v>0</v>
      </c>
    </row>
    <row r="25" spans="1:14" ht="13.5" thickBot="1">
      <c r="A25" s="1030"/>
      <c r="B25" s="224" t="s">
        <v>611</v>
      </c>
      <c r="C25" s="234">
        <v>22082</v>
      </c>
      <c r="D25" s="226">
        <v>474</v>
      </c>
      <c r="E25" s="233"/>
      <c r="F25" s="239"/>
      <c r="G25" s="240" t="s">
        <v>11</v>
      </c>
      <c r="H25" s="238" t="s">
        <v>591</v>
      </c>
      <c r="I25" s="1033"/>
      <c r="J25" s="223">
        <f>+'12'!J25</f>
        <v>0</v>
      </c>
      <c r="K25" s="247"/>
      <c r="L25" s="247"/>
      <c r="M25" s="126">
        <f>+K25+'12'!M25+L25</f>
        <v>0</v>
      </c>
    </row>
    <row r="26" spans="1:14" ht="13.5" thickBot="1">
      <c r="A26" s="1030"/>
      <c r="B26" s="224"/>
      <c r="C26" s="234"/>
      <c r="D26" s="226"/>
      <c r="E26" s="235"/>
      <c r="F26" s="239">
        <v>3</v>
      </c>
      <c r="G26" s="240" t="s">
        <v>11</v>
      </c>
      <c r="H26" s="614" t="s">
        <v>455</v>
      </c>
      <c r="I26" s="1033"/>
      <c r="J26" s="223">
        <f>+'12'!J26</f>
        <v>0</v>
      </c>
      <c r="K26" s="247"/>
      <c r="L26" s="247"/>
      <c r="M26" s="126">
        <f>+K26+'12'!M26+L26</f>
        <v>0</v>
      </c>
    </row>
    <row r="27" spans="1:14" ht="13.5" thickBot="1">
      <c r="A27" s="1030"/>
      <c r="B27" s="224"/>
      <c r="C27" s="225"/>
      <c r="D27" s="226"/>
      <c r="E27" s="233"/>
      <c r="F27" s="239"/>
      <c r="G27" s="240"/>
      <c r="H27" s="614" t="s">
        <v>623</v>
      </c>
      <c r="I27" s="1033"/>
      <c r="J27" s="223">
        <f>+'12'!J27</f>
        <v>0</v>
      </c>
      <c r="K27" s="247"/>
      <c r="L27" s="247"/>
      <c r="M27" s="126">
        <f>+K27+'12'!M27+L27</f>
        <v>0</v>
      </c>
    </row>
    <row r="28" spans="1:14" ht="13.5" thickBot="1">
      <c r="A28" s="1030"/>
      <c r="B28" s="224"/>
      <c r="C28" s="225"/>
      <c r="D28" s="226"/>
      <c r="E28" s="233"/>
      <c r="F28" s="239"/>
      <c r="G28" s="240"/>
      <c r="H28" s="241"/>
      <c r="I28" s="1033"/>
      <c r="J28" s="223">
        <f>+'12'!J28</f>
        <v>0</v>
      </c>
      <c r="K28" s="247"/>
      <c r="L28" s="247"/>
      <c r="M28" s="126">
        <f>+K28+'12'!M28+L28</f>
        <v>0</v>
      </c>
    </row>
    <row r="29" spans="1:14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+'12'!J29</f>
        <v>0</v>
      </c>
      <c r="K29" s="247"/>
      <c r="L29" s="247"/>
      <c r="M29" s="126">
        <f>+K29+'12'!M29+L29</f>
        <v>0</v>
      </c>
    </row>
    <row r="30" spans="1:14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+'12'!J30</f>
        <v>0</v>
      </c>
      <c r="K30" s="247"/>
      <c r="L30" s="247"/>
      <c r="M30" s="126">
        <f>+K30+'12'!M30+L30</f>
        <v>0</v>
      </c>
      <c r="N30" s="164"/>
    </row>
    <row r="31" spans="1:14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+'12'!J31</f>
        <v>0</v>
      </c>
      <c r="K31" s="247"/>
      <c r="L31" s="247"/>
      <c r="M31" s="126">
        <f>+K31+'12'!M31+L31</f>
        <v>0</v>
      </c>
    </row>
    <row r="32" spans="1:14" ht="13.5" thickBot="1">
      <c r="A32" s="1031"/>
      <c r="B32" s="174" t="s">
        <v>2</v>
      </c>
      <c r="C32" s="108">
        <f>SUM(C25:C31)</f>
        <v>22082</v>
      </c>
      <c r="D32" s="109">
        <f>SUM(D25:D31)</f>
        <v>474</v>
      </c>
      <c r="E32" s="110">
        <f>SUM(E25:E31)</f>
        <v>0</v>
      </c>
      <c r="F32" s="111">
        <f>SUM(F24:F31)</f>
        <v>3</v>
      </c>
      <c r="G32" s="180"/>
      <c r="H32" s="181"/>
      <c r="I32" s="178"/>
      <c r="J32" s="223">
        <f>+'12'!J32</f>
        <v>0</v>
      </c>
      <c r="K32" s="249"/>
      <c r="L32" s="251"/>
      <c r="M32" s="126">
        <f>+K32+'12'!M32+L32</f>
        <v>0</v>
      </c>
    </row>
    <row r="33" spans="1:14" ht="13.5" thickBot="1">
      <c r="A33" s="182"/>
      <c r="B33" s="183"/>
      <c r="C33" s="112">
        <f>C32/($C$32+$D$32+$E$32)</f>
        <v>0.97898563575101971</v>
      </c>
      <c r="D33" s="113">
        <f>D32/($C$32+$D$32+$E$32)</f>
        <v>2.1014364248980316E-2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55878</v>
      </c>
      <c r="D34" s="116">
        <f>D14+D23+D32</f>
        <v>474</v>
      </c>
      <c r="E34" s="116">
        <f>E14+E23+E32</f>
        <v>0</v>
      </c>
      <c r="F34" s="117">
        <f>F14+F23+F32</f>
        <v>391</v>
      </c>
      <c r="H34" s="187"/>
      <c r="I34" s="187"/>
      <c r="J34" s="132" t="s">
        <v>27</v>
      </c>
      <c r="K34" s="133">
        <f>SUM(K7:K32)</f>
        <v>55878</v>
      </c>
      <c r="L34" s="221">
        <f>SUM(L7:L32)</f>
        <v>0</v>
      </c>
      <c r="M34" s="129">
        <f>SUM(M7:M32)</f>
        <v>823544</v>
      </c>
      <c r="N34" s="164"/>
    </row>
    <row r="35" spans="1:14" ht="13.5" thickBot="1">
      <c r="A35" s="188"/>
      <c r="B35" s="189"/>
      <c r="C35" s="113">
        <f>C34/($C$34+$D$34+$E$34)</f>
        <v>0.99158858603066435</v>
      </c>
      <c r="D35" s="113">
        <f>D34/($C$34+$D$34+$E$34)</f>
        <v>8.4114139693356044E-3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(16*1060)/1060*G42*2.77*1060/1000000</f>
        <v>54.552459775999985</v>
      </c>
      <c r="J37" s="134">
        <f>+I37+'12'!J37</f>
        <v>877.40230427176198</v>
      </c>
      <c r="K37" s="135" t="s">
        <v>63</v>
      </c>
    </row>
    <row r="38" spans="1:14" ht="17.45" customHeight="1">
      <c r="A38" s="1027" t="s">
        <v>11</v>
      </c>
      <c r="B38" s="1028"/>
      <c r="C38" s="173">
        <f>SUMIF($G$7:$G$31,"Process",$F$7:$F$31)</f>
        <v>11</v>
      </c>
      <c r="D38" s="127">
        <f>+C38+'12'!D38</f>
        <v>487</v>
      </c>
      <c r="E38" s="152">
        <f t="shared" ref="E38:E51" si="0">D38/60</f>
        <v>8.1166666666666671</v>
      </c>
      <c r="F38" s="337">
        <v>1280</v>
      </c>
      <c r="G38" s="337">
        <f>+F38-F38*0.0035</f>
        <v>1275.52</v>
      </c>
      <c r="H38" s="196" t="s">
        <v>64</v>
      </c>
      <c r="I38" s="548">
        <f>11.157+21.703+24.481</f>
        <v>57.341000000000001</v>
      </c>
      <c r="J38" s="136">
        <f>+I38+'12'!J38</f>
        <v>847.05700000000002</v>
      </c>
      <c r="K38" s="137" t="s">
        <v>63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+C39+'12'!D39</f>
        <v>0</v>
      </c>
      <c r="E39" s="152">
        <f t="shared" si="0"/>
        <v>0</v>
      </c>
      <c r="F39" s="337">
        <v>1000</v>
      </c>
      <c r="G39" s="337">
        <f>+F39-F39*0.0035</f>
        <v>996.5</v>
      </c>
      <c r="H39" s="196" t="s">
        <v>65</v>
      </c>
      <c r="I39" s="151"/>
      <c r="J39" s="138">
        <f>J37/G4</f>
        <v>67.492484943981694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+C40+'12'!D40</f>
        <v>0</v>
      </c>
      <c r="E40" s="152">
        <f t="shared" si="0"/>
        <v>0</v>
      </c>
      <c r="F40" s="337">
        <v>1260</v>
      </c>
      <c r="G40" s="337">
        <f>+F40-F40*0.0035</f>
        <v>1255.5899999999999</v>
      </c>
      <c r="H40" s="196" t="s">
        <v>67</v>
      </c>
      <c r="I40" s="127">
        <f>(K34+L34)/1000</f>
        <v>55.878</v>
      </c>
      <c r="J40" s="140">
        <f>+I40+'12'!J40</f>
        <v>823.54399999999998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+C41+'12'!D41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63.349538461538458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+C42+'12'!D42</f>
        <v>0</v>
      </c>
      <c r="E42" s="152">
        <f t="shared" si="0"/>
        <v>0</v>
      </c>
      <c r="F42" s="337">
        <f>+(F38*180+F39*400+F40*480)/1060</f>
        <v>1165.2830188679245</v>
      </c>
      <c r="G42" s="337">
        <f>+(G38*180+G39*400+G40*480)/1060</f>
        <v>1161.2045283018865</v>
      </c>
      <c r="H42" s="196" t="s">
        <v>70</v>
      </c>
      <c r="I42" s="254" t="s">
        <v>631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+C43+'12'!D43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+Report1!T21</f>
        <v>117.17399999999999</v>
      </c>
      <c r="J43" s="142">
        <f>+I43+'12'!J43</f>
        <v>1772.7539999999997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380</v>
      </c>
      <c r="D44" s="127">
        <f>+C44+'12'!D44</f>
        <v>515</v>
      </c>
      <c r="E44" s="152">
        <f t="shared" si="0"/>
        <v>8.5833333333333339</v>
      </c>
      <c r="F44" s="337"/>
      <c r="G44" s="338"/>
      <c r="H44" s="197" t="s">
        <v>74</v>
      </c>
      <c r="I44" s="127">
        <f>I43/I38</f>
        <v>2.0434593048603964</v>
      </c>
      <c r="J44" s="143">
        <f>J43/J38</f>
        <v>2.0928390887508157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+C45+'12'!D45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2.0969612369805648</v>
      </c>
      <c r="J45" s="143">
        <f>J43/J40</f>
        <v>2.1525917255180049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+C46+'12'!D46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+SUMIF(Listrik!AR20,"&gt;0")</f>
        <v>42079.139999998428</v>
      </c>
      <c r="J46" s="144">
        <f>+I46+'12'!J46</f>
        <v>706605.91999999958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+C47+'12'!D47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733.84035855667719</v>
      </c>
      <c r="J47" s="144">
        <f>J46/J38</f>
        <v>834.18934026871807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+C48+'12'!D48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753.05379576932648</v>
      </c>
      <c r="J48" s="144">
        <f>J46/J40</f>
        <v>858.00627531740815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+C49+'12'!D49</f>
        <v>0</v>
      </c>
      <c r="E49" s="152">
        <f t="shared" si="0"/>
        <v>0</v>
      </c>
      <c r="F49" s="194"/>
      <c r="H49" s="197" t="s">
        <v>82</v>
      </c>
      <c r="I49" s="127">
        <v>0</v>
      </c>
      <c r="J49" s="144">
        <f>+I49+'12'!J49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+C50+'12'!D50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+C51+'12'!D51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391</v>
      </c>
      <c r="D52" s="153">
        <f>SUM(D38:D51)</f>
        <v>1002</v>
      </c>
      <c r="E52" s="154">
        <f>SUM(E38:E51)</f>
        <v>16.700000000000003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0.27152777777777776</v>
      </c>
      <c r="D53" s="155">
        <f>D52/(24*60*G4)</f>
        <v>5.3525641025641023E-2</v>
      </c>
      <c r="E53" s="156">
        <f>E52/(G4*24)</f>
        <v>5.3525641025641037E-2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+D34+'12'!J56</f>
        <v>3587</v>
      </c>
      <c r="K56" s="210">
        <f>J56/(J40+J56/1000)/1000</f>
        <v>4.3366770197223901E-3</v>
      </c>
    </row>
    <row r="57" spans="1:11">
      <c r="A57" s="185"/>
      <c r="I57" s="208" t="s">
        <v>89</v>
      </c>
      <c r="J57" s="209">
        <f>+E34+'12'!J57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I7:I13"/>
    <mergeCell ref="A15:A23"/>
    <mergeCell ref="I15:I22"/>
    <mergeCell ref="A46:B46"/>
    <mergeCell ref="A47:B47"/>
    <mergeCell ref="A44:B44"/>
    <mergeCell ref="A45:B45"/>
    <mergeCell ref="A7:A14"/>
    <mergeCell ref="A40:B40"/>
    <mergeCell ref="I24:I31"/>
    <mergeCell ref="A42:B42"/>
    <mergeCell ref="A39:B39"/>
    <mergeCell ref="A43:B43"/>
    <mergeCell ref="A24:A32"/>
    <mergeCell ref="A34:B34"/>
    <mergeCell ref="A37:B37"/>
    <mergeCell ref="A38:B38"/>
    <mergeCell ref="A41:B41"/>
    <mergeCell ref="A53:B53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7" right="0.16" top="0.17" bottom="0.16" header="0.17" footer="0"/>
  <pageSetup paperSize="9" scale="62" firstPageNumber="4294963191" fitToWidth="20" orientation="landscape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pageSetUpPr fitToPage="1"/>
  </sheetPr>
  <dimension ref="A1:O61"/>
  <sheetViews>
    <sheetView topLeftCell="A19" zoomScale="80" zoomScaleNormal="80" workbookViewId="0">
      <selection activeCell="I46" sqref="I46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4" style="158" bestFit="1" customWidth="1"/>
    <col min="12" max="12" width="8.28515625" style="158" customWidth="1"/>
    <col min="13" max="13" width="15" style="158" bestFit="1" customWidth="1"/>
    <col min="14" max="16384" width="9.140625" style="158"/>
  </cols>
  <sheetData>
    <row r="1" spans="1:15" ht="15.75">
      <c r="A1" s="157"/>
    </row>
    <row r="2" spans="1:15" ht="15.75">
      <c r="A2" s="157" t="s">
        <v>148</v>
      </c>
    </row>
    <row r="3" spans="1:15" ht="15">
      <c r="A3" s="159"/>
    </row>
    <row r="4" spans="1:15" ht="20.25">
      <c r="A4" s="160" t="s">
        <v>3</v>
      </c>
      <c r="B4" s="161"/>
      <c r="F4" s="162" t="s">
        <v>29</v>
      </c>
      <c r="G4" s="163">
        <v>12</v>
      </c>
      <c r="H4" s="163" t="str">
        <f>+'1'!H4</f>
        <v>.06.24</v>
      </c>
    </row>
    <row r="5" spans="1:15" ht="13.5" thickBot="1">
      <c r="C5" s="164"/>
      <c r="D5" s="164"/>
    </row>
    <row r="6" spans="1:15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180+230+218</f>
        <v>628</v>
      </c>
    </row>
    <row r="7" spans="1:15" ht="13.5" customHeight="1" thickBot="1">
      <c r="A7" s="1029" t="s">
        <v>435</v>
      </c>
      <c r="B7" s="224" t="s">
        <v>615</v>
      </c>
      <c r="C7" s="225">
        <v>29209</v>
      </c>
      <c r="D7" s="226">
        <v>240</v>
      </c>
      <c r="E7" s="227"/>
      <c r="F7" s="236"/>
      <c r="G7" s="237" t="s">
        <v>11</v>
      </c>
      <c r="H7" s="238" t="s">
        <v>277</v>
      </c>
      <c r="I7" s="1032" t="s">
        <v>589</v>
      </c>
      <c r="J7" s="223" t="str">
        <f>+'11'!J7</f>
        <v>T 14 VP OW</v>
      </c>
      <c r="K7" s="246"/>
      <c r="L7" s="250"/>
      <c r="M7" s="126">
        <f>+K7+'11'!M7+L7</f>
        <v>62499</v>
      </c>
    </row>
    <row r="8" spans="1:15" ht="13.5" thickBot="1">
      <c r="A8" s="1030"/>
      <c r="B8" s="224"/>
      <c r="C8" s="225"/>
      <c r="D8" s="226"/>
      <c r="E8" s="228"/>
      <c r="F8" s="239"/>
      <c r="G8" s="240" t="s">
        <v>11</v>
      </c>
      <c r="H8" s="238" t="s">
        <v>591</v>
      </c>
      <c r="I8" s="1033"/>
      <c r="J8" s="223" t="str">
        <f>+'11'!J8</f>
        <v>T 15 VP OW</v>
      </c>
      <c r="K8" s="247"/>
      <c r="L8" s="247"/>
      <c r="M8" s="126">
        <f>+K8+'11'!M8+L8</f>
        <v>37584</v>
      </c>
      <c r="N8" s="158">
        <v>1260</v>
      </c>
      <c r="O8" s="158">
        <f>+N8-N8*0.0035</f>
        <v>1255.5899999999999</v>
      </c>
    </row>
    <row r="9" spans="1:15" ht="13.5" thickBot="1">
      <c r="A9" s="1030"/>
      <c r="B9" s="224"/>
      <c r="C9" s="225"/>
      <c r="D9" s="226"/>
      <c r="E9" s="229"/>
      <c r="F9" s="236">
        <v>5</v>
      </c>
      <c r="G9" s="240" t="s">
        <v>11</v>
      </c>
      <c r="H9" s="614" t="s">
        <v>451</v>
      </c>
      <c r="I9" s="1033"/>
      <c r="J9" s="223" t="str">
        <f>+'11'!J9</f>
        <v>T 12,5 VP OW</v>
      </c>
      <c r="K9" s="247"/>
      <c r="L9" s="247"/>
      <c r="M9" s="126">
        <f>+K9+'11'!M9+L9</f>
        <v>148332</v>
      </c>
    </row>
    <row r="10" spans="1:15" ht="13.5" thickBot="1">
      <c r="A10" s="1030"/>
      <c r="B10" s="224"/>
      <c r="C10" s="225"/>
      <c r="D10" s="226"/>
      <c r="E10" s="228"/>
      <c r="F10" s="236"/>
      <c r="G10" s="240"/>
      <c r="H10" s="614" t="s">
        <v>605</v>
      </c>
      <c r="I10" s="1033"/>
      <c r="J10" s="223" t="str">
        <f>+'11'!J10</f>
        <v>T 12 VP OW</v>
      </c>
      <c r="K10" s="247"/>
      <c r="L10" s="247"/>
      <c r="M10" s="126">
        <f>+K10+'11'!M10+L10</f>
        <v>25679</v>
      </c>
    </row>
    <row r="11" spans="1:15" ht="13.5" thickBot="1">
      <c r="A11" s="1030"/>
      <c r="B11" s="224"/>
      <c r="C11" s="225"/>
      <c r="D11" s="226"/>
      <c r="E11" s="228"/>
      <c r="F11" s="236"/>
      <c r="G11" s="240"/>
      <c r="H11" s="241"/>
      <c r="I11" s="1033"/>
      <c r="J11" s="223" t="str">
        <f>+'11'!J11</f>
        <v>F 12 VP OW</v>
      </c>
      <c r="K11" s="247"/>
      <c r="L11" s="247"/>
      <c r="M11" s="126">
        <f>+K11+'11'!M11+L11</f>
        <v>30353</v>
      </c>
    </row>
    <row r="12" spans="1:15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+'11'!J12</f>
        <v>F 13 VP OW</v>
      </c>
      <c r="K12" s="247"/>
      <c r="L12" s="247"/>
      <c r="M12" s="126">
        <f>+K12+'11'!M12+L12</f>
        <v>149460</v>
      </c>
    </row>
    <row r="13" spans="1:15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+'11'!J13</f>
        <v>F 13,5 VP OW</v>
      </c>
      <c r="K13" s="247"/>
      <c r="L13" s="247"/>
      <c r="M13" s="126">
        <f>+K13+'11'!M13+L13</f>
        <v>11138</v>
      </c>
    </row>
    <row r="14" spans="1:15" ht="13.5" thickBot="1">
      <c r="A14" s="1031"/>
      <c r="B14" s="174" t="s">
        <v>2</v>
      </c>
      <c r="C14" s="108">
        <f>SUM(C7:C13)</f>
        <v>29209</v>
      </c>
      <c r="D14" s="120">
        <f>SUM(D7:D13)</f>
        <v>240</v>
      </c>
      <c r="E14" s="121">
        <f>SUM(E5:E13)</f>
        <v>0</v>
      </c>
      <c r="F14" s="125">
        <f>SUM(F7:F13)</f>
        <v>5</v>
      </c>
      <c r="G14" s="168"/>
      <c r="H14" s="175"/>
      <c r="I14" s="176"/>
      <c r="J14" s="223" t="str">
        <f>+'11'!J14</f>
        <v>F 12,5 VP OW</v>
      </c>
      <c r="K14" s="247"/>
      <c r="L14" s="247"/>
      <c r="M14" s="126">
        <f>+K14+'11'!M14+L14</f>
        <v>73203</v>
      </c>
    </row>
    <row r="15" spans="1:15" ht="13.5" customHeight="1" thickBot="1">
      <c r="A15" s="1035" t="s">
        <v>595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589</v>
      </c>
      <c r="J15" s="223" t="str">
        <f>+'11'!J15</f>
        <v>MG 14 VP OW</v>
      </c>
      <c r="K15" s="247"/>
      <c r="L15" s="247"/>
      <c r="M15" s="126">
        <f>+K15+'11'!M15+L15</f>
        <v>19551</v>
      </c>
    </row>
    <row r="16" spans="1:15" ht="13.5" thickBot="1">
      <c r="A16" s="1030"/>
      <c r="B16" s="224" t="s">
        <v>615</v>
      </c>
      <c r="C16" s="230">
        <v>30842</v>
      </c>
      <c r="D16" s="231">
        <v>606</v>
      </c>
      <c r="E16" s="232"/>
      <c r="F16" s="236"/>
      <c r="G16" s="240" t="s">
        <v>11</v>
      </c>
      <c r="H16" s="238" t="s">
        <v>591</v>
      </c>
      <c r="I16" s="1033"/>
      <c r="J16" s="223" t="s">
        <v>610</v>
      </c>
      <c r="K16" s="247">
        <f>+C7+C16+C25</f>
        <v>68320</v>
      </c>
      <c r="L16" s="237"/>
      <c r="M16" s="126">
        <f>+K16+'11'!M16+L16</f>
        <v>189031</v>
      </c>
    </row>
    <row r="17" spans="1:14" ht="13.5" thickBot="1">
      <c r="A17" s="1030"/>
      <c r="B17" s="224"/>
      <c r="C17" s="225"/>
      <c r="D17" s="226"/>
      <c r="E17" s="233"/>
      <c r="F17" s="236">
        <v>3</v>
      </c>
      <c r="G17" s="240" t="s">
        <v>11</v>
      </c>
      <c r="H17" s="614" t="s">
        <v>455</v>
      </c>
      <c r="I17" s="1033"/>
      <c r="J17" s="223" t="s">
        <v>611</v>
      </c>
      <c r="K17" s="247">
        <f>+C26</f>
        <v>20836</v>
      </c>
      <c r="L17" s="237"/>
      <c r="M17" s="126">
        <f>+K17+'11'!M17+L17</f>
        <v>20836</v>
      </c>
    </row>
    <row r="18" spans="1:14" ht="13.5" thickBot="1">
      <c r="A18" s="1030"/>
      <c r="B18" s="224"/>
      <c r="C18" s="225"/>
      <c r="D18" s="226"/>
      <c r="E18" s="233"/>
      <c r="F18" s="236"/>
      <c r="G18" s="240"/>
      <c r="H18" s="614" t="s">
        <v>605</v>
      </c>
      <c r="I18" s="1033"/>
      <c r="J18" s="223">
        <f>+'11'!J18</f>
        <v>0</v>
      </c>
      <c r="K18" s="247"/>
      <c r="L18" s="247"/>
      <c r="M18" s="126">
        <f>+K18+'11'!M18+L18</f>
        <v>0</v>
      </c>
    </row>
    <row r="19" spans="1:14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>
        <f>+'11'!J19</f>
        <v>0</v>
      </c>
      <c r="K19" s="247"/>
      <c r="L19" s="247"/>
      <c r="M19" s="126">
        <f>+K19+'11'!M19+L19</f>
        <v>0</v>
      </c>
    </row>
    <row r="20" spans="1:14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+'11'!J20</f>
        <v>0</v>
      </c>
      <c r="K20" s="248"/>
      <c r="L20" s="248"/>
      <c r="M20" s="126">
        <f>+K20+'11'!M20+L20</f>
        <v>0</v>
      </c>
    </row>
    <row r="21" spans="1:14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+'11'!J21</f>
        <v>0</v>
      </c>
      <c r="K21" s="247"/>
      <c r="L21" s="247"/>
      <c r="M21" s="126">
        <f>+K21+'11'!M21+L21</f>
        <v>0</v>
      </c>
    </row>
    <row r="22" spans="1:14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+'11'!J22</f>
        <v>0</v>
      </c>
      <c r="K22" s="247"/>
      <c r="L22" s="247"/>
      <c r="M22" s="126">
        <f>+K22+'11'!M22+L22</f>
        <v>0</v>
      </c>
    </row>
    <row r="23" spans="1:14" ht="13.5" thickBot="1">
      <c r="A23" s="1031"/>
      <c r="B23" s="177" t="s">
        <v>2</v>
      </c>
      <c r="C23" s="109">
        <f>SUM(C16:C22)</f>
        <v>30842</v>
      </c>
      <c r="D23" s="120">
        <f>SUM(D16:D22)</f>
        <v>606</v>
      </c>
      <c r="E23" s="121">
        <f>SUM(E18:E22)</f>
        <v>0</v>
      </c>
      <c r="F23" s="125">
        <f>SUM(F15:F22)</f>
        <v>3</v>
      </c>
      <c r="G23" s="168"/>
      <c r="H23" s="175" t="s">
        <v>234</v>
      </c>
      <c r="I23" s="178"/>
      <c r="J23" s="223">
        <f>+'11'!J23</f>
        <v>0</v>
      </c>
      <c r="K23" s="247"/>
      <c r="L23" s="247"/>
      <c r="M23" s="126">
        <f>+K23+'11'!M23+L23</f>
        <v>0</v>
      </c>
    </row>
    <row r="24" spans="1:14" ht="13.5" customHeight="1" thickBot="1">
      <c r="A24" s="1035" t="s">
        <v>433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589</v>
      </c>
      <c r="J24" s="223">
        <f>+'11'!J24</f>
        <v>0</v>
      </c>
      <c r="K24" s="247"/>
      <c r="L24" s="247"/>
      <c r="M24" s="126">
        <f>+K24+'11'!M24+L24</f>
        <v>0</v>
      </c>
    </row>
    <row r="25" spans="1:14" ht="13.5" customHeight="1" thickBot="1">
      <c r="A25" s="1030"/>
      <c r="B25" s="224" t="s">
        <v>615</v>
      </c>
      <c r="C25" s="234">
        <f>6413+1856</f>
        <v>8269</v>
      </c>
      <c r="D25" s="226"/>
      <c r="E25" s="233"/>
      <c r="F25" s="239"/>
      <c r="G25" s="240" t="s">
        <v>11</v>
      </c>
      <c r="H25" s="238" t="s">
        <v>591</v>
      </c>
      <c r="I25" s="1033"/>
      <c r="J25" s="223">
        <f>+'11'!J25</f>
        <v>0</v>
      </c>
      <c r="K25" s="247"/>
      <c r="L25" s="247"/>
      <c r="M25" s="126">
        <f>+K25+'11'!M25+L25</f>
        <v>0</v>
      </c>
    </row>
    <row r="26" spans="1:14" ht="13.5" customHeight="1" thickBot="1">
      <c r="A26" s="1030"/>
      <c r="B26" s="224" t="s">
        <v>611</v>
      </c>
      <c r="C26" s="234">
        <v>20836</v>
      </c>
      <c r="D26" s="226"/>
      <c r="E26" s="235"/>
      <c r="F26" s="239">
        <v>0</v>
      </c>
      <c r="G26" s="240" t="s">
        <v>11</v>
      </c>
      <c r="H26" s="614" t="s">
        <v>455</v>
      </c>
      <c r="I26" s="1033"/>
      <c r="J26" s="223">
        <f>+'11'!J26</f>
        <v>0</v>
      </c>
      <c r="K26" s="247"/>
      <c r="L26" s="247"/>
      <c r="M26" s="126">
        <f>+K26+'11'!M26+L26</f>
        <v>0</v>
      </c>
    </row>
    <row r="27" spans="1:14" ht="13.5" customHeight="1" thickBot="1">
      <c r="A27" s="1030"/>
      <c r="B27" s="224"/>
      <c r="C27" s="225"/>
      <c r="D27" s="226"/>
      <c r="E27" s="233"/>
      <c r="F27" s="239"/>
      <c r="G27" s="240"/>
      <c r="H27" s="614" t="s">
        <v>605</v>
      </c>
      <c r="I27" s="1033"/>
      <c r="J27" s="223">
        <f>+'11'!J27</f>
        <v>0</v>
      </c>
      <c r="K27" s="247"/>
      <c r="L27" s="247"/>
      <c r="M27" s="126">
        <f>+K27+'11'!M27+L27</f>
        <v>0</v>
      </c>
    </row>
    <row r="28" spans="1:14" ht="13.5" thickBot="1">
      <c r="A28" s="1030"/>
      <c r="B28" s="224"/>
      <c r="C28" s="225"/>
      <c r="D28" s="226"/>
      <c r="E28" s="233"/>
      <c r="F28" s="239"/>
      <c r="G28" s="240"/>
      <c r="H28" s="241" t="s">
        <v>606</v>
      </c>
      <c r="I28" s="1033"/>
      <c r="J28" s="223">
        <f>+'11'!J28</f>
        <v>0</v>
      </c>
      <c r="K28" s="247"/>
      <c r="L28" s="247"/>
      <c r="M28" s="126">
        <f>+K28+'11'!M28+L28</f>
        <v>0</v>
      </c>
    </row>
    <row r="29" spans="1:14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+'11'!J29</f>
        <v>0</v>
      </c>
      <c r="K29" s="247"/>
      <c r="L29" s="247"/>
      <c r="M29" s="126">
        <f>+K29+'11'!M29+L29</f>
        <v>0</v>
      </c>
    </row>
    <row r="30" spans="1:14" ht="13.5" customHeight="1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+'11'!J30</f>
        <v>0</v>
      </c>
      <c r="K30" s="247"/>
      <c r="L30" s="247"/>
      <c r="M30" s="126">
        <f>+K30+'11'!M30+L30</f>
        <v>0</v>
      </c>
      <c r="N30" s="164"/>
    </row>
    <row r="31" spans="1:14" ht="13.5" customHeight="1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+'11'!J31</f>
        <v>0</v>
      </c>
      <c r="K31" s="247"/>
      <c r="L31" s="247"/>
      <c r="M31" s="126">
        <f>+K31+'11'!M31+L31</f>
        <v>0</v>
      </c>
    </row>
    <row r="32" spans="1:14" ht="13.5" customHeight="1" thickBot="1">
      <c r="A32" s="1031"/>
      <c r="B32" s="174" t="s">
        <v>2</v>
      </c>
      <c r="C32" s="108">
        <f>SUM(C25:C31)</f>
        <v>29105</v>
      </c>
      <c r="D32" s="109">
        <f>SUM(D25:D31)</f>
        <v>0</v>
      </c>
      <c r="E32" s="110">
        <f>SUM(E25:E31)</f>
        <v>0</v>
      </c>
      <c r="F32" s="111">
        <f>SUM(F24:F31)</f>
        <v>0</v>
      </c>
      <c r="G32" s="180"/>
      <c r="H32" s="181"/>
      <c r="I32" s="178"/>
      <c r="J32" s="223">
        <f>+'1'!J32</f>
        <v>0</v>
      </c>
      <c r="K32" s="249"/>
      <c r="L32" s="251"/>
      <c r="M32" s="126">
        <f>+K32+'11'!M32+L32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89156</v>
      </c>
      <c r="D34" s="116">
        <f>D14+D23+D32</f>
        <v>846</v>
      </c>
      <c r="E34" s="116">
        <f>E14+E23+E32</f>
        <v>0</v>
      </c>
      <c r="F34" s="117">
        <f>F14+F23+F32</f>
        <v>8</v>
      </c>
      <c r="H34" s="187"/>
      <c r="I34" s="187"/>
      <c r="J34" s="132" t="s">
        <v>27</v>
      </c>
      <c r="K34" s="133">
        <f>SUM(K7:K32)</f>
        <v>89156</v>
      </c>
      <c r="L34" s="221">
        <f>SUM(L7:L32)</f>
        <v>0</v>
      </c>
      <c r="M34" s="129">
        <f>SUM(M7:M32)</f>
        <v>767666</v>
      </c>
      <c r="N34" s="164"/>
    </row>
    <row r="35" spans="1:14" ht="13.5" thickBot="1">
      <c r="A35" s="188"/>
      <c r="B35" s="189"/>
      <c r="C35" s="113">
        <f>C34/($C$34+$D$34+$E$34)</f>
        <v>0.99060020888424705</v>
      </c>
      <c r="D35" s="113">
        <f>D34/($C$34+$D$34+$E$34)</f>
        <v>9.3997911157529829E-3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(17*1164+16*276)/1440*G42*2.77*1440/1000000</f>
        <v>84.181131997199984</v>
      </c>
      <c r="J37" s="134">
        <f>+I37+'11'!J37</f>
        <v>822.849844495762</v>
      </c>
      <c r="K37" s="135" t="s">
        <v>63</v>
      </c>
      <c r="L37" s="556">
        <f>+I38-L38</f>
        <v>69.783000000000001</v>
      </c>
    </row>
    <row r="38" spans="1:14" ht="17.45" customHeight="1">
      <c r="A38" s="1027" t="s">
        <v>11</v>
      </c>
      <c r="B38" s="1028"/>
      <c r="C38" s="173">
        <f>SUMIF($G$7:$G$31,"Process",$F$7:$F$31)</f>
        <v>8</v>
      </c>
      <c r="D38" s="127">
        <f>+C38+'11'!D38</f>
        <v>476</v>
      </c>
      <c r="E38" s="152">
        <f t="shared" ref="E38:E51" si="0">D38/60</f>
        <v>7.9333333333333336</v>
      </c>
      <c r="F38" s="337">
        <v>1260</v>
      </c>
      <c r="G38" s="337">
        <f>+F38-F38*0.0035</f>
        <v>1255.5899999999999</v>
      </c>
      <c r="H38" s="196" t="s">
        <v>64</v>
      </c>
      <c r="I38" s="548">
        <f>29.45+27.018+25.807</f>
        <v>82.275000000000006</v>
      </c>
      <c r="J38" s="136">
        <f>+I38+'11'!J38</f>
        <v>789.71600000000001</v>
      </c>
      <c r="K38" s="137" t="s">
        <v>63</v>
      </c>
      <c r="L38" s="158">
        <f>3.102+3.102+3.144+3.144</f>
        <v>12.491999999999999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+C39+'11'!D39</f>
        <v>0</v>
      </c>
      <c r="E39" s="152">
        <f t="shared" si="0"/>
        <v>0</v>
      </c>
      <c r="F39" s="337">
        <v>1260</v>
      </c>
      <c r="G39" s="337">
        <f>+F39-F39*0.0035</f>
        <v>1255.5899999999999</v>
      </c>
      <c r="H39" s="196" t="s">
        <v>65</v>
      </c>
      <c r="I39" s="151"/>
      <c r="J39" s="138">
        <f>J37/G4</f>
        <v>68.570820374646829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+C40+'11'!D40</f>
        <v>0</v>
      </c>
      <c r="E40" s="152">
        <f t="shared" si="0"/>
        <v>0</v>
      </c>
      <c r="F40" s="337">
        <v>1260</v>
      </c>
      <c r="G40" s="337">
        <f>+F40-F40*0.0035</f>
        <v>1255.5899999999999</v>
      </c>
      <c r="H40" s="196" t="s">
        <v>67</v>
      </c>
      <c r="I40" s="127">
        <f>(K34+L34)/1000</f>
        <v>89.156000000000006</v>
      </c>
      <c r="J40" s="140">
        <f>+I40+'11'!J40</f>
        <v>767.66599999999994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+C41+'11'!D41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63.972166666666659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+C42+'11'!D42</f>
        <v>0</v>
      </c>
      <c r="E42" s="152">
        <f t="shared" si="0"/>
        <v>0</v>
      </c>
      <c r="F42" s="337">
        <f>+(F38*480+F39*480+F40*480)/1440</f>
        <v>1260</v>
      </c>
      <c r="G42" s="337">
        <f>+(G38*480+G39*480+G40*480)/1440</f>
        <v>1255.5899999999999</v>
      </c>
      <c r="H42" s="196" t="s">
        <v>70</v>
      </c>
      <c r="I42" s="254" t="s">
        <v>589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+C43+'11'!D43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+Report1!T20</f>
        <v>157.511</v>
      </c>
      <c r="J43" s="142">
        <f>+I43+'11'!J43</f>
        <v>1655.5799999999997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+C44+'11'!D44</f>
        <v>135</v>
      </c>
      <c r="E44" s="152">
        <f t="shared" si="0"/>
        <v>2.25</v>
      </c>
      <c r="F44" s="337"/>
      <c r="G44" s="338"/>
      <c r="H44" s="197" t="s">
        <v>74</v>
      </c>
      <c r="I44" s="127">
        <f>I43/I38</f>
        <v>1.9144454573078089</v>
      </c>
      <c r="J44" s="143">
        <f>J43/J38</f>
        <v>2.096424537428645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+C45+'11'!D45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1.7666898470097356</v>
      </c>
      <c r="J45" s="143">
        <f>J43/J40</f>
        <v>2.1566410392019444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+C46+'11'!D46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+SUMIF(Listrik!AR19,"&gt;0")</f>
        <v>58914.159999999392</v>
      </c>
      <c r="J46" s="144">
        <f>+I46+'11'!J46</f>
        <v>664526.78000000119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+C47+'11'!D47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716.06393193557449</v>
      </c>
      <c r="J47" s="144">
        <f>J46/J38</f>
        <v>841.47564440887766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+C48+'11'!D48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660.79860020637295</v>
      </c>
      <c r="J48" s="144">
        <f>J46/J40</f>
        <v>865.64571050430948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+C49+'11'!D49</f>
        <v>0</v>
      </c>
      <c r="E49" s="152">
        <f t="shared" si="0"/>
        <v>0</v>
      </c>
      <c r="F49" s="194"/>
      <c r="H49" s="197" t="s">
        <v>82</v>
      </c>
      <c r="I49" s="127">
        <v>0</v>
      </c>
      <c r="J49" s="144">
        <f>+I49+'11'!J49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+C50+'11'!D50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+C51+'11'!D51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8</v>
      </c>
      <c r="D52" s="153">
        <f>SUM(D38:D51)</f>
        <v>611</v>
      </c>
      <c r="E52" s="154">
        <f>SUM(E38:E51)</f>
        <v>10.183333333333334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5.5555555555555558E-3</v>
      </c>
      <c r="D53" s="155">
        <f>D52/(24*60*G4)</f>
        <v>3.5358796296296298E-2</v>
      </c>
      <c r="E53" s="156">
        <f>E52/(G4*24)</f>
        <v>3.5358796296296298E-2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+D34+'11'!J56</f>
        <v>3113</v>
      </c>
      <c r="K56" s="210">
        <f>J56/(J40+J56/1000)/1000</f>
        <v>4.03877116527565E-3</v>
      </c>
    </row>
    <row r="57" spans="1:11">
      <c r="A57" s="185"/>
      <c r="I57" s="208" t="s">
        <v>89</v>
      </c>
      <c r="J57" s="209">
        <f>+E34+'11'!J57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7:B47"/>
    <mergeCell ref="A39:B39"/>
    <mergeCell ref="I24:I31"/>
    <mergeCell ref="A37:B37"/>
    <mergeCell ref="A38:B38"/>
    <mergeCell ref="A24:A32"/>
    <mergeCell ref="A34:B34"/>
    <mergeCell ref="A42:B42"/>
    <mergeCell ref="A43:B43"/>
    <mergeCell ref="A44:B44"/>
    <mergeCell ref="A45:B45"/>
    <mergeCell ref="A40:B40"/>
    <mergeCell ref="A41:B41"/>
    <mergeCell ref="A7:A14"/>
    <mergeCell ref="I7:I13"/>
    <mergeCell ref="A15:A23"/>
    <mergeCell ref="I15:I22"/>
    <mergeCell ref="A46:B46"/>
    <mergeCell ref="A52:B52"/>
    <mergeCell ref="A53:B53"/>
    <mergeCell ref="A48:B48"/>
    <mergeCell ref="A49:B49"/>
    <mergeCell ref="A50:B50"/>
    <mergeCell ref="A51:B51"/>
  </mergeCells>
  <phoneticPr fontId="31" type="noConversion"/>
  <printOptions horizontalCentered="1"/>
  <pageMargins left="0.15625" right="0.15625" top="0.39027777777777778" bottom="0.39027777777777778" header="0" footer="0"/>
  <pageSetup paperSize="9" scale="64" firstPageNumber="4294963191" fitToWidth="20" orientation="landscape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O61"/>
  <sheetViews>
    <sheetView view="pageBreakPreview" zoomScale="80" zoomScaleNormal="70" zoomScaleSheetLayoutView="80" workbookViewId="0">
      <selection activeCell="D26" sqref="D26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4" style="158" bestFit="1" customWidth="1"/>
    <col min="12" max="12" width="8.28515625" style="158" customWidth="1"/>
    <col min="13" max="13" width="15.5703125" style="158" bestFit="1" customWidth="1"/>
    <col min="14" max="16384" width="9.140625" style="158"/>
  </cols>
  <sheetData>
    <row r="1" spans="1:15" ht="15.75">
      <c r="A1" s="157"/>
    </row>
    <row r="2" spans="1:15" ht="15.75">
      <c r="A2" s="157" t="s">
        <v>151</v>
      </c>
    </row>
    <row r="3" spans="1:15" ht="15">
      <c r="A3" s="159"/>
    </row>
    <row r="4" spans="1:15" ht="20.25">
      <c r="A4" s="160" t="s">
        <v>3</v>
      </c>
      <c r="B4" s="161"/>
      <c r="F4" s="162" t="s">
        <v>29</v>
      </c>
      <c r="G4" s="163">
        <v>11</v>
      </c>
      <c r="H4" s="163" t="str">
        <f>+'1'!H4</f>
        <v>.06.24</v>
      </c>
    </row>
    <row r="5" spans="1:15" ht="13.5" thickBot="1">
      <c r="C5" s="164"/>
      <c r="D5" s="164"/>
    </row>
    <row r="6" spans="1:15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198+205+240</f>
        <v>643</v>
      </c>
    </row>
    <row r="7" spans="1:15" ht="13.5" customHeight="1" thickBot="1">
      <c r="A7" s="1029" t="s">
        <v>535</v>
      </c>
      <c r="B7" s="224" t="s">
        <v>598</v>
      </c>
      <c r="C7" s="225">
        <v>25485</v>
      </c>
      <c r="D7" s="226"/>
      <c r="E7" s="227"/>
      <c r="F7" s="236"/>
      <c r="G7" s="237" t="s">
        <v>11</v>
      </c>
      <c r="H7" s="238" t="s">
        <v>277</v>
      </c>
      <c r="I7" s="1032" t="s">
        <v>589</v>
      </c>
      <c r="J7" s="223" t="str">
        <f>+'10'!J7</f>
        <v>T 14 VP OW</v>
      </c>
      <c r="K7" s="246"/>
      <c r="L7" s="250"/>
      <c r="M7" s="126">
        <f>+K7+'10'!M7+L7</f>
        <v>62499</v>
      </c>
    </row>
    <row r="8" spans="1:15" ht="13.5" thickBot="1">
      <c r="A8" s="1030"/>
      <c r="B8" s="224"/>
      <c r="C8" s="225"/>
      <c r="D8" s="226"/>
      <c r="E8" s="228"/>
      <c r="F8" s="239"/>
      <c r="G8" s="240" t="s">
        <v>11</v>
      </c>
      <c r="H8" s="238" t="s">
        <v>591</v>
      </c>
      <c r="I8" s="1033"/>
      <c r="J8" s="223" t="str">
        <f>+'10'!J8</f>
        <v>T 15 VP OW</v>
      </c>
      <c r="K8" s="247"/>
      <c r="L8" s="247"/>
      <c r="M8" s="126">
        <f>+K8+'10'!M8+L8</f>
        <v>37584</v>
      </c>
      <c r="N8" s="158">
        <v>1260</v>
      </c>
      <c r="O8" s="158">
        <f>+N8-N8*0.0035</f>
        <v>1255.5899999999999</v>
      </c>
    </row>
    <row r="9" spans="1:15" ht="13.5" thickBot="1">
      <c r="A9" s="1030"/>
      <c r="B9" s="224"/>
      <c r="C9" s="225"/>
      <c r="D9" s="226"/>
      <c r="E9" s="229"/>
      <c r="F9" s="236">
        <v>0</v>
      </c>
      <c r="G9" s="240" t="s">
        <v>11</v>
      </c>
      <c r="H9" s="614" t="s">
        <v>455</v>
      </c>
      <c r="I9" s="1033"/>
      <c r="J9" s="223" t="str">
        <f>+'10'!J9</f>
        <v>T 12,5 VP OW</v>
      </c>
      <c r="K9" s="247"/>
      <c r="L9" s="247"/>
      <c r="M9" s="126">
        <f>+K9+'10'!M9+L9</f>
        <v>148332</v>
      </c>
    </row>
    <row r="10" spans="1:15" ht="13.5" thickBot="1">
      <c r="A10" s="1030"/>
      <c r="B10" s="224"/>
      <c r="C10" s="225"/>
      <c r="D10" s="226"/>
      <c r="E10" s="228"/>
      <c r="F10" s="236"/>
      <c r="G10" s="240"/>
      <c r="H10" s="614" t="s">
        <v>586</v>
      </c>
      <c r="I10" s="1033"/>
      <c r="J10" s="223" t="str">
        <f>+'10'!J10</f>
        <v>T 12 VP OW</v>
      </c>
      <c r="K10" s="247"/>
      <c r="L10" s="247"/>
      <c r="M10" s="126">
        <f>+K10+'10'!M10+L10</f>
        <v>25679</v>
      </c>
    </row>
    <row r="11" spans="1:15" ht="13.5" thickBot="1">
      <c r="A11" s="1030"/>
      <c r="B11" s="224"/>
      <c r="C11" s="225"/>
      <c r="D11" s="226"/>
      <c r="E11" s="228"/>
      <c r="F11" s="236"/>
      <c r="G11" s="240"/>
      <c r="H11" s="241" t="s">
        <v>603</v>
      </c>
      <c r="I11" s="1033"/>
      <c r="J11" s="223" t="str">
        <f>+'10'!J11</f>
        <v>F 12 VP OW</v>
      </c>
      <c r="K11" s="247"/>
      <c r="L11" s="247"/>
      <c r="M11" s="126">
        <f>+K11+'10'!M11+L11</f>
        <v>30353</v>
      </c>
    </row>
    <row r="12" spans="1:15" ht="13.5" thickBot="1">
      <c r="A12" s="1030"/>
      <c r="B12" s="224"/>
      <c r="C12" s="225"/>
      <c r="D12" s="226"/>
      <c r="E12" s="228"/>
      <c r="F12" s="236"/>
      <c r="G12" s="240"/>
      <c r="H12" s="241" t="s">
        <v>604</v>
      </c>
      <c r="I12" s="1033"/>
      <c r="J12" s="223" t="str">
        <f>+'10'!J12</f>
        <v>F 13 VP OW</v>
      </c>
      <c r="K12" s="247"/>
      <c r="L12" s="247"/>
      <c r="M12" s="126">
        <f>+K12+'10'!M12+L12</f>
        <v>149460</v>
      </c>
    </row>
    <row r="13" spans="1:15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+'10'!J13</f>
        <v>F 13,5 VP OW</v>
      </c>
      <c r="K13" s="247"/>
      <c r="L13" s="247"/>
      <c r="M13" s="126">
        <f>+K13+'10'!M13+L13</f>
        <v>11138</v>
      </c>
    </row>
    <row r="14" spans="1:15" ht="13.5" thickBot="1">
      <c r="A14" s="1031"/>
      <c r="B14" s="174" t="s">
        <v>2</v>
      </c>
      <c r="C14" s="108">
        <f>SUM(C7:C13)</f>
        <v>25485</v>
      </c>
      <c r="D14" s="120">
        <f>SUM(D7:D13)</f>
        <v>0</v>
      </c>
      <c r="E14" s="121">
        <f>SUM(E5:E13)</f>
        <v>0</v>
      </c>
      <c r="F14" s="125">
        <f>SUM(F7:F13)</f>
        <v>0</v>
      </c>
      <c r="G14" s="168"/>
      <c r="H14" s="175"/>
      <c r="I14" s="176"/>
      <c r="J14" s="223" t="str">
        <f>+'10'!J14</f>
        <v>F 12,5 VP OW</v>
      </c>
      <c r="K14" s="247"/>
      <c r="L14" s="247"/>
      <c r="M14" s="126">
        <f>+K14+'10'!M14+L14</f>
        <v>73203</v>
      </c>
    </row>
    <row r="15" spans="1:15" ht="13.5" customHeight="1" thickBot="1">
      <c r="A15" s="1035" t="s">
        <v>595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589</v>
      </c>
      <c r="J15" s="223" t="str">
        <f>+'10'!J15</f>
        <v>MG 14 VP OW</v>
      </c>
      <c r="K15" s="247"/>
      <c r="L15" s="247"/>
      <c r="M15" s="126">
        <f>+K15+'10'!M15+L15</f>
        <v>19551</v>
      </c>
    </row>
    <row r="16" spans="1:15" ht="13.5" thickBot="1">
      <c r="A16" s="1030"/>
      <c r="B16" s="224" t="s">
        <v>598</v>
      </c>
      <c r="C16" s="230">
        <v>28559</v>
      </c>
      <c r="D16" s="231"/>
      <c r="E16" s="232"/>
      <c r="F16" s="236"/>
      <c r="G16" s="240" t="s">
        <v>11</v>
      </c>
      <c r="H16" s="238" t="s">
        <v>591</v>
      </c>
      <c r="I16" s="1033"/>
      <c r="J16" s="223" t="s">
        <v>610</v>
      </c>
      <c r="K16" s="247">
        <f>+C34</f>
        <v>80748</v>
      </c>
      <c r="L16" s="237"/>
      <c r="M16" s="126">
        <f>+K16+'10'!M16+L16</f>
        <v>120711</v>
      </c>
    </row>
    <row r="17" spans="1:14" ht="13.5" thickBot="1">
      <c r="A17" s="1030"/>
      <c r="B17" s="224"/>
      <c r="C17" s="225"/>
      <c r="D17" s="226"/>
      <c r="E17" s="233"/>
      <c r="F17" s="236">
        <v>7</v>
      </c>
      <c r="G17" s="240" t="s">
        <v>11</v>
      </c>
      <c r="H17" s="614" t="s">
        <v>455</v>
      </c>
      <c r="I17" s="1033"/>
      <c r="J17" s="223">
        <f>+'10'!J17</f>
        <v>0</v>
      </c>
      <c r="K17" s="247"/>
      <c r="L17" s="237"/>
      <c r="M17" s="126">
        <f>+K17+'10'!M17+L17</f>
        <v>0</v>
      </c>
    </row>
    <row r="18" spans="1:14" ht="13.5" thickBot="1">
      <c r="A18" s="1030"/>
      <c r="B18" s="224"/>
      <c r="C18" s="225"/>
      <c r="D18" s="226"/>
      <c r="E18" s="233"/>
      <c r="F18" s="236"/>
      <c r="G18" s="240"/>
      <c r="H18" s="614" t="s">
        <v>586</v>
      </c>
      <c r="I18" s="1033"/>
      <c r="J18" s="223">
        <f>+'10'!J18</f>
        <v>0</v>
      </c>
      <c r="K18" s="247"/>
      <c r="L18" s="247"/>
      <c r="M18" s="126">
        <f>+K18+'10'!M18+L18</f>
        <v>0</v>
      </c>
    </row>
    <row r="19" spans="1:14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>
        <f>+'10'!J19</f>
        <v>0</v>
      </c>
      <c r="K19" s="247"/>
      <c r="L19" s="247"/>
      <c r="M19" s="126">
        <f>+K19+'10'!M19+L19</f>
        <v>0</v>
      </c>
    </row>
    <row r="20" spans="1:14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+'10'!J20</f>
        <v>0</v>
      </c>
      <c r="K20" s="247"/>
      <c r="L20" s="248"/>
      <c r="M20" s="126">
        <f>+K20+'10'!M20+L20</f>
        <v>0</v>
      </c>
    </row>
    <row r="21" spans="1:14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+'10'!J21</f>
        <v>0</v>
      </c>
      <c r="K21" s="247"/>
      <c r="L21" s="247"/>
      <c r="M21" s="126">
        <f>+K21+'10'!M21+L21</f>
        <v>0</v>
      </c>
    </row>
    <row r="22" spans="1:14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+'10'!J22</f>
        <v>0</v>
      </c>
      <c r="K22" s="247"/>
      <c r="L22" s="247"/>
      <c r="M22" s="126">
        <f>+K22+'10'!M22+L22</f>
        <v>0</v>
      </c>
    </row>
    <row r="23" spans="1:14" ht="13.5" thickBot="1">
      <c r="A23" s="1031"/>
      <c r="B23" s="177" t="s">
        <v>2</v>
      </c>
      <c r="C23" s="109">
        <f>SUM(C16:C22)</f>
        <v>28559</v>
      </c>
      <c r="D23" s="120">
        <f>SUM(D16:D22)</f>
        <v>0</v>
      </c>
      <c r="E23" s="121">
        <f>SUM(E18:E22)</f>
        <v>0</v>
      </c>
      <c r="F23" s="125">
        <f>SUM(F15:F22)</f>
        <v>7</v>
      </c>
      <c r="G23" s="168"/>
      <c r="H23" s="175" t="s">
        <v>234</v>
      </c>
      <c r="I23" s="178"/>
      <c r="J23" s="223">
        <f>+'10'!J23</f>
        <v>0</v>
      </c>
      <c r="K23" s="247"/>
      <c r="L23" s="247"/>
      <c r="M23" s="126">
        <f>+K23+'10'!M23+L23</f>
        <v>0</v>
      </c>
    </row>
    <row r="24" spans="1:14" ht="13.5" customHeight="1" thickBot="1">
      <c r="A24" s="1035" t="s">
        <v>433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589</v>
      </c>
      <c r="J24" s="223">
        <f>+'10'!J24</f>
        <v>0</v>
      </c>
      <c r="K24" s="247"/>
      <c r="L24" s="247"/>
      <c r="M24" s="126">
        <f>+K24+'10'!M24+L24</f>
        <v>0</v>
      </c>
    </row>
    <row r="25" spans="1:14" ht="13.5" thickBot="1">
      <c r="A25" s="1030"/>
      <c r="B25" s="224" t="s">
        <v>598</v>
      </c>
      <c r="C25" s="234">
        <v>26704</v>
      </c>
      <c r="D25" s="226">
        <v>235</v>
      </c>
      <c r="E25" s="233"/>
      <c r="F25" s="239"/>
      <c r="G25" s="240" t="s">
        <v>11</v>
      </c>
      <c r="H25" s="238" t="s">
        <v>591</v>
      </c>
      <c r="I25" s="1033"/>
      <c r="J25" s="223">
        <f>+'10'!J25</f>
        <v>0</v>
      </c>
      <c r="K25" s="247"/>
      <c r="L25" s="247"/>
      <c r="M25" s="126">
        <f>+K25+'10'!M25+L25</f>
        <v>0</v>
      </c>
    </row>
    <row r="26" spans="1:14" ht="13.5" thickBot="1">
      <c r="A26" s="1030"/>
      <c r="B26" s="224"/>
      <c r="C26" s="234"/>
      <c r="D26" s="226"/>
      <c r="E26" s="235"/>
      <c r="F26" s="239">
        <v>0</v>
      </c>
      <c r="G26" s="240" t="s">
        <v>11</v>
      </c>
      <c r="H26" s="614" t="s">
        <v>455</v>
      </c>
      <c r="I26" s="1033"/>
      <c r="J26" s="223">
        <f>+'10'!J26</f>
        <v>0</v>
      </c>
      <c r="K26" s="237"/>
      <c r="L26" s="237"/>
      <c r="M26" s="126">
        <f>+K26+'10'!M26+L26</f>
        <v>0</v>
      </c>
    </row>
    <row r="27" spans="1:14" ht="13.5" thickBot="1">
      <c r="A27" s="1030"/>
      <c r="B27" s="224"/>
      <c r="C27" s="225"/>
      <c r="D27" s="226"/>
      <c r="E27" s="233"/>
      <c r="F27" s="239"/>
      <c r="G27" s="240"/>
      <c r="H27" s="614" t="s">
        <v>586</v>
      </c>
      <c r="I27" s="1033"/>
      <c r="J27" s="223">
        <f>+'10'!J27</f>
        <v>0</v>
      </c>
      <c r="K27" s="237"/>
      <c r="L27" s="237"/>
      <c r="M27" s="126">
        <f>+K27+'10'!M27+L27</f>
        <v>0</v>
      </c>
    </row>
    <row r="28" spans="1:14" ht="13.5" thickBot="1">
      <c r="A28" s="1030"/>
      <c r="B28" s="224"/>
      <c r="C28" s="225"/>
      <c r="D28" s="226"/>
      <c r="E28" s="233"/>
      <c r="F28" s="239"/>
      <c r="G28" s="240"/>
      <c r="H28" s="241" t="s">
        <v>607</v>
      </c>
      <c r="I28" s="1033"/>
      <c r="J28" s="223">
        <f>+'10'!J28</f>
        <v>0</v>
      </c>
      <c r="K28" s="247"/>
      <c r="L28" s="247"/>
      <c r="M28" s="126">
        <f>+K28+'10'!M28+L28</f>
        <v>0</v>
      </c>
    </row>
    <row r="29" spans="1:14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+'10'!J29</f>
        <v>0</v>
      </c>
      <c r="K29" s="247"/>
      <c r="L29" s="247"/>
      <c r="M29" s="126">
        <f>+K29+'10'!M29+L29</f>
        <v>0</v>
      </c>
    </row>
    <row r="30" spans="1:14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+'10'!J30</f>
        <v>0</v>
      </c>
      <c r="K30" s="248"/>
      <c r="L30" s="248"/>
      <c r="M30" s="126">
        <f>+K30+'10'!M30+L30</f>
        <v>0</v>
      </c>
      <c r="N30" s="164"/>
    </row>
    <row r="31" spans="1:14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+'10'!J31</f>
        <v>0</v>
      </c>
      <c r="K31" s="247"/>
      <c r="L31" s="247"/>
      <c r="M31" s="126">
        <f>+K31+'10'!M31+L31</f>
        <v>0</v>
      </c>
    </row>
    <row r="32" spans="1:14" ht="13.5" thickBot="1">
      <c r="A32" s="1031"/>
      <c r="B32" s="174" t="s">
        <v>2</v>
      </c>
      <c r="C32" s="108">
        <f>SUM(C25:C31)</f>
        <v>26704</v>
      </c>
      <c r="D32" s="109">
        <f>SUM(D25:D31)</f>
        <v>235</v>
      </c>
      <c r="E32" s="110">
        <f>SUM(E25:E31)</f>
        <v>0</v>
      </c>
      <c r="F32" s="111">
        <f>SUM(F24:F31)</f>
        <v>0</v>
      </c>
      <c r="G32" s="180"/>
      <c r="H32" s="181"/>
      <c r="I32" s="178"/>
      <c r="J32" s="223">
        <f>+'10'!J32</f>
        <v>0</v>
      </c>
      <c r="K32" s="247"/>
      <c r="L32" s="247"/>
      <c r="M32" s="126">
        <f>+K32+'10'!M32+L32</f>
        <v>0</v>
      </c>
    </row>
    <row r="33" spans="1:14" ht="13.5" thickBot="1">
      <c r="A33" s="182"/>
      <c r="B33" s="183"/>
      <c r="C33" s="112">
        <f>C32/($C$32+$D$32+$E$32)</f>
        <v>0.99127658784661643</v>
      </c>
      <c r="D33" s="113">
        <f>D32/($C$32+$D$32+$E$32)</f>
        <v>8.7234121533835696E-3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80748</v>
      </c>
      <c r="D34" s="116">
        <f>D14+D23+D32</f>
        <v>235</v>
      </c>
      <c r="E34" s="116">
        <f>E14+E23+E32</f>
        <v>0</v>
      </c>
      <c r="F34" s="117">
        <f>F14+F23+F32</f>
        <v>7</v>
      </c>
      <c r="H34" s="187"/>
      <c r="I34" s="187"/>
      <c r="J34" s="132" t="s">
        <v>27</v>
      </c>
      <c r="K34" s="133">
        <f>SUM(K7:K32)</f>
        <v>80748</v>
      </c>
      <c r="L34" s="221">
        <f>SUM(L7:L32)</f>
        <v>0</v>
      </c>
      <c r="M34" s="129">
        <f>SUM(M7:M32)</f>
        <v>678510</v>
      </c>
      <c r="N34" s="164"/>
    </row>
    <row r="35" spans="1:14" ht="13.5" thickBot="1">
      <c r="A35" s="188"/>
      <c r="B35" s="189"/>
      <c r="C35" s="113">
        <f>C34/($C$34+$D$34+$E$34)</f>
        <v>0.99709815640319577</v>
      </c>
      <c r="D35" s="113">
        <f>D34/($C$34+$D$34+$E$34)</f>
        <v>2.9018435968042678E-3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(17*1440)/1440*G42*2.77*1440/1000000</f>
        <v>85.141055663999992</v>
      </c>
      <c r="J37" s="134">
        <f>+I37+'10'!J37</f>
        <v>738.66871249856206</v>
      </c>
      <c r="K37" s="135" t="s">
        <v>63</v>
      </c>
    </row>
    <row r="38" spans="1:14" ht="17.45" customHeight="1">
      <c r="A38" s="1027" t="s">
        <v>11</v>
      </c>
      <c r="B38" s="1028"/>
      <c r="C38" s="173">
        <f>SUMIF($G$7:$G$31,"Process",$F$7:$F$31)</f>
        <v>7</v>
      </c>
      <c r="D38" s="127">
        <f>+C38+'10'!D38</f>
        <v>468</v>
      </c>
      <c r="E38" s="152">
        <f t="shared" ref="E38:E51" si="0">D38/60</f>
        <v>7.8</v>
      </c>
      <c r="F38" s="337">
        <v>1260</v>
      </c>
      <c r="G38" s="337">
        <f>+F38-F38*0.0035</f>
        <v>1255.5899999999999</v>
      </c>
      <c r="H38" s="196" t="s">
        <v>64</v>
      </c>
      <c r="I38" s="548">
        <f>28.48+28.756+25.194</f>
        <v>82.43</v>
      </c>
      <c r="J38" s="136">
        <f>+I38+'10'!J38</f>
        <v>707.44100000000003</v>
      </c>
      <c r="K38" s="137" t="s">
        <v>63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+C39+'10'!D39</f>
        <v>0</v>
      </c>
      <c r="E39" s="152">
        <f t="shared" si="0"/>
        <v>0</v>
      </c>
      <c r="F39" s="337">
        <v>1260</v>
      </c>
      <c r="G39" s="337">
        <f>+F39-F39*0.0035</f>
        <v>1255.5899999999999</v>
      </c>
      <c r="H39" s="196" t="s">
        <v>65</v>
      </c>
      <c r="I39" s="151"/>
      <c r="J39" s="138">
        <f>J37/G4</f>
        <v>67.151701136232916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+C40+'10'!D40</f>
        <v>0</v>
      </c>
      <c r="E40" s="152">
        <f t="shared" si="0"/>
        <v>0</v>
      </c>
      <c r="F40" s="337">
        <v>1260</v>
      </c>
      <c r="G40" s="337">
        <f>+F40-F40*0.0035</f>
        <v>1255.5899999999999</v>
      </c>
      <c r="H40" s="196" t="s">
        <v>67</v>
      </c>
      <c r="I40" s="127">
        <f>(K34+L34)/1000</f>
        <v>80.748000000000005</v>
      </c>
      <c r="J40" s="140">
        <f>+I40+'10'!J40</f>
        <v>678.51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+C41+'10'!D41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61.68272727272727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+C42+'10'!D42</f>
        <v>0</v>
      </c>
      <c r="E42" s="152">
        <f t="shared" si="0"/>
        <v>0</v>
      </c>
      <c r="F42" s="337">
        <f>+(F38*480+F39*480+F40*480)/1440</f>
        <v>1260</v>
      </c>
      <c r="G42" s="337">
        <f>+(G38*480+G39*480+G40*480)/1440</f>
        <v>1255.5899999999999</v>
      </c>
      <c r="H42" s="196" t="s">
        <v>70</v>
      </c>
      <c r="I42" s="254" t="s">
        <v>589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+C43+'10'!D43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+Report1!T19</f>
        <v>152.95599999999999</v>
      </c>
      <c r="J43" s="142">
        <f>+I43+'10'!J43</f>
        <v>1498.0689999999997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+C44+'10'!D44</f>
        <v>135</v>
      </c>
      <c r="E44" s="152">
        <f t="shared" si="0"/>
        <v>2.25</v>
      </c>
      <c r="F44" s="337"/>
      <c r="G44" s="338"/>
      <c r="H44" s="197" t="s">
        <v>74</v>
      </c>
      <c r="I44" s="127">
        <f>I43/I38</f>
        <v>1.8555865582918838</v>
      </c>
      <c r="J44" s="143">
        <f>J43/J38</f>
        <v>2.117588604562076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+C45+'10'!D45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1.8942388665973149</v>
      </c>
      <c r="J45" s="143">
        <f>J43/J40</f>
        <v>2.2078805028665749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+C46+'10'!D46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+SUMIF(Listrik!AR18,"&gt;0")</f>
        <v>56529.659999999814</v>
      </c>
      <c r="J46" s="144">
        <f>+I46+'10'!J46</f>
        <v>605612.62000000186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+C47+'10'!D47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685.78988232439417</v>
      </c>
      <c r="J47" s="144">
        <f>J46/J38</f>
        <v>856.06095773358038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+C48+'10'!D48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700.07504829840752</v>
      </c>
      <c r="J48" s="144">
        <f>J46/J40</f>
        <v>892.56255618929993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+C49+'10'!D49</f>
        <v>0</v>
      </c>
      <c r="E49" s="152">
        <f t="shared" si="0"/>
        <v>0</v>
      </c>
      <c r="F49" s="194"/>
      <c r="H49" s="197" t="s">
        <v>185</v>
      </c>
      <c r="I49" s="127">
        <v>0</v>
      </c>
      <c r="J49" s="144">
        <f>+I49+'10'!J49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+C50+'10'!D50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+C51+'10'!D51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7</v>
      </c>
      <c r="D52" s="153">
        <f>SUM(D38:D51)</f>
        <v>603</v>
      </c>
      <c r="E52" s="154">
        <f>SUM(E38:E51)</f>
        <v>10.050000000000001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4.8611111111111112E-3</v>
      </c>
      <c r="D53" s="155">
        <f>D52/(24*60*G4)</f>
        <v>3.806818181818182E-2</v>
      </c>
      <c r="E53" s="156">
        <f>E52/(G4*24)</f>
        <v>3.806818181818182E-2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+D34+'10'!J56</f>
        <v>2267</v>
      </c>
      <c r="K56" s="210">
        <f>J56/(J40+J56/1000)/1000</f>
        <v>3.3300184935742536E-3</v>
      </c>
    </row>
    <row r="57" spans="1:11">
      <c r="A57" s="185"/>
      <c r="I57" s="208" t="s">
        <v>89</v>
      </c>
      <c r="J57" s="209">
        <f>+E34+'10'!J57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53:B53"/>
    <mergeCell ref="A52:B52"/>
    <mergeCell ref="A46:B46"/>
    <mergeCell ref="A51:B51"/>
    <mergeCell ref="A50:B50"/>
    <mergeCell ref="A49:B49"/>
    <mergeCell ref="A47:B47"/>
    <mergeCell ref="A48:B48"/>
    <mergeCell ref="I7:I13"/>
    <mergeCell ref="A15:A23"/>
    <mergeCell ref="I15:I22"/>
    <mergeCell ref="A45:B45"/>
    <mergeCell ref="A42:B42"/>
    <mergeCell ref="I24:I31"/>
    <mergeCell ref="A37:B37"/>
    <mergeCell ref="A44:B44"/>
    <mergeCell ref="A24:A32"/>
    <mergeCell ref="A43:B43"/>
    <mergeCell ref="A41:B41"/>
    <mergeCell ref="A7:A14"/>
    <mergeCell ref="A40:B40"/>
    <mergeCell ref="A34:B34"/>
    <mergeCell ref="A38:B38"/>
    <mergeCell ref="A39:B39"/>
  </mergeCells>
  <phoneticPr fontId="31" type="noConversion"/>
  <pageMargins left="0.17" right="0.16" top="0.17" bottom="0.16" header="0" footer="0"/>
  <pageSetup paperSize="9" scale="61" firstPageNumber="4294963191" orientation="landscape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R61"/>
  <sheetViews>
    <sheetView view="pageBreakPreview" zoomScale="80" zoomScaleNormal="75" zoomScaleSheetLayoutView="80" workbookViewId="0">
      <selection activeCell="A7" sqref="A7:A32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2.140625" style="158" customWidth="1"/>
    <col min="14" max="16384" width="9.140625" style="158"/>
  </cols>
  <sheetData>
    <row r="1" spans="1:18" ht="15.75">
      <c r="A1" s="157"/>
    </row>
    <row r="2" spans="1:18" ht="15.75">
      <c r="A2" s="157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10</v>
      </c>
      <c r="H4" s="163" t="str">
        <f>+'1'!H4</f>
        <v>.06.24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248+212+290</f>
        <v>750</v>
      </c>
    </row>
    <row r="7" spans="1:18" ht="13.5" customHeight="1" thickBot="1">
      <c r="A7" s="1029" t="s">
        <v>535</v>
      </c>
      <c r="B7" s="224" t="s">
        <v>544</v>
      </c>
      <c r="C7" s="225">
        <f>2678+2880</f>
        <v>5558</v>
      </c>
      <c r="D7" s="226"/>
      <c r="E7" s="227"/>
      <c r="F7" s="236"/>
      <c r="G7" s="237" t="s">
        <v>11</v>
      </c>
      <c r="H7" s="238" t="s">
        <v>277</v>
      </c>
      <c r="I7" s="1032" t="s">
        <v>587</v>
      </c>
      <c r="J7" s="223" t="str">
        <f>+'9'!J7</f>
        <v>T 14 VP OW</v>
      </c>
      <c r="K7" s="246"/>
      <c r="L7" s="250"/>
      <c r="M7" s="126">
        <f>+K7+'9'!M7+L7</f>
        <v>62499</v>
      </c>
    </row>
    <row r="8" spans="1:18" ht="13.5" thickBot="1">
      <c r="A8" s="1030"/>
      <c r="B8" s="224" t="s">
        <v>597</v>
      </c>
      <c r="C8" s="225">
        <v>10874</v>
      </c>
      <c r="D8" s="226">
        <v>743</v>
      </c>
      <c r="E8" s="228"/>
      <c r="F8" s="239"/>
      <c r="G8" s="240" t="s">
        <v>11</v>
      </c>
      <c r="H8" s="238" t="s">
        <v>591</v>
      </c>
      <c r="I8" s="1033"/>
      <c r="J8" s="223" t="str">
        <f>+'9'!J8</f>
        <v>T 15 VP OW</v>
      </c>
      <c r="K8" s="247"/>
      <c r="L8" s="247"/>
      <c r="M8" s="126">
        <f>+K8+'9'!M8+L8</f>
        <v>37584</v>
      </c>
      <c r="N8" s="158">
        <v>1700</v>
      </c>
      <c r="O8" s="158">
        <f>+N8-N8*0.24</f>
        <v>1292</v>
      </c>
      <c r="P8" s="158">
        <v>12</v>
      </c>
      <c r="Q8" s="158">
        <f>+N8*P8</f>
        <v>20400</v>
      </c>
      <c r="R8" s="158">
        <f>+O8*P8</f>
        <v>15504</v>
      </c>
    </row>
    <row r="9" spans="1:18" ht="13.5" thickBot="1">
      <c r="A9" s="1030"/>
      <c r="B9" s="224"/>
      <c r="C9" s="225"/>
      <c r="D9" s="226"/>
      <c r="E9" s="229"/>
      <c r="F9" s="236">
        <v>7</v>
      </c>
      <c r="G9" s="240" t="s">
        <v>11</v>
      </c>
      <c r="H9" s="614" t="s">
        <v>455</v>
      </c>
      <c r="I9" s="1033"/>
      <c r="J9" s="223" t="str">
        <f>+'9'!J9</f>
        <v>T 12,5 VP OW</v>
      </c>
      <c r="K9" s="247"/>
      <c r="L9" s="247"/>
      <c r="M9" s="126">
        <f>+K9+'9'!M9+L9</f>
        <v>148332</v>
      </c>
      <c r="N9" s="158">
        <v>1300</v>
      </c>
      <c r="O9" s="158">
        <f>+N9-N9*0.0035</f>
        <v>1295.45</v>
      </c>
      <c r="P9" s="158">
        <f>480-P8</f>
        <v>468</v>
      </c>
      <c r="Q9" s="158">
        <f>+N9*P9</f>
        <v>608400</v>
      </c>
      <c r="R9" s="158">
        <f>+O9*P9</f>
        <v>606270.6</v>
      </c>
    </row>
    <row r="10" spans="1:18" ht="13.5" thickBot="1">
      <c r="A10" s="1030"/>
      <c r="B10" s="224"/>
      <c r="C10" s="225"/>
      <c r="D10" s="226"/>
      <c r="E10" s="228"/>
      <c r="F10" s="236"/>
      <c r="G10" s="240"/>
      <c r="H10" s="614" t="s">
        <v>578</v>
      </c>
      <c r="I10" s="1033"/>
      <c r="J10" s="223" t="str">
        <f>+'9'!J10</f>
        <v>T 12 VP OW</v>
      </c>
      <c r="K10" s="247"/>
      <c r="L10" s="247"/>
      <c r="M10" s="126">
        <f>+K10+'9'!M10+L10</f>
        <v>25679</v>
      </c>
      <c r="P10" s="158">
        <f>SUM(P8:P9)</f>
        <v>480</v>
      </c>
      <c r="Q10" s="158">
        <f>SUM(Q8:Q9)</f>
        <v>628800</v>
      </c>
      <c r="R10" s="158">
        <f>SUM(R8:R9)</f>
        <v>621774.6</v>
      </c>
    </row>
    <row r="11" spans="1:18" ht="13.5" thickBot="1">
      <c r="A11" s="1030"/>
      <c r="B11" s="224"/>
      <c r="C11" s="225"/>
      <c r="D11" s="226"/>
      <c r="E11" s="228"/>
      <c r="F11" s="236">
        <v>10</v>
      </c>
      <c r="G11" s="240" t="s">
        <v>11</v>
      </c>
      <c r="H11" s="241" t="s">
        <v>583</v>
      </c>
      <c r="I11" s="1033"/>
      <c r="J11" s="223" t="str">
        <f>+'9'!J11</f>
        <v>F 12 VP OW</v>
      </c>
      <c r="K11" s="247"/>
      <c r="L11" s="247"/>
      <c r="M11" s="126">
        <f>+K11+'9'!M11+L11</f>
        <v>30353</v>
      </c>
      <c r="Q11" s="158">
        <f>+Q10/P10</f>
        <v>1310</v>
      </c>
      <c r="R11" s="158">
        <f>+R10/P10</f>
        <v>1295.36375</v>
      </c>
    </row>
    <row r="12" spans="1:18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+'9'!J12</f>
        <v>F 13 VP OW</v>
      </c>
      <c r="K12" s="247">
        <f>+C7</f>
        <v>5558</v>
      </c>
      <c r="L12" s="247"/>
      <c r="M12" s="126">
        <f>+K12+'9'!M12+L12</f>
        <v>149460</v>
      </c>
    </row>
    <row r="13" spans="1:18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+'9'!J13</f>
        <v>F 13,5 VP OW</v>
      </c>
      <c r="K13" s="247"/>
      <c r="L13" s="247"/>
      <c r="M13" s="126">
        <f>+K13+'9'!M13+L13</f>
        <v>11138</v>
      </c>
    </row>
    <row r="14" spans="1:18" ht="13.5" thickBot="1">
      <c r="A14" s="1031"/>
      <c r="B14" s="174" t="s">
        <v>2</v>
      </c>
      <c r="C14" s="108">
        <f>SUM(C7:C13)</f>
        <v>16432</v>
      </c>
      <c r="D14" s="120">
        <f>SUM(D7:D13)</f>
        <v>743</v>
      </c>
      <c r="E14" s="121">
        <f>SUM(E5:E13)</f>
        <v>0</v>
      </c>
      <c r="F14" s="125">
        <f>SUM(F7:F13)</f>
        <v>17</v>
      </c>
      <c r="G14" s="168"/>
      <c r="H14" s="175"/>
      <c r="I14" s="176"/>
      <c r="J14" s="223" t="str">
        <f>+'9'!J14</f>
        <v>F 12,5 VP OW</v>
      </c>
      <c r="K14" s="247"/>
      <c r="L14" s="247"/>
      <c r="M14" s="126">
        <f>+K14+'9'!M14+L14</f>
        <v>73203</v>
      </c>
    </row>
    <row r="15" spans="1:18" ht="13.5" customHeight="1" thickBot="1">
      <c r="A15" s="1035" t="s">
        <v>595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588</v>
      </c>
      <c r="J15" s="223" t="s">
        <v>597</v>
      </c>
      <c r="K15" s="247">
        <f>+C8+C16</f>
        <v>19551</v>
      </c>
      <c r="L15" s="247"/>
      <c r="M15" s="126">
        <f>+K15+'9'!M15+L15</f>
        <v>19551</v>
      </c>
    </row>
    <row r="16" spans="1:18" ht="13.5" thickBot="1">
      <c r="A16" s="1030"/>
      <c r="B16" s="224" t="s">
        <v>597</v>
      </c>
      <c r="C16" s="230">
        <f>3632+2403+2642</f>
        <v>8677</v>
      </c>
      <c r="D16" s="231"/>
      <c r="E16" s="232"/>
      <c r="F16" s="236"/>
      <c r="G16" s="240" t="s">
        <v>11</v>
      </c>
      <c r="H16" s="238" t="s">
        <v>591</v>
      </c>
      <c r="I16" s="1033"/>
      <c r="J16" s="223" t="s">
        <v>598</v>
      </c>
      <c r="K16" s="247">
        <f>+C17+C25</f>
        <v>39963</v>
      </c>
      <c r="L16" s="247"/>
      <c r="M16" s="126">
        <f>+K16+'9'!M16+L16</f>
        <v>39963</v>
      </c>
    </row>
    <row r="17" spans="1:18" ht="13.5" thickBot="1">
      <c r="A17" s="1030"/>
      <c r="B17" s="224" t="s">
        <v>598</v>
      </c>
      <c r="C17" s="225">
        <v>15245</v>
      </c>
      <c r="D17" s="226">
        <v>204</v>
      </c>
      <c r="E17" s="233"/>
      <c r="F17" s="236">
        <v>0</v>
      </c>
      <c r="G17" s="240" t="s">
        <v>11</v>
      </c>
      <c r="H17" s="614" t="s">
        <v>451</v>
      </c>
      <c r="I17" s="1033"/>
      <c r="J17" s="223">
        <f>+'9'!J17</f>
        <v>0</v>
      </c>
      <c r="K17" s="247"/>
      <c r="L17" s="247"/>
      <c r="M17" s="126">
        <f>+K17+'9'!M17+L17</f>
        <v>0</v>
      </c>
      <c r="N17" s="158">
        <v>1300</v>
      </c>
      <c r="O17" s="158">
        <f>+N17-N17*0.0035</f>
        <v>1295.45</v>
      </c>
      <c r="P17" s="158">
        <v>30</v>
      </c>
      <c r="Q17" s="158">
        <f>+N17*P17</f>
        <v>39000</v>
      </c>
      <c r="R17" s="158">
        <f>+O17*P17</f>
        <v>38863.5</v>
      </c>
    </row>
    <row r="18" spans="1:18" ht="13.5" thickBot="1">
      <c r="A18" s="1030"/>
      <c r="B18" s="224"/>
      <c r="C18" s="225"/>
      <c r="D18" s="226"/>
      <c r="E18" s="233"/>
      <c r="F18" s="236"/>
      <c r="G18" s="240"/>
      <c r="H18" s="614" t="s">
        <v>584</v>
      </c>
      <c r="I18" s="1033"/>
      <c r="J18" s="223">
        <f>+'9'!J18</f>
        <v>0</v>
      </c>
      <c r="K18" s="247"/>
      <c r="L18" s="247"/>
      <c r="M18" s="126">
        <f>+K18+'9'!M18+L18</f>
        <v>0</v>
      </c>
      <c r="N18" s="158">
        <v>1260</v>
      </c>
      <c r="O18" s="158">
        <f>+N18-N18*0.0035</f>
        <v>1255.5899999999999</v>
      </c>
      <c r="P18" s="158">
        <f>480-P17</f>
        <v>450</v>
      </c>
      <c r="Q18" s="158">
        <f>+N18*P18</f>
        <v>567000</v>
      </c>
      <c r="R18" s="158">
        <f>+O18*P18</f>
        <v>565015.5</v>
      </c>
    </row>
    <row r="19" spans="1:18" ht="13.5" thickBot="1">
      <c r="A19" s="1030"/>
      <c r="B19" s="224"/>
      <c r="C19" s="225"/>
      <c r="D19" s="226"/>
      <c r="E19" s="233"/>
      <c r="F19" s="243">
        <v>8</v>
      </c>
      <c r="G19" s="240" t="s">
        <v>11</v>
      </c>
      <c r="H19" s="241" t="s">
        <v>585</v>
      </c>
      <c r="I19" s="1033"/>
      <c r="J19" s="223">
        <f>+'9'!J19</f>
        <v>0</v>
      </c>
      <c r="K19" s="247"/>
      <c r="L19" s="247"/>
      <c r="M19" s="126">
        <f>+K19+'9'!M19+L19</f>
        <v>0</v>
      </c>
      <c r="P19" s="158">
        <f>SUM(P17:P18)</f>
        <v>480</v>
      </c>
      <c r="Q19" s="158">
        <f>SUM(Q17:Q18)</f>
        <v>606000</v>
      </c>
      <c r="R19" s="158">
        <f>SUM(R17:R18)</f>
        <v>603879</v>
      </c>
    </row>
    <row r="20" spans="1:18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+'9'!J20</f>
        <v>0</v>
      </c>
      <c r="K20" s="247"/>
      <c r="L20" s="247"/>
      <c r="M20" s="126">
        <f>+K20+'9'!M20+L20</f>
        <v>0</v>
      </c>
      <c r="Q20" s="158">
        <f>+Q19/P19</f>
        <v>1262.5</v>
      </c>
      <c r="R20" s="158">
        <f>+R19/P19</f>
        <v>1258.08125</v>
      </c>
    </row>
    <row r="21" spans="1:18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+'9'!J21</f>
        <v>0</v>
      </c>
      <c r="K21" s="247"/>
      <c r="L21" s="247"/>
      <c r="M21" s="126">
        <f>+K21+'9'!M21+L21</f>
        <v>0</v>
      </c>
    </row>
    <row r="22" spans="1:18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+'9'!J22</f>
        <v>0</v>
      </c>
      <c r="K22" s="247"/>
      <c r="L22" s="247"/>
      <c r="M22" s="126">
        <f>+K22+'9'!M22+L22</f>
        <v>0</v>
      </c>
    </row>
    <row r="23" spans="1:18" ht="13.5" thickBot="1">
      <c r="A23" s="1031"/>
      <c r="B23" s="177" t="s">
        <v>2</v>
      </c>
      <c r="C23" s="109">
        <f>SUM(C16:C22)</f>
        <v>23922</v>
      </c>
      <c r="D23" s="120">
        <f>SUM(D16:D22)</f>
        <v>204</v>
      </c>
      <c r="E23" s="121">
        <f>SUM(E18:E22)</f>
        <v>0</v>
      </c>
      <c r="F23" s="125">
        <f>SUM(F15:F22)</f>
        <v>8</v>
      </c>
      <c r="G23" s="168"/>
      <c r="H23" s="175" t="s">
        <v>234</v>
      </c>
      <c r="I23" s="178"/>
      <c r="J23" s="223">
        <f>+'9'!J23</f>
        <v>0</v>
      </c>
      <c r="K23" s="247"/>
      <c r="L23" s="247"/>
      <c r="M23" s="126">
        <f>+K23+'9'!M23+L23</f>
        <v>0</v>
      </c>
    </row>
    <row r="24" spans="1:18" ht="13.5" customHeight="1" thickBot="1">
      <c r="A24" s="1035" t="s">
        <v>433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589</v>
      </c>
      <c r="J24" s="223">
        <f>+'8'!J24</f>
        <v>0</v>
      </c>
      <c r="K24" s="247"/>
      <c r="L24" s="247"/>
      <c r="M24" s="126">
        <f>+K24+'9'!M24+L24</f>
        <v>0</v>
      </c>
    </row>
    <row r="25" spans="1:18" ht="13.5" customHeight="1" thickBot="1">
      <c r="A25" s="1030"/>
      <c r="B25" s="224" t="s">
        <v>598</v>
      </c>
      <c r="C25" s="234">
        <v>24718</v>
      </c>
      <c r="D25" s="226"/>
      <c r="E25" s="233"/>
      <c r="F25" s="239"/>
      <c r="G25" s="240" t="s">
        <v>11</v>
      </c>
      <c r="H25" s="238" t="s">
        <v>591</v>
      </c>
      <c r="I25" s="1033"/>
      <c r="J25" s="223">
        <f>+'8'!J25</f>
        <v>0</v>
      </c>
      <c r="K25" s="247"/>
      <c r="L25" s="247"/>
      <c r="M25" s="126">
        <f>+K25+'9'!M25+L25</f>
        <v>0</v>
      </c>
    </row>
    <row r="26" spans="1:18" ht="13.5" customHeight="1" thickBot="1">
      <c r="A26" s="1030"/>
      <c r="B26" s="224"/>
      <c r="C26" s="234"/>
      <c r="D26" s="226"/>
      <c r="E26" s="235"/>
      <c r="F26" s="239">
        <v>0</v>
      </c>
      <c r="G26" s="240" t="s">
        <v>11</v>
      </c>
      <c r="H26" s="614" t="s">
        <v>455</v>
      </c>
      <c r="I26" s="1033"/>
      <c r="J26" s="223">
        <f>+'8'!J26</f>
        <v>0</v>
      </c>
      <c r="K26" s="247"/>
      <c r="L26" s="247"/>
      <c r="M26" s="126">
        <f>+K26+'9'!M26+L26</f>
        <v>0</v>
      </c>
    </row>
    <row r="27" spans="1:18" ht="13.5" customHeight="1" thickBot="1">
      <c r="A27" s="1030"/>
      <c r="B27" s="224"/>
      <c r="C27" s="225"/>
      <c r="D27" s="226"/>
      <c r="E27" s="233"/>
      <c r="F27" s="239"/>
      <c r="G27" s="240"/>
      <c r="H27" s="614" t="s">
        <v>586</v>
      </c>
      <c r="I27" s="1033"/>
      <c r="J27" s="223">
        <f>+'8'!J27</f>
        <v>0</v>
      </c>
      <c r="K27" s="247"/>
      <c r="L27" s="247"/>
      <c r="M27" s="126">
        <f>+K27+'9'!M27+L27</f>
        <v>0</v>
      </c>
    </row>
    <row r="28" spans="1:18" ht="13.5" customHeight="1" thickBot="1">
      <c r="A28" s="1030"/>
      <c r="B28" s="224"/>
      <c r="C28" s="225"/>
      <c r="D28" s="226"/>
      <c r="E28" s="233"/>
      <c r="F28" s="239"/>
      <c r="G28" s="240"/>
      <c r="H28" s="241"/>
      <c r="I28" s="1033"/>
      <c r="J28" s="223">
        <f>+'8'!J28</f>
        <v>0</v>
      </c>
      <c r="K28" s="247"/>
      <c r="L28" s="247"/>
      <c r="M28" s="126">
        <f>+K28+'9'!M28+L28</f>
        <v>0</v>
      </c>
    </row>
    <row r="29" spans="1:18" ht="13.5" customHeight="1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+'8'!J29</f>
        <v>0</v>
      </c>
      <c r="K29" s="247"/>
      <c r="L29" s="247"/>
      <c r="M29" s="126">
        <f>+K29+'9'!M29+L29</f>
        <v>0</v>
      </c>
    </row>
    <row r="30" spans="1:18" ht="13.5" customHeight="1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+'8'!J30</f>
        <v>0</v>
      </c>
      <c r="K30" s="247"/>
      <c r="L30" s="247"/>
      <c r="M30" s="126">
        <f>+K30+'9'!M30+L30</f>
        <v>0</v>
      </c>
      <c r="N30" s="164"/>
    </row>
    <row r="31" spans="1:18" ht="13.5" customHeight="1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+'8'!J31</f>
        <v>0</v>
      </c>
      <c r="K31" s="247"/>
      <c r="L31" s="247"/>
      <c r="M31" s="126">
        <f>+K31+'9'!M31+L31</f>
        <v>0</v>
      </c>
    </row>
    <row r="32" spans="1:18" ht="13.5" customHeight="1" thickBot="1">
      <c r="A32" s="1031"/>
      <c r="B32" s="174" t="s">
        <v>2</v>
      </c>
      <c r="C32" s="108">
        <f>SUM(C25:C31)</f>
        <v>24718</v>
      </c>
      <c r="D32" s="109">
        <f>SUM(D25:D31)</f>
        <v>0</v>
      </c>
      <c r="E32" s="110">
        <f>SUM(E25:E31)</f>
        <v>0</v>
      </c>
      <c r="F32" s="111">
        <f>SUM(F24:F31)</f>
        <v>0</v>
      </c>
      <c r="G32" s="180"/>
      <c r="H32" s="181"/>
      <c r="I32" s="178"/>
      <c r="J32" s="223">
        <f>+'8'!J32</f>
        <v>0</v>
      </c>
      <c r="K32" s="249"/>
      <c r="L32" s="251"/>
      <c r="M32" s="126">
        <f>+K32+'9'!M32+L32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65072</v>
      </c>
      <c r="D34" s="116">
        <f>D14+D23+D32</f>
        <v>947</v>
      </c>
      <c r="E34" s="116">
        <f>E14+E23+E32</f>
        <v>0</v>
      </c>
      <c r="F34" s="117">
        <f>F14+F23+F32</f>
        <v>25</v>
      </c>
      <c r="H34" s="187"/>
      <c r="I34" s="187"/>
      <c r="J34" s="132" t="s">
        <v>27</v>
      </c>
      <c r="K34" s="133">
        <f>SUM(K7:K32)</f>
        <v>65072</v>
      </c>
      <c r="L34" s="221">
        <f>SUM(L7:L32)</f>
        <v>0</v>
      </c>
      <c r="M34" s="129">
        <f>SUM(M7:M32)</f>
        <v>597762</v>
      </c>
      <c r="N34" s="164"/>
    </row>
    <row r="35" spans="1:14" ht="13.5" thickBot="1">
      <c r="A35" s="188"/>
      <c r="B35" s="189"/>
      <c r="C35" s="113">
        <f>C34/($C$34+$D$34+$E$34)</f>
        <v>0.98565564458716426</v>
      </c>
      <c r="D35" s="113">
        <f>D34/($C$34+$D$34+$E$34)</f>
        <v>1.4344355412835699E-2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(13*12+14*498+17*930)/1440*G42*2.77*1440/1000000</f>
        <v>80.673152059700016</v>
      </c>
      <c r="J37" s="352">
        <f>+I37+'9'!J37</f>
        <v>653.52765683456209</v>
      </c>
      <c r="K37" s="135" t="s">
        <v>63</v>
      </c>
      <c r="N37" s="158">
        <v>2.0670000000000002</v>
      </c>
    </row>
    <row r="38" spans="1:14" ht="17.45" customHeight="1">
      <c r="A38" s="1027" t="s">
        <v>11</v>
      </c>
      <c r="B38" s="1028"/>
      <c r="C38" s="173">
        <f>SUMIF($G$7:$G$31,"Process",$F$7:$F$31)</f>
        <v>25</v>
      </c>
      <c r="D38" s="127">
        <f>+C38+'9'!D38</f>
        <v>461</v>
      </c>
      <c r="E38" s="152">
        <f t="shared" ref="E38:E51" si="0">D38/60</f>
        <v>7.6833333333333336</v>
      </c>
      <c r="F38" s="337">
        <v>1310</v>
      </c>
      <c r="G38" s="337">
        <v>1295.36375</v>
      </c>
      <c r="H38" s="196" t="s">
        <v>64</v>
      </c>
      <c r="I38" s="548">
        <f>19.995+29.205+27.878</f>
        <v>77.078000000000003</v>
      </c>
      <c r="J38" s="353">
        <f>+I38+'9'!J38</f>
        <v>625.01099999999997</v>
      </c>
      <c r="K38" s="137" t="s">
        <v>63</v>
      </c>
      <c r="N38" s="556">
        <f>19.995-N37+3.057</f>
        <v>20.984999999999999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+C39+'9'!D39</f>
        <v>0</v>
      </c>
      <c r="E39" s="152">
        <f t="shared" si="0"/>
        <v>0</v>
      </c>
      <c r="F39" s="337">
        <v>1262.5</v>
      </c>
      <c r="G39" s="337">
        <v>1258.08125</v>
      </c>
      <c r="H39" s="196" t="s">
        <v>65</v>
      </c>
      <c r="I39" s="151"/>
      <c r="J39" s="354">
        <f>J37/G4</f>
        <v>65.352765683456212</v>
      </c>
      <c r="K39" s="139" t="s">
        <v>63</v>
      </c>
      <c r="N39" s="615">
        <f>+I38-N37-N38</f>
        <v>54.025999999999996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+C40+'9'!D40</f>
        <v>0</v>
      </c>
      <c r="E40" s="152">
        <f t="shared" si="0"/>
        <v>0</v>
      </c>
      <c r="F40" s="337">
        <v>1260</v>
      </c>
      <c r="G40" s="337">
        <v>1255.5899999999999</v>
      </c>
      <c r="H40" s="196" t="s">
        <v>67</v>
      </c>
      <c r="I40" s="127">
        <f>+(K34+L34)/1000</f>
        <v>65.072000000000003</v>
      </c>
      <c r="J40" s="355">
        <f>+I40+'9'!J40</f>
        <v>597.76199999999994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+C41+'9'!D41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354">
        <f>J40/G4</f>
        <v>59.776199999999996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+C42+'9'!D42</f>
        <v>0</v>
      </c>
      <c r="E42" s="152">
        <f t="shared" si="0"/>
        <v>0</v>
      </c>
      <c r="F42" s="337">
        <f>+(F38*480+F39*480+F40*480)/1440</f>
        <v>1277.5</v>
      </c>
      <c r="G42" s="337">
        <f>+(G38*480+G39*480+G40*480)/1440</f>
        <v>1269.6783333333333</v>
      </c>
      <c r="H42" s="196" t="s">
        <v>70</v>
      </c>
      <c r="I42" s="254" t="s">
        <v>590</v>
      </c>
      <c r="J42" s="356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+C43+'9'!D43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+Report1!T18</f>
        <v>152.95599999999999</v>
      </c>
      <c r="J43" s="357">
        <f>+I43+'9'!J43</f>
        <v>1345.1129999999998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+C44+'9'!D44</f>
        <v>135</v>
      </c>
      <c r="E44" s="152">
        <f t="shared" si="0"/>
        <v>2.25</v>
      </c>
      <c r="F44" s="337"/>
      <c r="G44" s="338"/>
      <c r="H44" s="197" t="s">
        <v>74</v>
      </c>
      <c r="I44" s="127">
        <f>I43/I38</f>
        <v>1.9844313552505253</v>
      </c>
      <c r="J44" s="357">
        <f>J43/J38</f>
        <v>2.1521429222845678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+C45+'9'!D45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2.3505655274157853</v>
      </c>
      <c r="J45" s="357">
        <f>J43/J40</f>
        <v>2.2502484266313347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+C46+'9'!D46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+SUMIF(Listrik!AR17,"&gt;0")</f>
        <v>57711.140000000254</v>
      </c>
      <c r="J46" s="357">
        <f>+I46+'9'!J46</f>
        <v>549082.96000000206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+C47+'9'!D47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748.73686395599589</v>
      </c>
      <c r="J47" s="357">
        <f>J46/J38</f>
        <v>878.51727409597925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+C48+'9'!D48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886.88130071306023</v>
      </c>
      <c r="J48" s="357">
        <f>J46/J40</f>
        <v>918.56451229753998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+C49+'9'!D49</f>
        <v>0</v>
      </c>
      <c r="E49" s="152">
        <f t="shared" si="0"/>
        <v>0</v>
      </c>
      <c r="F49" s="194"/>
      <c r="H49" s="197" t="s">
        <v>185</v>
      </c>
      <c r="I49" s="127">
        <v>0</v>
      </c>
      <c r="J49" s="357">
        <f>+I49+'9'!J49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+C50+'9'!D50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357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+C51+'9'!D51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358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25</v>
      </c>
      <c r="D52" s="153">
        <f>SUM(D38:D51)</f>
        <v>596</v>
      </c>
      <c r="E52" s="154">
        <f>SUM(E38:E51)</f>
        <v>9.9333333333333336</v>
      </c>
      <c r="F52" s="194"/>
      <c r="H52" s="200"/>
      <c r="I52" s="201"/>
      <c r="J52" s="359"/>
      <c r="K52" s="148"/>
    </row>
    <row r="53" spans="1:11" ht="13.5" thickBot="1">
      <c r="A53" s="1021"/>
      <c r="B53" s="1022"/>
      <c r="C53" s="155">
        <f>C52/(24*60)</f>
        <v>1.7361111111111112E-2</v>
      </c>
      <c r="D53" s="155">
        <f>D52/(24*60*G4)</f>
        <v>4.1388888888888892E-2</v>
      </c>
      <c r="E53" s="156">
        <f>E52/(G4*24)</f>
        <v>4.1388888888888892E-2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+D34+'9'!J56</f>
        <v>2032</v>
      </c>
      <c r="K56" s="210">
        <f>J56/(J40+J56/1000)/1000</f>
        <v>3.3878298215720731E-3</v>
      </c>
    </row>
    <row r="57" spans="1:11">
      <c r="A57" s="185"/>
      <c r="I57" s="208" t="s">
        <v>89</v>
      </c>
      <c r="J57" s="209"/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6:B46"/>
    <mergeCell ref="A42:B42"/>
    <mergeCell ref="A43:B43"/>
    <mergeCell ref="A44:B44"/>
    <mergeCell ref="A45:B45"/>
    <mergeCell ref="A53:B53"/>
    <mergeCell ref="A49:B49"/>
    <mergeCell ref="A47:B47"/>
    <mergeCell ref="A48:B48"/>
    <mergeCell ref="A50:B50"/>
    <mergeCell ref="A52:B52"/>
    <mergeCell ref="A51:B51"/>
    <mergeCell ref="A41:B41"/>
    <mergeCell ref="A40:B40"/>
    <mergeCell ref="A7:A14"/>
    <mergeCell ref="I7:I13"/>
    <mergeCell ref="A15:A23"/>
    <mergeCell ref="I15:I22"/>
    <mergeCell ref="A24:A32"/>
    <mergeCell ref="I24:I31"/>
    <mergeCell ref="A37:B37"/>
    <mergeCell ref="A34:B34"/>
    <mergeCell ref="A38:B38"/>
    <mergeCell ref="A39:B39"/>
  </mergeCells>
  <phoneticPr fontId="31" type="noConversion"/>
  <printOptions horizontalCentered="1"/>
  <pageMargins left="0.17" right="0.16" top="0.17" bottom="0.16" header="0" footer="0"/>
  <pageSetup paperSize="9" scale="62" firstPageNumber="4294963191" orientation="landscape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O61"/>
  <sheetViews>
    <sheetView view="pageBreakPreview" zoomScale="80" zoomScaleNormal="75" zoomScaleSheetLayoutView="80" workbookViewId="0">
      <selection activeCell="A7" sqref="A7:C32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10.5703125" style="158" bestFit="1" customWidth="1"/>
    <col min="13" max="13" width="12.140625" style="158" customWidth="1"/>
    <col min="14" max="16384" width="9.140625" style="158"/>
  </cols>
  <sheetData>
    <row r="1" spans="1:15" ht="15.75">
      <c r="A1" s="157"/>
    </row>
    <row r="2" spans="1:15" ht="15.75">
      <c r="A2" s="157" t="s">
        <v>148</v>
      </c>
    </row>
    <row r="3" spans="1:15" ht="15">
      <c r="A3" s="159"/>
    </row>
    <row r="4" spans="1:15" ht="20.25">
      <c r="A4" s="160" t="s">
        <v>3</v>
      </c>
      <c r="B4" s="161"/>
      <c r="F4" s="162" t="s">
        <v>29</v>
      </c>
      <c r="G4" s="163">
        <v>9</v>
      </c>
      <c r="H4" s="163" t="str">
        <f>+'1'!H4</f>
        <v>.06.24</v>
      </c>
    </row>
    <row r="5" spans="1:15" ht="13.5" thickBot="1">
      <c r="C5" s="164"/>
      <c r="D5" s="164"/>
    </row>
    <row r="6" spans="1:15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185+265+212</f>
        <v>662</v>
      </c>
    </row>
    <row r="7" spans="1:15" ht="13.5" customHeight="1" thickBot="1">
      <c r="A7" s="1029" t="s">
        <v>535</v>
      </c>
      <c r="B7" s="224" t="s">
        <v>544</v>
      </c>
      <c r="C7" s="225">
        <v>20056</v>
      </c>
      <c r="D7" s="226"/>
      <c r="E7" s="227"/>
      <c r="F7" s="236"/>
      <c r="G7" s="237" t="s">
        <v>11</v>
      </c>
      <c r="H7" s="238" t="s">
        <v>277</v>
      </c>
      <c r="I7" s="1032" t="s">
        <v>481</v>
      </c>
      <c r="J7" s="223" t="str">
        <f>+'8'!J7</f>
        <v>T 14 VP OW</v>
      </c>
      <c r="K7" s="246"/>
      <c r="L7" s="250"/>
      <c r="M7" s="126">
        <f>+K7+'8'!M7+L7</f>
        <v>62499</v>
      </c>
    </row>
    <row r="8" spans="1:15" ht="13.5" thickBot="1">
      <c r="A8" s="1030"/>
      <c r="B8" s="224"/>
      <c r="C8" s="225"/>
      <c r="D8" s="226"/>
      <c r="E8" s="228"/>
      <c r="F8" s="239">
        <v>5</v>
      </c>
      <c r="G8" s="240" t="s">
        <v>11</v>
      </c>
      <c r="H8" s="238" t="s">
        <v>454</v>
      </c>
      <c r="I8" s="1033"/>
      <c r="J8" s="223" t="str">
        <f>+'8'!J8</f>
        <v>T 15 VP OW</v>
      </c>
      <c r="K8" s="247"/>
      <c r="L8" s="247"/>
      <c r="M8" s="126">
        <f>+K8+'8'!M8+L8</f>
        <v>37584</v>
      </c>
      <c r="N8" s="158">
        <v>1680</v>
      </c>
      <c r="O8" s="158">
        <f>+N8-N8*0.24</f>
        <v>1276.8</v>
      </c>
    </row>
    <row r="9" spans="1:15" ht="13.5" thickBot="1">
      <c r="A9" s="1030"/>
      <c r="B9" s="224"/>
      <c r="C9" s="225"/>
      <c r="D9" s="226"/>
      <c r="E9" s="229"/>
      <c r="F9" s="236">
        <v>10</v>
      </c>
      <c r="G9" s="240" t="s">
        <v>11</v>
      </c>
      <c r="H9" s="614" t="s">
        <v>483</v>
      </c>
      <c r="I9" s="1033"/>
      <c r="J9" s="223" t="str">
        <f>+'8'!J9</f>
        <v>T 12,5 VP OW</v>
      </c>
      <c r="K9" s="247"/>
      <c r="L9" s="247"/>
      <c r="M9" s="126">
        <f>+K9+'8'!M9+L9</f>
        <v>148332</v>
      </c>
      <c r="N9" s="158">
        <v>1700</v>
      </c>
      <c r="O9" s="158">
        <f>+N9-N9*0.24</f>
        <v>1292</v>
      </c>
    </row>
    <row r="10" spans="1:15" ht="13.5" thickBot="1">
      <c r="A10" s="1030"/>
      <c r="B10" s="224"/>
      <c r="C10" s="225"/>
      <c r="D10" s="226"/>
      <c r="E10" s="228"/>
      <c r="F10" s="236"/>
      <c r="G10" s="240"/>
      <c r="H10" s="614" t="s">
        <v>579</v>
      </c>
      <c r="I10" s="1033"/>
      <c r="J10" s="223" t="str">
        <f>+'8'!J10</f>
        <v>T 12 VP OW</v>
      </c>
      <c r="K10" s="247"/>
      <c r="L10" s="247"/>
      <c r="M10" s="126">
        <f>+K10+'8'!M10+L10</f>
        <v>25679</v>
      </c>
      <c r="N10" s="158">
        <v>1700</v>
      </c>
      <c r="O10" s="158">
        <f>+N10-N10*0.24</f>
        <v>1292</v>
      </c>
    </row>
    <row r="11" spans="1:15" ht="13.5" thickBot="1">
      <c r="A11" s="1030"/>
      <c r="B11" s="224"/>
      <c r="C11" s="225"/>
      <c r="D11" s="226"/>
      <c r="E11" s="228"/>
      <c r="F11" s="236"/>
      <c r="G11" s="240"/>
      <c r="H11" s="241"/>
      <c r="I11" s="1033"/>
      <c r="J11" s="223" t="str">
        <f>+'8'!J11</f>
        <v>F 12 VP OW</v>
      </c>
      <c r="K11" s="247"/>
      <c r="L11" s="247"/>
      <c r="M11" s="126">
        <f>+K11+'8'!M11+L11</f>
        <v>30353</v>
      </c>
    </row>
    <row r="12" spans="1:15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+'8'!J12</f>
        <v>F 13 VP OW</v>
      </c>
      <c r="K12" s="247">
        <f>+C34</f>
        <v>61509</v>
      </c>
      <c r="L12" s="247"/>
      <c r="M12" s="126">
        <f>+K12+'8'!M12+L12</f>
        <v>143902</v>
      </c>
    </row>
    <row r="13" spans="1:15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+'8'!J13</f>
        <v>F 13,5 VP OW</v>
      </c>
      <c r="K13" s="247"/>
      <c r="L13" s="247"/>
      <c r="M13" s="126">
        <f>+K13+'8'!M13+L13</f>
        <v>11138</v>
      </c>
    </row>
    <row r="14" spans="1:15" ht="13.5" thickBot="1">
      <c r="A14" s="1031"/>
      <c r="B14" s="174" t="s">
        <v>2</v>
      </c>
      <c r="C14" s="108">
        <f>SUM(C7:C13)</f>
        <v>20056</v>
      </c>
      <c r="D14" s="120">
        <f>SUM(D7:D13)</f>
        <v>0</v>
      </c>
      <c r="E14" s="121">
        <f>SUM(E5:E13)</f>
        <v>0</v>
      </c>
      <c r="F14" s="125">
        <f>SUM(F7:F13)</f>
        <v>15</v>
      </c>
      <c r="G14" s="168"/>
      <c r="H14" s="175"/>
      <c r="I14" s="176"/>
      <c r="J14" s="223" t="str">
        <f>+'8'!J14</f>
        <v>F 12,5 VP OW</v>
      </c>
      <c r="K14" s="247"/>
      <c r="L14" s="247"/>
      <c r="M14" s="126">
        <f>+K14+'8'!M14+L14</f>
        <v>73203</v>
      </c>
    </row>
    <row r="15" spans="1:15" ht="13.5" customHeight="1" thickBot="1">
      <c r="A15" s="1035" t="s">
        <v>435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477</v>
      </c>
      <c r="J15" s="223">
        <f>+'8'!J15</f>
        <v>0</v>
      </c>
      <c r="K15" s="247"/>
      <c r="L15" s="247"/>
      <c r="M15" s="126">
        <f>+K15+'8'!M15+L15</f>
        <v>0</v>
      </c>
    </row>
    <row r="16" spans="1:15" ht="13.5" thickBot="1">
      <c r="A16" s="1030"/>
      <c r="B16" s="224" t="s">
        <v>544</v>
      </c>
      <c r="C16" s="230">
        <v>20571</v>
      </c>
      <c r="D16" s="231"/>
      <c r="E16" s="232"/>
      <c r="F16" s="236">
        <v>5</v>
      </c>
      <c r="G16" s="240" t="s">
        <v>11</v>
      </c>
      <c r="H16" s="238" t="s">
        <v>452</v>
      </c>
      <c r="I16" s="1033"/>
      <c r="J16" s="223">
        <f>+'8'!J16</f>
        <v>0</v>
      </c>
      <c r="K16" s="247"/>
      <c r="L16" s="247"/>
      <c r="M16" s="126">
        <f>+K16+'8'!M16+L16</f>
        <v>0</v>
      </c>
    </row>
    <row r="17" spans="1:14" ht="13.5" thickBot="1">
      <c r="A17" s="1030"/>
      <c r="B17" s="224"/>
      <c r="C17" s="225"/>
      <c r="D17" s="226"/>
      <c r="E17" s="233"/>
      <c r="F17" s="236">
        <v>8</v>
      </c>
      <c r="G17" s="240" t="s">
        <v>11</v>
      </c>
      <c r="H17" s="614" t="s">
        <v>483</v>
      </c>
      <c r="I17" s="1033"/>
      <c r="J17" s="223">
        <f>+'8'!J17</f>
        <v>0</v>
      </c>
      <c r="K17" s="247"/>
      <c r="L17" s="247"/>
      <c r="M17" s="126">
        <f>+K17+'8'!M17+L17</f>
        <v>0</v>
      </c>
    </row>
    <row r="18" spans="1:14" ht="13.5" thickBot="1">
      <c r="A18" s="1030"/>
      <c r="B18" s="224"/>
      <c r="C18" s="225"/>
      <c r="D18" s="226"/>
      <c r="E18" s="233"/>
      <c r="F18" s="236"/>
      <c r="G18" s="240"/>
      <c r="H18" s="614" t="s">
        <v>578</v>
      </c>
      <c r="I18" s="1033"/>
      <c r="J18" s="223">
        <f>+'8'!J18</f>
        <v>0</v>
      </c>
      <c r="K18" s="247"/>
      <c r="L18" s="247"/>
      <c r="M18" s="126">
        <f>+K18+'8'!M18+L18</f>
        <v>0</v>
      </c>
    </row>
    <row r="19" spans="1:14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>
        <f>+'8'!J19</f>
        <v>0</v>
      </c>
      <c r="K19" s="247"/>
      <c r="L19" s="247"/>
      <c r="M19" s="126">
        <f>+K19+'8'!M19+L19</f>
        <v>0</v>
      </c>
    </row>
    <row r="20" spans="1:14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+'8'!J20</f>
        <v>0</v>
      </c>
      <c r="K20" s="247"/>
      <c r="L20" s="247"/>
      <c r="M20" s="126">
        <f>+K20+'8'!M20+L20</f>
        <v>0</v>
      </c>
    </row>
    <row r="21" spans="1:14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+'8'!J21</f>
        <v>0</v>
      </c>
      <c r="K21" s="247"/>
      <c r="L21" s="247"/>
      <c r="M21" s="126">
        <f>+K21+'8'!M21+L21</f>
        <v>0</v>
      </c>
    </row>
    <row r="22" spans="1:14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+'8'!J22</f>
        <v>0</v>
      </c>
      <c r="K22" s="247"/>
      <c r="L22" s="247"/>
      <c r="M22" s="126">
        <f>+K22+'8'!M22+L22</f>
        <v>0</v>
      </c>
    </row>
    <row r="23" spans="1:14" ht="13.5" thickBot="1">
      <c r="A23" s="1031"/>
      <c r="B23" s="177" t="s">
        <v>2</v>
      </c>
      <c r="C23" s="109">
        <f>SUM(C16:C22)</f>
        <v>20571</v>
      </c>
      <c r="D23" s="120">
        <f>SUM(D16:D22)</f>
        <v>0</v>
      </c>
      <c r="E23" s="121">
        <f>SUM(E18:E22)</f>
        <v>0</v>
      </c>
      <c r="F23" s="125">
        <f>SUM(F15:F22)</f>
        <v>13</v>
      </c>
      <c r="G23" s="168"/>
      <c r="H23" s="175" t="s">
        <v>234</v>
      </c>
      <c r="I23" s="178"/>
      <c r="J23" s="223">
        <f>+'8'!J23</f>
        <v>0</v>
      </c>
      <c r="K23" s="247"/>
      <c r="L23" s="247"/>
      <c r="M23" s="126">
        <f>+K23+'8'!M23+L23</f>
        <v>0</v>
      </c>
    </row>
    <row r="24" spans="1:14" ht="13.5" customHeight="1" thickBot="1">
      <c r="A24" s="1035" t="s">
        <v>433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477</v>
      </c>
      <c r="J24" s="223">
        <f>+'8'!J24</f>
        <v>0</v>
      </c>
      <c r="K24" s="247"/>
      <c r="L24" s="247"/>
      <c r="M24" s="126">
        <f>+K24+'8'!M24+L24</f>
        <v>0</v>
      </c>
    </row>
    <row r="25" spans="1:14" ht="13.5" thickBot="1">
      <c r="A25" s="1030"/>
      <c r="B25" s="224" t="s">
        <v>544</v>
      </c>
      <c r="C25" s="234">
        <v>20882</v>
      </c>
      <c r="D25" s="226">
        <v>282</v>
      </c>
      <c r="E25" s="233"/>
      <c r="F25" s="239">
        <v>5</v>
      </c>
      <c r="G25" s="240" t="s">
        <v>11</v>
      </c>
      <c r="H25" s="238" t="s">
        <v>454</v>
      </c>
      <c r="I25" s="1033"/>
      <c r="J25" s="223">
        <f>+'8'!J25</f>
        <v>0</v>
      </c>
      <c r="K25" s="247"/>
      <c r="L25" s="247"/>
      <c r="M25" s="126">
        <f>+K25+'8'!M25+L25</f>
        <v>0</v>
      </c>
    </row>
    <row r="26" spans="1:14" ht="13.5" thickBot="1">
      <c r="A26" s="1030"/>
      <c r="B26" s="224"/>
      <c r="C26" s="234"/>
      <c r="D26" s="226"/>
      <c r="E26" s="235"/>
      <c r="F26" s="239">
        <v>6</v>
      </c>
      <c r="G26" s="240" t="s">
        <v>11</v>
      </c>
      <c r="H26" s="614" t="s">
        <v>483</v>
      </c>
      <c r="I26" s="1033"/>
      <c r="J26" s="223">
        <f>+'8'!J26</f>
        <v>0</v>
      </c>
      <c r="K26" s="247"/>
      <c r="L26" s="247"/>
      <c r="M26" s="126">
        <f>+K26+'8'!M26+L26</f>
        <v>0</v>
      </c>
    </row>
    <row r="27" spans="1:14" ht="13.5" thickBot="1">
      <c r="A27" s="1030"/>
      <c r="B27" s="224"/>
      <c r="C27" s="225"/>
      <c r="D27" s="226"/>
      <c r="E27" s="233"/>
      <c r="F27" s="239"/>
      <c r="G27" s="240"/>
      <c r="H27" s="614" t="s">
        <v>578</v>
      </c>
      <c r="I27" s="1033"/>
      <c r="J27" s="223">
        <f>+'8'!J27</f>
        <v>0</v>
      </c>
      <c r="K27" s="247"/>
      <c r="L27" s="247"/>
      <c r="M27" s="126">
        <f>+K27+'8'!M27+L27</f>
        <v>0</v>
      </c>
    </row>
    <row r="28" spans="1:14" ht="13.5" thickBot="1">
      <c r="A28" s="1030"/>
      <c r="B28" s="224"/>
      <c r="C28" s="225"/>
      <c r="D28" s="226"/>
      <c r="E28" s="233"/>
      <c r="F28" s="239"/>
      <c r="G28" s="240"/>
      <c r="H28" s="241"/>
      <c r="I28" s="1033"/>
      <c r="J28" s="223">
        <f>+'8'!J28</f>
        <v>0</v>
      </c>
      <c r="K28" s="247"/>
      <c r="L28" s="247"/>
      <c r="M28" s="126">
        <f>+K28+'8'!M28+L28</f>
        <v>0</v>
      </c>
    </row>
    <row r="29" spans="1:14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+'8'!J29</f>
        <v>0</v>
      </c>
      <c r="K29" s="247"/>
      <c r="L29" s="247"/>
      <c r="M29" s="126">
        <f>+K29+'8'!M29+L29</f>
        <v>0</v>
      </c>
    </row>
    <row r="30" spans="1:14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+'8'!J30</f>
        <v>0</v>
      </c>
      <c r="K30" s="247"/>
      <c r="L30" s="247"/>
      <c r="M30" s="126">
        <f>+K30+'8'!M30+L30</f>
        <v>0</v>
      </c>
      <c r="N30" s="164"/>
    </row>
    <row r="31" spans="1:14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+'8'!J31</f>
        <v>0</v>
      </c>
      <c r="K31" s="247"/>
      <c r="L31" s="247"/>
      <c r="M31" s="126">
        <f>+K31+'8'!M31+L31</f>
        <v>0</v>
      </c>
    </row>
    <row r="32" spans="1:14" ht="13.5" thickBot="1">
      <c r="A32" s="1031"/>
      <c r="B32" s="174" t="s">
        <v>2</v>
      </c>
      <c r="C32" s="108">
        <f>SUM(C25:C31)</f>
        <v>20882</v>
      </c>
      <c r="D32" s="109">
        <f>SUM(D25:D31)</f>
        <v>282</v>
      </c>
      <c r="E32" s="110">
        <f>SUM(E25:E31)</f>
        <v>0</v>
      </c>
      <c r="F32" s="111">
        <f>SUM(F24:F31)</f>
        <v>11</v>
      </c>
      <c r="G32" s="180"/>
      <c r="H32" s="181"/>
      <c r="I32" s="178"/>
      <c r="J32" s="223">
        <f>+'8'!J32</f>
        <v>0</v>
      </c>
      <c r="K32" s="249"/>
      <c r="L32" s="251"/>
      <c r="M32" s="126">
        <f>+K32+'8'!M32+L32</f>
        <v>0</v>
      </c>
    </row>
    <row r="33" spans="1:14" ht="13.5" thickBot="1">
      <c r="A33" s="182"/>
      <c r="B33" s="183"/>
      <c r="C33" s="112">
        <f>C32/($C$32+$D$32+$E$32)</f>
        <v>0.98667548667548666</v>
      </c>
      <c r="D33" s="113">
        <f>D32/($C$32+$D$32+$E$32)</f>
        <v>1.3324513324513324E-2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61509</v>
      </c>
      <c r="D34" s="116">
        <f>D14+D23+D32</f>
        <v>282</v>
      </c>
      <c r="E34" s="116">
        <f>E14+E23+E32</f>
        <v>0</v>
      </c>
      <c r="F34" s="117">
        <f>F14+F23+F32</f>
        <v>39</v>
      </c>
      <c r="H34" s="187"/>
      <c r="I34" s="187"/>
      <c r="J34" s="132" t="s">
        <v>27</v>
      </c>
      <c r="K34" s="133">
        <f>SUM(K7:K32)</f>
        <v>61509</v>
      </c>
      <c r="L34" s="221">
        <f>SUM(L7:L32)</f>
        <v>0</v>
      </c>
      <c r="M34" s="129">
        <f>SUM(M7:M32)</f>
        <v>532690</v>
      </c>
      <c r="N34" s="164"/>
    </row>
    <row r="35" spans="1:14" ht="13.5" thickBot="1">
      <c r="A35" s="188"/>
      <c r="B35" s="189"/>
      <c r="C35" s="113">
        <f>C34/($C$34+$D$34+$E$34)</f>
        <v>0.99543622857697722</v>
      </c>
      <c r="D35" s="113">
        <f>D34/($C$34+$D$34+$E$34)</f>
        <v>4.5637714230227699E-3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(13*1440)/1440*G42*2.77*1440/1000000</f>
        <v>66.733155840000009</v>
      </c>
      <c r="J37" s="134">
        <f>+I37+'8'!J37</f>
        <v>572.85450477486211</v>
      </c>
      <c r="K37" s="135" t="s">
        <v>63</v>
      </c>
    </row>
    <row r="38" spans="1:14" ht="17.45" customHeight="1">
      <c r="A38" s="1027" t="s">
        <v>11</v>
      </c>
      <c r="B38" s="1028"/>
      <c r="C38" s="173">
        <f>SUMIF($G$7:$G$31,"Process",$F$7:$F$31)</f>
        <v>39</v>
      </c>
      <c r="D38" s="127">
        <f>+C38+'8'!D38</f>
        <v>436</v>
      </c>
      <c r="E38" s="152">
        <f t="shared" ref="E38:E51" si="0">D38/60</f>
        <v>7.2666666666666666</v>
      </c>
      <c r="F38" s="337">
        <v>1680</v>
      </c>
      <c r="G38" s="337">
        <f>+F38-F38*0.24</f>
        <v>1276.8</v>
      </c>
      <c r="H38" s="196" t="s">
        <v>64</v>
      </c>
      <c r="I38" s="548">
        <f>20.42+21.373+20.844</f>
        <v>62.637000000000008</v>
      </c>
      <c r="J38" s="136">
        <f>+I38+'8'!J38</f>
        <v>547.93299999999999</v>
      </c>
      <c r="K38" s="137" t="s">
        <v>63</v>
      </c>
      <c r="N38" s="556"/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+C39+'8'!D39</f>
        <v>0</v>
      </c>
      <c r="E39" s="152">
        <f t="shared" si="0"/>
        <v>0</v>
      </c>
      <c r="F39" s="337">
        <v>1700</v>
      </c>
      <c r="G39" s="337">
        <f>+F39-F39*0.24</f>
        <v>1292</v>
      </c>
      <c r="H39" s="196" t="s">
        <v>65</v>
      </c>
      <c r="I39" s="151"/>
      <c r="J39" s="138">
        <f>J37/G4</f>
        <v>63.650500530540235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+C40+'8'!D40</f>
        <v>0</v>
      </c>
      <c r="E40" s="152">
        <f t="shared" si="0"/>
        <v>0</v>
      </c>
      <c r="F40" s="337">
        <v>1700</v>
      </c>
      <c r="G40" s="337">
        <f>+F40-F40*0.24</f>
        <v>1292</v>
      </c>
      <c r="H40" s="196" t="s">
        <v>67</v>
      </c>
      <c r="I40" s="127">
        <f>(K34+L34)/1000</f>
        <v>61.509</v>
      </c>
      <c r="J40" s="140">
        <f>+I40+'8'!J40</f>
        <v>532.68999999999994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+C41+'8'!D41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59.187777777777768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+C42+'8'!D42</f>
        <v>0</v>
      </c>
      <c r="E42" s="152">
        <f t="shared" si="0"/>
        <v>0</v>
      </c>
      <c r="F42" s="337">
        <f>+(F38*480+F39*480+F40*480)/1440</f>
        <v>1693.3333333333333</v>
      </c>
      <c r="G42" s="337">
        <f>+(G38*480+G39*480+G40*480)/1440</f>
        <v>1286.9333333333334</v>
      </c>
      <c r="H42" s="196" t="s">
        <v>70</v>
      </c>
      <c r="I42" s="254" t="s">
        <v>580</v>
      </c>
      <c r="J42" s="141"/>
      <c r="K42" s="139" t="s">
        <v>71</v>
      </c>
    </row>
    <row r="43" spans="1:14" ht="17.45" customHeight="1">
      <c r="A43" s="1023" t="s">
        <v>236</v>
      </c>
      <c r="B43" s="1024"/>
      <c r="C43" s="173">
        <f>SUMIF($G$7:$G$31,"Change GRade",$F$7:$F$31)</f>
        <v>0</v>
      </c>
      <c r="D43" s="127">
        <f>+C43+'8'!D43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+Report1!T17</f>
        <v>133.25200000000001</v>
      </c>
      <c r="J43" s="142">
        <f>+I43+'8'!J43</f>
        <v>1192.1569999999999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+C44+'8'!D44</f>
        <v>135</v>
      </c>
      <c r="E44" s="152">
        <f t="shared" si="0"/>
        <v>2.25</v>
      </c>
      <c r="F44" s="337"/>
      <c r="G44" s="338"/>
      <c r="H44" s="197" t="s">
        <v>74</v>
      </c>
      <c r="I44" s="127">
        <f>I43/I38</f>
        <v>2.1273688075737982</v>
      </c>
      <c r="J44" s="143">
        <f>J43/J38</f>
        <v>2.1757349894968909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+C45+'8'!D45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2.1663821554569251</v>
      </c>
      <c r="J45" s="143">
        <f>J43/J40</f>
        <v>2.2379939552084704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+C46+'8'!D46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+SUMIF(Listrik!AR16,"&gt;0")</f>
        <v>53424.779999999591</v>
      </c>
      <c r="J46" s="144">
        <f>+I46+'8'!J46</f>
        <v>491371.82000000181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+C47+'8'!D47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852.92686431341838</v>
      </c>
      <c r="J47" s="144">
        <f>J46/J38</f>
        <v>896.77354713076568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+C48+'8'!D48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868.56850217040744</v>
      </c>
      <c r="J48" s="144">
        <f>J46/J40</f>
        <v>922.43484953725783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+C49+'8'!D49</f>
        <v>0</v>
      </c>
      <c r="E49" s="152">
        <f t="shared" si="0"/>
        <v>0</v>
      </c>
      <c r="F49" s="194"/>
      <c r="H49" s="197" t="s">
        <v>185</v>
      </c>
      <c r="I49" s="127">
        <v>0</v>
      </c>
      <c r="J49" s="144">
        <f>+I49+'8'!J49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+C50+'8'!D50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+C51+'8'!D51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39</v>
      </c>
      <c r="D52" s="153">
        <f>SUM(D38:D51)</f>
        <v>571</v>
      </c>
      <c r="E52" s="154">
        <f>SUM(E38:E51)</f>
        <v>9.5166666666666657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2.7083333333333334E-2</v>
      </c>
      <c r="D53" s="155">
        <f>D52/(24*60*G4)</f>
        <v>4.4058641975308642E-2</v>
      </c>
      <c r="E53" s="156">
        <f>E52/(G4*24)</f>
        <v>4.4058641975308635E-2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+D34+'8'!J56</f>
        <v>1085</v>
      </c>
      <c r="K56" s="210">
        <f>J56/(J40+J56/1000)/1000</f>
        <v>2.0326916772048149E-3</v>
      </c>
    </row>
    <row r="57" spans="1:11">
      <c r="A57" s="185"/>
      <c r="I57" s="208" t="s">
        <v>89</v>
      </c>
      <c r="J57" s="209">
        <f>+E34+'8'!J57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8:B48"/>
    <mergeCell ref="A53:B53"/>
    <mergeCell ref="A52:B52"/>
    <mergeCell ref="A49:B49"/>
    <mergeCell ref="A51:B51"/>
    <mergeCell ref="A50:B50"/>
    <mergeCell ref="A47:B47"/>
    <mergeCell ref="A40:B40"/>
    <mergeCell ref="A41:B41"/>
    <mergeCell ref="A39:B39"/>
    <mergeCell ref="A46:B46"/>
    <mergeCell ref="A42:B42"/>
    <mergeCell ref="A43:B43"/>
    <mergeCell ref="A44:B44"/>
    <mergeCell ref="A45:B45"/>
    <mergeCell ref="A38:B38"/>
    <mergeCell ref="A24:A32"/>
    <mergeCell ref="A7:A14"/>
    <mergeCell ref="I7:I13"/>
    <mergeCell ref="A15:A23"/>
    <mergeCell ref="I15:I22"/>
    <mergeCell ref="I24:I31"/>
    <mergeCell ref="A37:B37"/>
    <mergeCell ref="A34:B34"/>
  </mergeCells>
  <phoneticPr fontId="31" type="noConversion"/>
  <printOptions horizontalCentered="1"/>
  <pageMargins left="0.17" right="0.16" top="0.17" bottom="0.16" header="0" footer="0"/>
  <pageSetup paperSize="9" scale="62" firstPageNumber="4294963191" fitToWidth="27" orientation="landscape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R61"/>
  <sheetViews>
    <sheetView view="pageBreakPreview" zoomScale="80" zoomScaleNormal="75" zoomScaleSheetLayoutView="80" workbookViewId="0">
      <selection activeCell="A7" sqref="A7:A32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4" style="158" bestFit="1" customWidth="1"/>
    <col min="12" max="12" width="13.7109375" style="158" bestFit="1" customWidth="1"/>
    <col min="13" max="13" width="15" style="158" bestFit="1" customWidth="1"/>
    <col min="14" max="16384" width="9.140625" style="158"/>
  </cols>
  <sheetData>
    <row r="1" spans="1:18" ht="15.75">
      <c r="A1" s="157"/>
    </row>
    <row r="2" spans="1:18" ht="15.75">
      <c r="A2" s="157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8</v>
      </c>
      <c r="H4" s="163" t="str">
        <f>+'1'!H4</f>
        <v>.06.24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195+200+215</f>
        <v>610</v>
      </c>
    </row>
    <row r="7" spans="1:18" ht="13.5" customHeight="1" thickBot="1">
      <c r="A7" s="1029" t="s">
        <v>535</v>
      </c>
      <c r="B7" s="224" t="s">
        <v>557</v>
      </c>
      <c r="C7" s="225">
        <v>19735</v>
      </c>
      <c r="D7" s="226"/>
      <c r="E7" s="227"/>
      <c r="F7" s="236"/>
      <c r="G7" s="237" t="s">
        <v>11</v>
      </c>
      <c r="H7" s="238" t="s">
        <v>277</v>
      </c>
      <c r="I7" s="1032" t="s">
        <v>569</v>
      </c>
      <c r="J7" s="223" t="str">
        <f>+'7'!J7</f>
        <v>T 14 VP OW</v>
      </c>
      <c r="K7" s="246"/>
      <c r="L7" s="250"/>
      <c r="M7" s="126">
        <f>+K7+'7'!M7+L7</f>
        <v>62499</v>
      </c>
    </row>
    <row r="8" spans="1:18" ht="13.5" thickBot="1">
      <c r="A8" s="1030"/>
      <c r="B8" s="224"/>
      <c r="C8" s="225"/>
      <c r="D8" s="226"/>
      <c r="E8" s="228"/>
      <c r="F8" s="239">
        <v>5</v>
      </c>
      <c r="G8" s="240" t="s">
        <v>11</v>
      </c>
      <c r="H8" s="238" t="s">
        <v>488</v>
      </c>
      <c r="I8" s="1033"/>
      <c r="J8" s="223" t="str">
        <f>+'7'!J8</f>
        <v>T 15 VP OW</v>
      </c>
      <c r="K8" s="247"/>
      <c r="L8" s="247"/>
      <c r="M8" s="126">
        <f>+K8+'7'!M8+L8</f>
        <v>37584</v>
      </c>
      <c r="N8" s="158">
        <v>1700</v>
      </c>
      <c r="O8" s="158">
        <f>+N8-N8*0.24</f>
        <v>1292</v>
      </c>
      <c r="P8" s="158">
        <f>360+13</f>
        <v>373</v>
      </c>
      <c r="Q8" s="158">
        <f>+N8*P8</f>
        <v>634100</v>
      </c>
      <c r="R8" s="158">
        <f>+O8*P8</f>
        <v>481916</v>
      </c>
    </row>
    <row r="9" spans="1:18" ht="13.5" thickBot="1">
      <c r="A9" s="1030"/>
      <c r="B9" s="224"/>
      <c r="C9" s="225"/>
      <c r="D9" s="226"/>
      <c r="E9" s="229"/>
      <c r="F9" s="236">
        <v>14</v>
      </c>
      <c r="G9" s="240" t="s">
        <v>11</v>
      </c>
      <c r="H9" s="614" t="s">
        <v>521</v>
      </c>
      <c r="I9" s="1033"/>
      <c r="J9" s="223" t="str">
        <f>+'7'!J9</f>
        <v>T 12,5 VP OW</v>
      </c>
      <c r="K9" s="247"/>
      <c r="L9" s="247"/>
      <c r="M9" s="126">
        <f>+K9+'7'!M9+L9</f>
        <v>148332</v>
      </c>
      <c r="N9" s="158">
        <v>1680</v>
      </c>
      <c r="O9" s="158">
        <f>+N9-N9*0.24</f>
        <v>1276.8</v>
      </c>
      <c r="P9" s="158">
        <f>60-13+60</f>
        <v>107</v>
      </c>
      <c r="Q9" s="158">
        <f>+N9*P9</f>
        <v>179760</v>
      </c>
      <c r="R9" s="158">
        <f>+O9*P9</f>
        <v>136617.60000000001</v>
      </c>
    </row>
    <row r="10" spans="1:18" ht="13.5" thickBot="1">
      <c r="A10" s="1030"/>
      <c r="B10" s="224"/>
      <c r="C10" s="225"/>
      <c r="D10" s="226"/>
      <c r="E10" s="228"/>
      <c r="F10" s="236"/>
      <c r="G10" s="240"/>
      <c r="H10" s="614" t="s">
        <v>552</v>
      </c>
      <c r="I10" s="1033"/>
      <c r="J10" s="223" t="str">
        <f>+'7'!J10</f>
        <v>T 12 VP OW</v>
      </c>
      <c r="K10" s="247"/>
      <c r="L10" s="247"/>
      <c r="M10" s="126">
        <f>+K10+'7'!M10+L10</f>
        <v>25679</v>
      </c>
      <c r="P10" s="158">
        <f>SUM(P8:P9)</f>
        <v>480</v>
      </c>
      <c r="Q10" s="158">
        <f>SUM(Q8:Q9)</f>
        <v>813860</v>
      </c>
      <c r="R10" s="158">
        <f>SUM(R8:R9)</f>
        <v>618533.6</v>
      </c>
    </row>
    <row r="11" spans="1:18" ht="13.5" thickBot="1">
      <c r="A11" s="1030"/>
      <c r="B11" s="224"/>
      <c r="C11" s="225"/>
      <c r="D11" s="226"/>
      <c r="E11" s="228"/>
      <c r="F11" s="236"/>
      <c r="G11" s="240"/>
      <c r="H11" s="241" t="s">
        <v>564</v>
      </c>
      <c r="I11" s="1033"/>
      <c r="J11" s="223" t="str">
        <f>+'7'!J11</f>
        <v>F 12 VP OW</v>
      </c>
      <c r="K11" s="247"/>
      <c r="L11" s="247"/>
      <c r="M11" s="126">
        <f>+K11+'7'!M11+L11</f>
        <v>30353</v>
      </c>
      <c r="Q11" s="158">
        <f>+Q10/P10</f>
        <v>1695.5416666666667</v>
      </c>
      <c r="R11" s="158">
        <f>+R10/P10</f>
        <v>1288.6116666666667</v>
      </c>
    </row>
    <row r="12" spans="1:18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+'7'!J12</f>
        <v>F 13 VP OW</v>
      </c>
      <c r="K12" s="247">
        <f>+C17+C25</f>
        <v>31924</v>
      </c>
      <c r="L12" s="247"/>
      <c r="M12" s="126">
        <f>+K12+'7'!M12+L12</f>
        <v>82393</v>
      </c>
    </row>
    <row r="13" spans="1:18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tr">
        <f>+'7'!J13</f>
        <v>F 13,5 VP OW</v>
      </c>
      <c r="K13" s="247"/>
      <c r="L13" s="247"/>
      <c r="M13" s="126">
        <f>+K13+'7'!M13+L13</f>
        <v>11138</v>
      </c>
    </row>
    <row r="14" spans="1:18" ht="13.5" thickBot="1">
      <c r="A14" s="1031"/>
      <c r="B14" s="174" t="s">
        <v>2</v>
      </c>
      <c r="C14" s="108">
        <f>SUM(C7:C13)</f>
        <v>19735</v>
      </c>
      <c r="D14" s="120">
        <f>SUM(D7:D13)</f>
        <v>0</v>
      </c>
      <c r="E14" s="121">
        <f>SUM(E5:E13)</f>
        <v>0</v>
      </c>
      <c r="F14" s="125">
        <f>SUM(F7:F13)</f>
        <v>19</v>
      </c>
      <c r="G14" s="168"/>
      <c r="H14" s="175"/>
      <c r="I14" s="176"/>
      <c r="J14" s="223" t="str">
        <f>+'7'!J14</f>
        <v>F 12,5 VP OW</v>
      </c>
      <c r="K14" s="247">
        <f>+C7+C16</f>
        <v>27305</v>
      </c>
      <c r="L14" s="247"/>
      <c r="M14" s="126">
        <f>+K14+'7'!M14+L14</f>
        <v>73203</v>
      </c>
    </row>
    <row r="15" spans="1:18" ht="13.5" customHeight="1" thickBot="1">
      <c r="A15" s="1035" t="s">
        <v>435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570</v>
      </c>
      <c r="J15" s="223">
        <f>+'7'!J15</f>
        <v>0</v>
      </c>
      <c r="K15" s="247"/>
      <c r="L15" s="247"/>
      <c r="M15" s="126">
        <f>+K15+'7'!M15+L15</f>
        <v>0</v>
      </c>
    </row>
    <row r="16" spans="1:18" ht="13.5" thickBot="1">
      <c r="A16" s="1030"/>
      <c r="B16" s="224" t="s">
        <v>557</v>
      </c>
      <c r="C16" s="230">
        <f>6927+643</f>
        <v>7570</v>
      </c>
      <c r="D16" s="231"/>
      <c r="E16" s="232"/>
      <c r="F16" s="236">
        <v>10</v>
      </c>
      <c r="G16" s="240" t="s">
        <v>11</v>
      </c>
      <c r="H16" s="238" t="s">
        <v>450</v>
      </c>
      <c r="I16" s="1033"/>
      <c r="J16" s="223">
        <f>+'7'!J16</f>
        <v>0</v>
      </c>
      <c r="K16" s="247"/>
      <c r="L16" s="247"/>
      <c r="M16" s="126">
        <f>+K16+'7'!M16+L16</f>
        <v>0</v>
      </c>
      <c r="N16" s="158">
        <v>1670</v>
      </c>
      <c r="O16" s="158">
        <f>+N16-N16*0.24</f>
        <v>1269.2</v>
      </c>
      <c r="P16" s="158">
        <v>960</v>
      </c>
    </row>
    <row r="17" spans="1:14" ht="13.5" thickBot="1">
      <c r="A17" s="1030"/>
      <c r="B17" s="224" t="s">
        <v>544</v>
      </c>
      <c r="C17" s="225">
        <f>6445+5981</f>
        <v>12426</v>
      </c>
      <c r="D17" s="226"/>
      <c r="E17" s="233"/>
      <c r="F17" s="236">
        <v>13</v>
      </c>
      <c r="G17" s="240" t="s">
        <v>11</v>
      </c>
      <c r="H17" s="614" t="s">
        <v>451</v>
      </c>
      <c r="I17" s="1033"/>
      <c r="J17" s="223">
        <f>+'7'!J17</f>
        <v>0</v>
      </c>
      <c r="K17" s="247"/>
      <c r="L17" s="247"/>
      <c r="M17" s="126">
        <f>+K17+'7'!M17+L17</f>
        <v>0</v>
      </c>
    </row>
    <row r="18" spans="1:14" ht="13.5" thickBot="1">
      <c r="A18" s="1030"/>
      <c r="B18" s="224"/>
      <c r="C18" s="225"/>
      <c r="D18" s="226"/>
      <c r="E18" s="233"/>
      <c r="F18" s="236"/>
      <c r="G18" s="240"/>
      <c r="H18" s="614" t="s">
        <v>566</v>
      </c>
      <c r="I18" s="1033"/>
      <c r="J18" s="223">
        <f>+'7'!J18</f>
        <v>0</v>
      </c>
      <c r="K18" s="247"/>
      <c r="L18" s="247"/>
      <c r="M18" s="126">
        <f>+K18+'7'!M18+L18</f>
        <v>0</v>
      </c>
    </row>
    <row r="19" spans="1:14" ht="26.25" thickBot="1">
      <c r="A19" s="1030"/>
      <c r="B19" s="224"/>
      <c r="C19" s="225"/>
      <c r="D19" s="226"/>
      <c r="E19" s="233"/>
      <c r="F19" s="243"/>
      <c r="G19" s="240"/>
      <c r="H19" s="241" t="s">
        <v>565</v>
      </c>
      <c r="I19" s="1033"/>
      <c r="J19" s="223">
        <f>+'7'!J19</f>
        <v>0</v>
      </c>
      <c r="K19" s="247"/>
      <c r="L19" s="247"/>
      <c r="M19" s="126">
        <f>+K19+'7'!M19+L19</f>
        <v>0</v>
      </c>
    </row>
    <row r="20" spans="1:14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+'7'!J20</f>
        <v>0</v>
      </c>
      <c r="K20" s="247"/>
      <c r="L20" s="247"/>
      <c r="M20" s="126">
        <f>+K20+'7'!M20+L20</f>
        <v>0</v>
      </c>
    </row>
    <row r="21" spans="1:14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+'7'!J21</f>
        <v>0</v>
      </c>
      <c r="K21" s="247"/>
      <c r="L21" s="247"/>
      <c r="M21" s="126">
        <f>+K21+'7'!M21+L21</f>
        <v>0</v>
      </c>
    </row>
    <row r="22" spans="1:14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+'7'!J22</f>
        <v>0</v>
      </c>
      <c r="K22" s="247"/>
      <c r="L22" s="247"/>
      <c r="M22" s="126">
        <f>+K22+'7'!M22+L22</f>
        <v>0</v>
      </c>
    </row>
    <row r="23" spans="1:14" ht="13.5" thickBot="1">
      <c r="A23" s="1031"/>
      <c r="B23" s="177" t="s">
        <v>2</v>
      </c>
      <c r="C23" s="109">
        <f>SUM(C16:C22)</f>
        <v>19996</v>
      </c>
      <c r="D23" s="120">
        <f>SUM(D16:D22)</f>
        <v>0</v>
      </c>
      <c r="E23" s="121">
        <f>SUM(E18:E22)</f>
        <v>0</v>
      </c>
      <c r="F23" s="125">
        <f>SUM(F15:F22)</f>
        <v>23</v>
      </c>
      <c r="G23" s="168"/>
      <c r="H23" s="175" t="s">
        <v>234</v>
      </c>
      <c r="I23" s="178"/>
      <c r="J23" s="223">
        <f>+'7'!J23</f>
        <v>0</v>
      </c>
      <c r="K23" s="247"/>
      <c r="L23" s="247"/>
      <c r="M23" s="126">
        <f>+K23+'7'!M23+L23</f>
        <v>0</v>
      </c>
    </row>
    <row r="24" spans="1:14" ht="13.5" customHeight="1" thickBot="1">
      <c r="A24" s="1035" t="s">
        <v>433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570</v>
      </c>
      <c r="J24" s="223">
        <f>+'7'!J24</f>
        <v>0</v>
      </c>
      <c r="K24" s="247"/>
      <c r="L24" s="247"/>
      <c r="M24" s="126">
        <f>+K24+'7'!M24+L24</f>
        <v>0</v>
      </c>
    </row>
    <row r="25" spans="1:14" ht="13.5" thickBot="1">
      <c r="A25" s="1030"/>
      <c r="B25" s="224" t="s">
        <v>544</v>
      </c>
      <c r="C25" s="234">
        <v>19498</v>
      </c>
      <c r="D25" s="226"/>
      <c r="E25" s="233"/>
      <c r="F25" s="239">
        <v>2</v>
      </c>
      <c r="G25" s="240" t="s">
        <v>11</v>
      </c>
      <c r="H25" s="238" t="s">
        <v>454</v>
      </c>
      <c r="I25" s="1033"/>
      <c r="J25" s="223">
        <f>+'7'!J25</f>
        <v>0</v>
      </c>
      <c r="K25" s="247"/>
      <c r="L25" s="247"/>
      <c r="M25" s="126">
        <f>+K25+'7'!M25+L25</f>
        <v>0</v>
      </c>
    </row>
    <row r="26" spans="1:14" ht="13.5" thickBot="1">
      <c r="A26" s="1030"/>
      <c r="B26" s="224"/>
      <c r="C26" s="234"/>
      <c r="D26" s="226"/>
      <c r="E26" s="235"/>
      <c r="F26" s="239">
        <v>10</v>
      </c>
      <c r="G26" s="240" t="s">
        <v>11</v>
      </c>
      <c r="H26" s="614" t="s">
        <v>453</v>
      </c>
      <c r="I26" s="1033"/>
      <c r="J26" s="223">
        <f>+'7'!J26</f>
        <v>0</v>
      </c>
      <c r="K26" s="247"/>
      <c r="L26" s="247"/>
      <c r="M26" s="126">
        <f>+K26+'7'!M26+L26</f>
        <v>0</v>
      </c>
    </row>
    <row r="27" spans="1:14" ht="13.5" thickBot="1">
      <c r="A27" s="1030"/>
      <c r="B27" s="224"/>
      <c r="C27" s="225"/>
      <c r="D27" s="226"/>
      <c r="E27" s="233"/>
      <c r="F27" s="239"/>
      <c r="G27" s="240"/>
      <c r="H27" s="614" t="s">
        <v>574</v>
      </c>
      <c r="I27" s="1033"/>
      <c r="J27" s="223">
        <f>+'7'!J27</f>
        <v>0</v>
      </c>
      <c r="K27" s="247"/>
      <c r="L27" s="247"/>
      <c r="M27" s="126">
        <f>+K27+'7'!M27+L27</f>
        <v>0</v>
      </c>
    </row>
    <row r="28" spans="1:14" ht="26.25" thickBot="1">
      <c r="A28" s="1030"/>
      <c r="B28" s="224"/>
      <c r="C28" s="225"/>
      <c r="D28" s="226"/>
      <c r="E28" s="233"/>
      <c r="F28" s="239"/>
      <c r="G28" s="240"/>
      <c r="H28" s="241" t="s">
        <v>567</v>
      </c>
      <c r="I28" s="1033"/>
      <c r="J28" s="223">
        <f>+'7'!J28</f>
        <v>0</v>
      </c>
      <c r="K28" s="247"/>
      <c r="L28" s="247"/>
      <c r="M28" s="126">
        <f>+K28+'7'!M28+L28</f>
        <v>0</v>
      </c>
    </row>
    <row r="29" spans="1:14" ht="13.5" thickBot="1">
      <c r="A29" s="1030"/>
      <c r="B29" s="224"/>
      <c r="C29" s="225"/>
      <c r="D29" s="226"/>
      <c r="E29" s="233"/>
      <c r="F29" s="244"/>
      <c r="G29" s="240"/>
      <c r="H29" s="241" t="s">
        <v>568</v>
      </c>
      <c r="I29" s="1033"/>
      <c r="J29" s="223">
        <f>+'7'!J29</f>
        <v>0</v>
      </c>
      <c r="K29" s="247"/>
      <c r="L29" s="247"/>
      <c r="M29" s="126">
        <f>+K29+'7'!M29+L29</f>
        <v>0</v>
      </c>
    </row>
    <row r="30" spans="1:14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+'7'!J30</f>
        <v>0</v>
      </c>
      <c r="K30" s="247"/>
      <c r="L30" s="247"/>
      <c r="M30" s="126">
        <f>+K30+'7'!M30+L30</f>
        <v>0</v>
      </c>
      <c r="N30" s="164"/>
    </row>
    <row r="31" spans="1:14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+'7'!J31</f>
        <v>0</v>
      </c>
      <c r="K31" s="247"/>
      <c r="L31" s="247"/>
      <c r="M31" s="126">
        <f>+K31+'7'!M31+L31</f>
        <v>0</v>
      </c>
    </row>
    <row r="32" spans="1:14" ht="13.5" thickBot="1">
      <c r="A32" s="1031"/>
      <c r="B32" s="174" t="s">
        <v>2</v>
      </c>
      <c r="C32" s="108">
        <f>SUM(C25:C31)</f>
        <v>19498</v>
      </c>
      <c r="D32" s="109">
        <f>SUM(D25:D31)</f>
        <v>0</v>
      </c>
      <c r="E32" s="110">
        <f>SUM(E25:E31)</f>
        <v>0</v>
      </c>
      <c r="F32" s="111">
        <f>SUM(F24:F31)</f>
        <v>12</v>
      </c>
      <c r="G32" s="180"/>
      <c r="H32" s="181"/>
      <c r="I32" s="178"/>
      <c r="J32" s="223">
        <f>+'7'!J32</f>
        <v>0</v>
      </c>
      <c r="K32" s="249"/>
      <c r="L32" s="251"/>
      <c r="M32" s="126">
        <f>+K32+'7'!M32+L32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59229</v>
      </c>
      <c r="D34" s="116">
        <f>D14+D23+D32</f>
        <v>0</v>
      </c>
      <c r="E34" s="116">
        <f>E14+E23+E32</f>
        <v>0</v>
      </c>
      <c r="F34" s="117">
        <f>F14+F23+F32</f>
        <v>54</v>
      </c>
      <c r="H34" s="187"/>
      <c r="I34" s="187"/>
      <c r="J34" s="132" t="s">
        <v>27</v>
      </c>
      <c r="K34" s="133">
        <f>SUM(K7:K32)</f>
        <v>59229</v>
      </c>
      <c r="L34" s="221">
        <f>SUM(L7:L32)</f>
        <v>0</v>
      </c>
      <c r="M34" s="129">
        <f>SUM(M7:M32)</f>
        <v>471181</v>
      </c>
      <c r="N34" s="164"/>
    </row>
    <row r="35" spans="1:14" ht="13.5" thickBot="1">
      <c r="A35" s="188"/>
      <c r="B35" s="189"/>
      <c r="C35" s="113">
        <f>C34/($C$34+$D$34+$E$34)</f>
        <v>1</v>
      </c>
      <c r="D35" s="113">
        <f>D34/($C$34+$D$34+$E$34)</f>
        <v>0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(12.5*960+13*480)/1440*G42*2.77*1440/1000000</f>
        <v>64.452999685333339</v>
      </c>
      <c r="J37" s="134">
        <f>+I37+'7'!J37</f>
        <v>506.12134893486206</v>
      </c>
      <c r="K37" s="135" t="s">
        <v>63</v>
      </c>
      <c r="N37" s="556">
        <f>+I38-N38</f>
        <v>40.742000000000004</v>
      </c>
    </row>
    <row r="38" spans="1:14" ht="17.45" customHeight="1">
      <c r="A38" s="1027" t="s">
        <v>11</v>
      </c>
      <c r="B38" s="1028"/>
      <c r="C38" s="173">
        <f>SUMIF($G$7:$G$31,"Process",$F$7:$F$31)</f>
        <v>54</v>
      </c>
      <c r="D38" s="127">
        <f>+C38+'7'!D38</f>
        <v>397</v>
      </c>
      <c r="E38" s="152">
        <f t="shared" ref="E38:E51" si="0">D38/60</f>
        <v>6.6166666666666663</v>
      </c>
      <c r="F38" s="337">
        <v>1695.5416666666667</v>
      </c>
      <c r="G38" s="337">
        <v>1288.6116666666667</v>
      </c>
      <c r="H38" s="196" t="s">
        <v>64</v>
      </c>
      <c r="I38" s="548">
        <f>21.658+19.084+21.584</f>
        <v>62.326000000000008</v>
      </c>
      <c r="J38" s="136">
        <f>+I38+'7'!J38</f>
        <v>485.29599999999994</v>
      </c>
      <c r="K38" s="137" t="s">
        <v>63</v>
      </c>
      <c r="N38" s="556">
        <v>21.584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+C39+'7'!D39</f>
        <v>0</v>
      </c>
      <c r="E39" s="152">
        <f t="shared" si="0"/>
        <v>0</v>
      </c>
      <c r="F39" s="337">
        <v>1670</v>
      </c>
      <c r="G39" s="337">
        <f>+F39-F39*0.24</f>
        <v>1269.2</v>
      </c>
      <c r="H39" s="196" t="s">
        <v>65</v>
      </c>
      <c r="I39" s="151"/>
      <c r="J39" s="138">
        <f>J37/G4</f>
        <v>63.265168616857757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+C40+'7'!D40</f>
        <v>0</v>
      </c>
      <c r="E40" s="152">
        <f t="shared" si="0"/>
        <v>0</v>
      </c>
      <c r="F40" s="337">
        <v>1670</v>
      </c>
      <c r="G40" s="337">
        <f>+F40-F40*0.24</f>
        <v>1269.2</v>
      </c>
      <c r="H40" s="196" t="s">
        <v>67</v>
      </c>
      <c r="I40" s="127">
        <f>(K34+L34)/1000</f>
        <v>59.228999999999999</v>
      </c>
      <c r="J40" s="140">
        <f>+I40+'7'!J40</f>
        <v>471.18099999999998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+C41+'7'!D41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58.897624999999998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+C42+'7'!D42</f>
        <v>0</v>
      </c>
      <c r="E42" s="152">
        <f t="shared" si="0"/>
        <v>0</v>
      </c>
      <c r="F42" s="337">
        <f>+(F38*480+F39*480+F40*480)/1440</f>
        <v>1678.5138888888889</v>
      </c>
      <c r="G42" s="337">
        <f>+(G38*480+G39*480+G40*480)/1440</f>
        <v>1275.6705555555557</v>
      </c>
      <c r="H42" s="196" t="s">
        <v>70</v>
      </c>
      <c r="I42" s="254" t="s">
        <v>571</v>
      </c>
      <c r="J42" s="141"/>
      <c r="K42" s="139" t="s">
        <v>71</v>
      </c>
    </row>
    <row r="43" spans="1:14" ht="17.45" customHeight="1">
      <c r="A43" s="1023" t="s">
        <v>203</v>
      </c>
      <c r="B43" s="1024"/>
      <c r="C43" s="173">
        <f>SUMIF($G$7:$G$31,"Change Grade",$F$7:$F$31)</f>
        <v>0</v>
      </c>
      <c r="D43" s="127">
        <f>+C43+'7'!D43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+Report1!T16</f>
        <v>133.09800000000001</v>
      </c>
      <c r="J43" s="142">
        <f>+I43+'7'!J43</f>
        <v>1058.905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+C44+'7'!D44</f>
        <v>135</v>
      </c>
      <c r="E44" s="152">
        <f t="shared" si="0"/>
        <v>2.25</v>
      </c>
      <c r="F44" s="337"/>
      <c r="G44" s="338"/>
      <c r="H44" s="197" t="s">
        <v>74</v>
      </c>
      <c r="I44" s="127">
        <f>I43/I38</f>
        <v>2.135513268940731</v>
      </c>
      <c r="J44" s="143">
        <f>J43/J38</f>
        <v>2.1819775971778053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+C45+'7'!D45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2.2471762143544551</v>
      </c>
      <c r="J45" s="143">
        <f>J43/J40</f>
        <v>2.2473423164346609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+C46+'7'!D46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+SUMIF(Listrik!AR15,"&gt;0")</f>
        <v>58562.919999997881</v>
      </c>
      <c r="J46" s="144">
        <f>+I46+'7'!J46</f>
        <v>437947.04000000225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+C47+'7'!D47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939.62262940021617</v>
      </c>
      <c r="J47" s="144">
        <f>J46/J38</f>
        <v>902.43282450298852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+C48+'7'!D48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988.75415759168447</v>
      </c>
      <c r="J48" s="144">
        <f>J46/J40</f>
        <v>929.46668053253904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+C49+'7'!D49</f>
        <v>0</v>
      </c>
      <c r="E49" s="152">
        <f t="shared" si="0"/>
        <v>0</v>
      </c>
      <c r="F49" s="194"/>
      <c r="H49" s="197" t="s">
        <v>185</v>
      </c>
      <c r="I49" s="127">
        <v>0</v>
      </c>
      <c r="J49" s="144">
        <f>+I49+'7'!J49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+C50+'7'!D50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+C51+'7'!D51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54</v>
      </c>
      <c r="D52" s="153">
        <f>SUM(D38:D51)</f>
        <v>532</v>
      </c>
      <c r="E52" s="154">
        <f>SUM(E38:E51)</f>
        <v>8.8666666666666671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3.7499999999999999E-2</v>
      </c>
      <c r="D53" s="155">
        <f>D52/(24*60*G4)</f>
        <v>4.6180555555555558E-2</v>
      </c>
      <c r="E53" s="156">
        <f>E52/(G4*24)</f>
        <v>4.6180555555555558E-2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+D34+'7'!J56</f>
        <v>803</v>
      </c>
      <c r="K56" s="210">
        <f>J56/(J40+J56/1000)/1000</f>
        <v>1.7013288586053765E-3</v>
      </c>
    </row>
    <row r="57" spans="1:11">
      <c r="A57" s="185"/>
      <c r="I57" s="208" t="s">
        <v>89</v>
      </c>
      <c r="J57" s="209">
        <f>+E34+'7'!J57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53:B53"/>
    <mergeCell ref="A37:B37"/>
    <mergeCell ref="A48:B48"/>
    <mergeCell ref="A50:B50"/>
    <mergeCell ref="A49:B49"/>
    <mergeCell ref="A52:B52"/>
    <mergeCell ref="A51:B51"/>
    <mergeCell ref="A46:B46"/>
    <mergeCell ref="A47:B47"/>
    <mergeCell ref="A42:B42"/>
    <mergeCell ref="A43:B43"/>
    <mergeCell ref="A45:B45"/>
    <mergeCell ref="A40:B40"/>
    <mergeCell ref="A41:B41"/>
    <mergeCell ref="A44:B44"/>
    <mergeCell ref="A34:B34"/>
    <mergeCell ref="A38:B38"/>
    <mergeCell ref="A39:B39"/>
    <mergeCell ref="A7:A14"/>
    <mergeCell ref="I7:I13"/>
    <mergeCell ref="A15:A23"/>
    <mergeCell ref="I15:I22"/>
    <mergeCell ref="A24:A32"/>
    <mergeCell ref="I24:I31"/>
  </mergeCells>
  <phoneticPr fontId="31" type="noConversion"/>
  <printOptions horizontalCentered="1"/>
  <pageMargins left="0.17" right="0.16" top="0.17" bottom="0.16" header="0" footer="0"/>
  <pageSetup paperSize="9" scale="62" firstPageNumber="4294963191" fitToWidth="8" orientation="landscape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R61"/>
  <sheetViews>
    <sheetView view="pageBreakPreview" zoomScale="80" zoomScaleNormal="75" zoomScaleSheetLayoutView="80" workbookViewId="0">
      <selection activeCell="A7" sqref="A7:A32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7109375" style="158" bestFit="1" customWidth="1"/>
    <col min="5" max="5" width="13.85546875" style="158" bestFit="1" customWidth="1"/>
    <col min="6" max="6" width="12.7109375" style="119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3.28515625" style="158" bestFit="1" customWidth="1"/>
    <col min="12" max="12" width="12" style="158" bestFit="1" customWidth="1"/>
    <col min="13" max="13" width="15.5703125" style="158" bestFit="1" customWidth="1"/>
    <col min="14" max="16384" width="9.140625" style="158"/>
  </cols>
  <sheetData>
    <row r="1" spans="1:18" ht="15.75">
      <c r="A1" s="157"/>
    </row>
    <row r="2" spans="1:18" ht="15.75">
      <c r="A2" s="157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7</v>
      </c>
      <c r="H4" s="163" t="str">
        <f>+'1'!H4</f>
        <v>.06.24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190+230+175</f>
        <v>595</v>
      </c>
    </row>
    <row r="7" spans="1:18" ht="13.5" customHeight="1" thickBot="1">
      <c r="A7" s="1029" t="s">
        <v>535</v>
      </c>
      <c r="B7" s="224" t="s">
        <v>556</v>
      </c>
      <c r="C7" s="225">
        <f>723+10415</f>
        <v>11138</v>
      </c>
      <c r="D7" s="226"/>
      <c r="E7" s="227"/>
      <c r="F7" s="236">
        <v>10</v>
      </c>
      <c r="G7" s="237" t="s">
        <v>11</v>
      </c>
      <c r="H7" s="238" t="s">
        <v>555</v>
      </c>
      <c r="I7" s="1032" t="s">
        <v>553</v>
      </c>
      <c r="J7" s="223" t="str">
        <f>+'6'!J7</f>
        <v>T 14 VP OW</v>
      </c>
      <c r="K7" s="246"/>
      <c r="L7" s="250"/>
      <c r="M7" s="126">
        <f>+K7+'6'!M7+L7</f>
        <v>62499</v>
      </c>
    </row>
    <row r="8" spans="1:18" ht="13.5" thickBot="1">
      <c r="A8" s="1030"/>
      <c r="B8" s="224" t="s">
        <v>557</v>
      </c>
      <c r="C8" s="225">
        <f>3422+288</f>
        <v>3710</v>
      </c>
      <c r="D8" s="226"/>
      <c r="E8" s="228"/>
      <c r="F8" s="239">
        <v>2</v>
      </c>
      <c r="G8" s="240" t="s">
        <v>11</v>
      </c>
      <c r="H8" s="238" t="s">
        <v>484</v>
      </c>
      <c r="I8" s="1033"/>
      <c r="J8" s="223" t="str">
        <f>+'6'!J8</f>
        <v>T 15 VP OW</v>
      </c>
      <c r="K8" s="247"/>
      <c r="L8" s="247"/>
      <c r="M8" s="126">
        <f>+K8+'6'!M8+L8</f>
        <v>37584</v>
      </c>
      <c r="N8" s="158">
        <v>1680</v>
      </c>
      <c r="O8" s="158">
        <f>+N8-N8*0.24</f>
        <v>1276.8</v>
      </c>
      <c r="P8" s="158">
        <f>180+46</f>
        <v>226</v>
      </c>
      <c r="Q8" s="158">
        <f>+N8*P8</f>
        <v>379680</v>
      </c>
      <c r="R8" s="158">
        <f>+O8*P8</f>
        <v>288556.79999999999</v>
      </c>
    </row>
    <row r="9" spans="1:18" ht="13.5" thickBot="1">
      <c r="A9" s="1030"/>
      <c r="B9" s="224" t="s">
        <v>544</v>
      </c>
      <c r="C9" s="225">
        <f>1420+1709+245</f>
        <v>3374</v>
      </c>
      <c r="D9" s="226">
        <v>38</v>
      </c>
      <c r="E9" s="229"/>
      <c r="F9" s="236">
        <v>10</v>
      </c>
      <c r="G9" s="240" t="s">
        <v>11</v>
      </c>
      <c r="H9" s="614" t="s">
        <v>451</v>
      </c>
      <c r="I9" s="1033"/>
      <c r="J9" s="223" t="str">
        <f>+'6'!J9</f>
        <v>T 12,5 VP OW</v>
      </c>
      <c r="K9" s="247"/>
      <c r="L9" s="247"/>
      <c r="M9" s="126">
        <f>+K9+'6'!M9+L9</f>
        <v>148332</v>
      </c>
      <c r="N9" s="158">
        <v>1700</v>
      </c>
      <c r="O9" s="158">
        <f>+N9-N9*0.24</f>
        <v>1292</v>
      </c>
      <c r="P9" s="158">
        <v>254</v>
      </c>
      <c r="Q9" s="158">
        <f>+N9*P9</f>
        <v>431800</v>
      </c>
      <c r="R9" s="158">
        <f>+O9*P9</f>
        <v>328168</v>
      </c>
    </row>
    <row r="10" spans="1:18" ht="13.5" thickBot="1">
      <c r="A10" s="1030"/>
      <c r="B10" s="224"/>
      <c r="C10" s="225"/>
      <c r="D10" s="226"/>
      <c r="E10" s="228"/>
      <c r="F10" s="236"/>
      <c r="G10" s="240"/>
      <c r="H10" s="614" t="s">
        <v>550</v>
      </c>
      <c r="I10" s="1033"/>
      <c r="J10" s="223" t="str">
        <f>+'6'!J10</f>
        <v>T 12 VP OW</v>
      </c>
      <c r="K10" s="247"/>
      <c r="L10" s="247"/>
      <c r="M10" s="126">
        <f>+K10+'6'!M10+L10</f>
        <v>25679</v>
      </c>
      <c r="P10" s="158">
        <f>SUM(P8:P9)</f>
        <v>480</v>
      </c>
      <c r="Q10" s="158">
        <f>SUM(Q8:Q9)</f>
        <v>811480</v>
      </c>
      <c r="R10" s="158">
        <f>SUM(R8:R9)</f>
        <v>616724.80000000005</v>
      </c>
    </row>
    <row r="11" spans="1:18" ht="13.5" thickBot="1">
      <c r="A11" s="1030"/>
      <c r="B11" s="224"/>
      <c r="C11" s="225"/>
      <c r="D11" s="226"/>
      <c r="E11" s="228"/>
      <c r="F11" s="236"/>
      <c r="G11" s="240"/>
      <c r="H11" s="241" t="s">
        <v>551</v>
      </c>
      <c r="I11" s="1033"/>
      <c r="J11" s="223" t="str">
        <f>+'6'!J11</f>
        <v>F 12 VP OW</v>
      </c>
      <c r="K11" s="247"/>
      <c r="L11" s="247"/>
      <c r="M11" s="126">
        <f>+K11+'6'!M11+L11</f>
        <v>30353</v>
      </c>
      <c r="Q11" s="158">
        <f>+Q10/P10</f>
        <v>1690.5833333333333</v>
      </c>
      <c r="R11" s="158">
        <f>+R10/P10</f>
        <v>1284.8433333333335</v>
      </c>
    </row>
    <row r="12" spans="1:18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 t="str">
        <f>+'6'!J12</f>
        <v>F 13 VP OW</v>
      </c>
      <c r="K12" s="247">
        <f>+C9</f>
        <v>3374</v>
      </c>
      <c r="L12" s="247"/>
      <c r="M12" s="126">
        <f>+K12+'6'!M12+L12</f>
        <v>50469</v>
      </c>
    </row>
    <row r="13" spans="1:18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 t="s">
        <v>556</v>
      </c>
      <c r="K13" s="247">
        <f>+C7</f>
        <v>11138</v>
      </c>
      <c r="L13" s="247"/>
      <c r="M13" s="126">
        <f>+K13+'6'!M13+L13</f>
        <v>11138</v>
      </c>
    </row>
    <row r="14" spans="1:18" ht="13.5" thickBot="1">
      <c r="A14" s="1031"/>
      <c r="B14" s="174" t="s">
        <v>2</v>
      </c>
      <c r="C14" s="108">
        <f>SUM(C7:C13)</f>
        <v>18222</v>
      </c>
      <c r="D14" s="120">
        <f>SUM(D7:D13)</f>
        <v>38</v>
      </c>
      <c r="E14" s="121">
        <f>SUM(E5:E13)</f>
        <v>0</v>
      </c>
      <c r="F14" s="125">
        <f>SUM(F7:F13)</f>
        <v>22</v>
      </c>
      <c r="G14" s="168"/>
      <c r="H14" s="175"/>
      <c r="I14" s="176"/>
      <c r="J14" s="223" t="s">
        <v>557</v>
      </c>
      <c r="K14" s="247">
        <f>+C8+C16+C25</f>
        <v>45898</v>
      </c>
      <c r="L14" s="247"/>
      <c r="M14" s="126">
        <f>+K14+'6'!M14+L14</f>
        <v>45898</v>
      </c>
    </row>
    <row r="15" spans="1:18" ht="13.5" customHeight="1" thickBot="1">
      <c r="A15" s="1035" t="s">
        <v>435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477</v>
      </c>
      <c r="J15" s="223">
        <f>+'6'!J15</f>
        <v>0</v>
      </c>
      <c r="K15" s="247"/>
      <c r="L15" s="247"/>
      <c r="M15" s="126">
        <f>+K15+'6'!M15+L15</f>
        <v>0</v>
      </c>
    </row>
    <row r="16" spans="1:18" ht="13.5" thickBot="1">
      <c r="A16" s="1030"/>
      <c r="B16" s="224" t="s">
        <v>557</v>
      </c>
      <c r="C16" s="230">
        <v>21394</v>
      </c>
      <c r="D16" s="231"/>
      <c r="E16" s="232"/>
      <c r="F16" s="236">
        <v>5</v>
      </c>
      <c r="G16" s="240" t="s">
        <v>11</v>
      </c>
      <c r="H16" s="238" t="s">
        <v>488</v>
      </c>
      <c r="I16" s="1033"/>
      <c r="J16" s="223">
        <f>+'6'!J16</f>
        <v>0</v>
      </c>
      <c r="K16" s="237"/>
      <c r="L16" s="237"/>
      <c r="M16" s="126">
        <f>+K16+'6'!M16+L16</f>
        <v>0</v>
      </c>
    </row>
    <row r="17" spans="1:14" ht="13.5" thickBot="1">
      <c r="A17" s="1030"/>
      <c r="B17" s="224"/>
      <c r="C17" s="225"/>
      <c r="D17" s="226"/>
      <c r="E17" s="233"/>
      <c r="F17" s="236">
        <v>10</v>
      </c>
      <c r="G17" s="240" t="s">
        <v>11</v>
      </c>
      <c r="H17" s="614" t="s">
        <v>451</v>
      </c>
      <c r="I17" s="1033"/>
      <c r="J17" s="223">
        <f>+'6'!J17</f>
        <v>0</v>
      </c>
      <c r="K17" s="237"/>
      <c r="L17" s="237"/>
      <c r="M17" s="126">
        <f>+K17+'6'!M17+L17</f>
        <v>0</v>
      </c>
    </row>
    <row r="18" spans="1:14" ht="13.5" thickBot="1">
      <c r="A18" s="1030"/>
      <c r="B18" s="224"/>
      <c r="C18" s="225"/>
      <c r="D18" s="226"/>
      <c r="E18" s="233"/>
      <c r="F18" s="236"/>
      <c r="G18" s="240"/>
      <c r="H18" s="614" t="s">
        <v>552</v>
      </c>
      <c r="I18" s="1033"/>
      <c r="J18" s="223">
        <f>+'6'!J18</f>
        <v>0</v>
      </c>
      <c r="K18" s="247"/>
      <c r="L18" s="247"/>
      <c r="M18" s="126">
        <f>+K18+'6'!M18+L18</f>
        <v>0</v>
      </c>
    </row>
    <row r="19" spans="1:14" ht="13.5" thickBot="1">
      <c r="A19" s="1030"/>
      <c r="B19" s="224"/>
      <c r="C19" s="225"/>
      <c r="D19" s="226"/>
      <c r="E19" s="233"/>
      <c r="F19" s="243"/>
      <c r="G19" s="240"/>
      <c r="H19" s="241"/>
      <c r="I19" s="1033"/>
      <c r="J19" s="223">
        <f>+'6'!J19</f>
        <v>0</v>
      </c>
      <c r="K19" s="247"/>
      <c r="L19" s="247"/>
      <c r="M19" s="126">
        <f>+K19+'6'!M19+L19</f>
        <v>0</v>
      </c>
    </row>
    <row r="20" spans="1:14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+'6'!J20</f>
        <v>0</v>
      </c>
      <c r="K20" s="248"/>
      <c r="L20" s="248"/>
      <c r="M20" s="126">
        <f>+K20+'6'!M20+L20</f>
        <v>0</v>
      </c>
    </row>
    <row r="21" spans="1:14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+'6'!J21</f>
        <v>0</v>
      </c>
      <c r="K21" s="247"/>
      <c r="L21" s="247"/>
      <c r="M21" s="126">
        <f>+K21+'6'!M21+L21</f>
        <v>0</v>
      </c>
    </row>
    <row r="22" spans="1:14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+'6'!J22</f>
        <v>0</v>
      </c>
      <c r="K22" s="247"/>
      <c r="L22" s="247"/>
      <c r="M22" s="126">
        <f>+K22+'6'!M22+L22</f>
        <v>0</v>
      </c>
    </row>
    <row r="23" spans="1:14" ht="13.5" thickBot="1">
      <c r="A23" s="1031"/>
      <c r="B23" s="177" t="s">
        <v>2</v>
      </c>
      <c r="C23" s="109">
        <f>SUM(C16:C22)</f>
        <v>21394</v>
      </c>
      <c r="D23" s="120">
        <f>SUM(D16:D22)</f>
        <v>0</v>
      </c>
      <c r="E23" s="121">
        <f>SUM(E18:E22)</f>
        <v>0</v>
      </c>
      <c r="F23" s="125">
        <f>SUM(F15:F22)</f>
        <v>15</v>
      </c>
      <c r="G23" s="168"/>
      <c r="H23" s="175" t="s">
        <v>234</v>
      </c>
      <c r="I23" s="178"/>
      <c r="J23" s="223">
        <f>+'6'!J23</f>
        <v>0</v>
      </c>
      <c r="K23" s="247"/>
      <c r="L23" s="247"/>
      <c r="M23" s="126">
        <f>+K23+'6'!M23+L23</f>
        <v>0</v>
      </c>
    </row>
    <row r="24" spans="1:14" ht="13.5" customHeight="1" thickBot="1">
      <c r="A24" s="1035" t="s">
        <v>468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477</v>
      </c>
      <c r="J24" s="223">
        <f>+'6'!J24</f>
        <v>0</v>
      </c>
      <c r="K24" s="247"/>
      <c r="L24" s="247"/>
      <c r="M24" s="126">
        <f>+K24+'6'!M24+L24</f>
        <v>0</v>
      </c>
    </row>
    <row r="25" spans="1:14" ht="13.5" thickBot="1">
      <c r="A25" s="1030"/>
      <c r="B25" s="224" t="s">
        <v>557</v>
      </c>
      <c r="C25" s="234">
        <v>20794</v>
      </c>
      <c r="D25" s="226"/>
      <c r="E25" s="233"/>
      <c r="F25" s="239">
        <v>4</v>
      </c>
      <c r="G25" s="240" t="s">
        <v>11</v>
      </c>
      <c r="H25" s="238" t="s">
        <v>484</v>
      </c>
      <c r="I25" s="1033"/>
      <c r="J25" s="223">
        <f>+'6'!J25</f>
        <v>0</v>
      </c>
      <c r="K25" s="247"/>
      <c r="L25" s="247"/>
      <c r="M25" s="126">
        <f>+K25+'6'!M25+L25</f>
        <v>0</v>
      </c>
    </row>
    <row r="26" spans="1:14" ht="13.5" thickBot="1">
      <c r="A26" s="1030"/>
      <c r="B26" s="224"/>
      <c r="C26" s="234"/>
      <c r="D26" s="226"/>
      <c r="E26" s="235"/>
      <c r="F26" s="239">
        <v>10</v>
      </c>
      <c r="G26" s="240" t="s">
        <v>11</v>
      </c>
      <c r="H26" s="614" t="s">
        <v>483</v>
      </c>
      <c r="I26" s="1033"/>
      <c r="J26" s="223">
        <f>+'6'!J26</f>
        <v>0</v>
      </c>
      <c r="K26" s="247"/>
      <c r="L26" s="247"/>
      <c r="M26" s="126">
        <f>+K26+'6'!M26+L26</f>
        <v>0</v>
      </c>
    </row>
    <row r="27" spans="1:14" ht="13.5" thickBot="1">
      <c r="A27" s="1030"/>
      <c r="B27" s="224"/>
      <c r="C27" s="225"/>
      <c r="D27" s="226"/>
      <c r="E27" s="233"/>
      <c r="F27" s="239"/>
      <c r="G27" s="240"/>
      <c r="H27" s="614" t="s">
        <v>552</v>
      </c>
      <c r="I27" s="1033"/>
      <c r="J27" s="223">
        <f>+'6'!J27</f>
        <v>0</v>
      </c>
      <c r="K27" s="247"/>
      <c r="L27" s="247"/>
      <c r="M27" s="126">
        <f>+K27+'6'!M27+L27</f>
        <v>0</v>
      </c>
    </row>
    <row r="28" spans="1:14" ht="13.5" thickBot="1">
      <c r="A28" s="1030"/>
      <c r="B28" s="224"/>
      <c r="C28" s="225"/>
      <c r="D28" s="226"/>
      <c r="E28" s="233"/>
      <c r="F28" s="239"/>
      <c r="G28" s="240"/>
      <c r="H28" s="241"/>
      <c r="I28" s="1033"/>
      <c r="J28" s="223">
        <f>+'6'!J28</f>
        <v>0</v>
      </c>
      <c r="K28" s="247"/>
      <c r="L28" s="247"/>
      <c r="M28" s="126">
        <f>+K28+'6'!M28+L28</f>
        <v>0</v>
      </c>
    </row>
    <row r="29" spans="1:14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+'6'!J29</f>
        <v>0</v>
      </c>
      <c r="K29" s="247"/>
      <c r="L29" s="247"/>
      <c r="M29" s="126">
        <f>+K29+'6'!M29+L29</f>
        <v>0</v>
      </c>
    </row>
    <row r="30" spans="1:14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+'6'!J30</f>
        <v>0</v>
      </c>
      <c r="K30" s="247"/>
      <c r="L30" s="247"/>
      <c r="M30" s="126">
        <f>+K30+'6'!M30+L30</f>
        <v>0</v>
      </c>
      <c r="N30" s="164"/>
    </row>
    <row r="31" spans="1:14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23">
        <f>+'6'!J31</f>
        <v>0</v>
      </c>
      <c r="K31" s="247"/>
      <c r="L31" s="247"/>
      <c r="M31" s="126">
        <f>+K31+'6'!M31+L31</f>
        <v>0</v>
      </c>
    </row>
    <row r="32" spans="1:14" ht="13.5" thickBot="1">
      <c r="A32" s="1031"/>
      <c r="B32" s="174" t="s">
        <v>2</v>
      </c>
      <c r="C32" s="108">
        <f>SUM(C25:C31)</f>
        <v>20794</v>
      </c>
      <c r="D32" s="109">
        <f>SUM(D25:D31)</f>
        <v>0</v>
      </c>
      <c r="E32" s="110">
        <f>SUM(E25:E31)</f>
        <v>0</v>
      </c>
      <c r="F32" s="111">
        <f>SUM(F24:F31)</f>
        <v>14</v>
      </c>
      <c r="G32" s="180"/>
      <c r="H32" s="181"/>
      <c r="I32" s="178"/>
      <c r="J32" s="223">
        <f>+'6'!J32</f>
        <v>0</v>
      </c>
      <c r="K32" s="249"/>
      <c r="L32" s="251"/>
      <c r="M32" s="126">
        <f>+K32+'6'!M32+L32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60410</v>
      </c>
      <c r="D34" s="116">
        <f>D14+D23+D32</f>
        <v>38</v>
      </c>
      <c r="E34" s="116">
        <f>E14+E23+E32</f>
        <v>0</v>
      </c>
      <c r="F34" s="117">
        <f>F14+F23+F32</f>
        <v>51</v>
      </c>
      <c r="H34" s="187"/>
      <c r="I34" s="187"/>
      <c r="J34" s="132" t="s">
        <v>27</v>
      </c>
      <c r="K34" s="133">
        <f>SUM(K7:K32)</f>
        <v>60410</v>
      </c>
      <c r="L34" s="221">
        <f>SUM(L7:L32)</f>
        <v>0</v>
      </c>
      <c r="M34" s="129">
        <f>SUM(M7:M32)</f>
        <v>411952</v>
      </c>
      <c r="N34" s="164"/>
    </row>
    <row r="35" spans="1:14" ht="13.5" thickBot="1">
      <c r="A35" s="188"/>
      <c r="B35" s="189"/>
      <c r="C35" s="113">
        <f>C34/($C$34+$D$34+$E$34)</f>
        <v>0.99937136050820541</v>
      </c>
      <c r="D35" s="113">
        <f>D34/($C$34+$D$34+$E$34)</f>
        <v>6.2863949179460033E-4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(13.5*226+12.5*1214)/1440*G42*2.77*1440/1000000</f>
        <v>65.107500634511112</v>
      </c>
      <c r="J37" s="134">
        <f>+I37+'6'!J37</f>
        <v>441.66834924952872</v>
      </c>
      <c r="K37" s="135" t="s">
        <v>63</v>
      </c>
      <c r="N37" s="158">
        <f>2.369+2.187+2.296+2.296+2.296</f>
        <v>11.443999999999999</v>
      </c>
    </row>
    <row r="38" spans="1:14" ht="17.45" customHeight="1">
      <c r="A38" s="1027" t="s">
        <v>11</v>
      </c>
      <c r="B38" s="1028"/>
      <c r="C38" s="173">
        <f>SUMIF($G$7:$G$31,"Process",$F$7:$F$31)</f>
        <v>51</v>
      </c>
      <c r="D38" s="127">
        <f>+C38+'6'!D38</f>
        <v>343</v>
      </c>
      <c r="E38" s="152">
        <f t="shared" ref="E38:E51" si="0">D38/60</f>
        <v>5.7166666666666668</v>
      </c>
      <c r="F38" s="337">
        <v>1690.5833333333333</v>
      </c>
      <c r="G38" s="337">
        <v>1284.8433333333335</v>
      </c>
      <c r="H38" s="196" t="s">
        <v>64</v>
      </c>
      <c r="I38" s="548">
        <f>19.604+22.797+19.176</f>
        <v>61.576999999999998</v>
      </c>
      <c r="J38" s="136">
        <f>+I38+'6'!J38</f>
        <v>422.96999999999991</v>
      </c>
      <c r="K38" s="137" t="s">
        <v>63</v>
      </c>
      <c r="N38" s="556">
        <f>+I38-N37</f>
        <v>50.132999999999996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+C39+'6'!D39</f>
        <v>0</v>
      </c>
      <c r="E39" s="152">
        <f t="shared" si="0"/>
        <v>0</v>
      </c>
      <c r="F39" s="337">
        <v>1700</v>
      </c>
      <c r="G39" s="337">
        <f>+F39-F39*0.24</f>
        <v>1292</v>
      </c>
      <c r="H39" s="196" t="s">
        <v>65</v>
      </c>
      <c r="I39" s="151"/>
      <c r="J39" s="138">
        <f>J37/G4</f>
        <v>63.095478464218388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+C40+'6'!D40</f>
        <v>0</v>
      </c>
      <c r="E40" s="152">
        <f t="shared" si="0"/>
        <v>0</v>
      </c>
      <c r="F40" s="337">
        <v>1700</v>
      </c>
      <c r="G40" s="337">
        <f>+F40-F40*0.24</f>
        <v>1292</v>
      </c>
      <c r="H40" s="196" t="s">
        <v>67</v>
      </c>
      <c r="I40" s="127">
        <f>(K34+L34)/1000</f>
        <v>60.41</v>
      </c>
      <c r="J40" s="140">
        <f>+I40+'6'!J40</f>
        <v>411.952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+C41+'6'!D41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58.850285714285711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+C42+'6'!D42</f>
        <v>0</v>
      </c>
      <c r="E42" s="152">
        <f t="shared" si="0"/>
        <v>0</v>
      </c>
      <c r="F42" s="337">
        <f>+(F38*480+F39*480+F40*480)/1440</f>
        <v>1696.8611111111111</v>
      </c>
      <c r="G42" s="337">
        <f>+(G38*480+G39*480+G40*480)/1440</f>
        <v>1289.6144444444444</v>
      </c>
      <c r="H42" s="196" t="s">
        <v>70</v>
      </c>
      <c r="I42" s="254" t="s">
        <v>554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+C43+'6'!D43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+Report1!T15</f>
        <v>131.434</v>
      </c>
      <c r="J43" s="142">
        <f>+I43+'6'!J43</f>
        <v>925.8069999999999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+C44+'6'!D44</f>
        <v>135</v>
      </c>
      <c r="E44" s="152">
        <f t="shared" si="0"/>
        <v>2.25</v>
      </c>
      <c r="F44" s="337"/>
      <c r="G44" s="338"/>
      <c r="H44" s="197" t="s">
        <v>74</v>
      </c>
      <c r="I44" s="127">
        <f>I43/I38</f>
        <v>2.1344657907985125</v>
      </c>
      <c r="J44" s="143">
        <f>J43/J38</f>
        <v>2.1888242664964421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+C45+'6'!D45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2.1756993875186228</v>
      </c>
      <c r="J45" s="143">
        <f>J43/J40</f>
        <v>2.2473661980036508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+C46+'6'!D46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+SUMIF(Listrik!AR14,"&gt;0")</f>
        <v>54932.300000003022</v>
      </c>
      <c r="J46" s="144">
        <f>+I46+'6'!J46</f>
        <v>379384.12000000436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+C47+'6'!D47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892.09120288424288</v>
      </c>
      <c r="J47" s="144">
        <f>J46/J38</f>
        <v>896.95278624962634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+C48+'6'!D48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909.32461512999544</v>
      </c>
      <c r="J48" s="144">
        <f>J46/J40</f>
        <v>920.94253699461194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+C49+'6'!D49</f>
        <v>0</v>
      </c>
      <c r="E49" s="152">
        <f t="shared" si="0"/>
        <v>0</v>
      </c>
      <c r="F49" s="194"/>
      <c r="H49" s="197" t="s">
        <v>185</v>
      </c>
      <c r="I49" s="127">
        <v>0</v>
      </c>
      <c r="J49" s="144">
        <f>+I49+'6'!J49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+C50+'6'!D50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+C51+'6'!D51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51</v>
      </c>
      <c r="D52" s="153">
        <f>SUM(D38:D51)</f>
        <v>478</v>
      </c>
      <c r="E52" s="154">
        <f>SUM(E38:E51)</f>
        <v>7.9666666666666668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3.5416666666666666E-2</v>
      </c>
      <c r="D53" s="155">
        <f>D52/(24*60*G4)</f>
        <v>4.7420634920634919E-2</v>
      </c>
      <c r="E53" s="156">
        <f>E52/(G4*24)</f>
        <v>4.7420634920634919E-2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+D34+'6'!J56</f>
        <v>803</v>
      </c>
      <c r="K56" s="210">
        <f>J56/(J40+J56/1000)/1000</f>
        <v>1.9454640161839347E-3</v>
      </c>
    </row>
    <row r="57" spans="1:11">
      <c r="A57" s="185"/>
      <c r="I57" s="208" t="s">
        <v>89</v>
      </c>
      <c r="J57" s="209">
        <f>+E34+'6'!J57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9513888888888889" right="0.19513888888888889" top="0.17" bottom="0.16" header="0" footer="0"/>
  <pageSetup paperSize="9" scale="62" firstPageNumber="4294963191" fitToWidth="14" orientation="landscape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61"/>
  <sheetViews>
    <sheetView view="pageBreakPreview" zoomScale="80" zoomScaleNormal="75" zoomScaleSheetLayoutView="80" workbookViewId="0">
      <selection activeCell="A7" sqref="A7:A32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85546875" style="158" bestFit="1" customWidth="1"/>
    <col min="12" max="12" width="8.28515625" style="158" customWidth="1"/>
    <col min="13" max="13" width="14.5703125" style="158" bestFit="1" customWidth="1"/>
    <col min="14" max="16384" width="9.140625" style="158"/>
  </cols>
  <sheetData>
    <row r="1" spans="1:18" ht="15.75">
      <c r="A1" s="157"/>
    </row>
    <row r="2" spans="1:18" ht="15.75">
      <c r="A2" s="157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6</v>
      </c>
      <c r="H4" s="163" t="str">
        <f>+'1'!H4</f>
        <v>.06.24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230+205+170</f>
        <v>605</v>
      </c>
    </row>
    <row r="7" spans="1:18" ht="13.5" customHeight="1" thickBot="1">
      <c r="A7" s="1029" t="s">
        <v>535</v>
      </c>
      <c r="B7" s="224" t="s">
        <v>524</v>
      </c>
      <c r="C7" s="225">
        <f>5517+6380</f>
        <v>11897</v>
      </c>
      <c r="D7" s="226"/>
      <c r="E7" s="227"/>
      <c r="F7" s="236"/>
      <c r="G7" s="237" t="s">
        <v>11</v>
      </c>
      <c r="H7" s="238" t="s">
        <v>277</v>
      </c>
      <c r="I7" s="1032" t="s">
        <v>541</v>
      </c>
      <c r="J7" s="223" t="str">
        <f>+'5'!J7</f>
        <v>T 14 VP OW</v>
      </c>
      <c r="K7" s="246"/>
      <c r="L7" s="250"/>
      <c r="M7" s="126">
        <f>+K7+'5'!M7+L7</f>
        <v>62499</v>
      </c>
    </row>
    <row r="8" spans="1:18" ht="13.5" thickBot="1">
      <c r="A8" s="1030"/>
      <c r="B8" s="224" t="s">
        <v>544</v>
      </c>
      <c r="C8" s="225">
        <f>2344+2808+343</f>
        <v>5495</v>
      </c>
      <c r="D8" s="226"/>
      <c r="E8" s="228"/>
      <c r="F8" s="239">
        <v>5</v>
      </c>
      <c r="G8" s="240" t="s">
        <v>11</v>
      </c>
      <c r="H8" s="238" t="s">
        <v>454</v>
      </c>
      <c r="I8" s="1033"/>
      <c r="J8" s="223" t="str">
        <f>+'5'!J8</f>
        <v>T 15 VP OW</v>
      </c>
      <c r="K8" s="247"/>
      <c r="L8" s="247"/>
      <c r="M8" s="126">
        <f>+K8+'5'!M8+L8</f>
        <v>37584</v>
      </c>
    </row>
    <row r="9" spans="1:18" ht="13.5" thickBot="1">
      <c r="A9" s="1030"/>
      <c r="B9" s="224"/>
      <c r="C9" s="225"/>
      <c r="D9" s="226"/>
      <c r="E9" s="229"/>
      <c r="F9" s="236">
        <v>10</v>
      </c>
      <c r="G9" s="240" t="s">
        <v>11</v>
      </c>
      <c r="H9" s="614" t="s">
        <v>483</v>
      </c>
      <c r="I9" s="1033"/>
      <c r="J9" s="223" t="str">
        <f>+'5'!J9</f>
        <v>T 12,5 VP OW</v>
      </c>
      <c r="K9" s="247"/>
      <c r="L9" s="247"/>
      <c r="M9" s="126">
        <f>+K9+'5'!M9+L9</f>
        <v>148332</v>
      </c>
      <c r="N9" s="158">
        <v>1550</v>
      </c>
      <c r="O9" s="158">
        <f>+N9-N9*0.24</f>
        <v>1178</v>
      </c>
      <c r="P9" s="158">
        <f>180+28</f>
        <v>208</v>
      </c>
      <c r="Q9" s="158">
        <f>+N9*P9</f>
        <v>322400</v>
      </c>
      <c r="R9" s="158">
        <f>+O9*P9</f>
        <v>245024</v>
      </c>
    </row>
    <row r="10" spans="1:18" ht="13.5" thickBot="1">
      <c r="A10" s="1030"/>
      <c r="B10" s="224"/>
      <c r="C10" s="225"/>
      <c r="D10" s="226"/>
      <c r="E10" s="228"/>
      <c r="F10" s="236"/>
      <c r="G10" s="240"/>
      <c r="H10" s="614" t="s">
        <v>536</v>
      </c>
      <c r="I10" s="1033"/>
      <c r="J10" s="223" t="str">
        <f>+'5'!J10</f>
        <v>T 12 VP OW</v>
      </c>
      <c r="K10" s="247"/>
      <c r="L10" s="247"/>
      <c r="M10" s="126">
        <f>+K10+'5'!M10+L10</f>
        <v>25679</v>
      </c>
      <c r="N10" s="158">
        <v>1630</v>
      </c>
      <c r="O10" s="158">
        <f>+N10-N10*0.24</f>
        <v>1238.8</v>
      </c>
      <c r="P10" s="158">
        <v>272</v>
      </c>
      <c r="Q10" s="158">
        <f>+N10*P10</f>
        <v>443360</v>
      </c>
      <c r="R10" s="158">
        <f>+O10*P10</f>
        <v>336953.59999999998</v>
      </c>
    </row>
    <row r="11" spans="1:18" ht="13.5" thickBot="1">
      <c r="A11" s="1030"/>
      <c r="B11" s="224"/>
      <c r="C11" s="225"/>
      <c r="D11" s="226"/>
      <c r="E11" s="228"/>
      <c r="F11" s="236"/>
      <c r="G11" s="240"/>
      <c r="H11" s="241" t="s">
        <v>537</v>
      </c>
      <c r="I11" s="1033"/>
      <c r="J11" s="223" t="str">
        <f>+'5'!J11</f>
        <v>F 12 VP OW</v>
      </c>
      <c r="K11" s="247">
        <f>+C7</f>
        <v>11897</v>
      </c>
      <c r="L11" s="247"/>
      <c r="M11" s="126">
        <f>+K11+'5'!M11+L11</f>
        <v>30353</v>
      </c>
      <c r="P11" s="158">
        <f>SUM(P9:P10)</f>
        <v>480</v>
      </c>
      <c r="Q11" s="158">
        <f>SUM(Q9:Q10)</f>
        <v>765760</v>
      </c>
      <c r="R11" s="158">
        <f>SUM(R9:R10)</f>
        <v>581977.59999999998</v>
      </c>
    </row>
    <row r="12" spans="1:18" ht="13.5" thickBot="1">
      <c r="A12" s="1030"/>
      <c r="B12" s="224"/>
      <c r="C12" s="225"/>
      <c r="D12" s="226"/>
      <c r="E12" s="228"/>
      <c r="F12" s="236"/>
      <c r="G12" s="240"/>
      <c r="H12" s="241" t="s">
        <v>538</v>
      </c>
      <c r="I12" s="1033"/>
      <c r="J12" s="223" t="s">
        <v>544</v>
      </c>
      <c r="K12" s="247">
        <f>+C8+C16+C25</f>
        <v>47095</v>
      </c>
      <c r="L12" s="247"/>
      <c r="M12" s="126">
        <f>+K12+'5'!M12+L12</f>
        <v>47095</v>
      </c>
      <c r="Q12" s="158">
        <f>+Q11/P11</f>
        <v>1595.3333333333333</v>
      </c>
      <c r="R12" s="158">
        <f>+R11/P11</f>
        <v>1212.4533333333334</v>
      </c>
    </row>
    <row r="13" spans="1:18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>
        <f>+'5'!J13</f>
        <v>0</v>
      </c>
      <c r="K13" s="247"/>
      <c r="L13" s="247"/>
      <c r="M13" s="126">
        <f>+K13+'5'!M13+L13</f>
        <v>0</v>
      </c>
    </row>
    <row r="14" spans="1:18" ht="13.5" thickBot="1">
      <c r="A14" s="1031"/>
      <c r="B14" s="174" t="s">
        <v>2</v>
      </c>
      <c r="C14" s="108">
        <f>SUM(C7:C13)</f>
        <v>17392</v>
      </c>
      <c r="D14" s="120">
        <f>SUM(D7:D13)</f>
        <v>0</v>
      </c>
      <c r="E14" s="121">
        <f>SUM(E5:E13)</f>
        <v>0</v>
      </c>
      <c r="F14" s="125">
        <f>SUM(F7:F13)</f>
        <v>15</v>
      </c>
      <c r="G14" s="168"/>
      <c r="H14" s="175"/>
      <c r="I14" s="176"/>
      <c r="J14" s="223">
        <f>+'5'!J14</f>
        <v>0</v>
      </c>
      <c r="K14" s="247"/>
      <c r="L14" s="247"/>
      <c r="M14" s="126">
        <f>+K14+'5'!M14+L14</f>
        <v>0</v>
      </c>
    </row>
    <row r="15" spans="1:18" ht="13.5" customHeight="1" thickBot="1">
      <c r="A15" s="1035" t="s">
        <v>435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542</v>
      </c>
      <c r="J15" s="223">
        <f>+'5'!J15</f>
        <v>0</v>
      </c>
      <c r="K15" s="247"/>
      <c r="L15" s="247"/>
      <c r="M15" s="126">
        <f>+K15+'5'!M15+L15</f>
        <v>0</v>
      </c>
    </row>
    <row r="16" spans="1:18" ht="13.5" thickBot="1">
      <c r="A16" s="1030"/>
      <c r="B16" s="224" t="s">
        <v>544</v>
      </c>
      <c r="C16" s="230">
        <v>19455</v>
      </c>
      <c r="D16" s="231"/>
      <c r="E16" s="232"/>
      <c r="F16" s="236">
        <v>5</v>
      </c>
      <c r="G16" s="240" t="s">
        <v>11</v>
      </c>
      <c r="H16" s="238" t="s">
        <v>488</v>
      </c>
      <c r="I16" s="1033"/>
      <c r="J16" s="223">
        <f>+'5'!J16</f>
        <v>0</v>
      </c>
      <c r="K16" s="247"/>
      <c r="L16" s="237"/>
      <c r="M16" s="126">
        <f>+K16+'5'!M16+L16</f>
        <v>0</v>
      </c>
    </row>
    <row r="17" spans="1:14" ht="13.5" thickBot="1">
      <c r="A17" s="1030"/>
      <c r="B17" s="224"/>
      <c r="C17" s="225"/>
      <c r="D17" s="226"/>
      <c r="E17" s="233"/>
      <c r="F17" s="236">
        <v>8</v>
      </c>
      <c r="G17" s="240" t="s">
        <v>11</v>
      </c>
      <c r="H17" s="614" t="s">
        <v>451</v>
      </c>
      <c r="I17" s="1033"/>
      <c r="J17" s="223">
        <f>+'5'!J17</f>
        <v>0</v>
      </c>
      <c r="K17" s="237"/>
      <c r="L17" s="237"/>
      <c r="M17" s="126">
        <f>+K17+'5'!M17+L17</f>
        <v>0</v>
      </c>
    </row>
    <row r="18" spans="1:14" ht="13.5" thickBot="1">
      <c r="A18" s="1030"/>
      <c r="B18" s="224"/>
      <c r="C18" s="225"/>
      <c r="D18" s="226"/>
      <c r="E18" s="233"/>
      <c r="F18" s="236"/>
      <c r="G18" s="240"/>
      <c r="H18" s="614" t="s">
        <v>539</v>
      </c>
      <c r="I18" s="1033"/>
      <c r="J18" s="223">
        <f>+'5'!J18</f>
        <v>0</v>
      </c>
      <c r="K18" s="247"/>
      <c r="L18" s="247"/>
      <c r="M18" s="126">
        <f>+K18+'5'!M18+L18</f>
        <v>0</v>
      </c>
    </row>
    <row r="19" spans="1:14" ht="13.5" thickBot="1">
      <c r="A19" s="1030"/>
      <c r="B19" s="224"/>
      <c r="C19" s="225"/>
      <c r="D19" s="226"/>
      <c r="E19" s="233"/>
      <c r="F19" s="243"/>
      <c r="G19" s="240"/>
      <c r="H19" s="241" t="s">
        <v>540</v>
      </c>
      <c r="I19" s="1033"/>
      <c r="J19" s="223">
        <f>+'5'!J19</f>
        <v>0</v>
      </c>
      <c r="K19" s="247"/>
      <c r="L19" s="247"/>
      <c r="M19" s="126">
        <f>+K19+'5'!M19+L19</f>
        <v>0</v>
      </c>
    </row>
    <row r="20" spans="1:14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+'5'!J20</f>
        <v>0</v>
      </c>
      <c r="K20" s="248"/>
      <c r="L20" s="248"/>
      <c r="M20" s="126">
        <f>+K20+'5'!M20+L20</f>
        <v>0</v>
      </c>
    </row>
    <row r="21" spans="1:14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+'5'!J21</f>
        <v>0</v>
      </c>
      <c r="K21" s="247"/>
      <c r="L21" s="247"/>
      <c r="M21" s="126">
        <f>+K21+'5'!M21+L21</f>
        <v>0</v>
      </c>
    </row>
    <row r="22" spans="1:14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+'5'!J22</f>
        <v>0</v>
      </c>
      <c r="K22" s="247"/>
      <c r="L22" s="247"/>
      <c r="M22" s="126">
        <f>+K22+'5'!M22+L22</f>
        <v>0</v>
      </c>
    </row>
    <row r="23" spans="1:14" ht="13.5" thickBot="1">
      <c r="A23" s="1031"/>
      <c r="B23" s="177" t="s">
        <v>2</v>
      </c>
      <c r="C23" s="109">
        <f>SUM(C16:C22)</f>
        <v>19455</v>
      </c>
      <c r="D23" s="120">
        <f>SUM(D16:D22)</f>
        <v>0</v>
      </c>
      <c r="E23" s="121">
        <f>SUM(E18:E22)</f>
        <v>0</v>
      </c>
      <c r="F23" s="125">
        <f>SUM(F15:F22)</f>
        <v>13</v>
      </c>
      <c r="G23" s="168"/>
      <c r="H23" s="175" t="s">
        <v>234</v>
      </c>
      <c r="I23" s="178"/>
      <c r="J23" s="223">
        <f>+'5'!J23</f>
        <v>0</v>
      </c>
      <c r="K23" s="247"/>
      <c r="L23" s="247"/>
      <c r="M23" s="126">
        <f>+K23+'5'!M23+L23</f>
        <v>0</v>
      </c>
    </row>
    <row r="24" spans="1:14" ht="13.5" customHeight="1" thickBot="1">
      <c r="A24" s="1035" t="s">
        <v>468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542</v>
      </c>
      <c r="J24" s="223">
        <f>+'5'!J24</f>
        <v>0</v>
      </c>
      <c r="K24" s="247"/>
      <c r="L24" s="247"/>
      <c r="M24" s="126">
        <f>+K24+'5'!M24+L24</f>
        <v>0</v>
      </c>
    </row>
    <row r="25" spans="1:14" ht="13.5" thickBot="1">
      <c r="A25" s="1030"/>
      <c r="B25" s="224" t="s">
        <v>544</v>
      </c>
      <c r="C25" s="234">
        <v>22145</v>
      </c>
      <c r="D25" s="226">
        <v>505</v>
      </c>
      <c r="E25" s="233"/>
      <c r="F25" s="239">
        <v>4</v>
      </c>
      <c r="G25" s="240" t="s">
        <v>11</v>
      </c>
      <c r="H25" s="238" t="s">
        <v>454</v>
      </c>
      <c r="I25" s="1033"/>
      <c r="J25" s="223">
        <f>+'5'!J25</f>
        <v>0</v>
      </c>
      <c r="K25" s="247"/>
      <c r="L25" s="247"/>
      <c r="M25" s="126">
        <f>+K25+'5'!M25+L25</f>
        <v>0</v>
      </c>
    </row>
    <row r="26" spans="1:14" ht="13.5" thickBot="1">
      <c r="A26" s="1030"/>
      <c r="B26" s="224"/>
      <c r="C26" s="234"/>
      <c r="D26" s="226"/>
      <c r="E26" s="235"/>
      <c r="F26" s="239">
        <v>10</v>
      </c>
      <c r="G26" s="240" t="s">
        <v>11</v>
      </c>
      <c r="H26" s="614" t="s">
        <v>483</v>
      </c>
      <c r="I26" s="1033"/>
      <c r="J26" s="223">
        <f>+'5'!J26</f>
        <v>0</v>
      </c>
      <c r="K26" s="247"/>
      <c r="L26" s="247"/>
      <c r="M26" s="126">
        <f>+K26+'5'!M26+L26</f>
        <v>0</v>
      </c>
    </row>
    <row r="27" spans="1:14" ht="13.5" thickBot="1">
      <c r="A27" s="1030"/>
      <c r="B27" s="224"/>
      <c r="C27" s="225"/>
      <c r="D27" s="226"/>
      <c r="E27" s="233"/>
      <c r="F27" s="239"/>
      <c r="G27" s="240"/>
      <c r="H27" s="614" t="s">
        <v>539</v>
      </c>
      <c r="I27" s="1033"/>
      <c r="J27" s="223">
        <f>+'5'!J27</f>
        <v>0</v>
      </c>
      <c r="K27" s="247"/>
      <c r="L27" s="247"/>
      <c r="M27" s="126">
        <f>+K27+'5'!M27+L27</f>
        <v>0</v>
      </c>
    </row>
    <row r="28" spans="1:14" ht="13.5" thickBot="1">
      <c r="A28" s="1030"/>
      <c r="B28" s="224"/>
      <c r="C28" s="225"/>
      <c r="D28" s="226"/>
      <c r="E28" s="233"/>
      <c r="F28" s="239"/>
      <c r="G28" s="240"/>
      <c r="H28" s="241" t="s">
        <v>540</v>
      </c>
      <c r="I28" s="1033"/>
      <c r="J28" s="223">
        <f>+'5'!J28</f>
        <v>0</v>
      </c>
      <c r="K28" s="247"/>
      <c r="L28" s="247"/>
      <c r="M28" s="126">
        <f>+K28+'5'!M28+L28</f>
        <v>0</v>
      </c>
    </row>
    <row r="29" spans="1:14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+'5'!J29</f>
        <v>0</v>
      </c>
      <c r="K29" s="247"/>
      <c r="L29" s="247"/>
      <c r="M29" s="126">
        <f>+K29+'5'!M29+L29</f>
        <v>0</v>
      </c>
    </row>
    <row r="30" spans="1:14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+'5'!J30</f>
        <v>0</v>
      </c>
      <c r="K30" s="247"/>
      <c r="L30" s="247"/>
      <c r="M30" s="126">
        <f>+K30+'5'!M30+L30</f>
        <v>0</v>
      </c>
    </row>
    <row r="31" spans="1:14" ht="13.5" thickBot="1">
      <c r="A31" s="1030"/>
      <c r="B31" s="224"/>
      <c r="C31" s="234"/>
      <c r="D31" s="226"/>
      <c r="E31" s="233"/>
      <c r="F31" s="244"/>
      <c r="G31" s="245"/>
      <c r="H31" s="464"/>
      <c r="I31" s="1034"/>
      <c r="J31" s="223">
        <f>+'5'!J31</f>
        <v>0</v>
      </c>
      <c r="K31" s="247"/>
      <c r="L31" s="247"/>
      <c r="M31" s="126">
        <f>+K31+'5'!M31+L31</f>
        <v>0</v>
      </c>
      <c r="N31" s="164"/>
    </row>
    <row r="32" spans="1:14" ht="13.5" thickBot="1">
      <c r="A32" s="1031"/>
      <c r="B32" s="174" t="s">
        <v>2</v>
      </c>
      <c r="C32" s="108">
        <f>SUM(C25:C31)</f>
        <v>22145</v>
      </c>
      <c r="D32" s="109">
        <f>SUM(D25:D31)</f>
        <v>505</v>
      </c>
      <c r="E32" s="110">
        <f>SUM(E25:E31)</f>
        <v>0</v>
      </c>
      <c r="F32" s="111">
        <f>SUM(F24:F31)</f>
        <v>14</v>
      </c>
      <c r="G32" s="180"/>
      <c r="H32" s="181"/>
      <c r="I32" s="178"/>
      <c r="J32" s="223">
        <f>+'5'!J32</f>
        <v>0</v>
      </c>
      <c r="K32" s="249"/>
      <c r="L32" s="251"/>
      <c r="M32" s="126">
        <f>+K32+'5'!M32+L32</f>
        <v>0</v>
      </c>
    </row>
    <row r="33" spans="1:14" ht="13.5" thickBot="1">
      <c r="A33" s="182"/>
      <c r="B33" s="183"/>
      <c r="C33" s="112">
        <f>C32/($C$32+$D$32+$E$32)</f>
        <v>0.9777041942604856</v>
      </c>
      <c r="D33" s="113">
        <f>D32/($C$32+$D$32+$E$32)</f>
        <v>2.2295805739514347E-2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58992</v>
      </c>
      <c r="D34" s="116">
        <f>D14+D23+D32</f>
        <v>505</v>
      </c>
      <c r="E34" s="116">
        <f>E14+E23+E32</f>
        <v>0</v>
      </c>
      <c r="F34" s="117">
        <f>F14+F23+F32</f>
        <v>42</v>
      </c>
      <c r="H34" s="187"/>
      <c r="I34" s="187"/>
      <c r="J34" s="132" t="s">
        <v>27</v>
      </c>
      <c r="K34" s="133">
        <f>SUM(K7:K32)</f>
        <v>58992</v>
      </c>
      <c r="L34" s="221">
        <f>SUM(L7:L32)</f>
        <v>0</v>
      </c>
      <c r="M34" s="129">
        <f>SUM(M7:M32)</f>
        <v>351542</v>
      </c>
    </row>
    <row r="35" spans="1:14" ht="13.5" thickBot="1">
      <c r="A35" s="188"/>
      <c r="B35" s="189"/>
      <c r="C35" s="113">
        <f>C34/($C$34+$D$34+$E$34)</f>
        <v>0.99151217708455885</v>
      </c>
      <c r="D35" s="113">
        <f>D34/($C$34+$D$34+$E$34)</f>
        <v>8.4878229154411143E-3</v>
      </c>
      <c r="E35" s="118">
        <f>E34/($C$34+$D$34+$E$34)</f>
        <v>0</v>
      </c>
      <c r="K35" s="164"/>
      <c r="N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(12*208+13*1232)/1440*G42*2.77*1440/1000000</f>
        <v>63.073146813155567</v>
      </c>
      <c r="J37" s="134">
        <f>+I37+'5'!J37</f>
        <v>376.56084861501762</v>
      </c>
      <c r="K37" s="135" t="s">
        <v>63</v>
      </c>
      <c r="N37" s="158">
        <f>1.436+1.86+1.86+1.86+1.468</f>
        <v>8.4840000000000018</v>
      </c>
    </row>
    <row r="38" spans="1:14" ht="17.45" customHeight="1">
      <c r="A38" s="1027" t="s">
        <v>11</v>
      </c>
      <c r="B38" s="1028"/>
      <c r="C38" s="173">
        <f>SUMIF($G$7:$G$31,"Process",$F$7:$F$31)</f>
        <v>42</v>
      </c>
      <c r="D38" s="127">
        <f>+C38+'5'!D38</f>
        <v>292</v>
      </c>
      <c r="E38" s="152">
        <f t="shared" ref="E38:E51" si="0">D38/60</f>
        <v>4.8666666666666663</v>
      </c>
      <c r="F38" s="337">
        <v>1595.3333333333333</v>
      </c>
      <c r="G38" s="337">
        <v>1212.4533333333334</v>
      </c>
      <c r="H38" s="196" t="s">
        <v>64</v>
      </c>
      <c r="I38" s="548">
        <f>18.56+20.869+20.803</f>
        <v>60.231999999999999</v>
      </c>
      <c r="J38" s="136">
        <f>+I38+'5'!J38</f>
        <v>361.39299999999992</v>
      </c>
      <c r="K38" s="137" t="s">
        <v>63</v>
      </c>
      <c r="N38" s="556">
        <f>+I38-N37</f>
        <v>51.747999999999998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+C39+'5'!D39</f>
        <v>0</v>
      </c>
      <c r="E39" s="152">
        <f t="shared" si="0"/>
        <v>0</v>
      </c>
      <c r="F39" s="337">
        <v>1630</v>
      </c>
      <c r="G39" s="337">
        <f>+F39-F39*0.24</f>
        <v>1238.8</v>
      </c>
      <c r="H39" s="196" t="s">
        <v>65</v>
      </c>
      <c r="I39" s="151"/>
      <c r="J39" s="138">
        <f>J37/G4</f>
        <v>62.760141435836267</v>
      </c>
      <c r="K39" s="139" t="s">
        <v>63</v>
      </c>
      <c r="N39" s="556"/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+C40+'5'!D40</f>
        <v>0</v>
      </c>
      <c r="E40" s="152">
        <f t="shared" si="0"/>
        <v>0</v>
      </c>
      <c r="F40" s="337">
        <v>1630</v>
      </c>
      <c r="G40" s="337">
        <f>+F40-F40*0.24</f>
        <v>1238.8</v>
      </c>
      <c r="H40" s="196" t="s">
        <v>67</v>
      </c>
      <c r="I40" s="127">
        <f>(K34+L34)/1000</f>
        <v>58.991999999999997</v>
      </c>
      <c r="J40" s="140">
        <f>+I40+'5'!J40</f>
        <v>351.54200000000003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+C41+'5'!D41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58.590333333333341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+C42+'5'!D42</f>
        <v>0</v>
      </c>
      <c r="E42" s="152">
        <f t="shared" si="0"/>
        <v>0</v>
      </c>
      <c r="F42" s="337">
        <f>+(F38*480+F39*480+F40*480)/1440</f>
        <v>1618.4444444444443</v>
      </c>
      <c r="G42" s="337">
        <f>+(G38*480+G39*480+G40*480)/1440</f>
        <v>1230.0177777777778</v>
      </c>
      <c r="H42" s="196" t="s">
        <v>70</v>
      </c>
      <c r="I42" s="254" t="s">
        <v>543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+C43+'5'!D43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+Report1!T14</f>
        <v>128.078</v>
      </c>
      <c r="J43" s="142">
        <f>+I43+'5'!J43</f>
        <v>794.37299999999993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+C44+'5'!D44</f>
        <v>135</v>
      </c>
      <c r="E44" s="152">
        <f t="shared" si="0"/>
        <v>2.25</v>
      </c>
      <c r="F44" s="337"/>
      <c r="G44" s="338"/>
      <c r="H44" s="197" t="s">
        <v>74</v>
      </c>
      <c r="I44" s="127">
        <f>I43/I38</f>
        <v>2.1264112099880461</v>
      </c>
      <c r="J44" s="143">
        <f>J43/J38</f>
        <v>2.1980862938684482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+C45+'5'!D45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2.1711079468402499</v>
      </c>
      <c r="J45" s="143">
        <f>J43/J40</f>
        <v>2.2596816312133399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+C46+'5'!D46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+SUMIF(Listrik!AR13,"&gt;0")</f>
        <v>52380.899999998946</v>
      </c>
      <c r="J46" s="144">
        <f>+I46+'5'!J46</f>
        <v>324451.82000000135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+C47+'5'!D47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869.65234426880977</v>
      </c>
      <c r="J47" s="144">
        <f>J46/J38</f>
        <v>897.78114130600602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+C48+'5'!D48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887.9322620016095</v>
      </c>
      <c r="J48" s="144">
        <f>J46/J40</f>
        <v>922.93899448714899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+C49+'5'!D49</f>
        <v>0</v>
      </c>
      <c r="E49" s="152">
        <f t="shared" si="0"/>
        <v>0</v>
      </c>
      <c r="F49" s="194"/>
      <c r="H49" s="197" t="s">
        <v>185</v>
      </c>
      <c r="I49" s="127">
        <v>0</v>
      </c>
      <c r="J49" s="144">
        <f>+I49+'5'!J49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+C50+'5'!D50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+C51+'5'!D51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42</v>
      </c>
      <c r="D52" s="153">
        <f>SUM(D38:D51)</f>
        <v>427</v>
      </c>
      <c r="E52" s="154">
        <f>SUM(E38:E51)</f>
        <v>7.1166666666666663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2.9166666666666667E-2</v>
      </c>
      <c r="D53" s="155">
        <f>D52/(24*60*G4)</f>
        <v>4.9421296296296297E-2</v>
      </c>
      <c r="E53" s="156">
        <f>E52/(G4*24)</f>
        <v>4.9421296296296297E-2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+D34+'5'!J56</f>
        <v>765</v>
      </c>
      <c r="K56" s="210">
        <f>J56/(J40+J56/1000)/1000</f>
        <v>2.1714016468591313E-3</v>
      </c>
    </row>
    <row r="57" spans="1:11">
      <c r="A57" s="185"/>
      <c r="I57" s="208" t="s">
        <v>89</v>
      </c>
      <c r="J57" s="209">
        <f>+E34+'5'!J57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9513888888888889" right="0.19513888888888889" top="0.17" bottom="0.16" header="0" footer="0"/>
  <pageSetup paperSize="9" scale="62" firstPageNumber="4294963191" fitToWidth="3" orientation="landscape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R61"/>
  <sheetViews>
    <sheetView view="pageBreakPreview" topLeftCell="A7" zoomScale="80" zoomScaleNormal="75" zoomScaleSheetLayoutView="80" workbookViewId="0">
      <selection activeCell="A7" sqref="A7:A32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4" style="158" customWidth="1"/>
    <col min="12" max="12" width="8.28515625" style="158" customWidth="1"/>
    <col min="13" max="13" width="15.5703125" style="158" bestFit="1" customWidth="1"/>
    <col min="14" max="16384" width="9.140625" style="158"/>
  </cols>
  <sheetData>
    <row r="1" spans="1:18" ht="15.75">
      <c r="A1" s="157"/>
    </row>
    <row r="2" spans="1:18" ht="15.75">
      <c r="A2" s="157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5</v>
      </c>
      <c r="H4" s="163" t="str">
        <f>+'1'!H4</f>
        <v>.06.24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252+366+323</f>
        <v>941</v>
      </c>
    </row>
    <row r="7" spans="1:18" ht="13.5" customHeight="1" thickBot="1">
      <c r="A7" s="1029" t="s">
        <v>433</v>
      </c>
      <c r="B7" s="224" t="s">
        <v>516</v>
      </c>
      <c r="C7" s="225">
        <v>17823</v>
      </c>
      <c r="D7" s="226">
        <v>260</v>
      </c>
      <c r="E7" s="227"/>
      <c r="F7" s="236"/>
      <c r="G7" s="237" t="s">
        <v>11</v>
      </c>
      <c r="H7" s="238" t="s">
        <v>277</v>
      </c>
      <c r="I7" s="1032" t="s">
        <v>517</v>
      </c>
      <c r="J7" s="223" t="str">
        <f>+'4'!J7</f>
        <v>T 14 VP OW</v>
      </c>
      <c r="K7" s="246">
        <f>+C17</f>
        <v>2999</v>
      </c>
      <c r="L7" s="250"/>
      <c r="M7" s="126">
        <f>+K7+'4'!M7+L7</f>
        <v>62499</v>
      </c>
    </row>
    <row r="8" spans="1:18" ht="13.5" thickBot="1">
      <c r="A8" s="1030"/>
      <c r="B8" s="224"/>
      <c r="C8" s="225"/>
      <c r="D8" s="226"/>
      <c r="E8" s="228"/>
      <c r="F8" s="239">
        <v>5</v>
      </c>
      <c r="G8" s="240" t="s">
        <v>11</v>
      </c>
      <c r="H8" s="238" t="s">
        <v>454</v>
      </c>
      <c r="I8" s="1033"/>
      <c r="J8" s="223" t="str">
        <f>+'4'!J8</f>
        <v>T 15 VP OW</v>
      </c>
      <c r="K8" s="247"/>
      <c r="L8" s="247"/>
      <c r="M8" s="126">
        <f>+K8+'4'!M8+L8</f>
        <v>37584</v>
      </c>
      <c r="N8" s="158">
        <v>1580</v>
      </c>
      <c r="O8" s="158">
        <f>+N8-N8*0.24</f>
        <v>1200.8</v>
      </c>
      <c r="P8" s="158">
        <v>60</v>
      </c>
      <c r="Q8" s="158">
        <f>+N8*P8</f>
        <v>94800</v>
      </c>
      <c r="R8" s="158">
        <f>+O8*P8</f>
        <v>72048</v>
      </c>
    </row>
    <row r="9" spans="1:18" ht="13.5" thickBot="1">
      <c r="A9" s="1030"/>
      <c r="B9" s="224"/>
      <c r="C9" s="225"/>
      <c r="D9" s="226"/>
      <c r="E9" s="229"/>
      <c r="F9" s="236">
        <v>10</v>
      </c>
      <c r="G9" s="240" t="s">
        <v>11</v>
      </c>
      <c r="H9" s="614" t="s">
        <v>521</v>
      </c>
      <c r="I9" s="1033"/>
      <c r="J9" s="223" t="str">
        <f>+'4'!J9</f>
        <v>T 12,5 VP OW</v>
      </c>
      <c r="K9" s="247"/>
      <c r="L9" s="247"/>
      <c r="M9" s="126">
        <f>+K9+'4'!M9+L9</f>
        <v>148332</v>
      </c>
      <c r="N9" s="158">
        <v>1510</v>
      </c>
      <c r="O9" s="158">
        <f>+N9-N9*0.24</f>
        <v>1147.5999999999999</v>
      </c>
      <c r="P9" s="158">
        <v>420</v>
      </c>
      <c r="Q9" s="158">
        <f>+N9*P9</f>
        <v>634200</v>
      </c>
      <c r="R9" s="158">
        <f>+O9*P9</f>
        <v>481991.99999999994</v>
      </c>
    </row>
    <row r="10" spans="1:18" ht="13.5" thickBot="1">
      <c r="A10" s="1030"/>
      <c r="B10" s="224"/>
      <c r="C10" s="225"/>
      <c r="D10" s="226"/>
      <c r="E10" s="228"/>
      <c r="F10" s="236"/>
      <c r="G10" s="240"/>
      <c r="H10" s="614" t="s">
        <v>499</v>
      </c>
      <c r="I10" s="1033"/>
      <c r="J10" s="223" t="str">
        <f>+'4'!J10</f>
        <v>T 12 VP OW</v>
      </c>
      <c r="K10" s="247">
        <f>+C7+C16</f>
        <v>25679</v>
      </c>
      <c r="L10" s="247"/>
      <c r="M10" s="126">
        <f>+K10+'4'!M10+L10</f>
        <v>25679</v>
      </c>
      <c r="N10" s="158">
        <v>1511</v>
      </c>
      <c r="O10" s="158">
        <f>+N10-N10*0.24</f>
        <v>1148.3600000000001</v>
      </c>
      <c r="P10" s="158">
        <f>60+30+30</f>
        <v>120</v>
      </c>
      <c r="Q10" s="158">
        <f>+N10*P10</f>
        <v>181320</v>
      </c>
      <c r="R10" s="158">
        <f>+O10*P10</f>
        <v>137803.20000000001</v>
      </c>
    </row>
    <row r="11" spans="1:18" ht="13.5" thickBot="1">
      <c r="A11" s="1030"/>
      <c r="B11" s="224"/>
      <c r="C11" s="225"/>
      <c r="D11" s="226"/>
      <c r="E11" s="228"/>
      <c r="F11" s="236"/>
      <c r="G11" s="240"/>
      <c r="H11" s="241" t="s">
        <v>500</v>
      </c>
      <c r="I11" s="1033"/>
      <c r="J11" s="223" t="s">
        <v>524</v>
      </c>
      <c r="K11" s="247">
        <f>+C18+C25</f>
        <v>18456</v>
      </c>
      <c r="L11" s="247"/>
      <c r="M11" s="126">
        <f>+K11+'4'!M11+L11</f>
        <v>18456</v>
      </c>
      <c r="P11" s="158">
        <f>SUM(P8:P10)</f>
        <v>600</v>
      </c>
      <c r="Q11" s="158">
        <f>SUM(Q8:Q10)</f>
        <v>910320</v>
      </c>
      <c r="R11" s="158">
        <f>SUM(R8:R10)</f>
        <v>691843.2</v>
      </c>
    </row>
    <row r="12" spans="1:18" ht="26.25" thickBot="1">
      <c r="A12" s="1030"/>
      <c r="B12" s="224"/>
      <c r="C12" s="225"/>
      <c r="D12" s="226"/>
      <c r="E12" s="228"/>
      <c r="F12" s="236"/>
      <c r="G12" s="240"/>
      <c r="H12" s="241" t="s">
        <v>501</v>
      </c>
      <c r="I12" s="1033"/>
      <c r="J12" s="223">
        <f>+'4'!J12</f>
        <v>0</v>
      </c>
      <c r="K12" s="247"/>
      <c r="L12" s="247"/>
      <c r="M12" s="126">
        <f>+K12+'4'!M12+L12</f>
        <v>0</v>
      </c>
      <c r="Q12" s="185">
        <f>+Q11/P11</f>
        <v>1517.2</v>
      </c>
      <c r="R12" s="185">
        <f>+R11/P11</f>
        <v>1153.0719999999999</v>
      </c>
    </row>
    <row r="13" spans="1:18" ht="13.5" thickBot="1">
      <c r="A13" s="1030"/>
      <c r="B13" s="224"/>
      <c r="C13" s="225"/>
      <c r="D13" s="225"/>
      <c r="E13" s="228"/>
      <c r="F13" s="236"/>
      <c r="G13" s="240"/>
      <c r="H13" s="241" t="s">
        <v>502</v>
      </c>
      <c r="I13" s="1034"/>
      <c r="J13" s="223">
        <f>+'4'!J13</f>
        <v>0</v>
      </c>
      <c r="K13" s="247"/>
      <c r="L13" s="247"/>
      <c r="M13" s="126">
        <f>+K13+'4'!M13+L13</f>
        <v>0</v>
      </c>
    </row>
    <row r="14" spans="1:18" ht="13.5" thickBot="1">
      <c r="A14" s="1031"/>
      <c r="B14" s="174" t="s">
        <v>2</v>
      </c>
      <c r="C14" s="108">
        <f>SUM(C7:C13)</f>
        <v>17823</v>
      </c>
      <c r="D14" s="120">
        <f>SUM(D7:D13)</f>
        <v>260</v>
      </c>
      <c r="E14" s="121">
        <f>SUM(E5:E13)</f>
        <v>0</v>
      </c>
      <c r="F14" s="125">
        <f>SUM(F7:F13)</f>
        <v>15</v>
      </c>
      <c r="G14" s="168"/>
      <c r="H14" s="175"/>
      <c r="I14" s="176"/>
      <c r="J14" s="223">
        <f>+'4'!J14</f>
        <v>0</v>
      </c>
      <c r="K14" s="247"/>
      <c r="L14" s="247"/>
      <c r="M14" s="126">
        <f>+K14+'4'!M14+L14</f>
        <v>0</v>
      </c>
    </row>
    <row r="15" spans="1:18" ht="13.5" customHeight="1" thickBot="1">
      <c r="A15" s="1035" t="s">
        <v>435</v>
      </c>
      <c r="B15" s="174"/>
      <c r="C15" s="122"/>
      <c r="D15" s="123"/>
      <c r="E15" s="124"/>
      <c r="F15" s="236">
        <v>20</v>
      </c>
      <c r="G15" s="237" t="s">
        <v>11</v>
      </c>
      <c r="H15" s="238" t="s">
        <v>522</v>
      </c>
      <c r="I15" s="1032" t="s">
        <v>518</v>
      </c>
      <c r="J15" s="223">
        <f>+'4'!J15</f>
        <v>0</v>
      </c>
      <c r="K15" s="247"/>
      <c r="L15" s="247"/>
      <c r="M15" s="126">
        <f>+K15+'4'!M15+L15</f>
        <v>0</v>
      </c>
      <c r="N15" s="158">
        <v>1511</v>
      </c>
      <c r="O15" s="158">
        <f>+N15-N15*0.24</f>
        <v>1148.3600000000001</v>
      </c>
      <c r="P15" s="158">
        <f>60+30+30</f>
        <v>120</v>
      </c>
      <c r="Q15" s="158">
        <f>+N15*P15</f>
        <v>181320</v>
      </c>
      <c r="R15" s="158">
        <f>+O15*P15</f>
        <v>137803.20000000001</v>
      </c>
    </row>
    <row r="16" spans="1:18" ht="13.5" thickBot="1">
      <c r="A16" s="1030"/>
      <c r="B16" s="224" t="s">
        <v>516</v>
      </c>
      <c r="C16" s="230">
        <f>3645+4211</f>
        <v>7856</v>
      </c>
      <c r="D16" s="231"/>
      <c r="E16" s="232"/>
      <c r="F16" s="236">
        <v>5</v>
      </c>
      <c r="G16" s="240" t="s">
        <v>11</v>
      </c>
      <c r="H16" s="238" t="s">
        <v>484</v>
      </c>
      <c r="I16" s="1033"/>
      <c r="J16" s="223">
        <f>+'4'!J16</f>
        <v>0</v>
      </c>
      <c r="K16" s="247"/>
      <c r="L16" s="237"/>
      <c r="M16" s="126">
        <f>+K16+'4'!M16+L16</f>
        <v>0</v>
      </c>
      <c r="N16" s="185">
        <v>1500</v>
      </c>
      <c r="O16" s="185">
        <f>+N16-N16*0.24</f>
        <v>1140</v>
      </c>
      <c r="P16" s="185">
        <f>45+60</f>
        <v>105</v>
      </c>
      <c r="Q16" s="158">
        <f>+N16*P16</f>
        <v>157500</v>
      </c>
      <c r="R16" s="158">
        <f>+O16*P16</f>
        <v>119700</v>
      </c>
    </row>
    <row r="17" spans="1:18" ht="13.5" thickBot="1">
      <c r="A17" s="1030"/>
      <c r="B17" s="224" t="s">
        <v>436</v>
      </c>
      <c r="C17" s="225">
        <v>2999</v>
      </c>
      <c r="D17" s="226"/>
      <c r="E17" s="233"/>
      <c r="F17" s="236">
        <v>10</v>
      </c>
      <c r="G17" s="240" t="s">
        <v>11</v>
      </c>
      <c r="H17" s="614" t="s">
        <v>451</v>
      </c>
      <c r="I17" s="1033"/>
      <c r="J17" s="223">
        <f>+'4'!J17</f>
        <v>0</v>
      </c>
      <c r="K17" s="247"/>
      <c r="L17" s="237"/>
      <c r="M17" s="126">
        <f>+K17+'4'!M17+L17</f>
        <v>0</v>
      </c>
      <c r="N17" s="158">
        <v>1500</v>
      </c>
      <c r="O17" s="158">
        <f>+N17-N17*0.24</f>
        <v>1140</v>
      </c>
      <c r="P17" s="158">
        <v>120</v>
      </c>
      <c r="Q17" s="158">
        <f>+N17*P17</f>
        <v>180000</v>
      </c>
      <c r="R17" s="158">
        <f>+O17*P17</f>
        <v>136800</v>
      </c>
    </row>
    <row r="18" spans="1:18" ht="13.5" thickBot="1">
      <c r="A18" s="1030"/>
      <c r="B18" s="224" t="s">
        <v>524</v>
      </c>
      <c r="C18" s="225">
        <f>251+292</f>
        <v>543</v>
      </c>
      <c r="D18" s="226"/>
      <c r="E18" s="233"/>
      <c r="F18" s="236"/>
      <c r="G18" s="240"/>
      <c r="H18" s="614" t="s">
        <v>503</v>
      </c>
      <c r="I18" s="1033"/>
      <c r="J18" s="223">
        <f>+'4'!J18</f>
        <v>0</v>
      </c>
      <c r="K18" s="247"/>
      <c r="L18" s="247"/>
      <c r="M18" s="126">
        <f>+K18+'4'!M18+L18</f>
        <v>0</v>
      </c>
      <c r="P18" s="158">
        <f>SUM(P15:P17)</f>
        <v>345</v>
      </c>
      <c r="Q18" s="158">
        <f>SUM(Q15:Q17)</f>
        <v>518820</v>
      </c>
      <c r="R18" s="158">
        <f>SUM(R15:R17)</f>
        <v>394303.2</v>
      </c>
    </row>
    <row r="19" spans="1:18" ht="26.25" thickBot="1">
      <c r="A19" s="1030"/>
      <c r="B19" s="224"/>
      <c r="C19" s="225"/>
      <c r="D19" s="226"/>
      <c r="E19" s="233" t="s">
        <v>506</v>
      </c>
      <c r="F19" s="239">
        <v>135</v>
      </c>
      <c r="G19" s="240" t="s">
        <v>16</v>
      </c>
      <c r="H19" s="503" t="s">
        <v>508</v>
      </c>
      <c r="I19" s="1033"/>
      <c r="J19" s="223">
        <f>+'4'!J19</f>
        <v>0</v>
      </c>
      <c r="K19" s="247"/>
      <c r="L19" s="247"/>
      <c r="M19" s="126">
        <f>+K19+'4'!M19+L19</f>
        <v>0</v>
      </c>
      <c r="Q19" s="158">
        <f>+Q18/P18</f>
        <v>1503.8260869565217</v>
      </c>
      <c r="R19" s="158">
        <f>+R18/P18</f>
        <v>1142.9078260869564</v>
      </c>
    </row>
    <row r="20" spans="1:18" ht="26.25" thickBot="1">
      <c r="A20" s="1030"/>
      <c r="B20" s="224"/>
      <c r="C20" s="225"/>
      <c r="D20" s="226"/>
      <c r="E20" s="233"/>
      <c r="F20" s="239"/>
      <c r="G20" s="240"/>
      <c r="H20" s="241" t="s">
        <v>507</v>
      </c>
      <c r="I20" s="1033"/>
      <c r="J20" s="223">
        <f>+'4'!J20</f>
        <v>0</v>
      </c>
      <c r="K20" s="248"/>
      <c r="L20" s="248"/>
      <c r="M20" s="126">
        <f>+K20+'4'!M20+L20</f>
        <v>0</v>
      </c>
    </row>
    <row r="21" spans="1:18" ht="13.5" thickBot="1">
      <c r="A21" s="1030"/>
      <c r="B21" s="224"/>
      <c r="C21" s="225"/>
      <c r="D21" s="226"/>
      <c r="E21" s="233"/>
      <c r="F21" s="243">
        <v>10</v>
      </c>
      <c r="G21" s="240" t="s">
        <v>11</v>
      </c>
      <c r="H21" s="241" t="s">
        <v>504</v>
      </c>
      <c r="I21" s="1033"/>
      <c r="J21" s="223">
        <f>+'4'!J21</f>
        <v>0</v>
      </c>
      <c r="K21" s="247"/>
      <c r="L21" s="247"/>
      <c r="M21" s="126">
        <f>+K21+'4'!M21+L21</f>
        <v>0</v>
      </c>
    </row>
    <row r="22" spans="1:18" ht="13.5" thickBot="1">
      <c r="A22" s="1030"/>
      <c r="B22" s="224"/>
      <c r="C22" s="225"/>
      <c r="D22" s="226"/>
      <c r="E22" s="233"/>
      <c r="F22" s="236"/>
      <c r="G22" s="240"/>
      <c r="H22" s="241" t="s">
        <v>505</v>
      </c>
      <c r="I22" s="1034"/>
      <c r="J22" s="223">
        <f>+'4'!J22</f>
        <v>0</v>
      </c>
      <c r="K22" s="247"/>
      <c r="L22" s="247"/>
      <c r="M22" s="126">
        <f>+K22+'4'!M22+L22</f>
        <v>0</v>
      </c>
    </row>
    <row r="23" spans="1:18" ht="13.5" thickBot="1">
      <c r="A23" s="1031"/>
      <c r="B23" s="177" t="s">
        <v>2</v>
      </c>
      <c r="C23" s="109">
        <f>SUM(C16:C22)</f>
        <v>11398</v>
      </c>
      <c r="D23" s="120">
        <f>SUM(D16:D22)</f>
        <v>0</v>
      </c>
      <c r="E23" s="121">
        <f>SUM(E18:E22)</f>
        <v>0</v>
      </c>
      <c r="F23" s="125">
        <f>SUM(F15:F22)</f>
        <v>180</v>
      </c>
      <c r="G23" s="168"/>
      <c r="H23" s="175" t="s">
        <v>234</v>
      </c>
      <c r="I23" s="178"/>
      <c r="J23" s="223">
        <f>+'4'!J23</f>
        <v>0</v>
      </c>
      <c r="K23" s="247"/>
      <c r="L23" s="247"/>
      <c r="M23" s="126">
        <f>+K23+'4'!M23+L23</f>
        <v>0</v>
      </c>
    </row>
    <row r="24" spans="1:18" ht="13.5" customHeight="1" thickBot="1">
      <c r="A24" s="1035" t="s">
        <v>468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519</v>
      </c>
      <c r="J24" s="223">
        <f>+'4'!J24</f>
        <v>0</v>
      </c>
      <c r="K24" s="247"/>
      <c r="L24" s="247"/>
      <c r="M24" s="126">
        <f>+K24+'4'!M24+L24</f>
        <v>0</v>
      </c>
    </row>
    <row r="25" spans="1:18" ht="13.5" thickBot="1">
      <c r="A25" s="1030"/>
      <c r="B25" s="224" t="s">
        <v>524</v>
      </c>
      <c r="C25" s="234">
        <v>17913</v>
      </c>
      <c r="D25" s="226"/>
      <c r="E25" s="233"/>
      <c r="F25" s="239">
        <v>7</v>
      </c>
      <c r="G25" s="240" t="s">
        <v>11</v>
      </c>
      <c r="H25" s="238" t="s">
        <v>484</v>
      </c>
      <c r="I25" s="1033"/>
      <c r="J25" s="223">
        <f>+'4'!J25</f>
        <v>0</v>
      </c>
      <c r="K25" s="247"/>
      <c r="L25" s="247"/>
      <c r="M25" s="126">
        <f>+K25+'4'!M25+L25</f>
        <v>0</v>
      </c>
    </row>
    <row r="26" spans="1:18" ht="13.5" thickBot="1">
      <c r="A26" s="1030"/>
      <c r="B26" s="224"/>
      <c r="C26" s="234"/>
      <c r="D26" s="226"/>
      <c r="E26" s="235"/>
      <c r="F26" s="239">
        <v>10</v>
      </c>
      <c r="G26" s="240" t="s">
        <v>11</v>
      </c>
      <c r="H26" s="614" t="s">
        <v>451</v>
      </c>
      <c r="I26" s="1033"/>
      <c r="J26" s="223">
        <f>+'4'!J26</f>
        <v>0</v>
      </c>
      <c r="K26" s="247"/>
      <c r="L26" s="247"/>
      <c r="M26" s="126">
        <f>+K26+'4'!M26+L26</f>
        <v>0</v>
      </c>
      <c r="N26" s="185">
        <v>1500</v>
      </c>
      <c r="O26" s="185">
        <f>+N26-N26*0.24</f>
        <v>1140</v>
      </c>
      <c r="P26" s="185">
        <f>120+480</f>
        <v>600</v>
      </c>
    </row>
    <row r="27" spans="1:18" ht="13.5" thickBot="1">
      <c r="A27" s="1030"/>
      <c r="B27" s="224"/>
      <c r="C27" s="225"/>
      <c r="D27" s="226"/>
      <c r="E27" s="233"/>
      <c r="F27" s="239"/>
      <c r="G27" s="240"/>
      <c r="H27" s="614" t="s">
        <v>509</v>
      </c>
      <c r="I27" s="1033"/>
      <c r="J27" s="223">
        <f>+'4'!J27</f>
        <v>0</v>
      </c>
      <c r="K27" s="247"/>
      <c r="L27" s="247"/>
      <c r="M27" s="126">
        <f>+K27+'4'!M27+L27</f>
        <v>0</v>
      </c>
    </row>
    <row r="28" spans="1:18" ht="13.5" thickBot="1">
      <c r="A28" s="1030"/>
      <c r="B28" s="224"/>
      <c r="C28" s="225"/>
      <c r="D28" s="226"/>
      <c r="E28" s="233"/>
      <c r="F28" s="239"/>
      <c r="G28" s="240"/>
      <c r="H28" s="241" t="s">
        <v>510</v>
      </c>
      <c r="I28" s="1033"/>
      <c r="J28" s="223">
        <f>+'4'!J28</f>
        <v>0</v>
      </c>
      <c r="K28" s="247"/>
      <c r="L28" s="247"/>
      <c r="M28" s="126">
        <f>+K28+'4'!M28+L28</f>
        <v>0</v>
      </c>
    </row>
    <row r="29" spans="1:18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+'4'!J29</f>
        <v>0</v>
      </c>
      <c r="K29" s="247"/>
      <c r="L29" s="247"/>
      <c r="M29" s="126">
        <f>+K29+'4'!M29+L29</f>
        <v>0</v>
      </c>
    </row>
    <row r="30" spans="1:18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+'4'!J30</f>
        <v>0</v>
      </c>
      <c r="K30" s="247"/>
      <c r="L30" s="247"/>
      <c r="M30" s="126">
        <f>+K30+'4'!M30+L30</f>
        <v>0</v>
      </c>
      <c r="N30" s="164"/>
    </row>
    <row r="31" spans="1:18" ht="13.5" thickBot="1">
      <c r="A31" s="1030"/>
      <c r="B31" s="224"/>
      <c r="C31" s="234"/>
      <c r="D31" s="226"/>
      <c r="E31" s="233"/>
      <c r="F31" s="244"/>
      <c r="G31" s="245"/>
      <c r="H31" s="464"/>
      <c r="I31" s="1034"/>
      <c r="J31" s="223">
        <f>+'4'!J31</f>
        <v>0</v>
      </c>
      <c r="K31" s="247"/>
      <c r="L31" s="247"/>
      <c r="M31" s="126">
        <f>+K31+'4'!M31+L31</f>
        <v>0</v>
      </c>
    </row>
    <row r="32" spans="1:18" ht="13.5" thickBot="1">
      <c r="A32" s="1031"/>
      <c r="B32" s="174" t="s">
        <v>2</v>
      </c>
      <c r="C32" s="108">
        <f>SUM(C25:C31)</f>
        <v>17913</v>
      </c>
      <c r="D32" s="109">
        <f>SUM(D25:D31)</f>
        <v>0</v>
      </c>
      <c r="E32" s="110">
        <f>SUM(E25:E31)</f>
        <v>0</v>
      </c>
      <c r="F32" s="111">
        <f>SUM(F24:F31)</f>
        <v>17</v>
      </c>
      <c r="G32" s="180"/>
      <c r="H32" s="181"/>
      <c r="I32" s="178"/>
      <c r="J32" s="223">
        <f>+'4'!J32</f>
        <v>0</v>
      </c>
      <c r="K32" s="249"/>
      <c r="L32" s="251"/>
      <c r="M32" s="126">
        <f>+K32+'4'!M32+L32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47134</v>
      </c>
      <c r="D34" s="116">
        <f>D14+D23+D32</f>
        <v>260</v>
      </c>
      <c r="E34" s="116">
        <f>E14+E23+E32</f>
        <v>0</v>
      </c>
      <c r="F34" s="117">
        <f>F14+F23+F32</f>
        <v>212</v>
      </c>
      <c r="H34" s="187"/>
      <c r="I34" s="187"/>
      <c r="J34" s="132" t="s">
        <v>27</v>
      </c>
      <c r="K34" s="133">
        <f>SUM(K7:K32)</f>
        <v>47134</v>
      </c>
      <c r="L34" s="221">
        <f>SUM(L7:L32)</f>
        <v>0</v>
      </c>
      <c r="M34" s="129">
        <f>SUM(M7:M32)</f>
        <v>292550</v>
      </c>
      <c r="N34" s="164"/>
    </row>
    <row r="35" spans="1:14" ht="13.5" thickBot="1">
      <c r="A35" s="188"/>
      <c r="B35" s="189"/>
      <c r="C35" s="113">
        <f>C34/($C$34+$D$34+$E$34)</f>
        <v>0.99451407351141496</v>
      </c>
      <c r="D35" s="113">
        <f>D34/($C$34+$D$34+$E$34)</f>
        <v>5.485926488585053E-3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(12*600+14*105+12*600)/1305*G42*2.77*1305/1000000</f>
        <v>50.378490051862066</v>
      </c>
      <c r="J37" s="134">
        <f>+I37+'4'!J37</f>
        <v>313.48770180186204</v>
      </c>
      <c r="K37" s="135" t="s">
        <v>63</v>
      </c>
      <c r="N37" s="556">
        <f>+I38-N38-N39</f>
        <v>24.411000000000001</v>
      </c>
    </row>
    <row r="38" spans="1:14" ht="17.45" customHeight="1">
      <c r="A38" s="1027" t="s">
        <v>11</v>
      </c>
      <c r="B38" s="1028"/>
      <c r="C38" s="173">
        <f>SUMIF($G$7:$G$31,"Process",$F$7:$F$31)</f>
        <v>77</v>
      </c>
      <c r="D38" s="127">
        <f>+C38+'4'!D38</f>
        <v>250</v>
      </c>
      <c r="E38" s="152">
        <f t="shared" ref="E38:E51" si="0">D38/60</f>
        <v>4.166666666666667</v>
      </c>
      <c r="F38" s="337">
        <v>1518.75</v>
      </c>
      <c r="G38" s="337">
        <v>1154.25</v>
      </c>
      <c r="H38" s="196" t="s">
        <v>64</v>
      </c>
      <c r="I38" s="548">
        <f>18.457+13.752+17.068</f>
        <v>49.277000000000001</v>
      </c>
      <c r="J38" s="136">
        <f>+I38+'4'!J38</f>
        <v>301.16099999999994</v>
      </c>
      <c r="K38" s="137" t="s">
        <v>63</v>
      </c>
      <c r="N38" s="158">
        <f>1.936+1.992</f>
        <v>3.9279999999999999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+C39+'4'!D39</f>
        <v>0</v>
      </c>
      <c r="E39" s="152">
        <f t="shared" si="0"/>
        <v>0</v>
      </c>
      <c r="F39" s="337">
        <v>1503.8260869565217</v>
      </c>
      <c r="G39" s="337">
        <v>1142.9078260869564</v>
      </c>
      <c r="H39" s="196" t="s">
        <v>65</v>
      </c>
      <c r="I39" s="151"/>
      <c r="J39" s="138">
        <f>J37/G4</f>
        <v>62.697540360372408</v>
      </c>
      <c r="K39" s="139" t="s">
        <v>63</v>
      </c>
      <c r="N39" s="158">
        <f>1.374+2.496+17.068</f>
        <v>20.938000000000002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+C40+'4'!D40</f>
        <v>0</v>
      </c>
      <c r="E40" s="152">
        <f t="shared" si="0"/>
        <v>0</v>
      </c>
      <c r="F40" s="337">
        <v>1500</v>
      </c>
      <c r="G40" s="337">
        <v>1140</v>
      </c>
      <c r="H40" s="196" t="s">
        <v>67</v>
      </c>
      <c r="I40" s="127">
        <f>(K34+L34)/1000</f>
        <v>47.134</v>
      </c>
      <c r="J40" s="140">
        <f>+I40+'4'!J40</f>
        <v>292.55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+C41+'4'!D41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58.510000000000005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+C42+'4'!D42</f>
        <v>0</v>
      </c>
      <c r="E42" s="152">
        <f t="shared" si="0"/>
        <v>0</v>
      </c>
      <c r="F42" s="337">
        <f>+(F38*480+F39*345+F40*480)/1305</f>
        <v>1507.9080459770114</v>
      </c>
      <c r="G42" s="337">
        <f>+(G38*480+G39*345+G40*480)/1305</f>
        <v>1146.0101149425286</v>
      </c>
      <c r="H42" s="196" t="s">
        <v>70</v>
      </c>
      <c r="I42" s="254" t="s">
        <v>520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+C43+'4'!D43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+Report1!T13</f>
        <v>113.06100000000001</v>
      </c>
      <c r="J43" s="142">
        <f>+I43+'4'!J43</f>
        <v>666.29499999999996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135</v>
      </c>
      <c r="D44" s="127">
        <f>+C44+'4'!D44</f>
        <v>135</v>
      </c>
      <c r="E44" s="152">
        <f t="shared" si="0"/>
        <v>2.25</v>
      </c>
      <c r="F44" s="337"/>
      <c r="G44" s="338"/>
      <c r="H44" s="197" t="s">
        <v>74</v>
      </c>
      <c r="I44" s="127">
        <f>I43/I38</f>
        <v>2.2943969803356534</v>
      </c>
      <c r="J44" s="143">
        <f>J43/J38</f>
        <v>2.2124212630453481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+C45+'4'!D45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2.3987143038995207</v>
      </c>
      <c r="J45" s="143">
        <f>J43/J40</f>
        <v>2.2775423004614592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+C46+'4'!D46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+SUMIF(Listrik!AR12,"&gt;0")</f>
        <v>48364.880000001576</v>
      </c>
      <c r="J46" s="144">
        <f>+I46+'4'!J46</f>
        <v>272070.92000000237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+C47+'4'!D47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981.48994459893208</v>
      </c>
      <c r="J47" s="144">
        <f>J46/J38</f>
        <v>903.40688203320622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+C48+'4'!D48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1026.114482114855</v>
      </c>
      <c r="J48" s="144">
        <f>J46/J40</f>
        <v>929.99801743292551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+C49+'4'!D49</f>
        <v>0</v>
      </c>
      <c r="E49" s="152">
        <f t="shared" si="0"/>
        <v>0</v>
      </c>
      <c r="F49" s="194"/>
      <c r="H49" s="197" t="s">
        <v>185</v>
      </c>
      <c r="I49" s="127">
        <v>0</v>
      </c>
      <c r="J49" s="144">
        <f>+I49+'4'!J49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+C50+'4'!D50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+C51+'4'!D51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212</v>
      </c>
      <c r="D52" s="153">
        <f>SUM(D38:D51)</f>
        <v>385</v>
      </c>
      <c r="E52" s="154">
        <f>SUM(E38:E51)</f>
        <v>6.416666666666667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0.14722222222222223</v>
      </c>
      <c r="D53" s="155">
        <f>D52/(24*60*G4)</f>
        <v>5.347222222222222E-2</v>
      </c>
      <c r="E53" s="156">
        <f>E52/(G4*24)</f>
        <v>5.3472222222222227E-2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+D34+'4'!J56</f>
        <v>260</v>
      </c>
      <c r="K56" s="210">
        <f>J56/(J40+J56/1000)/1000</f>
        <v>8.8794781598989104E-4</v>
      </c>
    </row>
    <row r="57" spans="1:11">
      <c r="A57" s="185"/>
      <c r="I57" s="208" t="s">
        <v>89</v>
      </c>
      <c r="J57" s="209">
        <f>+E34+'4'!J57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7" right="0.16" top="0.17" bottom="0.14027777777777778" header="0" footer="0"/>
  <pageSetup paperSize="9" scale="60" firstPageNumber="4294963191" orientation="landscape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61"/>
  <sheetViews>
    <sheetView view="pageBreakPreview" topLeftCell="A10" zoomScale="80" zoomScaleNormal="75" zoomScaleSheetLayoutView="80" workbookViewId="0">
      <selection activeCell="D7" sqref="D7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4" style="158" bestFit="1" customWidth="1"/>
    <col min="12" max="12" width="8.28515625" style="158" customWidth="1"/>
    <col min="13" max="13" width="14.5703125" style="158" bestFit="1" customWidth="1"/>
    <col min="14" max="16384" width="9.140625" style="158"/>
  </cols>
  <sheetData>
    <row r="1" spans="1:16" ht="15.75">
      <c r="A1" s="157"/>
    </row>
    <row r="2" spans="1:16" ht="15.75">
      <c r="A2" s="157" t="s">
        <v>148</v>
      </c>
    </row>
    <row r="3" spans="1:16" ht="15">
      <c r="A3" s="159"/>
    </row>
    <row r="4" spans="1:16" ht="20.25">
      <c r="A4" s="160" t="s">
        <v>3</v>
      </c>
      <c r="B4" s="161"/>
      <c r="F4" s="162" t="s">
        <v>29</v>
      </c>
      <c r="G4" s="163">
        <v>4</v>
      </c>
      <c r="H4" s="163" t="str">
        <f>+'1'!H4</f>
        <v>.06.24</v>
      </c>
    </row>
    <row r="5" spans="1:16" ht="13.5" thickBot="1">
      <c r="C5" s="164"/>
      <c r="D5" s="164"/>
    </row>
    <row r="6" spans="1:16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185+190+212</f>
        <v>587</v>
      </c>
    </row>
    <row r="7" spans="1:16" ht="13.5" customHeight="1" thickBot="1">
      <c r="A7" s="1029" t="s">
        <v>433</v>
      </c>
      <c r="B7" s="224" t="s">
        <v>489</v>
      </c>
      <c r="C7" s="225">
        <v>22284</v>
      </c>
      <c r="D7" s="226"/>
      <c r="E7" s="227"/>
      <c r="F7" s="236"/>
      <c r="G7" s="237" t="s">
        <v>11</v>
      </c>
      <c r="H7" s="238" t="s">
        <v>277</v>
      </c>
      <c r="I7" s="1032" t="s">
        <v>481</v>
      </c>
      <c r="J7" s="223" t="str">
        <f>+'3'!J7</f>
        <v>T 14 VP OW</v>
      </c>
      <c r="K7" s="246"/>
      <c r="L7" s="250"/>
      <c r="M7" s="126">
        <f>+K7+'3'!M7+L7</f>
        <v>59500</v>
      </c>
    </row>
    <row r="8" spans="1:16" ht="13.5" thickBot="1">
      <c r="A8" s="1030"/>
      <c r="B8" s="224"/>
      <c r="C8" s="225"/>
      <c r="D8" s="226"/>
      <c r="E8" s="228"/>
      <c r="F8" s="239">
        <v>5</v>
      </c>
      <c r="G8" s="240" t="s">
        <v>11</v>
      </c>
      <c r="H8" s="238" t="s">
        <v>488</v>
      </c>
      <c r="I8" s="1033"/>
      <c r="J8" s="223" t="str">
        <f>+'3'!J8</f>
        <v>T 15 VP OW</v>
      </c>
      <c r="K8" s="247"/>
      <c r="L8" s="247"/>
      <c r="M8" s="126">
        <f>+K8+'3'!M8+L8</f>
        <v>37584</v>
      </c>
      <c r="N8" s="158">
        <v>1680</v>
      </c>
      <c r="O8" s="158">
        <f>+N8-N8*0.24</f>
        <v>1276.8</v>
      </c>
      <c r="P8" s="158">
        <f>480+120</f>
        <v>600</v>
      </c>
    </row>
    <row r="9" spans="1:16" ht="13.5" thickBot="1">
      <c r="A9" s="1030"/>
      <c r="B9" s="224"/>
      <c r="C9" s="225"/>
      <c r="D9" s="226"/>
      <c r="E9" s="229"/>
      <c r="F9" s="236">
        <v>10</v>
      </c>
      <c r="G9" s="240" t="s">
        <v>11</v>
      </c>
      <c r="H9" s="614" t="s">
        <v>483</v>
      </c>
      <c r="I9" s="1033"/>
      <c r="J9" s="223" t="str">
        <f>+'3'!J9</f>
        <v>T 12,5 VP OW</v>
      </c>
      <c r="K9" s="247">
        <f>+C34</f>
        <v>54262</v>
      </c>
      <c r="L9" s="247"/>
      <c r="M9" s="126">
        <f>+K9+'3'!M9+L9</f>
        <v>148332</v>
      </c>
    </row>
    <row r="10" spans="1:16" ht="13.5" thickBot="1">
      <c r="A10" s="1030"/>
      <c r="B10" s="224"/>
      <c r="C10" s="225"/>
      <c r="D10" s="226"/>
      <c r="E10" s="228"/>
      <c r="F10" s="236"/>
      <c r="G10" s="240"/>
      <c r="H10" s="614" t="s">
        <v>496</v>
      </c>
      <c r="I10" s="1033"/>
      <c r="J10" s="223" t="s">
        <v>516</v>
      </c>
      <c r="K10" s="247"/>
      <c r="L10" s="247"/>
      <c r="M10" s="126">
        <f>+K10+'3'!M10+L10</f>
        <v>0</v>
      </c>
    </row>
    <row r="11" spans="1:16" ht="13.5" thickBot="1">
      <c r="A11" s="1030"/>
      <c r="B11" s="224"/>
      <c r="C11" s="225"/>
      <c r="D11" s="226"/>
      <c r="E11" s="228"/>
      <c r="F11" s="236"/>
      <c r="G11" s="240"/>
      <c r="H11" s="241" t="s">
        <v>476</v>
      </c>
      <c r="I11" s="1033"/>
      <c r="J11" s="223">
        <f>+'3'!J11</f>
        <v>0</v>
      </c>
      <c r="K11" s="247"/>
      <c r="L11" s="247"/>
      <c r="M11" s="126">
        <f>+K11+'3'!M11+L11</f>
        <v>0</v>
      </c>
    </row>
    <row r="12" spans="1:16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>
        <f>+'3'!J12</f>
        <v>0</v>
      </c>
      <c r="K12" s="247"/>
      <c r="L12" s="247"/>
      <c r="M12" s="126">
        <f>+K12+'3'!M12+L12</f>
        <v>0</v>
      </c>
    </row>
    <row r="13" spans="1:16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>
        <f>+'3'!J13</f>
        <v>0</v>
      </c>
      <c r="K13" s="247"/>
      <c r="L13" s="247"/>
      <c r="M13" s="126">
        <f>+K13+'3'!M13+L13</f>
        <v>0</v>
      </c>
    </row>
    <row r="14" spans="1:16" ht="13.5" thickBot="1">
      <c r="A14" s="1031"/>
      <c r="B14" s="174" t="s">
        <v>2</v>
      </c>
      <c r="C14" s="108">
        <f>SUM(C7:C13)</f>
        <v>22284</v>
      </c>
      <c r="D14" s="120">
        <f>SUM(D7:D13)</f>
        <v>0</v>
      </c>
      <c r="E14" s="121">
        <f>SUM(E5:E13)</f>
        <v>0</v>
      </c>
      <c r="F14" s="125">
        <f>SUM(F7:F13)</f>
        <v>15</v>
      </c>
      <c r="G14" s="168"/>
      <c r="H14" s="175"/>
      <c r="I14" s="176"/>
      <c r="J14" s="223">
        <f>+'3'!J14</f>
        <v>0</v>
      </c>
      <c r="K14" s="247"/>
      <c r="L14" s="247"/>
      <c r="M14" s="126">
        <f>+K14+'3'!M14+L14</f>
        <v>0</v>
      </c>
    </row>
    <row r="15" spans="1:16" ht="13.5" customHeight="1" thickBot="1">
      <c r="A15" s="1035" t="s">
        <v>435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512</v>
      </c>
      <c r="J15" s="223">
        <f>+'3'!J15</f>
        <v>0</v>
      </c>
      <c r="K15" s="247"/>
      <c r="L15" s="247"/>
      <c r="M15" s="126">
        <f>+K15+'3'!M15+L15</f>
        <v>0</v>
      </c>
    </row>
    <row r="16" spans="1:16" ht="13.5" thickBot="1">
      <c r="A16" s="1030"/>
      <c r="B16" s="224" t="s">
        <v>489</v>
      </c>
      <c r="C16" s="230">
        <f>705+9466</f>
        <v>10171</v>
      </c>
      <c r="D16" s="231"/>
      <c r="E16" s="232"/>
      <c r="F16" s="236">
        <v>8</v>
      </c>
      <c r="G16" s="240" t="s">
        <v>11</v>
      </c>
      <c r="H16" s="238" t="s">
        <v>488</v>
      </c>
      <c r="I16" s="1033"/>
      <c r="J16" s="223">
        <f>+'3'!J16</f>
        <v>0</v>
      </c>
      <c r="K16" s="237"/>
      <c r="L16" s="237"/>
      <c r="M16" s="126">
        <f>+K16+'3'!M16+L16</f>
        <v>0</v>
      </c>
    </row>
    <row r="17" spans="1:18" ht="13.5" thickBot="1">
      <c r="A17" s="1030"/>
      <c r="B17" s="224" t="s">
        <v>516</v>
      </c>
      <c r="C17" s="225">
        <v>9304</v>
      </c>
      <c r="D17" s="226"/>
      <c r="E17" s="233"/>
      <c r="F17" s="236">
        <v>10</v>
      </c>
      <c r="G17" s="240" t="s">
        <v>11</v>
      </c>
      <c r="H17" s="614" t="s">
        <v>451</v>
      </c>
      <c r="I17" s="1033"/>
      <c r="J17" s="223">
        <f>+'3'!J17</f>
        <v>0</v>
      </c>
      <c r="K17" s="237"/>
      <c r="L17" s="237"/>
      <c r="M17" s="126">
        <f>+K17+'3'!M17+L17</f>
        <v>0</v>
      </c>
      <c r="N17" s="158">
        <v>1680</v>
      </c>
      <c r="O17" s="158">
        <f>+N17-N17*0.24</f>
        <v>1276.8</v>
      </c>
      <c r="P17" s="158">
        <v>120</v>
      </c>
      <c r="Q17" s="158">
        <f>+N17*P17</f>
        <v>201600</v>
      </c>
      <c r="R17" s="158">
        <f>+O17*P17</f>
        <v>153216</v>
      </c>
    </row>
    <row r="18" spans="1:18" ht="13.5" thickBot="1">
      <c r="A18" s="1030"/>
      <c r="B18" s="224"/>
      <c r="C18" s="225"/>
      <c r="D18" s="226"/>
      <c r="E18" s="233"/>
      <c r="F18" s="236"/>
      <c r="G18" s="240"/>
      <c r="H18" s="614" t="s">
        <v>496</v>
      </c>
      <c r="I18" s="1033"/>
      <c r="J18" s="223">
        <f>+'3'!J18</f>
        <v>0</v>
      </c>
      <c r="K18" s="247"/>
      <c r="L18" s="247"/>
      <c r="M18" s="126">
        <f>+K18+'3'!M18+L18</f>
        <v>0</v>
      </c>
      <c r="N18" s="158">
        <v>1700</v>
      </c>
      <c r="O18" s="158">
        <f>+N18-N18*0.24</f>
        <v>1292</v>
      </c>
      <c r="P18" s="158">
        <v>180</v>
      </c>
      <c r="Q18" s="158">
        <f>+N18*P18</f>
        <v>306000</v>
      </c>
      <c r="R18" s="158">
        <f>+O18*P18</f>
        <v>232560</v>
      </c>
    </row>
    <row r="19" spans="1:18" ht="13.5" thickBot="1">
      <c r="A19" s="1030"/>
      <c r="B19" s="224"/>
      <c r="C19" s="225"/>
      <c r="D19" s="226"/>
      <c r="E19" s="233"/>
      <c r="F19" s="243"/>
      <c r="G19" s="240"/>
      <c r="H19" s="241" t="s">
        <v>497</v>
      </c>
      <c r="I19" s="1033"/>
      <c r="J19" s="223">
        <f>+'3'!J19</f>
        <v>0</v>
      </c>
      <c r="K19" s="247"/>
      <c r="L19" s="247"/>
      <c r="M19" s="126">
        <f>+K19+'3'!M19+L19</f>
        <v>0</v>
      </c>
      <c r="N19" s="158">
        <v>1630</v>
      </c>
      <c r="O19" s="158">
        <f>+N19-N19*0.24</f>
        <v>1238.8</v>
      </c>
      <c r="P19" s="158">
        <v>180</v>
      </c>
      <c r="Q19" s="158">
        <f>+N19*P19</f>
        <v>293400</v>
      </c>
      <c r="R19" s="158">
        <f>+O19*P19</f>
        <v>222984</v>
      </c>
    </row>
    <row r="20" spans="1:18" ht="26.25" thickBot="1">
      <c r="A20" s="1030"/>
      <c r="B20" s="224"/>
      <c r="C20" s="225"/>
      <c r="D20" s="226"/>
      <c r="E20" s="233"/>
      <c r="F20" s="236"/>
      <c r="G20" s="240"/>
      <c r="H20" s="241" t="s">
        <v>511</v>
      </c>
      <c r="I20" s="1033"/>
      <c r="J20" s="223">
        <f>+'3'!J20</f>
        <v>0</v>
      </c>
      <c r="K20" s="248"/>
      <c r="L20" s="248"/>
      <c r="M20" s="126">
        <f>+K20+'3'!M20+L20</f>
        <v>0</v>
      </c>
      <c r="P20" s="158">
        <f>SUM(P17:P19)</f>
        <v>480</v>
      </c>
      <c r="Q20" s="158">
        <f>SUM(Q17:Q19)</f>
        <v>801000</v>
      </c>
      <c r="R20" s="158">
        <f>SUM(R17:R19)</f>
        <v>608760</v>
      </c>
    </row>
    <row r="21" spans="1:18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+'3'!J21</f>
        <v>0</v>
      </c>
      <c r="K21" s="247"/>
      <c r="L21" s="247"/>
      <c r="M21" s="126">
        <f>+K21+'3'!M21+L21</f>
        <v>0</v>
      </c>
      <c r="Q21" s="158">
        <f>+Q20/P20</f>
        <v>1668.75</v>
      </c>
      <c r="R21" s="158">
        <f>+R20/P20</f>
        <v>1268.25</v>
      </c>
    </row>
    <row r="22" spans="1:18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+'3'!J22</f>
        <v>0</v>
      </c>
      <c r="K22" s="247"/>
      <c r="L22" s="247"/>
      <c r="M22" s="126">
        <f>+K22+'3'!M22+L22</f>
        <v>0</v>
      </c>
    </row>
    <row r="23" spans="1:18" ht="13.5" thickBot="1">
      <c r="A23" s="1031"/>
      <c r="B23" s="177" t="s">
        <v>2</v>
      </c>
      <c r="C23" s="109">
        <f>SUM(C16:C22)</f>
        <v>19475</v>
      </c>
      <c r="D23" s="120">
        <f>SUM(D16:D22)</f>
        <v>0</v>
      </c>
      <c r="E23" s="121">
        <f>SUM(E18:E22)</f>
        <v>0</v>
      </c>
      <c r="F23" s="125">
        <f>SUM(F15:F22)</f>
        <v>18</v>
      </c>
      <c r="G23" s="168"/>
      <c r="H23" s="175" t="s">
        <v>234</v>
      </c>
      <c r="I23" s="178"/>
      <c r="J23" s="223">
        <f>+'3'!J23</f>
        <v>0</v>
      </c>
      <c r="K23" s="247"/>
      <c r="L23" s="247"/>
      <c r="M23" s="126">
        <f>+K23+'3'!M23+L23</f>
        <v>0</v>
      </c>
    </row>
    <row r="24" spans="1:18" ht="13.5" customHeight="1" thickBot="1">
      <c r="A24" s="1035" t="s">
        <v>468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514</v>
      </c>
      <c r="J24" s="223">
        <f>+'3'!J24</f>
        <v>0</v>
      </c>
      <c r="K24" s="247"/>
      <c r="L24" s="247"/>
      <c r="M24" s="126">
        <f>+K24+'3'!M24+L24</f>
        <v>0</v>
      </c>
      <c r="N24" s="158">
        <v>1700</v>
      </c>
      <c r="O24" s="158">
        <f>+N24-N24*0.24</f>
        <v>1292</v>
      </c>
      <c r="P24" s="158">
        <v>180</v>
      </c>
      <c r="Q24" s="158">
        <f>+N24*P24</f>
        <v>306000</v>
      </c>
      <c r="R24" s="158">
        <f>+O24*P24</f>
        <v>232560</v>
      </c>
    </row>
    <row r="25" spans="1:18" ht="13.5" thickBot="1">
      <c r="A25" s="1030"/>
      <c r="B25" s="224" t="s">
        <v>516</v>
      </c>
      <c r="C25" s="234">
        <v>12503</v>
      </c>
      <c r="D25" s="226"/>
      <c r="E25" s="233"/>
      <c r="F25" s="239">
        <v>9</v>
      </c>
      <c r="G25" s="240" t="s">
        <v>11</v>
      </c>
      <c r="H25" s="238" t="s">
        <v>488</v>
      </c>
      <c r="I25" s="1033"/>
      <c r="J25" s="223">
        <f>+'3'!J25</f>
        <v>0</v>
      </c>
      <c r="K25" s="247"/>
      <c r="L25" s="247"/>
      <c r="M25" s="126">
        <f>+K25+'3'!M25+L25</f>
        <v>0</v>
      </c>
      <c r="N25" s="158">
        <v>1630</v>
      </c>
      <c r="O25" s="158">
        <f>+N25-N25*0.24</f>
        <v>1238.8</v>
      </c>
      <c r="P25" s="158">
        <f>240+180</f>
        <v>420</v>
      </c>
      <c r="Q25" s="158">
        <f>+N25*P25</f>
        <v>684600</v>
      </c>
      <c r="R25" s="158">
        <f>+O25*P25</f>
        <v>520296</v>
      </c>
    </row>
    <row r="26" spans="1:18" ht="13.5" thickBot="1">
      <c r="A26" s="1030"/>
      <c r="B26" s="224"/>
      <c r="C26" s="234"/>
      <c r="D26" s="226"/>
      <c r="E26" s="235"/>
      <c r="F26" s="239">
        <v>10</v>
      </c>
      <c r="G26" s="240" t="s">
        <v>11</v>
      </c>
      <c r="H26" s="614" t="s">
        <v>451</v>
      </c>
      <c r="I26" s="1033"/>
      <c r="J26" s="223">
        <f>+'3'!J26</f>
        <v>0</v>
      </c>
      <c r="K26" s="247"/>
      <c r="L26" s="247"/>
      <c r="M26" s="126">
        <f>+K26+'3'!M26+L26</f>
        <v>0</v>
      </c>
      <c r="N26" s="158">
        <v>1580</v>
      </c>
      <c r="O26" s="158">
        <f>+N26-N26*0.24</f>
        <v>1200.8</v>
      </c>
      <c r="P26" s="158">
        <v>240</v>
      </c>
      <c r="Q26" s="158">
        <f>+N26*P26</f>
        <v>379200</v>
      </c>
      <c r="R26" s="158">
        <f>+O26*P26</f>
        <v>288192</v>
      </c>
    </row>
    <row r="27" spans="1:18" ht="13.5" thickBot="1">
      <c r="A27" s="1030"/>
      <c r="B27" s="224"/>
      <c r="C27" s="225"/>
      <c r="D27" s="226"/>
      <c r="E27" s="233"/>
      <c r="F27" s="239"/>
      <c r="G27" s="240"/>
      <c r="H27" s="614" t="s">
        <v>498</v>
      </c>
      <c r="I27" s="1033"/>
      <c r="J27" s="223">
        <f>+'3'!J27</f>
        <v>0</v>
      </c>
      <c r="K27" s="247"/>
      <c r="L27" s="247"/>
      <c r="M27" s="126">
        <f>+K27+'3'!M27+L27</f>
        <v>0</v>
      </c>
      <c r="P27" s="158">
        <f>SUM(P24:P26)</f>
        <v>840</v>
      </c>
      <c r="Q27" s="158">
        <f>SUM(Q24:Q26)</f>
        <v>1369800</v>
      </c>
      <c r="R27" s="158">
        <f>SUM(R24:R26)</f>
        <v>1041048</v>
      </c>
    </row>
    <row r="28" spans="1:18" ht="26.25" thickBot="1">
      <c r="A28" s="1030"/>
      <c r="B28" s="224"/>
      <c r="C28" s="225"/>
      <c r="D28" s="226"/>
      <c r="E28" s="233"/>
      <c r="F28" s="239"/>
      <c r="G28" s="240"/>
      <c r="H28" s="241" t="s">
        <v>513</v>
      </c>
      <c r="I28" s="1033"/>
      <c r="J28" s="223">
        <f>+'3'!J28</f>
        <v>0</v>
      </c>
      <c r="K28" s="247"/>
      <c r="L28" s="247"/>
      <c r="M28" s="126">
        <f>+K28+'3'!M28+L28</f>
        <v>0</v>
      </c>
      <c r="Q28" s="158">
        <f>+Q27/P27</f>
        <v>1630.7142857142858</v>
      </c>
      <c r="R28" s="158">
        <f>+R27/P27</f>
        <v>1239.3428571428572</v>
      </c>
    </row>
    <row r="29" spans="1:18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+'3'!J29</f>
        <v>0</v>
      </c>
      <c r="K29" s="247"/>
      <c r="L29" s="247"/>
      <c r="M29" s="126">
        <f>+K29+'3'!M29+L29</f>
        <v>0</v>
      </c>
    </row>
    <row r="30" spans="1:18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+'3'!J30</f>
        <v>0</v>
      </c>
      <c r="K30" s="247"/>
      <c r="L30" s="247"/>
      <c r="M30" s="126">
        <f>+K30+'3'!M30+L30</f>
        <v>0</v>
      </c>
      <c r="N30" s="164"/>
    </row>
    <row r="31" spans="1:18" ht="13.5" thickBot="1">
      <c r="A31" s="1030"/>
      <c r="B31" s="224"/>
      <c r="C31" s="234"/>
      <c r="D31" s="226"/>
      <c r="E31" s="233"/>
      <c r="F31" s="244"/>
      <c r="G31" s="245"/>
      <c r="H31" s="464"/>
      <c r="I31" s="1034"/>
      <c r="J31" s="223">
        <f>+'3'!J31</f>
        <v>0</v>
      </c>
      <c r="K31" s="247"/>
      <c r="L31" s="247"/>
      <c r="M31" s="126">
        <f>+K31+'3'!M31+L31</f>
        <v>0</v>
      </c>
    </row>
    <row r="32" spans="1:18" ht="13.5" thickBot="1">
      <c r="A32" s="1031"/>
      <c r="B32" s="174" t="s">
        <v>2</v>
      </c>
      <c r="C32" s="108">
        <f>SUM(C25:C31)</f>
        <v>12503</v>
      </c>
      <c r="D32" s="109">
        <f>SUM(D25:D31)</f>
        <v>0</v>
      </c>
      <c r="E32" s="110">
        <f>SUM(E25:E31)</f>
        <v>0</v>
      </c>
      <c r="F32" s="111">
        <f>SUM(F24:F31)</f>
        <v>19</v>
      </c>
      <c r="G32" s="180"/>
      <c r="H32" s="181"/>
      <c r="I32" s="178"/>
      <c r="J32" s="223">
        <f>+'3'!J32</f>
        <v>0</v>
      </c>
      <c r="K32" s="249"/>
      <c r="L32" s="251"/>
      <c r="M32" s="126">
        <f>+K32+'3'!M32+L32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54262</v>
      </c>
      <c r="D34" s="116">
        <f>D14+D23+D32</f>
        <v>0</v>
      </c>
      <c r="E34" s="116">
        <f>E14+E23+E32</f>
        <v>0</v>
      </c>
      <c r="F34" s="117">
        <f>F14+F23+F32</f>
        <v>52</v>
      </c>
      <c r="H34" s="187"/>
      <c r="I34" s="187"/>
      <c r="J34" s="132" t="s">
        <v>27</v>
      </c>
      <c r="K34" s="133">
        <f>SUM(K7:K32)</f>
        <v>54262</v>
      </c>
      <c r="L34" s="221">
        <f>SUM(L7:L32)</f>
        <v>0</v>
      </c>
      <c r="M34" s="129">
        <f>SUM(M7:M32)</f>
        <v>245416</v>
      </c>
      <c r="N34" s="164"/>
    </row>
    <row r="35" spans="1:14" ht="13.5" thickBot="1">
      <c r="A35" s="188"/>
      <c r="B35" s="189"/>
      <c r="C35" s="113">
        <f>C34/($C$34+$D$34+$E$34)</f>
        <v>1</v>
      </c>
      <c r="D35" s="113">
        <f>D34/($C$34+$D$34+$E$34)</f>
        <v>0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(12.5*600+12*840)/1440*G42*2.77*1440/1000000</f>
        <v>61.11179817</v>
      </c>
      <c r="J37" s="134">
        <f>+I37+'3'!J37</f>
        <v>263.10921174999999</v>
      </c>
      <c r="K37" s="135" t="s">
        <v>63</v>
      </c>
      <c r="N37" s="158">
        <f>20.079+2.448+2.72</f>
        <v>25.247</v>
      </c>
    </row>
    <row r="38" spans="1:14" ht="17.45" customHeight="1">
      <c r="A38" s="1027" t="s">
        <v>11</v>
      </c>
      <c r="B38" s="1028"/>
      <c r="C38" s="173">
        <f>SUMIF($G$7:$G$31,"Process",$F$7:$F$31)</f>
        <v>52</v>
      </c>
      <c r="D38" s="127">
        <f>+C38+'3'!D38</f>
        <v>173</v>
      </c>
      <c r="E38" s="152">
        <f t="shared" ref="E38:E51" si="0">D38/60</f>
        <v>2.8833333333333333</v>
      </c>
      <c r="F38" s="337">
        <v>1680</v>
      </c>
      <c r="G38" s="337">
        <v>1276.8</v>
      </c>
      <c r="H38" s="196" t="s">
        <v>64</v>
      </c>
      <c r="I38" s="548">
        <f>20.079+19.095+16.204</f>
        <v>55.378</v>
      </c>
      <c r="J38" s="136">
        <f>+I38+'3'!J38</f>
        <v>251.88399999999996</v>
      </c>
      <c r="K38" s="137" t="s">
        <v>63</v>
      </c>
      <c r="N38" s="556">
        <f>+I38-N37</f>
        <v>30.131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+C39+'3'!D39</f>
        <v>0</v>
      </c>
      <c r="E39" s="152">
        <f t="shared" si="0"/>
        <v>0</v>
      </c>
      <c r="F39" s="337">
        <v>1668.75</v>
      </c>
      <c r="G39" s="337">
        <v>1268.25</v>
      </c>
      <c r="H39" s="196" t="s">
        <v>65</v>
      </c>
      <c r="I39" s="151"/>
      <c r="J39" s="138">
        <f>J37/G4</f>
        <v>65.777302937499996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+C40+'3'!D40</f>
        <v>0</v>
      </c>
      <c r="E40" s="152">
        <f t="shared" si="0"/>
        <v>0</v>
      </c>
      <c r="F40" s="337">
        <v>1605</v>
      </c>
      <c r="G40" s="337">
        <v>1219.8</v>
      </c>
      <c r="H40" s="196" t="s">
        <v>67</v>
      </c>
      <c r="I40" s="127">
        <f>(K34+L34)/1000</f>
        <v>54.262</v>
      </c>
      <c r="J40" s="140">
        <f>+I40+'3'!J40</f>
        <v>245.416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+C41+'3'!D41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61.353999999999999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+C42+'3'!D42</f>
        <v>0</v>
      </c>
      <c r="E42" s="152">
        <f t="shared" si="0"/>
        <v>0</v>
      </c>
      <c r="F42" s="337">
        <f>+(F38*480+F39*480+F40*480)/1440</f>
        <v>1651.25</v>
      </c>
      <c r="G42" s="337">
        <f>+(G38*480+G39*480+G40*480)/1440</f>
        <v>1254.95</v>
      </c>
      <c r="H42" s="196" t="s">
        <v>70</v>
      </c>
      <c r="I42" s="254" t="s">
        <v>515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+C43+'3'!D43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+Report1!T12</f>
        <v>130.66199999999998</v>
      </c>
      <c r="J43" s="142">
        <f>+I43+'3'!J43</f>
        <v>553.23399999999992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+C44+'3'!D44</f>
        <v>0</v>
      </c>
      <c r="E44" s="152">
        <f t="shared" si="0"/>
        <v>0</v>
      </c>
      <c r="F44" s="337"/>
      <c r="G44" s="338"/>
      <c r="H44" s="197" t="s">
        <v>74</v>
      </c>
      <c r="I44" s="127">
        <f>+Report1!T12</f>
        <v>130.66199999999998</v>
      </c>
      <c r="J44" s="143">
        <f>J43/J38</f>
        <v>2.1963840498007019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+C45+'3'!D45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2.4079834875234969</v>
      </c>
      <c r="J45" s="143">
        <f>J43/J40</f>
        <v>2.254270300224924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+C46+'3'!D46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+SUMIF(Listrik!AR11,"&gt;0")</f>
        <v>52377.380000000005</v>
      </c>
      <c r="J46" s="144">
        <f>+I46+'3'!J46</f>
        <v>223706.04000000076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+C47+'3'!D47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945.81566687132079</v>
      </c>
      <c r="J47" s="144">
        <f>J46/J38</f>
        <v>888.13120325229397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+C48+'3'!D48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965.26814345213973</v>
      </c>
      <c r="J48" s="144">
        <f>J46/J40</f>
        <v>911.53812302376684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+C49+'3'!D49</f>
        <v>0</v>
      </c>
      <c r="E49" s="152">
        <f t="shared" si="0"/>
        <v>0</v>
      </c>
      <c r="F49" s="194"/>
      <c r="H49" s="197" t="s">
        <v>185</v>
      </c>
      <c r="I49" s="127">
        <v>0</v>
      </c>
      <c r="J49" s="144">
        <f>+I49+'3'!J49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+C50+'3'!D50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+C51+'3'!D51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52</v>
      </c>
      <c r="D52" s="153">
        <f>SUM(D38:D51)</f>
        <v>173</v>
      </c>
      <c r="E52" s="154">
        <f>SUM(E38:E51)</f>
        <v>2.8833333333333333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3.6111111111111108E-2</v>
      </c>
      <c r="D53" s="155">
        <f>D52/(24*60*G4)</f>
        <v>3.0034722222222223E-2</v>
      </c>
      <c r="E53" s="156">
        <f>E52/(G4*24)</f>
        <v>3.0034722222222223E-2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+D34+'3'!J56</f>
        <v>0</v>
      </c>
      <c r="K56" s="210">
        <f>J56/(J40+J56/1000)/1000</f>
        <v>0</v>
      </c>
    </row>
    <row r="57" spans="1:11">
      <c r="A57" s="185"/>
      <c r="I57" s="208" t="s">
        <v>89</v>
      </c>
      <c r="J57" s="209">
        <f>+E34+'3'!J57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7" right="0.16" top="0.17" bottom="0.16" header="0" footer="0"/>
  <pageSetup paperSize="9" scale="62" firstPageNumber="4294963191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X61"/>
  <sheetViews>
    <sheetView view="pageBreakPreview" zoomScale="80" zoomScaleNormal="75" zoomScaleSheetLayoutView="80" workbookViewId="0">
      <selection activeCell="A7" sqref="A7:B32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710937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3.7109375" style="158" bestFit="1" customWidth="1"/>
    <col min="12" max="12" width="8.28515625" style="158" customWidth="1"/>
    <col min="13" max="13" width="14.5703125" style="158" bestFit="1" customWidth="1"/>
    <col min="14" max="16384" width="9.140625" style="158"/>
  </cols>
  <sheetData>
    <row r="1" spans="1:24" ht="15.75">
      <c r="A1" s="157"/>
    </row>
    <row r="2" spans="1:24" ht="15.75">
      <c r="A2" s="157" t="s">
        <v>148</v>
      </c>
    </row>
    <row r="3" spans="1:24" ht="15">
      <c r="A3" s="159"/>
    </row>
    <row r="4" spans="1:24" ht="20.25">
      <c r="A4" s="160" t="s">
        <v>3</v>
      </c>
      <c r="B4" s="161"/>
      <c r="F4" s="162" t="s">
        <v>29</v>
      </c>
      <c r="G4" s="163">
        <v>3</v>
      </c>
      <c r="H4" s="163" t="str">
        <f>+'1'!H4</f>
        <v>.06.24</v>
      </c>
    </row>
    <row r="5" spans="1:24" ht="13.5" thickBot="1">
      <c r="C5" s="164"/>
      <c r="D5" s="164"/>
    </row>
    <row r="6" spans="1:24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130+245+229</f>
        <v>604</v>
      </c>
    </row>
    <row r="7" spans="1:24" ht="13.5" customHeight="1" thickBot="1">
      <c r="A7" s="1029" t="s">
        <v>433</v>
      </c>
      <c r="B7" s="224" t="s">
        <v>489</v>
      </c>
      <c r="C7" s="225">
        <v>22553</v>
      </c>
      <c r="D7" s="226"/>
      <c r="E7" s="227"/>
      <c r="F7" s="236"/>
      <c r="G7" s="237" t="s">
        <v>11</v>
      </c>
      <c r="H7" s="238" t="s">
        <v>277</v>
      </c>
      <c r="I7" s="1032" t="s">
        <v>477</v>
      </c>
      <c r="J7" s="223" t="str">
        <f>+'2'!J7</f>
        <v>T 14 VP OW</v>
      </c>
      <c r="K7" s="246"/>
      <c r="L7" s="250"/>
      <c r="M7" s="126">
        <f>+K7+'2'!M7+L7</f>
        <v>59500</v>
      </c>
    </row>
    <row r="8" spans="1:24" ht="13.5" thickBot="1">
      <c r="A8" s="1030"/>
      <c r="B8" s="224"/>
      <c r="C8" s="225"/>
      <c r="D8" s="226"/>
      <c r="E8" s="228"/>
      <c r="F8" s="239">
        <v>5</v>
      </c>
      <c r="G8" s="240" t="s">
        <v>11</v>
      </c>
      <c r="H8" s="238" t="s">
        <v>488</v>
      </c>
      <c r="I8" s="1033"/>
      <c r="J8" s="223" t="str">
        <f>+'2'!J8</f>
        <v>T 15 VP OW</v>
      </c>
      <c r="K8" s="247"/>
      <c r="L8" s="247"/>
      <c r="M8" s="126">
        <f>+K8+'2'!M8+L8</f>
        <v>37584</v>
      </c>
      <c r="N8" s="158">
        <v>1700</v>
      </c>
      <c r="O8" s="158">
        <f>+N8-N8*0.24</f>
        <v>1292</v>
      </c>
    </row>
    <row r="9" spans="1:24" ht="13.5" thickBot="1">
      <c r="A9" s="1030"/>
      <c r="B9" s="224"/>
      <c r="C9" s="225"/>
      <c r="D9" s="226"/>
      <c r="E9" s="229"/>
      <c r="F9" s="236">
        <v>6</v>
      </c>
      <c r="G9" s="240" t="s">
        <v>11</v>
      </c>
      <c r="H9" s="614" t="s">
        <v>455</v>
      </c>
      <c r="I9" s="1033"/>
      <c r="J9" s="223" t="str">
        <f>+'2'!J9</f>
        <v>T 12,5 VP OW</v>
      </c>
      <c r="K9" s="247">
        <f>+C34</f>
        <v>63481</v>
      </c>
      <c r="L9" s="247"/>
      <c r="M9" s="126">
        <f>+K9+'2'!M9+L9</f>
        <v>94070</v>
      </c>
      <c r="N9" s="158">
        <v>1700</v>
      </c>
      <c r="O9" s="158">
        <f>+N9-N9*0.24</f>
        <v>1292</v>
      </c>
    </row>
    <row r="10" spans="1:24" ht="13.5" thickBot="1">
      <c r="A10" s="1030"/>
      <c r="B10" s="224"/>
      <c r="C10" s="225"/>
      <c r="D10" s="226"/>
      <c r="E10" s="228"/>
      <c r="F10" s="236"/>
      <c r="G10" s="240"/>
      <c r="H10" s="614" t="s">
        <v>470</v>
      </c>
      <c r="I10" s="1033"/>
      <c r="J10" s="223">
        <f>+'2'!J10</f>
        <v>0</v>
      </c>
      <c r="K10" s="247"/>
      <c r="L10" s="247"/>
      <c r="M10" s="126">
        <f>+K10+'2'!M10+L10</f>
        <v>0</v>
      </c>
      <c r="N10" s="158">
        <v>1700</v>
      </c>
      <c r="O10" s="158">
        <f>+N10-N10*0.24</f>
        <v>1292</v>
      </c>
    </row>
    <row r="11" spans="1:24" ht="13.5" customHeight="1" thickBot="1">
      <c r="A11" s="1030"/>
      <c r="B11" s="224"/>
      <c r="C11" s="225"/>
      <c r="D11" s="226"/>
      <c r="E11" s="228"/>
      <c r="F11" s="236"/>
      <c r="G11" s="240"/>
      <c r="H11" s="241" t="s">
        <v>473</v>
      </c>
      <c r="I11" s="1033"/>
      <c r="J11" s="223">
        <f>+'2'!J11</f>
        <v>0</v>
      </c>
      <c r="K11" s="247"/>
      <c r="L11" s="247"/>
      <c r="M11" s="126">
        <f>+K11+'2'!M11+L11</f>
        <v>0</v>
      </c>
    </row>
    <row r="12" spans="1:24" ht="13.5" thickBot="1">
      <c r="A12" s="1030"/>
      <c r="B12" s="224"/>
      <c r="C12" s="225"/>
      <c r="D12" s="226"/>
      <c r="E12" s="228"/>
      <c r="F12" s="236"/>
      <c r="G12" s="240"/>
      <c r="H12" s="241" t="s">
        <v>474</v>
      </c>
      <c r="I12" s="1033"/>
      <c r="J12" s="223">
        <f>+'2'!J12</f>
        <v>0</v>
      </c>
      <c r="K12" s="247"/>
      <c r="L12" s="247"/>
      <c r="M12" s="126">
        <f>+K12+'2'!M12+L12</f>
        <v>0</v>
      </c>
    </row>
    <row r="13" spans="1:24" ht="26.25" thickBot="1">
      <c r="A13" s="1030"/>
      <c r="B13" s="224"/>
      <c r="C13" s="225"/>
      <c r="D13" s="225"/>
      <c r="E13" s="228"/>
      <c r="F13" s="236"/>
      <c r="G13" s="240"/>
      <c r="H13" s="241" t="s">
        <v>475</v>
      </c>
      <c r="I13" s="1034"/>
      <c r="J13" s="223">
        <f>+'2'!J13</f>
        <v>0</v>
      </c>
      <c r="K13" s="247"/>
      <c r="L13" s="247"/>
      <c r="M13" s="126">
        <f>+K13+'2'!M13+L13</f>
        <v>0</v>
      </c>
    </row>
    <row r="14" spans="1:24" ht="13.5" thickBot="1">
      <c r="A14" s="1031"/>
      <c r="B14" s="174" t="s">
        <v>2</v>
      </c>
      <c r="C14" s="108">
        <f>SUM(C7:C13)</f>
        <v>22553</v>
      </c>
      <c r="D14" s="120">
        <f>SUM(D7:D13)</f>
        <v>0</v>
      </c>
      <c r="E14" s="121">
        <f>SUM(E5:E13)</f>
        <v>0</v>
      </c>
      <c r="F14" s="125">
        <f>SUM(F7:F13)</f>
        <v>11</v>
      </c>
      <c r="G14" s="168"/>
      <c r="H14" s="175"/>
      <c r="I14" s="176"/>
      <c r="J14" s="223">
        <f>+'2'!J14</f>
        <v>0</v>
      </c>
      <c r="K14" s="247"/>
      <c r="L14" s="247"/>
      <c r="M14" s="126">
        <f>+K14+'2'!M14+L14</f>
        <v>0</v>
      </c>
      <c r="T14" s="158">
        <v>1450</v>
      </c>
      <c r="U14" s="158">
        <f>+T14-T14*0.21</f>
        <v>1145.5</v>
      </c>
      <c r="V14" s="158">
        <f>480-55</f>
        <v>425</v>
      </c>
      <c r="W14" s="158">
        <f>+T14*V14</f>
        <v>616250</v>
      </c>
      <c r="X14" s="158">
        <f>+U14*V14</f>
        <v>486837.5</v>
      </c>
    </row>
    <row r="15" spans="1:24" ht="13.5" customHeight="1" thickBot="1">
      <c r="A15" s="1035" t="s">
        <v>434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477</v>
      </c>
      <c r="J15" s="223">
        <f>+'2'!J15</f>
        <v>0</v>
      </c>
      <c r="K15" s="247"/>
      <c r="L15" s="247"/>
      <c r="M15" s="126">
        <f>+K15+'2'!M15+L15</f>
        <v>0</v>
      </c>
      <c r="T15" s="158">
        <v>1650</v>
      </c>
      <c r="U15" s="158">
        <f>+T15-T15*0.2</f>
        <v>1320</v>
      </c>
      <c r="V15" s="158">
        <v>470</v>
      </c>
      <c r="W15" s="158">
        <f>+T15*V15</f>
        <v>775500</v>
      </c>
      <c r="X15" s="158">
        <f>+U15*V15</f>
        <v>620400</v>
      </c>
    </row>
    <row r="16" spans="1:24" ht="13.5" thickBot="1">
      <c r="A16" s="1030"/>
      <c r="B16" s="224" t="s">
        <v>489</v>
      </c>
      <c r="C16" s="230">
        <v>20737</v>
      </c>
      <c r="D16" s="231"/>
      <c r="E16" s="232"/>
      <c r="F16" s="236">
        <v>3</v>
      </c>
      <c r="G16" s="240" t="s">
        <v>11</v>
      </c>
      <c r="H16" s="238" t="s">
        <v>452</v>
      </c>
      <c r="I16" s="1033"/>
      <c r="J16" s="223">
        <f>+'2'!J16</f>
        <v>0</v>
      </c>
      <c r="K16" s="237"/>
      <c r="L16" s="237"/>
      <c r="M16" s="126">
        <f>+K16+'2'!M16+L16</f>
        <v>0</v>
      </c>
      <c r="T16" s="158">
        <v>1700</v>
      </c>
      <c r="U16" s="158">
        <f>+T16-T16*0.2</f>
        <v>1360</v>
      </c>
      <c r="V16" s="158">
        <v>480</v>
      </c>
      <c r="W16" s="158">
        <f>+T16*V16</f>
        <v>816000</v>
      </c>
      <c r="X16" s="158">
        <f>+U16*V16</f>
        <v>652800</v>
      </c>
    </row>
    <row r="17" spans="1:24" ht="13.5" thickBot="1">
      <c r="A17" s="1030"/>
      <c r="B17" s="224"/>
      <c r="C17" s="225"/>
      <c r="D17" s="226"/>
      <c r="E17" s="233"/>
      <c r="F17" s="236">
        <v>10</v>
      </c>
      <c r="G17" s="240" t="s">
        <v>11</v>
      </c>
      <c r="H17" s="614" t="s">
        <v>483</v>
      </c>
      <c r="I17" s="1033"/>
      <c r="J17" s="223">
        <f>+'2'!J17</f>
        <v>0</v>
      </c>
      <c r="K17" s="237"/>
      <c r="L17" s="237"/>
      <c r="M17" s="126">
        <f>+K17+'2'!M17+L17</f>
        <v>0</v>
      </c>
      <c r="V17" s="158">
        <f>SUM(V14:V16)</f>
        <v>1375</v>
      </c>
      <c r="W17" s="158">
        <f>SUM(W14:W16)</f>
        <v>2207750</v>
      </c>
      <c r="X17" s="158">
        <f>SUM(X14:X16)</f>
        <v>1760037.5</v>
      </c>
    </row>
    <row r="18" spans="1:24" ht="13.5" thickBot="1">
      <c r="A18" s="1030"/>
      <c r="B18" s="224"/>
      <c r="C18" s="225"/>
      <c r="D18" s="226"/>
      <c r="E18" s="233"/>
      <c r="F18" s="236"/>
      <c r="G18" s="240"/>
      <c r="H18" s="614" t="s">
        <v>470</v>
      </c>
      <c r="I18" s="1033"/>
      <c r="J18" s="223">
        <f>+'2'!J18</f>
        <v>0</v>
      </c>
      <c r="K18" s="247"/>
      <c r="L18" s="247"/>
      <c r="M18" s="126">
        <f>+K18+'2'!M18+L18</f>
        <v>0</v>
      </c>
      <c r="W18" s="158">
        <f>+W17/V17</f>
        <v>1605.6363636363637</v>
      </c>
      <c r="X18" s="158">
        <f>+X17/V17</f>
        <v>1280.0272727272727</v>
      </c>
    </row>
    <row r="19" spans="1:24" ht="13.5" thickBot="1">
      <c r="A19" s="1030"/>
      <c r="B19" s="224"/>
      <c r="C19" s="225"/>
      <c r="D19" s="226"/>
      <c r="E19" s="233"/>
      <c r="F19" s="243"/>
      <c r="G19" s="240"/>
      <c r="H19" s="241" t="s">
        <v>476</v>
      </c>
      <c r="I19" s="1033"/>
      <c r="J19" s="223">
        <f>+'2'!J19</f>
        <v>0</v>
      </c>
      <c r="K19" s="247"/>
      <c r="L19" s="247"/>
      <c r="M19" s="126">
        <f>+K19+'2'!M19+L19</f>
        <v>0</v>
      </c>
    </row>
    <row r="20" spans="1:24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+'2'!J20</f>
        <v>0</v>
      </c>
      <c r="K20" s="248"/>
      <c r="L20" s="248"/>
      <c r="M20" s="126">
        <f>+K20+'2'!M20+L20</f>
        <v>0</v>
      </c>
    </row>
    <row r="21" spans="1:24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+'2'!J21</f>
        <v>0</v>
      </c>
      <c r="K21" s="247"/>
      <c r="L21" s="247"/>
      <c r="M21" s="126">
        <f>+K21+'2'!M21+L21</f>
        <v>0</v>
      </c>
      <c r="T21" s="158">
        <v>1400</v>
      </c>
      <c r="U21" s="158">
        <f>+T21-T21*0.175</f>
        <v>1155</v>
      </c>
      <c r="V21" s="158">
        <v>55</v>
      </c>
      <c r="W21" s="158">
        <f>+T21*V21</f>
        <v>77000</v>
      </c>
      <c r="X21" s="158">
        <f>+U21*V21</f>
        <v>63525</v>
      </c>
    </row>
    <row r="22" spans="1:24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+'2'!J22</f>
        <v>0</v>
      </c>
      <c r="K22" s="247"/>
      <c r="L22" s="247"/>
      <c r="M22" s="126">
        <f>+K22+'2'!M22+L22</f>
        <v>0</v>
      </c>
      <c r="T22" s="158">
        <v>1400</v>
      </c>
      <c r="U22" s="158">
        <f>+T22-T22*0.17</f>
        <v>1162</v>
      </c>
      <c r="V22" s="158">
        <v>10</v>
      </c>
      <c r="W22" s="158">
        <f>+T22*V22</f>
        <v>14000</v>
      </c>
      <c r="X22" s="158">
        <f>+U22*V22</f>
        <v>11620</v>
      </c>
    </row>
    <row r="23" spans="1:24" ht="13.5" thickBot="1">
      <c r="A23" s="1031"/>
      <c r="B23" s="177" t="s">
        <v>2</v>
      </c>
      <c r="C23" s="109">
        <f>SUM(C16:C22)</f>
        <v>20737</v>
      </c>
      <c r="D23" s="120">
        <f>SUM(D16:D22)</f>
        <v>0</v>
      </c>
      <c r="E23" s="121">
        <f>SUM(E18:E22)</f>
        <v>0</v>
      </c>
      <c r="F23" s="125">
        <f>SUM(F15:F22)</f>
        <v>13</v>
      </c>
      <c r="G23" s="168"/>
      <c r="H23" s="175" t="s">
        <v>234</v>
      </c>
      <c r="I23" s="178"/>
      <c r="J23" s="223">
        <f>+'2'!J23</f>
        <v>0</v>
      </c>
      <c r="K23" s="247"/>
      <c r="L23" s="247"/>
      <c r="M23" s="126">
        <f>+K23+'2'!M23+L23</f>
        <v>0</v>
      </c>
      <c r="V23" s="158">
        <f>+V21+V22</f>
        <v>65</v>
      </c>
      <c r="W23" s="158">
        <f>+W21+W22</f>
        <v>91000</v>
      </c>
      <c r="X23" s="158">
        <f>+X21+X22</f>
        <v>75145</v>
      </c>
    </row>
    <row r="24" spans="1:24" ht="13.5" customHeight="1" thickBot="1">
      <c r="A24" s="1035" t="s">
        <v>468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477</v>
      </c>
      <c r="J24" s="223">
        <f>+'2'!J24</f>
        <v>0</v>
      </c>
      <c r="K24" s="247"/>
      <c r="L24" s="247"/>
      <c r="M24" s="126">
        <f>+K24+'2'!M24+L24</f>
        <v>0</v>
      </c>
      <c r="W24" s="158">
        <f>+W23/V23</f>
        <v>1400</v>
      </c>
      <c r="X24" s="158">
        <f>+X23/V23</f>
        <v>1156.0769230769231</v>
      </c>
    </row>
    <row r="25" spans="1:24" ht="13.5" thickBot="1">
      <c r="A25" s="1030"/>
      <c r="B25" s="224" t="s">
        <v>489</v>
      </c>
      <c r="C25" s="234">
        <v>20191</v>
      </c>
      <c r="D25" s="226"/>
      <c r="E25" s="233"/>
      <c r="F25" s="239">
        <v>3</v>
      </c>
      <c r="G25" s="240" t="s">
        <v>11</v>
      </c>
      <c r="H25" s="238" t="s">
        <v>452</v>
      </c>
      <c r="I25" s="1033"/>
      <c r="J25" s="223">
        <f>+'2'!J25</f>
        <v>0</v>
      </c>
      <c r="K25" s="247"/>
      <c r="L25" s="247"/>
      <c r="M25" s="126">
        <f>+K25+'2'!M25+L25</f>
        <v>0</v>
      </c>
    </row>
    <row r="26" spans="1:24" ht="13.5" thickBot="1">
      <c r="A26" s="1030"/>
      <c r="B26" s="224"/>
      <c r="C26" s="234"/>
      <c r="D26" s="226"/>
      <c r="E26" s="235"/>
      <c r="F26" s="239">
        <v>10</v>
      </c>
      <c r="G26" s="240" t="s">
        <v>11</v>
      </c>
      <c r="H26" s="614" t="s">
        <v>483</v>
      </c>
      <c r="I26" s="1033"/>
      <c r="J26" s="223">
        <f>+'2'!J26</f>
        <v>0</v>
      </c>
      <c r="K26" s="247"/>
      <c r="L26" s="247"/>
      <c r="M26" s="126">
        <f>+K26+'2'!M26+L26</f>
        <v>0</v>
      </c>
    </row>
    <row r="27" spans="1:24" ht="13.5" thickBot="1">
      <c r="A27" s="1030"/>
      <c r="B27" s="224"/>
      <c r="C27" s="225"/>
      <c r="D27" s="226"/>
      <c r="E27" s="233"/>
      <c r="F27" s="239"/>
      <c r="G27" s="240"/>
      <c r="H27" s="614" t="s">
        <v>470</v>
      </c>
      <c r="I27" s="1033"/>
      <c r="J27" s="223">
        <f>+'2'!J27</f>
        <v>0</v>
      </c>
      <c r="K27" s="247"/>
      <c r="L27" s="247"/>
      <c r="M27" s="126">
        <f>+K27+'2'!M27+L27</f>
        <v>0</v>
      </c>
    </row>
    <row r="28" spans="1:24" ht="13.5" thickBot="1">
      <c r="A28" s="1030"/>
      <c r="B28" s="224"/>
      <c r="C28" s="225"/>
      <c r="D28" s="226"/>
      <c r="E28" s="233"/>
      <c r="F28" s="239"/>
      <c r="G28" s="240"/>
      <c r="H28" s="241" t="s">
        <v>476</v>
      </c>
      <c r="I28" s="1033"/>
      <c r="J28" s="223">
        <f>+'2'!J28</f>
        <v>0</v>
      </c>
      <c r="K28" s="247"/>
      <c r="L28" s="247"/>
      <c r="M28" s="126">
        <f>+K28+'2'!M28+L28</f>
        <v>0</v>
      </c>
    </row>
    <row r="29" spans="1:24" ht="13.5" thickBot="1">
      <c r="A29" s="1030"/>
      <c r="B29" s="224"/>
      <c r="C29" s="225"/>
      <c r="D29" s="226"/>
      <c r="E29" s="233"/>
      <c r="F29" s="244"/>
      <c r="G29" s="240"/>
      <c r="H29" s="241"/>
      <c r="I29" s="1033"/>
      <c r="J29" s="223">
        <f>+'2'!J29</f>
        <v>0</v>
      </c>
      <c r="K29" s="247"/>
      <c r="L29" s="247"/>
      <c r="M29" s="126">
        <f>+K29+'2'!M29+L29</f>
        <v>0</v>
      </c>
    </row>
    <row r="30" spans="1:24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+'2'!J30</f>
        <v>0</v>
      </c>
      <c r="K30" s="247"/>
      <c r="L30" s="247"/>
      <c r="M30" s="126">
        <f>+K30+'2'!M30+L30</f>
        <v>0</v>
      </c>
      <c r="N30" s="164"/>
    </row>
    <row r="31" spans="1:24" ht="13.5" thickBot="1">
      <c r="A31" s="1030"/>
      <c r="B31" s="224"/>
      <c r="C31" s="234"/>
      <c r="D31" s="226"/>
      <c r="E31" s="233"/>
      <c r="F31" s="244"/>
      <c r="G31" s="245"/>
      <c r="H31" s="464"/>
      <c r="I31" s="1034"/>
      <c r="J31" s="223">
        <f>+'2'!J31</f>
        <v>0</v>
      </c>
      <c r="K31" s="247"/>
      <c r="L31" s="247"/>
      <c r="M31" s="126">
        <f>+K31+'2'!M31+L31</f>
        <v>0</v>
      </c>
    </row>
    <row r="32" spans="1:24" ht="13.5" thickBot="1">
      <c r="A32" s="1031"/>
      <c r="B32" s="174" t="s">
        <v>2</v>
      </c>
      <c r="C32" s="108">
        <f>SUM(C25:C31)</f>
        <v>20191</v>
      </c>
      <c r="D32" s="109">
        <f>SUM(D25:D31)</f>
        <v>0</v>
      </c>
      <c r="E32" s="110">
        <f>SUM(E25:E31)</f>
        <v>0</v>
      </c>
      <c r="F32" s="111">
        <f>SUM(F24:F31)</f>
        <v>13</v>
      </c>
      <c r="G32" s="180"/>
      <c r="H32" s="181"/>
      <c r="I32" s="178"/>
      <c r="J32" s="223">
        <f>+'2'!J32</f>
        <v>0</v>
      </c>
      <c r="K32" s="249"/>
      <c r="L32" s="251"/>
      <c r="M32" s="126">
        <f>+K32+'2'!M32+L32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63481</v>
      </c>
      <c r="D34" s="116">
        <f>D14+D23+D32</f>
        <v>0</v>
      </c>
      <c r="E34" s="116">
        <f>E14+E23+E32</f>
        <v>0</v>
      </c>
      <c r="F34" s="117">
        <f>F14+F23+F32</f>
        <v>37</v>
      </c>
      <c r="H34" s="187"/>
      <c r="I34" s="187"/>
      <c r="J34" s="132" t="s">
        <v>27</v>
      </c>
      <c r="K34" s="133">
        <f>SUM(K7:K32)</f>
        <v>63481</v>
      </c>
      <c r="L34" s="221">
        <f>SUM(L7:L32)</f>
        <v>0</v>
      </c>
      <c r="M34" s="129">
        <f>SUM(M7:M32)</f>
        <v>191154</v>
      </c>
      <c r="N34" s="164"/>
    </row>
    <row r="35" spans="1:14" ht="13.5" thickBot="1">
      <c r="A35" s="188"/>
      <c r="B35" s="189"/>
      <c r="C35" s="113">
        <f>C34/($C$34+$D$34+$E$34)</f>
        <v>1</v>
      </c>
      <c r="D35" s="113">
        <f>D34/($C$34+$D$34+$E$34)</f>
        <v>0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  <c r="N36" s="556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7"/>
      <c r="H37" s="195" t="s">
        <v>62</v>
      </c>
      <c r="I37" s="252">
        <f>(12.5*1440)/1440*G42*2.77*1440/1000000</f>
        <v>64.419120000000007</v>
      </c>
      <c r="J37" s="134">
        <f>+I37+'2'!J37</f>
        <v>201.99741358</v>
      </c>
      <c r="K37" s="135" t="s">
        <v>63</v>
      </c>
      <c r="N37" s="556"/>
    </row>
    <row r="38" spans="1:14" ht="17.45" customHeight="1">
      <c r="A38" s="1027" t="s">
        <v>11</v>
      </c>
      <c r="B38" s="1028"/>
      <c r="C38" s="173">
        <f>SUMIF($G$7:$G$31,"Process",$F$7:$F$31)</f>
        <v>37</v>
      </c>
      <c r="D38" s="127">
        <f>+C38+'2'!D38</f>
        <v>121</v>
      </c>
      <c r="E38" s="152">
        <f t="shared" ref="E38:E51" si="0">D38/60</f>
        <v>2.0166666666666666</v>
      </c>
      <c r="F38" s="337">
        <v>1700</v>
      </c>
      <c r="G38" s="337">
        <f>+F38-F38*0.24</f>
        <v>1292</v>
      </c>
      <c r="H38" s="196" t="s">
        <v>64</v>
      </c>
      <c r="I38" s="548">
        <f>19.584+20.998+21.012</f>
        <v>61.594000000000001</v>
      </c>
      <c r="J38" s="136">
        <f>+I38+'2'!J38</f>
        <v>196.50599999999997</v>
      </c>
      <c r="K38" s="137" t="s">
        <v>63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+C39+'2'!D39</f>
        <v>0</v>
      </c>
      <c r="E39" s="152">
        <f t="shared" si="0"/>
        <v>0</v>
      </c>
      <c r="F39" s="337">
        <v>1700</v>
      </c>
      <c r="G39" s="337">
        <f>+F39-F39*0.24</f>
        <v>1292</v>
      </c>
      <c r="H39" s="196" t="s">
        <v>65</v>
      </c>
      <c r="I39" s="151"/>
      <c r="J39" s="138">
        <f>J37/G4</f>
        <v>67.332471193333333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+C40+'2'!D40</f>
        <v>0</v>
      </c>
      <c r="E40" s="152">
        <f t="shared" si="0"/>
        <v>0</v>
      </c>
      <c r="F40" s="337">
        <v>1700</v>
      </c>
      <c r="G40" s="337">
        <f>+F40-F40*0.24</f>
        <v>1292</v>
      </c>
      <c r="H40" s="196" t="s">
        <v>67</v>
      </c>
      <c r="I40" s="127">
        <f>(K34+L34)/1000</f>
        <v>63.481000000000002</v>
      </c>
      <c r="J40" s="140">
        <f>+I40+'2'!J40</f>
        <v>191.154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+C41+'2'!D41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63.717999999999996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+C42+'2'!D42</f>
        <v>0</v>
      </c>
      <c r="E42" s="152">
        <f t="shared" si="0"/>
        <v>0</v>
      </c>
      <c r="F42" s="337">
        <f>+(F38*480+F39*480+F40*480)/1440</f>
        <v>1700</v>
      </c>
      <c r="G42" s="337">
        <f>+(G38*480+G39*480+G40*480)/1440</f>
        <v>1292</v>
      </c>
      <c r="H42" s="196" t="s">
        <v>70</v>
      </c>
      <c r="I42" s="254" t="s">
        <v>477</v>
      </c>
      <c r="J42" s="141"/>
      <c r="K42" s="139" t="s">
        <v>71</v>
      </c>
    </row>
    <row r="43" spans="1:14" ht="17.45" customHeight="1">
      <c r="A43" s="1023" t="s">
        <v>203</v>
      </c>
      <c r="B43" s="1024"/>
      <c r="C43" s="173">
        <f>SUMIF($G$7:$G$31,"Change Grade",$F$7:$F$31)</f>
        <v>0</v>
      </c>
      <c r="D43" s="127">
        <f>+C43+'2'!D43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+Report1!T11</f>
        <v>134.74599999999998</v>
      </c>
      <c r="J43" s="142">
        <f>+I43+'2'!J43</f>
        <v>422.572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+C44+'2'!D44</f>
        <v>0</v>
      </c>
      <c r="E44" s="152">
        <f t="shared" si="0"/>
        <v>0</v>
      </c>
      <c r="F44" s="337"/>
      <c r="G44" s="338"/>
      <c r="H44" s="197" t="s">
        <v>74</v>
      </c>
      <c r="I44" s="127">
        <f>I43/I38</f>
        <v>2.1876481475468386</v>
      </c>
      <c r="J44" s="143">
        <f>J43/J38</f>
        <v>2.1504279767538907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+C45+'2'!D45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2.1226193664245989</v>
      </c>
      <c r="J45" s="143">
        <f>J43/J40</f>
        <v>2.2106364501919917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+C46+'2'!D46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+SUMIF(Listrik!AR10,"&gt;0")</f>
        <v>55092.219999999499</v>
      </c>
      <c r="J46" s="144">
        <f>+I46+'2'!J46</f>
        <v>171328.66000000076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+C47+'2'!D47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894.44134168911739</v>
      </c>
      <c r="J47" s="144">
        <f>J46/J38</f>
        <v>871.87495547210153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+C48+'2'!D48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867.85368850521411</v>
      </c>
      <c r="J48" s="144">
        <f>J46/J40</f>
        <v>896.2860311581278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+C49+'2'!D49</f>
        <v>0</v>
      </c>
      <c r="E49" s="152">
        <f t="shared" si="0"/>
        <v>0</v>
      </c>
      <c r="F49" s="194"/>
      <c r="H49" s="197" t="s">
        <v>185</v>
      </c>
      <c r="I49" s="127">
        <v>0</v>
      </c>
      <c r="J49" s="144">
        <f>+I49+'2'!J49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+C50+'2'!D50</f>
        <v>0</v>
      </c>
      <c r="E50" s="152">
        <f t="shared" si="0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+C51+'2'!D51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37</v>
      </c>
      <c r="D52" s="153">
        <f>SUM(D38:D51)</f>
        <v>121</v>
      </c>
      <c r="E52" s="154">
        <f>SUM(E38:E51)</f>
        <v>2.0166666666666666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2.5694444444444443E-2</v>
      </c>
      <c r="D53" s="155">
        <f>D52/(24*60*G4)</f>
        <v>2.8009259259259258E-2</v>
      </c>
      <c r="E53" s="156">
        <f>E52/(G4*24)</f>
        <v>2.8009259259259258E-2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+D34+'2'!J56</f>
        <v>0</v>
      </c>
      <c r="K56" s="210">
        <f>J56/(J40+J56/1000)/1000</f>
        <v>0</v>
      </c>
    </row>
    <row r="57" spans="1:11">
      <c r="A57" s="185"/>
      <c r="I57" s="208" t="s">
        <v>89</v>
      </c>
      <c r="J57" s="209">
        <f>+E34+'2'!J57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7" right="0.16" top="0.17" bottom="0.16" header="0" footer="0"/>
  <pageSetup paperSize="9" scale="62" firstPageNumber="4294963191" orientation="landscape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61"/>
  <sheetViews>
    <sheetView view="pageBreakPreview" zoomScale="80" zoomScaleNormal="75" zoomScaleSheetLayoutView="80" workbookViewId="0">
      <selection activeCell="N39" sqref="N39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4" style="119" bestFit="1" customWidth="1"/>
    <col min="7" max="7" width="15.140625" style="158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4" style="158" bestFit="1" customWidth="1"/>
    <col min="12" max="12" width="8.28515625" style="158" customWidth="1"/>
    <col min="13" max="13" width="14.42578125" style="158" bestFit="1" customWidth="1"/>
    <col min="14" max="16384" width="9.140625" style="158"/>
  </cols>
  <sheetData>
    <row r="1" spans="1:18" ht="15.75">
      <c r="A1" s="157"/>
    </row>
    <row r="2" spans="1:18" ht="15.75">
      <c r="A2" s="157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2</v>
      </c>
      <c r="H4" s="163" t="str">
        <f>+'1'!H4</f>
        <v>.06.24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185+204+191</f>
        <v>580</v>
      </c>
    </row>
    <row r="7" spans="1:18" ht="13.5" customHeight="1" thickBot="1">
      <c r="A7" s="1029" t="s">
        <v>433</v>
      </c>
      <c r="B7" s="224" t="s">
        <v>457</v>
      </c>
      <c r="C7" s="225">
        <v>23787</v>
      </c>
      <c r="D7" s="226"/>
      <c r="E7" s="227"/>
      <c r="F7" s="236"/>
      <c r="G7" s="237" t="s">
        <v>11</v>
      </c>
      <c r="H7" s="238" t="s">
        <v>277</v>
      </c>
      <c r="I7" s="1032" t="s">
        <v>481</v>
      </c>
      <c r="J7" s="223" t="str">
        <f>+'1'!J7</f>
        <v>T 14 VP OW</v>
      </c>
      <c r="K7" s="246"/>
      <c r="L7" s="250"/>
      <c r="M7" s="126">
        <f>+K7+'1'!M7+L7</f>
        <v>59500</v>
      </c>
    </row>
    <row r="8" spans="1:18" ht="13.5" thickBot="1">
      <c r="A8" s="1030"/>
      <c r="B8" s="224"/>
      <c r="C8" s="225"/>
      <c r="D8" s="226"/>
      <c r="E8" s="228"/>
      <c r="F8" s="239">
        <v>3</v>
      </c>
      <c r="G8" s="240" t="s">
        <v>11</v>
      </c>
      <c r="H8" s="238" t="s">
        <v>452</v>
      </c>
      <c r="I8" s="1033"/>
      <c r="J8" s="223" t="str">
        <f>+'1'!J8</f>
        <v>T 15 VP OW</v>
      </c>
      <c r="K8" s="247">
        <f>+C7+C16</f>
        <v>33990</v>
      </c>
      <c r="L8" s="247"/>
      <c r="M8" s="126">
        <f>+K8+'1'!M8+L8</f>
        <v>37584</v>
      </c>
      <c r="N8" s="158">
        <v>1680</v>
      </c>
      <c r="O8" s="158">
        <f>+N8-N8*0.24</f>
        <v>1276.8</v>
      </c>
      <c r="P8" s="158">
        <v>480</v>
      </c>
      <c r="Q8" s="158">
        <f>+N8*P8</f>
        <v>806400</v>
      </c>
      <c r="R8" s="158">
        <f>+O8*P8</f>
        <v>612864</v>
      </c>
    </row>
    <row r="9" spans="1:18" ht="13.5" thickBot="1">
      <c r="A9" s="1030"/>
      <c r="B9" s="224"/>
      <c r="C9" s="225"/>
      <c r="D9" s="226"/>
      <c r="E9" s="229"/>
      <c r="F9" s="236">
        <v>10</v>
      </c>
      <c r="G9" s="240" t="s">
        <v>11</v>
      </c>
      <c r="H9" s="614" t="s">
        <v>483</v>
      </c>
      <c r="I9" s="1033"/>
      <c r="J9" s="223" t="s">
        <v>489</v>
      </c>
      <c r="K9" s="247">
        <f>+C17+C25</f>
        <v>30589</v>
      </c>
      <c r="L9" s="247"/>
      <c r="M9" s="126">
        <f>+K9+'1'!M9+L9</f>
        <v>30589</v>
      </c>
      <c r="N9" s="158">
        <v>1650</v>
      </c>
      <c r="O9" s="158">
        <f>+N9-N9*0.24</f>
        <v>1254</v>
      </c>
      <c r="P9" s="158">
        <f>60+20</f>
        <v>80</v>
      </c>
      <c r="Q9" s="158">
        <f>+N9*P9</f>
        <v>132000</v>
      </c>
      <c r="R9" s="158">
        <f>+O9*P9</f>
        <v>100320</v>
      </c>
    </row>
    <row r="10" spans="1:18" ht="13.5" thickBot="1">
      <c r="A10" s="1030"/>
      <c r="B10" s="224"/>
      <c r="C10" s="225"/>
      <c r="D10" s="226"/>
      <c r="E10" s="228"/>
      <c r="F10" s="236"/>
      <c r="G10" s="240"/>
      <c r="H10" s="614" t="s">
        <v>478</v>
      </c>
      <c r="I10" s="1033"/>
      <c r="J10" s="223">
        <f>+'1'!J10</f>
        <v>0</v>
      </c>
      <c r="K10" s="247"/>
      <c r="L10" s="247"/>
      <c r="M10" s="126">
        <f>+K10+'1'!M10+L10</f>
        <v>0</v>
      </c>
      <c r="P10" s="158">
        <f>SUM(P8:P9)</f>
        <v>560</v>
      </c>
      <c r="Q10" s="158">
        <f>SUM(Q8:Q9)</f>
        <v>938400</v>
      </c>
      <c r="R10" s="158">
        <f>SUM(R8:R9)</f>
        <v>713184</v>
      </c>
    </row>
    <row r="11" spans="1:18" ht="13.5" thickBot="1">
      <c r="A11" s="1030"/>
      <c r="B11" s="224"/>
      <c r="C11" s="225"/>
      <c r="D11" s="226"/>
      <c r="E11" s="228"/>
      <c r="F11" s="236"/>
      <c r="G11" s="240"/>
      <c r="H11" s="241"/>
      <c r="I11" s="1033"/>
      <c r="J11" s="223">
        <f>+'1'!J11</f>
        <v>0</v>
      </c>
      <c r="K11" s="247"/>
      <c r="L11" s="247"/>
      <c r="M11" s="126">
        <f>+K11+'1'!M11+L11</f>
        <v>0</v>
      </c>
      <c r="Q11" s="158">
        <f>+Q10/P10</f>
        <v>1675.7142857142858</v>
      </c>
      <c r="R11" s="158">
        <f>+R10/P10</f>
        <v>1273.5428571428572</v>
      </c>
    </row>
    <row r="12" spans="1:18" ht="13.5" thickBot="1">
      <c r="A12" s="1030"/>
      <c r="B12" s="224"/>
      <c r="C12" s="225"/>
      <c r="D12" s="226"/>
      <c r="E12" s="228"/>
      <c r="F12" s="236"/>
      <c r="G12" s="240"/>
      <c r="H12" s="241"/>
      <c r="I12" s="1033"/>
      <c r="J12" s="223">
        <f>+'1'!J12</f>
        <v>0</v>
      </c>
      <c r="K12" s="247"/>
      <c r="L12" s="247"/>
      <c r="M12" s="126">
        <f>+K12+'1'!M12+L12</f>
        <v>0</v>
      </c>
    </row>
    <row r="13" spans="1:18" ht="13.5" thickBot="1">
      <c r="A13" s="1030"/>
      <c r="B13" s="224"/>
      <c r="C13" s="225"/>
      <c r="D13" s="225"/>
      <c r="E13" s="228"/>
      <c r="F13" s="236"/>
      <c r="G13" s="240"/>
      <c r="H13" s="241"/>
      <c r="I13" s="1034"/>
      <c r="J13" s="223">
        <f>+'1'!J13</f>
        <v>0</v>
      </c>
      <c r="K13" s="247"/>
      <c r="L13" s="247"/>
      <c r="M13" s="126">
        <f>+K13+'1'!M13+L13</f>
        <v>0</v>
      </c>
    </row>
    <row r="14" spans="1:18" ht="13.5" thickBot="1">
      <c r="A14" s="1031"/>
      <c r="B14" s="174" t="s">
        <v>2</v>
      </c>
      <c r="C14" s="108">
        <f>SUM(C7:C13)</f>
        <v>23787</v>
      </c>
      <c r="D14" s="120">
        <f>SUM(D7:D13)</f>
        <v>0</v>
      </c>
      <c r="E14" s="121">
        <f>SUM(E5:E13)</f>
        <v>0</v>
      </c>
      <c r="F14" s="125">
        <f>SUM(F7:F13)</f>
        <v>13</v>
      </c>
      <c r="G14" s="168"/>
      <c r="H14" s="175"/>
      <c r="I14" s="176"/>
      <c r="J14" s="223">
        <f>+'1'!J14</f>
        <v>0</v>
      </c>
      <c r="K14" s="247"/>
      <c r="L14" s="247"/>
      <c r="M14" s="126">
        <f>+K14+'1'!M14+L14</f>
        <v>0</v>
      </c>
    </row>
    <row r="15" spans="1:18" ht="13.5" customHeight="1" thickBot="1">
      <c r="A15" s="1035" t="s">
        <v>434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480</v>
      </c>
      <c r="J15" s="223">
        <f>+'1'!J15</f>
        <v>0</v>
      </c>
      <c r="K15" s="247"/>
      <c r="L15" s="247"/>
      <c r="M15" s="126">
        <f>+K15+'1'!M15+L15</f>
        <v>0</v>
      </c>
    </row>
    <row r="16" spans="1:18" ht="13.5" thickBot="1">
      <c r="A16" s="1030"/>
      <c r="B16" s="224" t="s">
        <v>457</v>
      </c>
      <c r="C16" s="230">
        <f>835+9368</f>
        <v>10203</v>
      </c>
      <c r="D16" s="231"/>
      <c r="E16" s="232"/>
      <c r="F16" s="236">
        <v>3</v>
      </c>
      <c r="G16" s="240" t="s">
        <v>11</v>
      </c>
      <c r="H16" s="238" t="s">
        <v>452</v>
      </c>
      <c r="I16" s="1033"/>
      <c r="J16" s="223">
        <f>+'1'!J16</f>
        <v>0</v>
      </c>
      <c r="K16" s="237"/>
      <c r="L16" s="237"/>
      <c r="M16" s="126">
        <f>+K16+'1'!M16+L16</f>
        <v>0</v>
      </c>
      <c r="N16" s="158">
        <v>1650</v>
      </c>
      <c r="O16" s="158">
        <f>+N16-N16*0.24</f>
        <v>1254</v>
      </c>
      <c r="P16" s="158">
        <v>80</v>
      </c>
      <c r="Q16" s="158">
        <f>+N16*P16</f>
        <v>132000</v>
      </c>
      <c r="R16" s="158">
        <f>+O16*P16</f>
        <v>100320</v>
      </c>
    </row>
    <row r="17" spans="1:18" ht="13.5" thickBot="1">
      <c r="A17" s="1030"/>
      <c r="B17" s="224" t="s">
        <v>489</v>
      </c>
      <c r="C17" s="225">
        <f>802+11146</f>
        <v>11948</v>
      </c>
      <c r="D17" s="226"/>
      <c r="E17" s="233"/>
      <c r="F17" s="236">
        <v>3</v>
      </c>
      <c r="G17" s="240" t="s">
        <v>11</v>
      </c>
      <c r="H17" s="614" t="s">
        <v>453</v>
      </c>
      <c r="I17" s="1033"/>
      <c r="J17" s="223">
        <f>+'1'!J17</f>
        <v>0</v>
      </c>
      <c r="K17" s="237"/>
      <c r="L17" s="237"/>
      <c r="M17" s="126">
        <f>+K17+'1'!M17+L17</f>
        <v>0</v>
      </c>
      <c r="N17" s="158">
        <v>1680</v>
      </c>
      <c r="O17" s="158">
        <f>+N17-N17*0.24</f>
        <v>1276.8</v>
      </c>
      <c r="P17" s="158">
        <v>400</v>
      </c>
      <c r="Q17" s="158">
        <f>+N17*P17</f>
        <v>672000</v>
      </c>
      <c r="R17" s="158">
        <f>+O17*P17</f>
        <v>510720</v>
      </c>
    </row>
    <row r="18" spans="1:18" ht="13.5" thickBot="1">
      <c r="A18" s="1030"/>
      <c r="B18" s="224"/>
      <c r="C18" s="225"/>
      <c r="D18" s="226"/>
      <c r="E18" s="233"/>
      <c r="F18" s="236"/>
      <c r="G18" s="240"/>
      <c r="H18" s="614" t="s">
        <v>469</v>
      </c>
      <c r="I18" s="1033"/>
      <c r="J18" s="223">
        <f>+'1'!J18</f>
        <v>0</v>
      </c>
      <c r="K18" s="247"/>
      <c r="L18" s="247"/>
      <c r="M18" s="126">
        <f>+K18+'1'!M18+L18</f>
        <v>0</v>
      </c>
      <c r="P18" s="158">
        <f>SUM(P16:P17)</f>
        <v>480</v>
      </c>
      <c r="Q18" s="158">
        <f>SUM(Q16:Q17)</f>
        <v>804000</v>
      </c>
      <c r="R18" s="158">
        <f>SUM(R16:R17)</f>
        <v>611040</v>
      </c>
    </row>
    <row r="19" spans="1:18" ht="13.5" thickBot="1">
      <c r="A19" s="1030"/>
      <c r="B19" s="224"/>
      <c r="C19" s="225"/>
      <c r="D19" s="226"/>
      <c r="E19" s="233"/>
      <c r="F19" s="243">
        <v>5</v>
      </c>
      <c r="G19" s="240" t="s">
        <v>11</v>
      </c>
      <c r="H19" s="241" t="s">
        <v>479</v>
      </c>
      <c r="I19" s="1033"/>
      <c r="J19" s="223">
        <f>+'1'!J19</f>
        <v>0</v>
      </c>
      <c r="K19" s="247"/>
      <c r="L19" s="247"/>
      <c r="M19" s="126">
        <f>+K19+'1'!M19+L19</f>
        <v>0</v>
      </c>
      <c r="Q19" s="158">
        <f>+Q18/P18</f>
        <v>1675</v>
      </c>
      <c r="R19" s="158">
        <f>+R18/P18</f>
        <v>1273</v>
      </c>
    </row>
    <row r="20" spans="1:18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23">
        <f>+'1'!J20</f>
        <v>0</v>
      </c>
      <c r="K20" s="248"/>
      <c r="L20" s="248"/>
      <c r="M20" s="126">
        <f>+K20+'1'!M20+L20</f>
        <v>0</v>
      </c>
    </row>
    <row r="21" spans="1:18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23">
        <f>+'1'!J21</f>
        <v>0</v>
      </c>
      <c r="K21" s="247"/>
      <c r="L21" s="247"/>
      <c r="M21" s="126">
        <f>+K21+'1'!M21+L21</f>
        <v>0</v>
      </c>
    </row>
    <row r="22" spans="1:18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23">
        <f>+'1'!J22</f>
        <v>0</v>
      </c>
      <c r="K22" s="247"/>
      <c r="L22" s="247"/>
      <c r="M22" s="126">
        <f>+K22+'1'!M22+L22</f>
        <v>0</v>
      </c>
    </row>
    <row r="23" spans="1:18" ht="13.5" thickBot="1">
      <c r="A23" s="1031"/>
      <c r="B23" s="177" t="s">
        <v>2</v>
      </c>
      <c r="C23" s="109">
        <f>SUM(C16:C22)</f>
        <v>22151</v>
      </c>
      <c r="D23" s="120">
        <f>SUM(D16:D22)</f>
        <v>0</v>
      </c>
      <c r="E23" s="121">
        <f>SUM(E18:E22)</f>
        <v>0</v>
      </c>
      <c r="F23" s="125">
        <f>SUM(F15:F22)</f>
        <v>11</v>
      </c>
      <c r="G23" s="168"/>
      <c r="H23" s="175" t="s">
        <v>234</v>
      </c>
      <c r="I23" s="178"/>
      <c r="J23" s="223">
        <f>+'1'!J23</f>
        <v>0</v>
      </c>
      <c r="K23" s="247"/>
      <c r="L23" s="247"/>
      <c r="M23" s="126">
        <f>+K23+'1'!M23+L23</f>
        <v>0</v>
      </c>
    </row>
    <row r="24" spans="1:18" ht="13.5" customHeight="1" thickBot="1">
      <c r="A24" s="1035" t="s">
        <v>468</v>
      </c>
      <c r="B24" s="179"/>
      <c r="C24" s="122"/>
      <c r="D24" s="123"/>
      <c r="E24" s="124"/>
      <c r="F24" s="244"/>
      <c r="G24" s="237" t="s">
        <v>11</v>
      </c>
      <c r="H24" s="238" t="s">
        <v>277</v>
      </c>
      <c r="I24" s="1032" t="s">
        <v>477</v>
      </c>
      <c r="J24" s="223">
        <f>+'1'!J24</f>
        <v>0</v>
      </c>
      <c r="K24" s="247"/>
      <c r="L24" s="247"/>
      <c r="M24" s="126">
        <f>+K24+'1'!M24+L24</f>
        <v>0</v>
      </c>
    </row>
    <row r="25" spans="1:18" ht="13.5" thickBot="1">
      <c r="A25" s="1030"/>
      <c r="B25" s="224" t="s">
        <v>489</v>
      </c>
      <c r="C25" s="234">
        <v>18641</v>
      </c>
      <c r="D25" s="226"/>
      <c r="E25" s="233"/>
      <c r="F25" s="239">
        <v>5</v>
      </c>
      <c r="G25" s="240" t="s">
        <v>11</v>
      </c>
      <c r="H25" s="238" t="s">
        <v>484</v>
      </c>
      <c r="I25" s="1033"/>
      <c r="J25" s="223">
        <f>+'1'!J25</f>
        <v>0</v>
      </c>
      <c r="K25" s="247"/>
      <c r="L25" s="247"/>
      <c r="M25" s="126">
        <f>+K25+'1'!M25+L25</f>
        <v>0</v>
      </c>
      <c r="N25" s="158">
        <v>1680</v>
      </c>
      <c r="O25" s="158">
        <f>+N25-N25*0.24</f>
        <v>1276.8</v>
      </c>
      <c r="P25" s="158">
        <v>400</v>
      </c>
      <c r="Q25" s="158">
        <f>+N25*P25</f>
        <v>672000</v>
      </c>
      <c r="R25" s="158">
        <f>+O25*P25</f>
        <v>510720</v>
      </c>
    </row>
    <row r="26" spans="1:18" ht="13.5" thickBot="1">
      <c r="A26" s="1030"/>
      <c r="B26" s="224"/>
      <c r="C26" s="234"/>
      <c r="D26" s="226"/>
      <c r="E26" s="235"/>
      <c r="F26" s="239">
        <v>7</v>
      </c>
      <c r="G26" s="240" t="s">
        <v>11</v>
      </c>
      <c r="H26" s="614" t="s">
        <v>451</v>
      </c>
      <c r="I26" s="1033"/>
      <c r="J26" s="223">
        <f>+'1'!J26</f>
        <v>0</v>
      </c>
      <c r="K26" s="247"/>
      <c r="L26" s="247"/>
      <c r="M26" s="126">
        <f>+K26+'1'!M26+L26</f>
        <v>0</v>
      </c>
      <c r="N26" s="158">
        <v>1700</v>
      </c>
      <c r="O26" s="158">
        <f>+N26-N26*0.24</f>
        <v>1292</v>
      </c>
      <c r="P26" s="158">
        <v>480</v>
      </c>
      <c r="Q26" s="158">
        <f>+N26*P26</f>
        <v>816000</v>
      </c>
      <c r="R26" s="158">
        <f>+O26*P26</f>
        <v>620160</v>
      </c>
    </row>
    <row r="27" spans="1:18" ht="13.5" thickBot="1">
      <c r="A27" s="1030"/>
      <c r="B27" s="224"/>
      <c r="C27" s="225"/>
      <c r="D27" s="226"/>
      <c r="E27" s="233"/>
      <c r="F27" s="239"/>
      <c r="G27" s="240"/>
      <c r="H27" s="614" t="s">
        <v>470</v>
      </c>
      <c r="I27" s="1033"/>
      <c r="J27" s="223">
        <f>+'1'!J27</f>
        <v>0</v>
      </c>
      <c r="K27" s="247"/>
      <c r="L27" s="247"/>
      <c r="M27" s="126">
        <f>+K27+'1'!M27+L27</f>
        <v>0</v>
      </c>
      <c r="P27" s="158">
        <f>SUM(P25:P26)</f>
        <v>880</v>
      </c>
      <c r="Q27" s="158">
        <f>SUM(Q25:Q26)</f>
        <v>1488000</v>
      </c>
      <c r="R27" s="158">
        <f>SUM(R25:R26)</f>
        <v>1130880</v>
      </c>
    </row>
    <row r="28" spans="1:18" ht="39" thickBot="1">
      <c r="A28" s="1030"/>
      <c r="B28" s="224"/>
      <c r="C28" s="225"/>
      <c r="D28" s="226"/>
      <c r="E28" s="233"/>
      <c r="F28" s="239"/>
      <c r="G28" s="240"/>
      <c r="H28" s="241" t="s">
        <v>471</v>
      </c>
      <c r="I28" s="1033"/>
      <c r="J28" s="223">
        <f>+'1'!J28</f>
        <v>0</v>
      </c>
      <c r="K28" s="247"/>
      <c r="L28" s="247"/>
      <c r="M28" s="126">
        <f>+K28+'1'!M28+L28</f>
        <v>0</v>
      </c>
      <c r="Q28" s="158">
        <f>+Q27/P27</f>
        <v>1690.909090909091</v>
      </c>
      <c r="R28" s="158">
        <f>+R27/P27</f>
        <v>1285.090909090909</v>
      </c>
    </row>
    <row r="29" spans="1:18" ht="13.5" thickBot="1">
      <c r="A29" s="1030"/>
      <c r="B29" s="224"/>
      <c r="C29" s="225"/>
      <c r="D29" s="226"/>
      <c r="E29" s="233"/>
      <c r="F29" s="244"/>
      <c r="G29" s="240"/>
      <c r="H29" s="241" t="s">
        <v>472</v>
      </c>
      <c r="I29" s="1033"/>
      <c r="J29" s="223">
        <f>+'1'!J29</f>
        <v>0</v>
      </c>
      <c r="K29" s="247"/>
      <c r="L29" s="247"/>
      <c r="M29" s="126">
        <f>+K29+'1'!M29+L29</f>
        <v>0</v>
      </c>
    </row>
    <row r="30" spans="1:18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23">
        <f>+'1'!J30</f>
        <v>0</v>
      </c>
      <c r="K30" s="247"/>
      <c r="L30" s="247"/>
      <c r="M30" s="126">
        <f>+K30+'1'!M30+L30</f>
        <v>0</v>
      </c>
      <c r="N30" s="164"/>
    </row>
    <row r="31" spans="1:18" ht="13.5" thickBot="1">
      <c r="A31" s="1030"/>
      <c r="B31" s="224"/>
      <c r="C31" s="234"/>
      <c r="D31" s="226"/>
      <c r="E31" s="233"/>
      <c r="F31" s="244"/>
      <c r="G31" s="245"/>
      <c r="H31" s="464"/>
      <c r="I31" s="1034"/>
      <c r="J31" s="223">
        <f>+'1'!J31</f>
        <v>0</v>
      </c>
      <c r="K31" s="247"/>
      <c r="L31" s="247"/>
      <c r="M31" s="126">
        <f>+K31+'1'!M31+L31</f>
        <v>0</v>
      </c>
    </row>
    <row r="32" spans="1:18" ht="13.5" thickBot="1">
      <c r="A32" s="1031"/>
      <c r="B32" s="174" t="s">
        <v>2</v>
      </c>
      <c r="C32" s="108">
        <f>SUM(C25:C31)</f>
        <v>18641</v>
      </c>
      <c r="D32" s="109">
        <f>SUM(D25:D31)</f>
        <v>0</v>
      </c>
      <c r="E32" s="110">
        <f>SUM(E25:E31)</f>
        <v>0</v>
      </c>
      <c r="F32" s="111">
        <f>SUM(F24:F31)</f>
        <v>12</v>
      </c>
      <c r="G32" s="180"/>
      <c r="H32" s="181"/>
      <c r="I32" s="178"/>
      <c r="J32" s="223">
        <f>+'1'!J32</f>
        <v>0</v>
      </c>
      <c r="K32" s="249"/>
      <c r="L32" s="251"/>
      <c r="M32" s="126">
        <f>+K32+'1'!M32+L32</f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64579</v>
      </c>
      <c r="D34" s="116">
        <f>D14+D23+D32</f>
        <v>0</v>
      </c>
      <c r="E34" s="116">
        <f>E14+E23+E32</f>
        <v>0</v>
      </c>
      <c r="F34" s="117">
        <f>F14+F23+F32</f>
        <v>36</v>
      </c>
      <c r="H34" s="187"/>
      <c r="I34" s="187"/>
      <c r="J34" s="132" t="s">
        <v>27</v>
      </c>
      <c r="K34" s="133">
        <f>SUM(K7:K32)</f>
        <v>64579</v>
      </c>
      <c r="L34" s="221">
        <f>SUM(L7:L32)</f>
        <v>0</v>
      </c>
      <c r="M34" s="129">
        <f>SUM(M7:M32)</f>
        <v>127673</v>
      </c>
      <c r="N34" s="164"/>
    </row>
    <row r="35" spans="1:14" ht="13.5" thickBot="1">
      <c r="A35" s="188"/>
      <c r="B35" s="189"/>
      <c r="C35" s="113">
        <f>C34/($C$34+$D$34+$E$34)</f>
        <v>1</v>
      </c>
      <c r="D35" s="113">
        <f>D34/($C$34+$D$34+$E$34)</f>
        <v>0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(15*560+12.5*880)/1440*G42*2.77*1440/1000000</f>
        <v>68.816882799999988</v>
      </c>
      <c r="J37" s="134">
        <f>+I37+'1'!J37</f>
        <v>137.57829358000001</v>
      </c>
      <c r="K37" s="135" t="s">
        <v>63</v>
      </c>
      <c r="N37" s="158">
        <f>24.68+2.611+2.285+1.305</f>
        <v>30.881</v>
      </c>
    </row>
    <row r="38" spans="1:14" ht="17.45" customHeight="1">
      <c r="A38" s="1027" t="s">
        <v>11</v>
      </c>
      <c r="B38" s="1028"/>
      <c r="C38" s="173">
        <f>SUMIF($G$7:$G$31,"Process",$F$7:$F$31)</f>
        <v>36</v>
      </c>
      <c r="D38" s="127">
        <f>+C38+'1'!D38</f>
        <v>84</v>
      </c>
      <c r="E38" s="152">
        <f t="shared" ref="E38:E51" si="0">D38/60</f>
        <v>1.4</v>
      </c>
      <c r="F38" s="337">
        <v>1680</v>
      </c>
      <c r="G38" s="337">
        <f>+F38-F38*0.24</f>
        <v>1276.8</v>
      </c>
      <c r="H38" s="196" t="s">
        <v>64</v>
      </c>
      <c r="I38" s="548">
        <f>24.68+23.507+20.547</f>
        <v>68.733999999999995</v>
      </c>
      <c r="J38" s="136">
        <f>+I38+'1'!J38</f>
        <v>134.91199999999998</v>
      </c>
      <c r="K38" s="137" t="s">
        <v>63</v>
      </c>
      <c r="N38" s="556">
        <f>+I38-N37</f>
        <v>37.852999999999994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+C39+'1'!D39</f>
        <v>0</v>
      </c>
      <c r="E39" s="152">
        <f t="shared" si="0"/>
        <v>0</v>
      </c>
      <c r="F39" s="337">
        <v>1675</v>
      </c>
      <c r="G39" s="337">
        <v>1273</v>
      </c>
      <c r="H39" s="196" t="s">
        <v>65</v>
      </c>
      <c r="I39" s="151"/>
      <c r="J39" s="138">
        <f>J37/G4</f>
        <v>68.789146790000004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+C40+'1'!D40</f>
        <v>0</v>
      </c>
      <c r="E40" s="152">
        <f t="shared" si="0"/>
        <v>0</v>
      </c>
      <c r="F40" s="337">
        <v>1700</v>
      </c>
      <c r="G40" s="337">
        <f>+F40-F40*0.24</f>
        <v>1292</v>
      </c>
      <c r="H40" s="196" t="s">
        <v>67</v>
      </c>
      <c r="I40" s="127">
        <f>(K34+L34)/1000</f>
        <v>64.578999999999994</v>
      </c>
      <c r="J40" s="140">
        <f>+I40+'1'!J40</f>
        <v>127.673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+C41+'1'!D41</f>
        <v>0</v>
      </c>
      <c r="E41" s="152">
        <f t="shared" si="0"/>
        <v>0</v>
      </c>
      <c r="F41" s="337"/>
      <c r="G41" s="337"/>
      <c r="H41" s="196" t="s">
        <v>69</v>
      </c>
      <c r="I41" s="151"/>
      <c r="J41" s="138">
        <f>J40/G4</f>
        <v>63.836500000000001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+C42+'1'!D42</f>
        <v>0</v>
      </c>
      <c r="E42" s="152">
        <f t="shared" si="0"/>
        <v>0</v>
      </c>
      <c r="F42" s="337">
        <f>+(F38*480+F39*480+F40*480)/1440</f>
        <v>1685</v>
      </c>
      <c r="G42" s="337">
        <f>+(G38*480+G39*480+G40*480)/1440</f>
        <v>1280.5999999999999</v>
      </c>
      <c r="H42" s="196" t="s">
        <v>70</v>
      </c>
      <c r="I42" s="254" t="s">
        <v>482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+C43+'1'!D43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+Report1!T10</f>
        <v>140.45600000000002</v>
      </c>
      <c r="J43" s="142">
        <f>+I43+'1'!J43</f>
        <v>287.82600000000002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+C44+'1'!D44</f>
        <v>0</v>
      </c>
      <c r="E44" s="152">
        <f t="shared" si="0"/>
        <v>0</v>
      </c>
      <c r="F44" s="337"/>
      <c r="G44" s="338"/>
      <c r="H44" s="197" t="s">
        <v>74</v>
      </c>
      <c r="I44" s="127">
        <f>I43/I38</f>
        <v>2.0434719352867581</v>
      </c>
      <c r="J44" s="143">
        <f>J43/J38</f>
        <v>2.1334351280834918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+C45+'1'!D45</f>
        <v>0</v>
      </c>
      <c r="E45" s="152">
        <f t="shared" si="0"/>
        <v>0</v>
      </c>
      <c r="F45" s="337"/>
      <c r="G45" s="340"/>
      <c r="H45" s="197" t="s">
        <v>75</v>
      </c>
      <c r="I45" s="127">
        <f>I43/I40</f>
        <v>2.1749485126743995</v>
      </c>
      <c r="J45" s="143">
        <f>J43/J40</f>
        <v>2.2543999122758924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+C46+'1'!D46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+SUMIF(Listrik!AR9,"&gt;0")</f>
        <v>60550.420000000136</v>
      </c>
      <c r="J46" s="144">
        <f>+I46+'1'!J46</f>
        <v>116236.44000000127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+C47+'1'!D47</f>
        <v>0</v>
      </c>
      <c r="E47" s="152">
        <f t="shared" si="0"/>
        <v>0</v>
      </c>
      <c r="F47" s="337"/>
      <c r="G47" s="338"/>
      <c r="H47" s="197" t="s">
        <v>80</v>
      </c>
      <c r="I47" s="127">
        <f>I46/I38</f>
        <v>880.9384002095054</v>
      </c>
      <c r="J47" s="144">
        <f>J46/J38</f>
        <v>861.57228415560724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+C48+'1'!D48</f>
        <v>0</v>
      </c>
      <c r="E48" s="152">
        <f t="shared" si="0"/>
        <v>0</v>
      </c>
      <c r="F48" s="337"/>
      <c r="G48" s="338"/>
      <c r="H48" s="197" t="s">
        <v>81</v>
      </c>
      <c r="I48" s="127">
        <f>I46/I40</f>
        <v>937.61780145248679</v>
      </c>
      <c r="J48" s="144">
        <f>J46/J40</f>
        <v>910.42303384428396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+C49+'1'!D49</f>
        <v>0</v>
      </c>
      <c r="E49" s="152">
        <f t="shared" si="0"/>
        <v>0</v>
      </c>
      <c r="F49" s="194"/>
      <c r="H49" s="197" t="s">
        <v>185</v>
      </c>
      <c r="I49" s="127">
        <v>0</v>
      </c>
      <c r="J49" s="144">
        <f>+I49+'1'!J49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+C50+'1'!D50</f>
        <v>0</v>
      </c>
      <c r="E50" s="152">
        <f t="shared" si="0"/>
        <v>0</v>
      </c>
      <c r="F50" s="194"/>
      <c r="H50" s="197" t="s">
        <v>84</v>
      </c>
      <c r="I50" s="149"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+C51+'1'!D51</f>
        <v>0</v>
      </c>
      <c r="E51" s="152">
        <f t="shared" si="0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36</v>
      </c>
      <c r="D52" s="153">
        <f>SUM(D38:D51)</f>
        <v>84</v>
      </c>
      <c r="E52" s="154">
        <f>SUM(E38:E51)</f>
        <v>1.4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2.5000000000000001E-2</v>
      </c>
      <c r="D53" s="155">
        <f>D52/(24*60*G4)</f>
        <v>2.9166666666666667E-2</v>
      </c>
      <c r="E53" s="156">
        <f>E52/(G4*24)</f>
        <v>2.9166666666666664E-2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+D34+'1'!J56</f>
        <v>0</v>
      </c>
      <c r="K56" s="210">
        <f>J56/(J40+J56/1000)/1000</f>
        <v>0</v>
      </c>
    </row>
    <row r="57" spans="1:11">
      <c r="A57" s="185"/>
      <c r="I57" s="208" t="s">
        <v>89</v>
      </c>
      <c r="J57" s="209">
        <f>+E34+'1'!J57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1:B41"/>
    <mergeCell ref="I7:I13"/>
    <mergeCell ref="I15:I22"/>
    <mergeCell ref="A7:A14"/>
    <mergeCell ref="A15:A23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17" right="0.16" top="0.17" bottom="0.16" header="0" footer="0"/>
  <pageSetup paperSize="9" scale="62" firstPageNumber="4294963191" orientation="landscape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R61"/>
  <sheetViews>
    <sheetView view="pageBreakPreview" zoomScale="80" zoomScaleNormal="75" zoomScaleSheetLayoutView="80" workbookViewId="0">
      <selection activeCell="A7" sqref="A7:A32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710937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4" style="158" bestFit="1" customWidth="1"/>
    <col min="12" max="12" width="8.28515625" style="158" customWidth="1"/>
    <col min="13" max="13" width="14.42578125" style="158" bestFit="1" customWidth="1"/>
    <col min="14" max="14" width="9.140625" style="158" bestFit="1"/>
    <col min="15" max="16384" width="9.140625" style="158"/>
  </cols>
  <sheetData>
    <row r="1" spans="1:18" ht="15.75">
      <c r="A1" s="157"/>
    </row>
    <row r="2" spans="1:18" ht="15.75">
      <c r="A2" s="157" t="s">
        <v>148</v>
      </c>
    </row>
    <row r="3" spans="1:18" ht="15">
      <c r="A3" s="159"/>
    </row>
    <row r="4" spans="1:18" ht="20.25">
      <c r="A4" s="160" t="s">
        <v>3</v>
      </c>
      <c r="B4" s="161"/>
      <c r="F4" s="162" t="s">
        <v>29</v>
      </c>
      <c r="G4" s="163">
        <v>1</v>
      </c>
      <c r="H4" s="163" t="s">
        <v>418</v>
      </c>
    </row>
    <row r="5" spans="1:18" ht="13.5" thickBot="1">
      <c r="C5" s="164"/>
      <c r="D5" s="164"/>
    </row>
    <row r="6" spans="1:18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  <c r="N6" s="158">
        <f>165+232+175</f>
        <v>572</v>
      </c>
    </row>
    <row r="7" spans="1:18" ht="13.5" customHeight="1" thickBot="1">
      <c r="A7" s="1029" t="s">
        <v>433</v>
      </c>
      <c r="B7" s="224" t="s">
        <v>436</v>
      </c>
      <c r="C7" s="225">
        <v>18910</v>
      </c>
      <c r="D7" s="226"/>
      <c r="E7" s="227"/>
      <c r="F7" s="236"/>
      <c r="G7" s="237" t="s">
        <v>11</v>
      </c>
      <c r="H7" s="238" t="s">
        <v>277</v>
      </c>
      <c r="I7" s="1032" t="s">
        <v>446</v>
      </c>
      <c r="J7" s="258" t="s">
        <v>436</v>
      </c>
      <c r="K7" s="246">
        <f>+C7+C16+C25</f>
        <v>59500</v>
      </c>
      <c r="L7" s="250"/>
      <c r="M7" s="126">
        <f>+K7+L7</f>
        <v>59500</v>
      </c>
    </row>
    <row r="8" spans="1:18" ht="13.5" thickBot="1">
      <c r="A8" s="1030"/>
      <c r="B8" s="224"/>
      <c r="C8" s="225"/>
      <c r="D8" s="226"/>
      <c r="E8" s="228"/>
      <c r="F8" s="239">
        <v>4</v>
      </c>
      <c r="G8" s="240" t="s">
        <v>11</v>
      </c>
      <c r="H8" s="238" t="s">
        <v>454</v>
      </c>
      <c r="I8" s="1033"/>
      <c r="J8" s="259" t="s">
        <v>457</v>
      </c>
      <c r="K8" s="247">
        <f>+C26</f>
        <v>3594</v>
      </c>
      <c r="L8" s="247"/>
      <c r="M8" s="126">
        <f t="shared" ref="M8:M32" si="0">+K8+L8</f>
        <v>3594</v>
      </c>
      <c r="N8" s="158">
        <v>1530</v>
      </c>
      <c r="O8" s="158">
        <f>+N8-N8*0.24</f>
        <v>1162.8</v>
      </c>
      <c r="P8" s="158">
        <v>480</v>
      </c>
      <c r="Q8" s="158">
        <f>+N8*P8</f>
        <v>734400</v>
      </c>
      <c r="R8" s="158">
        <f>+O8*P8</f>
        <v>558144</v>
      </c>
    </row>
    <row r="9" spans="1:18" ht="13.5" thickBot="1">
      <c r="A9" s="1030"/>
      <c r="B9" s="224"/>
      <c r="C9" s="225"/>
      <c r="D9" s="226"/>
      <c r="E9" s="229"/>
      <c r="F9" s="236">
        <v>10</v>
      </c>
      <c r="G9" s="240" t="s">
        <v>11</v>
      </c>
      <c r="H9" s="241" t="s">
        <v>455</v>
      </c>
      <c r="I9" s="1033"/>
      <c r="J9" s="259"/>
      <c r="K9" s="247"/>
      <c r="L9" s="247"/>
      <c r="M9" s="126">
        <f t="shared" si="0"/>
        <v>0</v>
      </c>
      <c r="N9" s="158">
        <v>1620</v>
      </c>
      <c r="O9" s="158">
        <f>+N9-N9*0.24</f>
        <v>1231.2</v>
      </c>
      <c r="P9" s="158">
        <v>480</v>
      </c>
      <c r="Q9" s="158">
        <f>+N9*P9</f>
        <v>777600</v>
      </c>
      <c r="R9" s="158">
        <f>+O9*P9</f>
        <v>590976</v>
      </c>
    </row>
    <row r="10" spans="1:18" ht="13.5" thickBot="1">
      <c r="A10" s="1030"/>
      <c r="B10" s="224"/>
      <c r="C10" s="225"/>
      <c r="D10" s="226"/>
      <c r="E10" s="228"/>
      <c r="F10" s="236"/>
      <c r="G10" s="240"/>
      <c r="H10" s="241" t="s">
        <v>443</v>
      </c>
      <c r="I10" s="1033"/>
      <c r="J10" s="258"/>
      <c r="K10" s="247"/>
      <c r="L10" s="247"/>
      <c r="M10" s="126">
        <f t="shared" si="0"/>
        <v>0</v>
      </c>
      <c r="N10" s="158">
        <v>1660</v>
      </c>
      <c r="O10" s="158">
        <f>+N10-N10*0.24</f>
        <v>1261.5999999999999</v>
      </c>
      <c r="P10" s="158">
        <v>300</v>
      </c>
      <c r="Q10" s="158">
        <f>+N10*P10</f>
        <v>498000</v>
      </c>
      <c r="R10" s="158">
        <f>+O10*P10</f>
        <v>378480</v>
      </c>
    </row>
    <row r="11" spans="1:18" ht="13.5" thickBot="1">
      <c r="A11" s="1030"/>
      <c r="B11" s="224"/>
      <c r="C11" s="225"/>
      <c r="D11" s="226"/>
      <c r="E11" s="228"/>
      <c r="F11" s="236"/>
      <c r="G11" s="240"/>
      <c r="H11" s="241" t="s">
        <v>437</v>
      </c>
      <c r="I11" s="1033"/>
      <c r="J11" s="258"/>
      <c r="K11" s="247"/>
      <c r="L11" s="247"/>
      <c r="M11" s="126">
        <f t="shared" si="0"/>
        <v>0</v>
      </c>
      <c r="P11" s="158">
        <f>SUM(P8:P10)</f>
        <v>1260</v>
      </c>
      <c r="Q11" s="158">
        <f>SUM(Q8:Q10)</f>
        <v>2010000</v>
      </c>
      <c r="R11" s="158">
        <f>SUM(R8:R10)</f>
        <v>1527600</v>
      </c>
    </row>
    <row r="12" spans="1:18" ht="13.5" thickBot="1">
      <c r="A12" s="1030"/>
      <c r="B12" s="224"/>
      <c r="C12" s="225"/>
      <c r="D12" s="226"/>
      <c r="E12" s="228"/>
      <c r="F12" s="236"/>
      <c r="G12" s="240"/>
      <c r="H12" s="241" t="s">
        <v>438</v>
      </c>
      <c r="I12" s="1033"/>
      <c r="J12" s="258"/>
      <c r="K12" s="247"/>
      <c r="L12" s="247"/>
      <c r="M12" s="126">
        <f t="shared" si="0"/>
        <v>0</v>
      </c>
      <c r="Q12" s="158">
        <f>+Q11/P11</f>
        <v>1595.2380952380952</v>
      </c>
      <c r="R12" s="158">
        <f>+R11/P11</f>
        <v>1212.3809523809523</v>
      </c>
    </row>
    <row r="13" spans="1:18" ht="13.5" thickBot="1">
      <c r="A13" s="1030"/>
      <c r="B13" s="224"/>
      <c r="C13" s="225"/>
      <c r="D13" s="225"/>
      <c r="E13" s="228"/>
      <c r="F13" s="236"/>
      <c r="G13" s="240"/>
      <c r="H13" s="241" t="s">
        <v>439</v>
      </c>
      <c r="I13" s="1034"/>
      <c r="J13" s="258"/>
      <c r="K13" s="247"/>
      <c r="L13" s="247"/>
      <c r="M13" s="126">
        <f t="shared" si="0"/>
        <v>0</v>
      </c>
    </row>
    <row r="14" spans="1:18" ht="13.5" thickBot="1">
      <c r="A14" s="1031"/>
      <c r="B14" s="174" t="s">
        <v>2</v>
      </c>
      <c r="C14" s="108">
        <f>SUM(C7:C13)</f>
        <v>18910</v>
      </c>
      <c r="D14" s="120">
        <f>SUM(D7:D13)</f>
        <v>0</v>
      </c>
      <c r="E14" s="121">
        <f>SUM(E5:E13)</f>
        <v>0</v>
      </c>
      <c r="F14" s="125">
        <f>SUM(F7:F13)</f>
        <v>14</v>
      </c>
      <c r="G14" s="168"/>
      <c r="H14" s="175"/>
      <c r="I14" s="176"/>
      <c r="J14" s="258"/>
      <c r="K14" s="247"/>
      <c r="L14" s="247"/>
      <c r="M14" s="126">
        <f t="shared" si="0"/>
        <v>0</v>
      </c>
    </row>
    <row r="15" spans="1:18" ht="13.5" customHeight="1" thickBot="1">
      <c r="A15" s="1035" t="s">
        <v>434</v>
      </c>
      <c r="B15" s="174"/>
      <c r="C15" s="122"/>
      <c r="D15" s="123"/>
      <c r="E15" s="124"/>
      <c r="F15" s="236"/>
      <c r="G15" s="237" t="s">
        <v>11</v>
      </c>
      <c r="H15" s="238" t="s">
        <v>277</v>
      </c>
      <c r="I15" s="1032" t="s">
        <v>447</v>
      </c>
      <c r="J15" s="258"/>
      <c r="K15" s="247"/>
      <c r="L15" s="247"/>
      <c r="M15" s="126">
        <f t="shared" si="0"/>
        <v>0</v>
      </c>
    </row>
    <row r="16" spans="1:18" ht="13.5" thickBot="1">
      <c r="A16" s="1030"/>
      <c r="B16" s="224" t="s">
        <v>436</v>
      </c>
      <c r="C16" s="230">
        <v>22276</v>
      </c>
      <c r="D16" s="231"/>
      <c r="E16" s="232"/>
      <c r="F16" s="236">
        <v>5</v>
      </c>
      <c r="G16" s="240" t="s">
        <v>11</v>
      </c>
      <c r="H16" s="238" t="s">
        <v>452</v>
      </c>
      <c r="I16" s="1033"/>
      <c r="J16" s="258"/>
      <c r="K16" s="237"/>
      <c r="L16" s="237"/>
      <c r="M16" s="126">
        <f t="shared" si="0"/>
        <v>0</v>
      </c>
    </row>
    <row r="17" spans="1:18" ht="13.5" thickBot="1">
      <c r="A17" s="1030"/>
      <c r="B17" s="224"/>
      <c r="C17" s="225"/>
      <c r="D17" s="226"/>
      <c r="E17" s="233"/>
      <c r="F17" s="236">
        <v>7</v>
      </c>
      <c r="G17" s="240" t="s">
        <v>11</v>
      </c>
      <c r="H17" s="614" t="s">
        <v>453</v>
      </c>
      <c r="I17" s="1033"/>
      <c r="J17" s="258"/>
      <c r="K17" s="237"/>
      <c r="L17" s="237"/>
      <c r="M17" s="126">
        <f t="shared" si="0"/>
        <v>0</v>
      </c>
    </row>
    <row r="18" spans="1:18" ht="13.5" thickBot="1">
      <c r="A18" s="1030"/>
      <c r="B18" s="224"/>
      <c r="C18" s="225"/>
      <c r="D18" s="226"/>
      <c r="E18" s="233"/>
      <c r="F18" s="236"/>
      <c r="G18" s="240"/>
      <c r="H18" s="614" t="s">
        <v>444</v>
      </c>
      <c r="I18" s="1033"/>
      <c r="J18" s="258"/>
      <c r="K18" s="247"/>
      <c r="L18" s="247"/>
      <c r="M18" s="126">
        <f t="shared" si="0"/>
        <v>0</v>
      </c>
    </row>
    <row r="19" spans="1:18" ht="13.5" thickBot="1">
      <c r="A19" s="1030"/>
      <c r="B19" s="224"/>
      <c r="C19" s="225"/>
      <c r="D19" s="226"/>
      <c r="E19" s="233"/>
      <c r="F19" s="243"/>
      <c r="G19" s="240"/>
      <c r="H19" s="241" t="s">
        <v>440</v>
      </c>
      <c r="I19" s="1033"/>
      <c r="J19" s="258"/>
      <c r="K19" s="247"/>
      <c r="L19" s="247"/>
      <c r="M19" s="126">
        <f t="shared" si="0"/>
        <v>0</v>
      </c>
    </row>
    <row r="20" spans="1:18" ht="13.5" thickBot="1">
      <c r="A20" s="1030"/>
      <c r="B20" s="224"/>
      <c r="C20" s="225"/>
      <c r="D20" s="226"/>
      <c r="E20" s="233"/>
      <c r="F20" s="236"/>
      <c r="G20" s="240"/>
      <c r="H20" s="241"/>
      <c r="I20" s="1033"/>
      <c r="J20" s="258"/>
      <c r="K20" s="248"/>
      <c r="L20" s="248"/>
      <c r="M20" s="126">
        <f t="shared" si="0"/>
        <v>0</v>
      </c>
    </row>
    <row r="21" spans="1:18" ht="13.5" thickBot="1">
      <c r="A21" s="1030"/>
      <c r="B21" s="224"/>
      <c r="C21" s="225"/>
      <c r="D21" s="226"/>
      <c r="E21" s="233"/>
      <c r="F21" s="239"/>
      <c r="G21" s="240"/>
      <c r="H21" s="503"/>
      <c r="I21" s="1033"/>
      <c r="J21" s="258"/>
      <c r="K21" s="247"/>
      <c r="L21" s="247"/>
      <c r="M21" s="126">
        <f t="shared" si="0"/>
        <v>0</v>
      </c>
    </row>
    <row r="22" spans="1:18" ht="13.5" thickBot="1">
      <c r="A22" s="1030"/>
      <c r="B22" s="224"/>
      <c r="C22" s="225"/>
      <c r="D22" s="226"/>
      <c r="E22" s="233"/>
      <c r="F22" s="244"/>
      <c r="G22" s="240"/>
      <c r="H22" s="241"/>
      <c r="I22" s="1034"/>
      <c r="J22" s="258"/>
      <c r="K22" s="247"/>
      <c r="L22" s="247"/>
      <c r="M22" s="126">
        <f t="shared" si="0"/>
        <v>0</v>
      </c>
    </row>
    <row r="23" spans="1:18" ht="13.5" thickBot="1">
      <c r="A23" s="1031"/>
      <c r="B23" s="177" t="s">
        <v>2</v>
      </c>
      <c r="C23" s="109">
        <f>SUM(C16:C22)</f>
        <v>22276</v>
      </c>
      <c r="D23" s="120">
        <f>SUM(D16:D22)</f>
        <v>0</v>
      </c>
      <c r="E23" s="121">
        <f>SUM(E18:E22)</f>
        <v>0</v>
      </c>
      <c r="F23" s="125">
        <f>SUM(F15:F22)</f>
        <v>12</v>
      </c>
      <c r="G23" s="168"/>
      <c r="H23" s="175" t="s">
        <v>234</v>
      </c>
      <c r="I23" s="178"/>
      <c r="J23" s="258"/>
      <c r="K23" s="247"/>
      <c r="L23" s="247"/>
      <c r="M23" s="126">
        <f t="shared" si="0"/>
        <v>0</v>
      </c>
    </row>
    <row r="24" spans="1:18" ht="13.5" customHeight="1" thickBot="1">
      <c r="A24" s="1035" t="s">
        <v>435</v>
      </c>
      <c r="B24" s="179"/>
      <c r="C24" s="122"/>
      <c r="D24" s="123"/>
      <c r="E24" s="124"/>
      <c r="F24" s="244">
        <v>5</v>
      </c>
      <c r="G24" s="237" t="s">
        <v>11</v>
      </c>
      <c r="H24" s="238" t="s">
        <v>456</v>
      </c>
      <c r="I24" s="1032" t="s">
        <v>448</v>
      </c>
      <c r="J24" s="258"/>
      <c r="K24" s="247"/>
      <c r="L24" s="247"/>
      <c r="M24" s="126">
        <f t="shared" si="0"/>
        <v>0</v>
      </c>
    </row>
    <row r="25" spans="1:18" ht="13.5" thickBot="1">
      <c r="A25" s="1030"/>
      <c r="B25" s="224" t="s">
        <v>436</v>
      </c>
      <c r="C25" s="234">
        <f>17091+1223</f>
        <v>18314</v>
      </c>
      <c r="D25" s="226"/>
      <c r="E25" s="233"/>
      <c r="F25" s="239">
        <v>7</v>
      </c>
      <c r="G25" s="240" t="s">
        <v>11</v>
      </c>
      <c r="H25" s="238" t="s">
        <v>450</v>
      </c>
      <c r="I25" s="1033"/>
      <c r="J25" s="258"/>
      <c r="K25" s="247"/>
      <c r="L25" s="247"/>
      <c r="M25" s="126">
        <f t="shared" si="0"/>
        <v>0</v>
      </c>
      <c r="N25" s="158">
        <v>1660</v>
      </c>
      <c r="O25" s="158">
        <f>+N25-N25*0.24</f>
        <v>1261.5999999999999</v>
      </c>
      <c r="P25" s="158">
        <v>300</v>
      </c>
      <c r="Q25" s="158">
        <f>+N25*P25</f>
        <v>498000</v>
      </c>
      <c r="R25" s="158">
        <f>+O25*P25</f>
        <v>378480</v>
      </c>
    </row>
    <row r="26" spans="1:18" ht="13.5" thickBot="1">
      <c r="A26" s="1030"/>
      <c r="B26" s="224" t="s">
        <v>457</v>
      </c>
      <c r="C26" s="234">
        <f>273+3321</f>
        <v>3594</v>
      </c>
      <c r="D26" s="226"/>
      <c r="E26" s="235"/>
      <c r="F26" s="239">
        <v>10</v>
      </c>
      <c r="G26" s="240" t="s">
        <v>11</v>
      </c>
      <c r="H26" s="614" t="s">
        <v>451</v>
      </c>
      <c r="I26" s="1033"/>
      <c r="J26" s="258"/>
      <c r="K26" s="247"/>
      <c r="L26" s="247"/>
      <c r="M26" s="126">
        <f t="shared" si="0"/>
        <v>0</v>
      </c>
      <c r="N26" s="158">
        <v>1680</v>
      </c>
      <c r="O26" s="158">
        <f>+N26-N26*0.24</f>
        <v>1276.8</v>
      </c>
      <c r="P26" s="158">
        <v>180</v>
      </c>
      <c r="Q26" s="158">
        <f>+N26*P26</f>
        <v>302400</v>
      </c>
      <c r="R26" s="158">
        <f>+O26*P26</f>
        <v>229824</v>
      </c>
    </row>
    <row r="27" spans="1:18" ht="13.5" thickBot="1">
      <c r="A27" s="1030"/>
      <c r="B27" s="224"/>
      <c r="C27" s="225"/>
      <c r="D27" s="226"/>
      <c r="E27" s="233"/>
      <c r="F27" s="239"/>
      <c r="G27" s="240"/>
      <c r="H27" s="614" t="s">
        <v>441</v>
      </c>
      <c r="I27" s="1033"/>
      <c r="J27" s="258"/>
      <c r="K27" s="247"/>
      <c r="L27" s="247"/>
      <c r="M27" s="126">
        <f t="shared" si="0"/>
        <v>0</v>
      </c>
      <c r="P27" s="158">
        <f>SUM(P24:P26)</f>
        <v>480</v>
      </c>
      <c r="Q27" s="158">
        <f>SUM(Q24:Q26)</f>
        <v>800400</v>
      </c>
      <c r="R27" s="158">
        <f>SUM(R24:R26)</f>
        <v>608304</v>
      </c>
    </row>
    <row r="28" spans="1:18" ht="13.5" thickBot="1">
      <c r="A28" s="1030"/>
      <c r="B28" s="224"/>
      <c r="C28" s="225"/>
      <c r="D28" s="226"/>
      <c r="E28" s="233"/>
      <c r="F28" s="239"/>
      <c r="G28" s="240"/>
      <c r="H28" s="241" t="s">
        <v>445</v>
      </c>
      <c r="I28" s="1033"/>
      <c r="J28" s="258"/>
      <c r="K28" s="247"/>
      <c r="L28" s="247"/>
      <c r="M28" s="126">
        <f t="shared" si="0"/>
        <v>0</v>
      </c>
      <c r="Q28" s="158">
        <f>+Q27/P27</f>
        <v>1667.5</v>
      </c>
      <c r="R28" s="158">
        <f>+R27/P27</f>
        <v>1267.3</v>
      </c>
    </row>
    <row r="29" spans="1:18" ht="13.5" thickBot="1">
      <c r="A29" s="1030"/>
      <c r="B29" s="224"/>
      <c r="C29" s="225"/>
      <c r="D29" s="226"/>
      <c r="E29" s="233"/>
      <c r="F29" s="244"/>
      <c r="G29" s="240"/>
      <c r="H29" s="241" t="s">
        <v>442</v>
      </c>
      <c r="I29" s="1033"/>
      <c r="J29" s="258"/>
      <c r="K29" s="247"/>
      <c r="L29" s="247"/>
      <c r="M29" s="126">
        <f t="shared" si="0"/>
        <v>0</v>
      </c>
    </row>
    <row r="30" spans="1:18" ht="13.5" thickBot="1">
      <c r="A30" s="1030"/>
      <c r="B30" s="224"/>
      <c r="C30" s="234"/>
      <c r="D30" s="226"/>
      <c r="E30" s="233"/>
      <c r="F30" s="244"/>
      <c r="G30" s="240"/>
      <c r="H30" s="241"/>
      <c r="I30" s="1033"/>
      <c r="J30" s="258"/>
      <c r="K30" s="247"/>
      <c r="L30" s="247"/>
      <c r="M30" s="126">
        <f t="shared" si="0"/>
        <v>0</v>
      </c>
      <c r="N30" s="164"/>
    </row>
    <row r="31" spans="1:18" ht="13.5" thickBot="1">
      <c r="A31" s="1030"/>
      <c r="B31" s="224"/>
      <c r="C31" s="234"/>
      <c r="D31" s="226"/>
      <c r="E31" s="233"/>
      <c r="F31" s="244"/>
      <c r="G31" s="245"/>
      <c r="H31" s="242"/>
      <c r="I31" s="1034"/>
      <c r="J31" s="258"/>
      <c r="K31" s="247"/>
      <c r="L31" s="247"/>
      <c r="M31" s="126">
        <f t="shared" si="0"/>
        <v>0</v>
      </c>
    </row>
    <row r="32" spans="1:18" ht="13.5" thickBot="1">
      <c r="A32" s="1031"/>
      <c r="B32" s="174" t="s">
        <v>2</v>
      </c>
      <c r="C32" s="108">
        <f>SUM(C25:C31)</f>
        <v>21908</v>
      </c>
      <c r="D32" s="109">
        <f>SUM(D25:D31)</f>
        <v>0</v>
      </c>
      <c r="E32" s="110">
        <f>SUM(E25:E31)</f>
        <v>0</v>
      </c>
      <c r="F32" s="111">
        <f>SUM(F24:F31)</f>
        <v>22</v>
      </c>
      <c r="G32" s="180"/>
      <c r="H32" s="181"/>
      <c r="I32" s="178"/>
      <c r="J32" s="260"/>
      <c r="K32" s="249"/>
      <c r="L32" s="251"/>
      <c r="M32" s="126">
        <f t="shared" si="0"/>
        <v>0</v>
      </c>
    </row>
    <row r="33" spans="1:14" ht="13.5" thickBot="1">
      <c r="A33" s="182"/>
      <c r="B33" s="183"/>
      <c r="C33" s="112">
        <f>C32/($C$32+$D$32+$E$32)</f>
        <v>1</v>
      </c>
      <c r="D33" s="113">
        <f>D32/($C$32+$D$32+$E$32)</f>
        <v>0</v>
      </c>
      <c r="E33" s="114">
        <f>E32/($C$32+$D$32+$E$32)</f>
        <v>0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63094</v>
      </c>
      <c r="D34" s="116">
        <f>D14+D23+D32</f>
        <v>0</v>
      </c>
      <c r="E34" s="116">
        <f>E14+E23+E32</f>
        <v>0</v>
      </c>
      <c r="F34" s="117">
        <f>F14+F23+F32</f>
        <v>48</v>
      </c>
      <c r="H34" s="187"/>
      <c r="I34" s="187"/>
      <c r="J34" s="132" t="s">
        <v>27</v>
      </c>
      <c r="K34" s="133">
        <f>SUM(K7:K32)</f>
        <v>63094</v>
      </c>
      <c r="L34" s="221">
        <f>SUM(L7:L32)</f>
        <v>0</v>
      </c>
      <c r="M34" s="129">
        <f>SUM(M7:M32)</f>
        <v>63094</v>
      </c>
      <c r="N34" s="164"/>
    </row>
    <row r="35" spans="1:14" ht="13.5" thickBot="1">
      <c r="A35" s="188"/>
      <c r="B35" s="189"/>
      <c r="C35" s="113">
        <f>C34/($C$34+$D$34+$E$34)</f>
        <v>1</v>
      </c>
      <c r="D35" s="113">
        <f>D34/($C$34+$D$34+$E$34)</f>
        <v>0</v>
      </c>
      <c r="E35" s="118">
        <f>E34/($C$34+$D$34+$E$34)</f>
        <v>0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194"/>
      <c r="G37" s="164"/>
      <c r="H37" s="195" t="s">
        <v>62</v>
      </c>
      <c r="I37" s="252">
        <f>(14*1260+15*180)/1440*G42*2.77*1440/1000000</f>
        <v>68.76141078000002</v>
      </c>
      <c r="J37" s="134">
        <f>I37</f>
        <v>68.76141078000002</v>
      </c>
      <c r="K37" s="135" t="s">
        <v>63</v>
      </c>
      <c r="N37" s="615">
        <f>+I38-N38</f>
        <v>58.769999999999996</v>
      </c>
    </row>
    <row r="38" spans="1:14" ht="17.45" customHeight="1">
      <c r="A38" s="1027" t="s">
        <v>11</v>
      </c>
      <c r="B38" s="1028"/>
      <c r="C38" s="173">
        <f>SUMIF($G$7:$G$31,"Process",$F$7:$F$31)</f>
        <v>48</v>
      </c>
      <c r="D38" s="127">
        <f>C38</f>
        <v>48</v>
      </c>
      <c r="E38" s="152">
        <f t="shared" ref="E38:E51" si="1">D38/60</f>
        <v>0.8</v>
      </c>
      <c r="F38" s="194">
        <v>1530</v>
      </c>
      <c r="G38" s="194">
        <f>+F38-F38*0.24</f>
        <v>1162.8</v>
      </c>
      <c r="H38" s="196" t="s">
        <v>64</v>
      </c>
      <c r="I38" s="548">
        <f>19.456+23.264+23.458</f>
        <v>66.177999999999997</v>
      </c>
      <c r="J38" s="136">
        <f>I38</f>
        <v>66.177999999999997</v>
      </c>
      <c r="K38" s="137" t="s">
        <v>63</v>
      </c>
      <c r="N38" s="556">
        <f>3.182+1.917+2.309</f>
        <v>7.4080000000000004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C39</f>
        <v>0</v>
      </c>
      <c r="E39" s="152">
        <f t="shared" si="1"/>
        <v>0</v>
      </c>
      <c r="F39" s="194">
        <v>1620</v>
      </c>
      <c r="G39" s="194">
        <f>+F39-F39*0.24</f>
        <v>1231.2</v>
      </c>
      <c r="H39" s="196" t="s">
        <v>65</v>
      </c>
      <c r="I39" s="151"/>
      <c r="J39" s="138">
        <f>J37/G4</f>
        <v>68.76141078000002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 t="shared" ref="D40:D51" si="2">C40</f>
        <v>0</v>
      </c>
      <c r="E40" s="152">
        <f t="shared" si="1"/>
        <v>0</v>
      </c>
      <c r="F40" s="194">
        <v>1667.5</v>
      </c>
      <c r="G40" s="194">
        <v>1267.3</v>
      </c>
      <c r="H40" s="196" t="s">
        <v>67</v>
      </c>
      <c r="I40" s="127">
        <f>(K34+L34)/1000</f>
        <v>63.094000000000001</v>
      </c>
      <c r="J40" s="140">
        <f>M34/1000</f>
        <v>63.094000000000001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 t="shared" si="2"/>
        <v>0</v>
      </c>
      <c r="E41" s="152">
        <f t="shared" si="1"/>
        <v>0</v>
      </c>
      <c r="F41" s="194"/>
      <c r="G41" s="194"/>
      <c r="H41" s="196" t="s">
        <v>69</v>
      </c>
      <c r="I41" s="151"/>
      <c r="J41" s="138">
        <f>J40/G4</f>
        <v>63.094000000000001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 t="shared" si="2"/>
        <v>0</v>
      </c>
      <c r="E42" s="152">
        <f t="shared" si="1"/>
        <v>0</v>
      </c>
      <c r="F42" s="194">
        <f>+(F38*480+F39*480+F40*480)/1440</f>
        <v>1605.8333333333333</v>
      </c>
      <c r="G42" s="194">
        <f>+(G38*480+G39*480+G40*480)/1440</f>
        <v>1220.4333333333334</v>
      </c>
      <c r="H42" s="196" t="s">
        <v>70</v>
      </c>
      <c r="I42" s="254" t="s">
        <v>449</v>
      </c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 t="shared" si="2"/>
        <v>0</v>
      </c>
      <c r="E43" s="152">
        <f t="shared" si="1"/>
        <v>0</v>
      </c>
      <c r="F43" s="194"/>
      <c r="H43" s="197" t="s">
        <v>73</v>
      </c>
      <c r="I43" s="127">
        <f>+Report1!T9</f>
        <v>147.37</v>
      </c>
      <c r="J43" s="142">
        <f>I43</f>
        <v>147.37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C44</f>
        <v>0</v>
      </c>
      <c r="E44" s="152">
        <f t="shared" si="1"/>
        <v>0</v>
      </c>
      <c r="F44" s="194"/>
      <c r="H44" s="197" t="s">
        <v>74</v>
      </c>
      <c r="I44" s="127">
        <f>I43/I38</f>
        <v>2.2268729789355981</v>
      </c>
      <c r="J44" s="143">
        <f>J43/J38</f>
        <v>2.2268729789355981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 t="shared" si="2"/>
        <v>0</v>
      </c>
      <c r="E45" s="152">
        <f t="shared" si="1"/>
        <v>0</v>
      </c>
      <c r="F45" s="194"/>
      <c r="G45" s="185"/>
      <c r="H45" s="197" t="s">
        <v>75</v>
      </c>
      <c r="I45" s="127">
        <f>I43/I40</f>
        <v>2.3357213047199417</v>
      </c>
      <c r="J45" s="143">
        <f>J43/J40</f>
        <v>2.3357213047199417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 t="shared" si="2"/>
        <v>0</v>
      </c>
      <c r="E46" s="152">
        <f t="shared" si="1"/>
        <v>0</v>
      </c>
      <c r="F46" s="194"/>
      <c r="H46" s="197" t="s">
        <v>77</v>
      </c>
      <c r="I46" s="149">
        <f>+SUMIF(Listrik!AR8,"&gt;0")</f>
        <v>55686.020000001132</v>
      </c>
      <c r="J46" s="144">
        <f>I46</f>
        <v>55686.020000001132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 t="shared" si="2"/>
        <v>0</v>
      </c>
      <c r="E47" s="152">
        <f t="shared" si="1"/>
        <v>0</v>
      </c>
      <c r="F47" s="194"/>
      <c r="H47" s="197" t="s">
        <v>80</v>
      </c>
      <c r="I47" s="127">
        <f>I46/I38</f>
        <v>841.45818852188245</v>
      </c>
      <c r="J47" s="144">
        <f>J46/J38</f>
        <v>841.45818852188245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 t="shared" si="2"/>
        <v>0</v>
      </c>
      <c r="E48" s="152">
        <f t="shared" si="1"/>
        <v>0</v>
      </c>
      <c r="F48" s="194"/>
      <c r="H48" s="197" t="s">
        <v>81</v>
      </c>
      <c r="I48" s="127">
        <f>I46/I40</f>
        <v>882.5882017307689</v>
      </c>
      <c r="J48" s="144">
        <f>J46/J40</f>
        <v>882.5882017307689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 t="shared" si="2"/>
        <v>0</v>
      </c>
      <c r="E49" s="152">
        <f t="shared" si="1"/>
        <v>0</v>
      </c>
      <c r="F49" s="194"/>
      <c r="H49" s="197" t="s">
        <v>185</v>
      </c>
      <c r="I49" s="127"/>
      <c r="J49" s="144">
        <f>I49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 t="shared" si="2"/>
        <v>0</v>
      </c>
      <c r="E50" s="152">
        <f t="shared" si="1"/>
        <v>0</v>
      </c>
      <c r="F50" s="194"/>
      <c r="H50" s="197" t="s">
        <v>84</v>
      </c>
      <c r="I50" s="149">
        <f>I49/I38</f>
        <v>0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 t="shared" si="2"/>
        <v>0</v>
      </c>
      <c r="E51" s="152">
        <f t="shared" si="1"/>
        <v>0</v>
      </c>
      <c r="F51" s="194"/>
      <c r="H51" s="199" t="s">
        <v>86</v>
      </c>
      <c r="I51" s="150">
        <f>I49/I40</f>
        <v>0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48</v>
      </c>
      <c r="D52" s="153">
        <f>SUM(D38:D51)</f>
        <v>48</v>
      </c>
      <c r="E52" s="154">
        <f>SUM(E38:E51)</f>
        <v>0.8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3.3333333333333333E-2</v>
      </c>
      <c r="D53" s="155">
        <f>D52/(24*60*G4)</f>
        <v>3.3333333333333333E-2</v>
      </c>
      <c r="E53" s="156">
        <f>E52/(G4*24)</f>
        <v>3.3333333333333333E-2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D34</f>
        <v>0</v>
      </c>
      <c r="K56" s="210">
        <f>J56/(J40+J56/1000)/1000</f>
        <v>0</v>
      </c>
    </row>
    <row r="57" spans="1:11">
      <c r="A57" s="185"/>
      <c r="I57" s="208" t="s">
        <v>89</v>
      </c>
      <c r="J57" s="209">
        <f>+E34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52:B52"/>
    <mergeCell ref="A53:B53"/>
    <mergeCell ref="A42:B42"/>
    <mergeCell ref="A43:B43"/>
    <mergeCell ref="A44:B44"/>
    <mergeCell ref="A45:B45"/>
    <mergeCell ref="A46:B46"/>
    <mergeCell ref="A47:B47"/>
    <mergeCell ref="A50:B50"/>
    <mergeCell ref="A51:B51"/>
    <mergeCell ref="A48:B48"/>
    <mergeCell ref="A49:B49"/>
    <mergeCell ref="A41:B41"/>
    <mergeCell ref="A38:B38"/>
    <mergeCell ref="A39:B39"/>
    <mergeCell ref="A7:A14"/>
    <mergeCell ref="I7:I13"/>
    <mergeCell ref="A15:A23"/>
    <mergeCell ref="I15:I22"/>
    <mergeCell ref="A34:B34"/>
    <mergeCell ref="A37:B37"/>
    <mergeCell ref="A24:A32"/>
    <mergeCell ref="I24:I31"/>
    <mergeCell ref="A40:B40"/>
  </mergeCells>
  <phoneticPr fontId="31" type="noConversion"/>
  <printOptions horizontalCentered="1"/>
  <pageMargins left="0.15625" right="0.15625" top="0.17" bottom="0.16" header="0" footer="0"/>
  <pageSetup paperSize="9" scale="62" firstPageNumber="4294963191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61"/>
  <sheetViews>
    <sheetView topLeftCell="A19" zoomScale="80" zoomScaleNormal="80" workbookViewId="0">
      <selection activeCell="A6" sqref="A6:I35"/>
    </sheetView>
  </sheetViews>
  <sheetFormatPr defaultColWidth="9.140625" defaultRowHeight="12.75"/>
  <cols>
    <col min="1" max="1" width="8" style="158" customWidth="1"/>
    <col min="2" max="2" width="7" style="158" bestFit="1" customWidth="1"/>
    <col min="3" max="3" width="14.85546875" style="158" bestFit="1" customWidth="1"/>
    <col min="4" max="4" width="12.5703125" style="158" bestFit="1" customWidth="1"/>
    <col min="5" max="5" width="13.85546875" style="158" bestFit="1" customWidth="1"/>
    <col min="6" max="6" width="12.140625" style="119" bestFit="1" customWidth="1"/>
    <col min="7" max="7" width="11.42578125" style="158" bestFit="1" customWidth="1"/>
    <col min="8" max="8" width="64.85546875" style="158" customWidth="1"/>
    <col min="9" max="9" width="14.7109375" style="158" bestFit="1" customWidth="1"/>
    <col min="10" max="10" width="14.7109375" style="158" customWidth="1"/>
    <col min="11" max="11" width="12.5703125" style="158" bestFit="1" customWidth="1"/>
    <col min="12" max="12" width="8.28515625" style="158" customWidth="1"/>
    <col min="13" max="13" width="14.42578125" style="158" customWidth="1"/>
    <col min="14" max="16384" width="9.140625" style="158"/>
  </cols>
  <sheetData>
    <row r="1" spans="1:13" ht="15.75">
      <c r="A1" s="157"/>
    </row>
    <row r="2" spans="1:13" ht="15.75">
      <c r="A2" s="157" t="s">
        <v>148</v>
      </c>
    </row>
    <row r="3" spans="1:13" ht="15">
      <c r="A3" s="159"/>
    </row>
    <row r="4" spans="1:13" ht="20.25">
      <c r="A4" s="160" t="s">
        <v>3</v>
      </c>
      <c r="B4" s="161"/>
      <c r="F4" s="162" t="s">
        <v>29</v>
      </c>
      <c r="G4" s="163">
        <v>31</v>
      </c>
      <c r="H4" s="163" t="str">
        <f>+'1'!H4</f>
        <v>.06.24</v>
      </c>
    </row>
    <row r="5" spans="1:13" ht="13.5" thickBot="1">
      <c r="C5" s="164"/>
      <c r="D5" s="164"/>
    </row>
    <row r="6" spans="1:13" ht="26.25" thickBot="1">
      <c r="A6" s="165" t="s">
        <v>47</v>
      </c>
      <c r="B6" s="166" t="s">
        <v>8</v>
      </c>
      <c r="C6" s="166" t="s">
        <v>48</v>
      </c>
      <c r="D6" s="166" t="s">
        <v>49</v>
      </c>
      <c r="E6" s="167" t="s">
        <v>50</v>
      </c>
      <c r="F6" s="111" t="s">
        <v>51</v>
      </c>
      <c r="G6" s="166" t="s">
        <v>52</v>
      </c>
      <c r="H6" s="168" t="s">
        <v>53</v>
      </c>
      <c r="I6" s="169" t="s">
        <v>54</v>
      </c>
      <c r="J6" s="170" t="s">
        <v>8</v>
      </c>
      <c r="K6" s="171" t="s">
        <v>55</v>
      </c>
      <c r="L6" s="219" t="s">
        <v>142</v>
      </c>
      <c r="M6" s="172" t="s">
        <v>56</v>
      </c>
    </row>
    <row r="7" spans="1:13" ht="13.5" customHeight="1" thickBot="1">
      <c r="A7" s="1029"/>
      <c r="B7" s="224"/>
      <c r="C7" s="225"/>
      <c r="D7" s="226"/>
      <c r="E7" s="227"/>
      <c r="F7" s="236"/>
      <c r="G7" s="237"/>
      <c r="H7" s="238"/>
      <c r="I7" s="1032"/>
      <c r="J7" s="223" t="str">
        <f>+'30'!J7</f>
        <v>T 14 VP OW</v>
      </c>
      <c r="K7" s="246"/>
      <c r="L7" s="250"/>
      <c r="M7" s="126">
        <f>+L7+'30'!M7+K7</f>
        <v>62499</v>
      </c>
    </row>
    <row r="8" spans="1:13" ht="13.5" thickBot="1">
      <c r="A8" s="1041"/>
      <c r="B8" s="224"/>
      <c r="C8" s="225"/>
      <c r="D8" s="226"/>
      <c r="E8" s="228"/>
      <c r="F8" s="239"/>
      <c r="G8" s="240"/>
      <c r="H8" s="238"/>
      <c r="I8" s="1033"/>
      <c r="J8" s="223" t="str">
        <f>+'30'!J8</f>
        <v>T 15 VP OW</v>
      </c>
      <c r="K8" s="247"/>
      <c r="L8" s="247"/>
      <c r="M8" s="126">
        <f>+L8+'30'!M8+K8</f>
        <v>37584</v>
      </c>
    </row>
    <row r="9" spans="1:13" ht="13.5" thickBot="1">
      <c r="A9" s="1041"/>
      <c r="B9" s="224"/>
      <c r="C9" s="225"/>
      <c r="D9" s="226"/>
      <c r="E9" s="229"/>
      <c r="F9" s="236"/>
      <c r="G9" s="240"/>
      <c r="H9" s="241"/>
      <c r="I9" s="1033"/>
      <c r="J9" s="223" t="str">
        <f>+'30'!J9</f>
        <v>T 12,5 VP OW</v>
      </c>
      <c r="K9" s="247"/>
      <c r="L9" s="247"/>
      <c r="M9" s="126">
        <f>+L9+'30'!M9+K9</f>
        <v>148332</v>
      </c>
    </row>
    <row r="10" spans="1:13" ht="13.5" thickBot="1">
      <c r="A10" s="1041"/>
      <c r="B10" s="224"/>
      <c r="C10" s="225"/>
      <c r="D10" s="226"/>
      <c r="E10" s="228"/>
      <c r="F10" s="236"/>
      <c r="G10" s="240"/>
      <c r="H10" s="241"/>
      <c r="I10" s="1033"/>
      <c r="J10" s="223" t="str">
        <f>+'30'!J10</f>
        <v>T 12 VP OW</v>
      </c>
      <c r="K10" s="247"/>
      <c r="L10" s="247"/>
      <c r="M10" s="126">
        <f>+L10+'30'!M10+K10</f>
        <v>25679</v>
      </c>
    </row>
    <row r="11" spans="1:13" ht="13.5" thickBot="1">
      <c r="A11" s="1041"/>
      <c r="B11" s="224"/>
      <c r="C11" s="225"/>
      <c r="D11" s="226"/>
      <c r="E11" s="228"/>
      <c r="F11" s="236"/>
      <c r="G11" s="240"/>
      <c r="H11" s="241"/>
      <c r="I11" s="1033"/>
      <c r="J11" s="223" t="str">
        <f>+'30'!J11</f>
        <v>F 12 VP OW</v>
      </c>
      <c r="K11" s="247"/>
      <c r="L11" s="247"/>
      <c r="M11" s="126">
        <f>+L11+'30'!M11+K11</f>
        <v>172980</v>
      </c>
    </row>
    <row r="12" spans="1:13" ht="13.5" thickBot="1">
      <c r="A12" s="1041"/>
      <c r="B12" s="224"/>
      <c r="C12" s="225"/>
      <c r="D12" s="226"/>
      <c r="E12" s="228"/>
      <c r="F12" s="236"/>
      <c r="G12" s="240"/>
      <c r="H12" s="241"/>
      <c r="I12" s="1033"/>
      <c r="J12" s="223" t="str">
        <f>+'30'!J12</f>
        <v>F 13 VP OW</v>
      </c>
      <c r="K12" s="247"/>
      <c r="L12" s="247"/>
      <c r="M12" s="126">
        <f>+L12+'30'!M12+K12</f>
        <v>245252</v>
      </c>
    </row>
    <row r="13" spans="1:13" ht="13.5" thickBot="1">
      <c r="A13" s="1041"/>
      <c r="B13" s="224"/>
      <c r="C13" s="225"/>
      <c r="D13" s="225"/>
      <c r="E13" s="228"/>
      <c r="F13" s="236"/>
      <c r="G13" s="240"/>
      <c r="H13" s="241"/>
      <c r="I13" s="1034"/>
      <c r="J13" s="223" t="str">
        <f>+'30'!J13</f>
        <v>F 13,5 VP OW</v>
      </c>
      <c r="K13" s="247"/>
      <c r="L13" s="247"/>
      <c r="M13" s="126">
        <f>+L13+'30'!M13+K13</f>
        <v>21725</v>
      </c>
    </row>
    <row r="14" spans="1:13" ht="13.5" thickBot="1">
      <c r="A14" s="1042"/>
      <c r="B14" s="174" t="s">
        <v>2</v>
      </c>
      <c r="C14" s="108">
        <f>SUM(C7:C13)</f>
        <v>0</v>
      </c>
      <c r="D14" s="120">
        <f>SUM(D7:D13)</f>
        <v>0</v>
      </c>
      <c r="E14" s="121">
        <f>SUM(E5:E13)</f>
        <v>0</v>
      </c>
      <c r="F14" s="125">
        <f>SUM(F7:F13)</f>
        <v>0</v>
      </c>
      <c r="G14" s="168"/>
      <c r="H14" s="175"/>
      <c r="I14" s="176"/>
      <c r="J14" s="223" t="str">
        <f>+'30'!J14</f>
        <v>F 12,5 VP OW</v>
      </c>
      <c r="K14" s="247"/>
      <c r="L14" s="247"/>
      <c r="M14" s="126">
        <f>+L14+'30'!M14+K14</f>
        <v>73203</v>
      </c>
    </row>
    <row r="15" spans="1:13" ht="13.5" customHeight="1" thickBot="1">
      <c r="A15" s="1029"/>
      <c r="B15" s="174"/>
      <c r="C15" s="122"/>
      <c r="D15" s="123"/>
      <c r="E15" s="124"/>
      <c r="F15" s="236"/>
      <c r="G15" s="237"/>
      <c r="H15" s="238"/>
      <c r="I15" s="1032"/>
      <c r="J15" s="223" t="str">
        <f>+'30'!J15</f>
        <v>MG 14 VP OW/HW</v>
      </c>
      <c r="K15" s="247"/>
      <c r="L15" s="247"/>
      <c r="M15" s="126">
        <f>+L15+'30'!M15+K15</f>
        <v>83225</v>
      </c>
    </row>
    <row r="16" spans="1:13" ht="13.5" thickBot="1">
      <c r="A16" s="1043"/>
      <c r="B16" s="224"/>
      <c r="C16" s="230"/>
      <c r="D16" s="231"/>
      <c r="E16" s="232"/>
      <c r="F16" s="236"/>
      <c r="G16" s="240"/>
      <c r="H16" s="238"/>
      <c r="I16" s="1033"/>
      <c r="J16" s="223" t="str">
        <f>+'30'!J16</f>
        <v>MG 17 VP OW/HW</v>
      </c>
      <c r="K16" s="237"/>
      <c r="L16" s="237"/>
      <c r="M16" s="126">
        <f>+L16+'30'!M16+K16</f>
        <v>338028</v>
      </c>
    </row>
    <row r="17" spans="1:14" ht="13.5" thickBot="1">
      <c r="A17" s="1043"/>
      <c r="B17" s="224"/>
      <c r="C17" s="225"/>
      <c r="D17" s="226"/>
      <c r="E17" s="233"/>
      <c r="F17" s="236"/>
      <c r="G17" s="240"/>
      <c r="H17" s="241"/>
      <c r="I17" s="1033"/>
      <c r="J17" s="223" t="str">
        <f>+'30'!J17</f>
        <v>MG 16 VP HW</v>
      </c>
      <c r="K17" s="237"/>
      <c r="L17" s="237"/>
      <c r="M17" s="126">
        <f>+L17+'30'!M17+K17</f>
        <v>338456</v>
      </c>
    </row>
    <row r="18" spans="1:14" ht="13.5" thickBot="1">
      <c r="A18" s="1043"/>
      <c r="B18" s="224"/>
      <c r="C18" s="225"/>
      <c r="D18" s="226"/>
      <c r="E18" s="233"/>
      <c r="F18" s="236"/>
      <c r="G18" s="240"/>
      <c r="H18" s="241"/>
      <c r="I18" s="1033"/>
      <c r="J18" s="223" t="str">
        <f>+'30'!J18</f>
        <v>MG 19 VP HW</v>
      </c>
      <c r="K18" s="247"/>
      <c r="L18" s="247"/>
      <c r="M18" s="126">
        <f>+L18+'30'!M18+K18</f>
        <v>22191</v>
      </c>
    </row>
    <row r="19" spans="1:14" ht="13.5" thickBot="1">
      <c r="A19" s="1043"/>
      <c r="B19" s="224"/>
      <c r="C19" s="225"/>
      <c r="D19" s="226"/>
      <c r="E19" s="233"/>
      <c r="F19" s="243"/>
      <c r="G19" s="240"/>
      <c r="H19" s="241"/>
      <c r="I19" s="1033"/>
      <c r="J19" s="223" t="str">
        <f>+'30'!J19</f>
        <v>MG 15,5 VP HW</v>
      </c>
      <c r="K19" s="247"/>
      <c r="L19" s="247"/>
      <c r="M19" s="126">
        <f>+L19+'30'!M19+K19</f>
        <v>26491</v>
      </c>
    </row>
    <row r="20" spans="1:14" ht="13.5" thickBot="1">
      <c r="A20" s="1043"/>
      <c r="B20" s="224"/>
      <c r="C20" s="225"/>
      <c r="D20" s="226"/>
      <c r="E20" s="233"/>
      <c r="F20" s="236"/>
      <c r="G20" s="240"/>
      <c r="H20" s="241"/>
      <c r="I20" s="1033"/>
      <c r="J20" s="223" t="str">
        <f>+'30'!J20</f>
        <v>MG 20 VP HW/OW</v>
      </c>
      <c r="K20" s="248"/>
      <c r="L20" s="248"/>
      <c r="M20" s="126">
        <f>+L20+'30'!M20+K20</f>
        <v>117211</v>
      </c>
    </row>
    <row r="21" spans="1:14" ht="13.5" thickBot="1">
      <c r="A21" s="1043"/>
      <c r="B21" s="224"/>
      <c r="C21" s="225"/>
      <c r="D21" s="226"/>
      <c r="E21" s="233"/>
      <c r="F21" s="239"/>
      <c r="G21" s="240"/>
      <c r="H21" s="503"/>
      <c r="I21" s="1033"/>
      <c r="J21" s="223" t="str">
        <f>+'30'!J21</f>
        <v>MG 20,5 VP OW</v>
      </c>
      <c r="K21" s="247"/>
      <c r="L21" s="247"/>
      <c r="M21" s="126">
        <f>+L21+'30'!M21+K21</f>
        <v>19381</v>
      </c>
    </row>
    <row r="22" spans="1:14" ht="13.5" thickBot="1">
      <c r="A22" s="1043"/>
      <c r="B22" s="224"/>
      <c r="C22" s="225"/>
      <c r="D22" s="226"/>
      <c r="E22" s="233"/>
      <c r="F22" s="244"/>
      <c r="G22" s="240"/>
      <c r="H22" s="241"/>
      <c r="I22" s="1034"/>
      <c r="J22" s="223" t="str">
        <f>+'30'!J22</f>
        <v>MG 21,5 VP OW</v>
      </c>
      <c r="K22" s="247"/>
      <c r="L22" s="247"/>
      <c r="M22" s="126">
        <f>+L22+'30'!M22+K22</f>
        <v>54453</v>
      </c>
    </row>
    <row r="23" spans="1:14" ht="13.5" thickBot="1">
      <c r="A23" s="1044"/>
      <c r="B23" s="177" t="s">
        <v>2</v>
      </c>
      <c r="C23" s="109">
        <f>SUM(C16:C22)</f>
        <v>0</v>
      </c>
      <c r="D23" s="120">
        <f>SUM(D16:D22)</f>
        <v>0</v>
      </c>
      <c r="E23" s="121">
        <f>SUM(E18:E22)</f>
        <v>0</v>
      </c>
      <c r="F23" s="125">
        <f>SUM(F15:F22)</f>
        <v>0</v>
      </c>
      <c r="G23" s="168"/>
      <c r="H23" s="175" t="s">
        <v>234</v>
      </c>
      <c r="I23" s="178"/>
      <c r="J23" s="223" t="str">
        <f>+'30'!J23</f>
        <v>MG 25 VP OW</v>
      </c>
      <c r="K23" s="247"/>
      <c r="L23" s="247"/>
      <c r="M23" s="126">
        <f>+L23+'30'!M23+K23</f>
        <v>0</v>
      </c>
    </row>
    <row r="24" spans="1:14" ht="13.5" customHeight="1" thickBot="1">
      <c r="A24" s="1029"/>
      <c r="B24" s="179"/>
      <c r="C24" s="122"/>
      <c r="D24" s="123"/>
      <c r="E24" s="124"/>
      <c r="F24" s="244"/>
      <c r="G24" s="237"/>
      <c r="H24" s="238"/>
      <c r="I24" s="1032"/>
      <c r="J24" s="223" t="str">
        <f>+'30'!J24</f>
        <v>F 10,5 VP OW</v>
      </c>
      <c r="K24" s="247"/>
      <c r="L24" s="247"/>
      <c r="M24" s="126">
        <f>+L24+'30'!M24+K24</f>
        <v>35876</v>
      </c>
    </row>
    <row r="25" spans="1:14" ht="13.5" thickBot="1">
      <c r="A25" s="1043"/>
      <c r="B25" s="224"/>
      <c r="C25" s="234"/>
      <c r="D25" s="226"/>
      <c r="E25" s="233"/>
      <c r="F25" s="239"/>
      <c r="G25" s="240"/>
      <c r="H25" s="238"/>
      <c r="I25" s="1033"/>
      <c r="J25" s="223" t="str">
        <f>+'30'!J25</f>
        <v>SN 13 VP OW</v>
      </c>
      <c r="K25" s="247"/>
      <c r="L25" s="247"/>
      <c r="M25" s="126">
        <f>+L25+'30'!M25+K25</f>
        <v>139629</v>
      </c>
    </row>
    <row r="26" spans="1:14" ht="13.5" thickBot="1">
      <c r="A26" s="1043"/>
      <c r="B26" s="224"/>
      <c r="C26" s="234"/>
      <c r="D26" s="226"/>
      <c r="E26" s="235"/>
      <c r="F26" s="239"/>
      <c r="G26" s="240"/>
      <c r="H26" s="241"/>
      <c r="I26" s="1033"/>
      <c r="J26" s="223">
        <f>+'30'!J26</f>
        <v>0</v>
      </c>
      <c r="K26" s="247"/>
      <c r="L26" s="247"/>
      <c r="M26" s="126">
        <f>+L26+'30'!M26+K26</f>
        <v>0</v>
      </c>
    </row>
    <row r="27" spans="1:14" ht="13.5" thickBot="1">
      <c r="A27" s="1043"/>
      <c r="B27" s="224"/>
      <c r="C27" s="225"/>
      <c r="D27" s="226"/>
      <c r="E27" s="233"/>
      <c r="F27" s="239"/>
      <c r="G27" s="240"/>
      <c r="H27" s="241"/>
      <c r="I27" s="1033"/>
      <c r="J27" s="223">
        <f>+'30'!J27</f>
        <v>0</v>
      </c>
      <c r="K27" s="247"/>
      <c r="L27" s="247"/>
      <c r="M27" s="126">
        <f>+L27+'30'!M27+K27</f>
        <v>0</v>
      </c>
    </row>
    <row r="28" spans="1:14" ht="13.5" thickBot="1">
      <c r="A28" s="1043"/>
      <c r="B28" s="224"/>
      <c r="C28" s="225"/>
      <c r="D28" s="226"/>
      <c r="E28" s="233"/>
      <c r="F28" s="239"/>
      <c r="G28" s="240"/>
      <c r="H28" s="241"/>
      <c r="I28" s="1033"/>
      <c r="J28" s="223">
        <f>+'30'!J28</f>
        <v>0</v>
      </c>
      <c r="K28" s="247"/>
      <c r="L28" s="247"/>
      <c r="M28" s="126">
        <f>+L28+'30'!M28+K28</f>
        <v>0</v>
      </c>
    </row>
    <row r="29" spans="1:14" ht="13.5" thickBot="1">
      <c r="A29" s="1043"/>
      <c r="B29" s="224"/>
      <c r="C29" s="225"/>
      <c r="D29" s="226"/>
      <c r="E29" s="233"/>
      <c r="F29" s="244"/>
      <c r="G29" s="240"/>
      <c r="H29" s="241"/>
      <c r="I29" s="1033"/>
      <c r="J29" s="223">
        <f>+'30'!J29</f>
        <v>0</v>
      </c>
      <c r="K29" s="247"/>
      <c r="L29" s="247"/>
      <c r="M29" s="126">
        <f>+L29+'30'!M29+K29</f>
        <v>0</v>
      </c>
    </row>
    <row r="30" spans="1:14" ht="13.5" thickBot="1">
      <c r="A30" s="1043"/>
      <c r="B30" s="224"/>
      <c r="C30" s="234"/>
      <c r="D30" s="226"/>
      <c r="E30" s="233"/>
      <c r="F30" s="244"/>
      <c r="G30" s="240"/>
      <c r="H30" s="241"/>
      <c r="I30" s="1033"/>
      <c r="J30" s="223">
        <f>+'30'!J30</f>
        <v>0</v>
      </c>
      <c r="K30" s="247"/>
      <c r="L30" s="247"/>
      <c r="M30" s="126">
        <f>+L30+'30'!M30+K30</f>
        <v>0</v>
      </c>
      <c r="N30" s="164"/>
    </row>
    <row r="31" spans="1:14" ht="13.5" thickBot="1">
      <c r="A31" s="1043"/>
      <c r="B31" s="224"/>
      <c r="C31" s="234"/>
      <c r="D31" s="226"/>
      <c r="E31" s="233"/>
      <c r="F31" s="244"/>
      <c r="G31" s="245"/>
      <c r="H31" s="242"/>
      <c r="I31" s="1034"/>
      <c r="J31" s="223">
        <f>+'30'!J31</f>
        <v>0</v>
      </c>
      <c r="K31" s="247"/>
      <c r="L31" s="247"/>
      <c r="M31" s="126">
        <f>+L31+'30'!M31+K31</f>
        <v>0</v>
      </c>
    </row>
    <row r="32" spans="1:14" ht="13.5" thickBot="1">
      <c r="A32" s="1044"/>
      <c r="B32" s="174" t="s">
        <v>2</v>
      </c>
      <c r="C32" s="108">
        <f>SUM(C25:C31)</f>
        <v>0</v>
      </c>
      <c r="D32" s="109">
        <f>SUM(D25:D31)</f>
        <v>0</v>
      </c>
      <c r="E32" s="110">
        <f>SUM(E25:E31)</f>
        <v>0</v>
      </c>
      <c r="F32" s="111">
        <f>SUM(F24:F31)</f>
        <v>0</v>
      </c>
      <c r="G32" s="180"/>
      <c r="H32" s="181"/>
      <c r="I32" s="178"/>
      <c r="J32" s="223">
        <f>+'30'!J32</f>
        <v>0</v>
      </c>
      <c r="K32" s="249"/>
      <c r="L32" s="251"/>
      <c r="M32" s="126">
        <f>+L32+'30'!M32+K32</f>
        <v>0</v>
      </c>
    </row>
    <row r="33" spans="1:14" ht="13.5" thickBot="1">
      <c r="A33" s="182"/>
      <c r="B33" s="183"/>
      <c r="C33" s="112" t="e">
        <f>C32/($C$32+$D$32+$E$32)</f>
        <v>#DIV/0!</v>
      </c>
      <c r="D33" s="113" t="e">
        <f>D32/($C$32+$D$32+$E$32)</f>
        <v>#DIV/0!</v>
      </c>
      <c r="E33" s="114" t="e">
        <f>E32/($C$32+$D$32+$E$32)</f>
        <v>#DIV/0!</v>
      </c>
      <c r="F33" s="115"/>
      <c r="G33" s="184"/>
      <c r="H33" s="185"/>
      <c r="I33" s="186"/>
      <c r="J33" s="130"/>
      <c r="K33" s="131"/>
      <c r="L33" s="222"/>
      <c r="M33" s="128"/>
    </row>
    <row r="34" spans="1:14" ht="13.5" thickBot="1">
      <c r="A34" s="1036" t="s">
        <v>57</v>
      </c>
      <c r="B34" s="1037"/>
      <c r="C34" s="116">
        <f>C14+C23+C32</f>
        <v>0</v>
      </c>
      <c r="D34" s="116">
        <f>D14+D23+D32</f>
        <v>0</v>
      </c>
      <c r="E34" s="116">
        <f>E14+E23+E32</f>
        <v>0</v>
      </c>
      <c r="F34" s="117">
        <f>F14+F23+F32</f>
        <v>0</v>
      </c>
      <c r="H34" s="187"/>
      <c r="I34" s="187"/>
      <c r="J34" s="132" t="s">
        <v>27</v>
      </c>
      <c r="K34" s="133">
        <f>SUM(K7:K32)</f>
        <v>0</v>
      </c>
      <c r="L34" s="221">
        <f>SUM(L7:L32)</f>
        <v>0</v>
      </c>
      <c r="M34" s="129">
        <f>SUM(M7:M32)</f>
        <v>1962195</v>
      </c>
      <c r="N34" s="164"/>
    </row>
    <row r="35" spans="1:14" ht="13.5" thickBot="1">
      <c r="A35" s="188"/>
      <c r="B35" s="189"/>
      <c r="C35" s="113" t="e">
        <f>C34/($C$34+$D$34+$E$34)</f>
        <v>#DIV/0!</v>
      </c>
      <c r="D35" s="113" t="e">
        <f>D34/($C$34+$D$34+$E$34)</f>
        <v>#DIV/0!</v>
      </c>
      <c r="E35" s="118" t="e">
        <f>E34/($C$34+$D$34+$E$34)</f>
        <v>#DIV/0!</v>
      </c>
      <c r="K35" s="164"/>
    </row>
    <row r="36" spans="1:14" ht="13.5" thickBot="1">
      <c r="A36" s="187"/>
      <c r="B36" s="187"/>
      <c r="C36" s="164"/>
      <c r="D36" s="164"/>
      <c r="E36" s="164"/>
      <c r="G36" s="164"/>
      <c r="H36" s="190"/>
      <c r="I36" s="171" t="s">
        <v>36</v>
      </c>
      <c r="J36" s="171" t="s">
        <v>37</v>
      </c>
      <c r="K36" s="191"/>
    </row>
    <row r="37" spans="1:14" ht="17.45" customHeight="1" thickBot="1">
      <c r="A37" s="1038" t="s">
        <v>58</v>
      </c>
      <c r="B37" s="1039"/>
      <c r="C37" s="171" t="s">
        <v>59</v>
      </c>
      <c r="D37" s="192" t="s">
        <v>60</v>
      </c>
      <c r="E37" s="193" t="s">
        <v>61</v>
      </c>
      <c r="F37" s="337"/>
      <c r="G37" s="339"/>
      <c r="H37" s="195" t="s">
        <v>62</v>
      </c>
      <c r="I37" s="252">
        <f>(17*1440)/1440*G42*2.77*1440/1000000</f>
        <v>0</v>
      </c>
      <c r="J37" s="134">
        <f>+I37+'30'!J37</f>
        <v>2100.5277530251979</v>
      </c>
      <c r="K37" s="135" t="s">
        <v>63</v>
      </c>
    </row>
    <row r="38" spans="1:14" ht="17.45" customHeight="1">
      <c r="A38" s="1027" t="s">
        <v>11</v>
      </c>
      <c r="B38" s="1028"/>
      <c r="C38" s="173">
        <f>SUMIF($G$7:$G$31,"Process",$F$7:$F$31)</f>
        <v>0</v>
      </c>
      <c r="D38" s="127">
        <f>+C38+'30'!D38</f>
        <v>957</v>
      </c>
      <c r="E38" s="152">
        <f t="shared" ref="E38:E51" si="0">D38/60</f>
        <v>15.95</v>
      </c>
      <c r="F38" s="337"/>
      <c r="G38" s="337"/>
      <c r="H38" s="196" t="s">
        <v>64</v>
      </c>
      <c r="I38" s="253"/>
      <c r="J38" s="136">
        <f>+I38+'30'!J38</f>
        <v>2011.0520000000001</v>
      </c>
      <c r="K38" s="137" t="s">
        <v>63</v>
      </c>
    </row>
    <row r="39" spans="1:14" ht="17.45" customHeight="1">
      <c r="A39" s="1023" t="s">
        <v>12</v>
      </c>
      <c r="B39" s="1024"/>
      <c r="C39" s="173">
        <f>SUMIF($G$7:$G$31,"Cleaning",$F$7:$F$31)</f>
        <v>0</v>
      </c>
      <c r="D39" s="127">
        <f>+C39+'30'!D39</f>
        <v>0</v>
      </c>
      <c r="E39" s="152">
        <f t="shared" si="0"/>
        <v>0</v>
      </c>
      <c r="F39" s="337"/>
      <c r="G39" s="337"/>
      <c r="H39" s="196" t="s">
        <v>65</v>
      </c>
      <c r="I39" s="151"/>
      <c r="J39" s="138">
        <f>J37/G4</f>
        <v>67.758959775006389</v>
      </c>
      <c r="K39" s="139" t="s">
        <v>63</v>
      </c>
    </row>
    <row r="40" spans="1:14" ht="17.45" customHeight="1">
      <c r="A40" s="1023" t="s">
        <v>66</v>
      </c>
      <c r="B40" s="1024"/>
      <c r="C40" s="173">
        <f>SUMIF($G$7:$G$31,"Mechanical",$F$7:$F$31)</f>
        <v>0</v>
      </c>
      <c r="D40" s="127">
        <f>+C40+'30'!D40</f>
        <v>0</v>
      </c>
      <c r="E40" s="152">
        <f t="shared" si="0"/>
        <v>0</v>
      </c>
      <c r="F40" s="337"/>
      <c r="G40" s="337"/>
      <c r="H40" s="196" t="s">
        <v>67</v>
      </c>
      <c r="I40" s="127">
        <f>(K34+L34)/1000</f>
        <v>0</v>
      </c>
      <c r="J40" s="140">
        <f>+I40+'30'!J40</f>
        <v>1962.1950000000002</v>
      </c>
      <c r="K40" s="139" t="s">
        <v>63</v>
      </c>
    </row>
    <row r="41" spans="1:14" ht="17.45" customHeight="1">
      <c r="A41" s="1023" t="s">
        <v>68</v>
      </c>
      <c r="B41" s="1024"/>
      <c r="C41" s="173">
        <f>SUMIF($G$7:$G$31,"Electrical",$F$7:$F$31)</f>
        <v>0</v>
      </c>
      <c r="D41" s="127">
        <f>+C41+'30'!D41</f>
        <v>55</v>
      </c>
      <c r="E41" s="152">
        <f t="shared" si="0"/>
        <v>0.91666666666666663</v>
      </c>
      <c r="F41" s="337"/>
      <c r="G41" s="337"/>
      <c r="H41" s="196" t="s">
        <v>69</v>
      </c>
      <c r="I41" s="151"/>
      <c r="J41" s="138">
        <f>J40/G4</f>
        <v>63.296612903225814</v>
      </c>
      <c r="K41" s="139" t="s">
        <v>63</v>
      </c>
    </row>
    <row r="42" spans="1:14" ht="17.45" customHeight="1">
      <c r="A42" s="1023" t="s">
        <v>15</v>
      </c>
      <c r="B42" s="1024"/>
      <c r="C42" s="173">
        <f>SUMIF($G$7:$G$31,"Instrument",$F$7:$F$31)</f>
        <v>0</v>
      </c>
      <c r="D42" s="127">
        <f>+C42+'30'!D42</f>
        <v>0</v>
      </c>
      <c r="E42" s="152">
        <f t="shared" si="0"/>
        <v>0</v>
      </c>
      <c r="F42" s="337"/>
      <c r="G42" s="337">
        <f>+(G38*480+G39*480+G40*480)/1440</f>
        <v>0</v>
      </c>
      <c r="H42" s="196" t="s">
        <v>70</v>
      </c>
      <c r="I42" s="254"/>
      <c r="J42" s="141"/>
      <c r="K42" s="139" t="s">
        <v>71</v>
      </c>
    </row>
    <row r="43" spans="1:14" ht="17.45" customHeight="1">
      <c r="A43" s="1023" t="s">
        <v>72</v>
      </c>
      <c r="B43" s="1024"/>
      <c r="C43" s="173">
        <f>SUMIF($G$7:$G$31,"Water",$F$7:$F$31)</f>
        <v>0</v>
      </c>
      <c r="D43" s="127">
        <f>+C43+'30'!D43</f>
        <v>0</v>
      </c>
      <c r="E43" s="152">
        <f t="shared" si="0"/>
        <v>0</v>
      </c>
      <c r="F43" s="337"/>
      <c r="G43" s="338"/>
      <c r="H43" s="197" t="s">
        <v>73</v>
      </c>
      <c r="I43" s="127">
        <f>+Report1!T39</f>
        <v>0</v>
      </c>
      <c r="J43" s="142">
        <f>+I43+'30'!J43</f>
        <v>4144.5820000000003</v>
      </c>
      <c r="K43" s="139" t="s">
        <v>63</v>
      </c>
      <c r="L43" s="198"/>
    </row>
    <row r="44" spans="1:14" ht="17.45" customHeight="1">
      <c r="A44" s="1023" t="s">
        <v>16</v>
      </c>
      <c r="B44" s="1024"/>
      <c r="C44" s="173">
        <f>SUMIF($G$7:$G$31,"PLN",$F$7:$F$31)</f>
        <v>0</v>
      </c>
      <c r="D44" s="127">
        <f>+C44+'30'!D44</f>
        <v>515</v>
      </c>
      <c r="E44" s="152">
        <f t="shared" si="0"/>
        <v>8.5833333333333339</v>
      </c>
      <c r="F44" s="337"/>
      <c r="G44" s="338"/>
      <c r="H44" s="197" t="s">
        <v>74</v>
      </c>
      <c r="I44" s="127" t="e">
        <f>I43/I38</f>
        <v>#DIV/0!</v>
      </c>
      <c r="J44" s="143">
        <f>J43/J38</f>
        <v>2.0609024530444762</v>
      </c>
      <c r="K44" s="139" t="s">
        <v>63</v>
      </c>
    </row>
    <row r="45" spans="1:14" ht="17.45" customHeight="1">
      <c r="A45" s="1023" t="s">
        <v>17</v>
      </c>
      <c r="B45" s="1024"/>
      <c r="C45" s="173">
        <f>SUMIF($G$7:$G$31,"Boiler",$F$7:$F$31)</f>
        <v>0</v>
      </c>
      <c r="D45" s="127">
        <f>+C45+'30'!D45</f>
        <v>0</v>
      </c>
      <c r="E45" s="152">
        <f t="shared" si="0"/>
        <v>0</v>
      </c>
      <c r="F45" s="337"/>
      <c r="G45" s="340"/>
      <c r="H45" s="197" t="s">
        <v>75</v>
      </c>
      <c r="I45" s="127" t="e">
        <f>I43/I40</f>
        <v>#DIV/0!</v>
      </c>
      <c r="J45" s="143">
        <f>J43/J40</f>
        <v>2.1122171853460028</v>
      </c>
      <c r="K45" s="139" t="s">
        <v>63</v>
      </c>
    </row>
    <row r="46" spans="1:14" ht="17.45" customHeight="1">
      <c r="A46" s="1023" t="s">
        <v>76</v>
      </c>
      <c r="B46" s="1024"/>
      <c r="C46" s="173">
        <f>SUMIF($G$7:$G$31,"Gas",$F$7:$F$31)</f>
        <v>0</v>
      </c>
      <c r="D46" s="127">
        <f>+C46+'30'!D46</f>
        <v>0</v>
      </c>
      <c r="E46" s="152">
        <f t="shared" si="0"/>
        <v>0</v>
      </c>
      <c r="F46" s="337"/>
      <c r="G46" s="338"/>
      <c r="H46" s="197" t="s">
        <v>77</v>
      </c>
      <c r="I46" s="149">
        <f>+SUMIF(Listrik!AR38,"&gt;0")</f>
        <v>0</v>
      </c>
      <c r="J46" s="144">
        <f>+I46+'30'!J46</f>
        <v>1647061.9000000015</v>
      </c>
      <c r="K46" s="139" t="s">
        <v>78</v>
      </c>
    </row>
    <row r="47" spans="1:14" ht="17.45" customHeight="1">
      <c r="A47" s="1023" t="s">
        <v>79</v>
      </c>
      <c r="B47" s="1024"/>
      <c r="C47" s="173">
        <f>SUMIF($G$7:$G$31,"Gas",$F$7:$F$31)</f>
        <v>0</v>
      </c>
      <c r="D47" s="127">
        <f>+C47+'30'!D47</f>
        <v>0</v>
      </c>
      <c r="E47" s="152">
        <f t="shared" si="0"/>
        <v>0</v>
      </c>
      <c r="F47" s="337"/>
      <c r="G47" s="338"/>
      <c r="H47" s="197" t="s">
        <v>80</v>
      </c>
      <c r="I47" s="127" t="e">
        <f>I46/I38</f>
        <v>#DIV/0!</v>
      </c>
      <c r="J47" s="144">
        <f>J46/J38</f>
        <v>819.00512766452653</v>
      </c>
      <c r="K47" s="139" t="s">
        <v>23</v>
      </c>
    </row>
    <row r="48" spans="1:14" ht="17.45" customHeight="1">
      <c r="A48" s="1023" t="s">
        <v>13</v>
      </c>
      <c r="B48" s="1024"/>
      <c r="C48" s="173">
        <f>SUMIF($G$7:$G$31,"Start Up",$F$7:$F$31)</f>
        <v>0</v>
      </c>
      <c r="D48" s="127">
        <f>+C48+'30'!D48</f>
        <v>0</v>
      </c>
      <c r="E48" s="152">
        <f t="shared" si="0"/>
        <v>0</v>
      </c>
      <c r="F48" s="337"/>
      <c r="G48" s="338"/>
      <c r="H48" s="197" t="s">
        <v>81</v>
      </c>
      <c r="I48" s="127" t="e">
        <f>I46/I40</f>
        <v>#DIV/0!</v>
      </c>
      <c r="J48" s="144">
        <f>J46/J40</f>
        <v>839.39766435038382</v>
      </c>
      <c r="K48" s="139" t="s">
        <v>23</v>
      </c>
    </row>
    <row r="49" spans="1:11" ht="17.45" customHeight="1">
      <c r="A49" s="1023" t="s">
        <v>19</v>
      </c>
      <c r="B49" s="1024"/>
      <c r="C49" s="173">
        <f>SUMIF($G$7:$G$31,"Others",$F$7:$F$31)</f>
        <v>0</v>
      </c>
      <c r="D49" s="127">
        <f>+C49+'30'!D49</f>
        <v>501</v>
      </c>
      <c r="E49" s="152">
        <f t="shared" si="0"/>
        <v>8.35</v>
      </c>
      <c r="F49" s="194"/>
      <c r="H49" s="197" t="s">
        <v>82</v>
      </c>
      <c r="I49" s="127">
        <v>0</v>
      </c>
      <c r="J49" s="144">
        <f>+I49+'30'!J49</f>
        <v>0</v>
      </c>
      <c r="K49" s="139" t="s">
        <v>83</v>
      </c>
    </row>
    <row r="50" spans="1:11" ht="17.45" customHeight="1">
      <c r="A50" s="1023" t="s">
        <v>18</v>
      </c>
      <c r="B50" s="1024"/>
      <c r="C50" s="173">
        <f>SUMIF($G$7:$G$31,"Steam",$F$7:$F$31)</f>
        <v>0</v>
      </c>
      <c r="D50" s="127">
        <f>+C50+'30'!D50</f>
        <v>0</v>
      </c>
      <c r="E50" s="152">
        <f t="shared" si="0"/>
        <v>0</v>
      </c>
      <c r="F50" s="194"/>
      <c r="H50" s="197" t="s">
        <v>84</v>
      </c>
      <c r="I50" s="149" t="e">
        <f>I49/I38</f>
        <v>#DIV/0!</v>
      </c>
      <c r="J50" s="142">
        <f>J49/J38</f>
        <v>0</v>
      </c>
      <c r="K50" s="139" t="s">
        <v>83</v>
      </c>
    </row>
    <row r="51" spans="1:11" ht="17.45" customHeight="1" thickBot="1">
      <c r="A51" s="1025" t="s">
        <v>85</v>
      </c>
      <c r="B51" s="1026"/>
      <c r="C51" s="173">
        <f>SUMIF($G$7:$G$31,"Planned shut",$F$7:$F$31)</f>
        <v>0</v>
      </c>
      <c r="D51" s="127">
        <f>+C51+'30'!D51</f>
        <v>0</v>
      </c>
      <c r="E51" s="152">
        <f t="shared" si="0"/>
        <v>0</v>
      </c>
      <c r="F51" s="194"/>
      <c r="H51" s="199" t="s">
        <v>86</v>
      </c>
      <c r="I51" s="150" t="e">
        <f>I49/I40</f>
        <v>#DIV/0!</v>
      </c>
      <c r="J51" s="145">
        <f>J49/J40</f>
        <v>0</v>
      </c>
      <c r="K51" s="146" t="s">
        <v>83</v>
      </c>
    </row>
    <row r="52" spans="1:11" ht="13.5" thickBot="1">
      <c r="A52" s="1027" t="s">
        <v>27</v>
      </c>
      <c r="B52" s="1028"/>
      <c r="C52" s="153">
        <f>SUM(C38:C51)</f>
        <v>0</v>
      </c>
      <c r="D52" s="153">
        <f>SUM(D38:D51)</f>
        <v>2028</v>
      </c>
      <c r="E52" s="154">
        <f>SUM(E38:E51)</f>
        <v>33.800000000000004</v>
      </c>
      <c r="F52" s="194"/>
      <c r="H52" s="200"/>
      <c r="I52" s="201"/>
      <c r="J52" s="147"/>
      <c r="K52" s="148"/>
    </row>
    <row r="53" spans="1:11" ht="13.5" thickBot="1">
      <c r="A53" s="1021"/>
      <c r="B53" s="1022"/>
      <c r="C53" s="155">
        <f>C52/(24*60)</f>
        <v>0</v>
      </c>
      <c r="D53" s="155">
        <f>D52/(24*60*G4)</f>
        <v>4.5430107526881723E-2</v>
      </c>
      <c r="E53" s="156">
        <f>E52/(G4*24)</f>
        <v>4.5430107526881723E-2</v>
      </c>
      <c r="F53" s="194"/>
    </row>
    <row r="54" spans="1:11">
      <c r="E54" s="202"/>
      <c r="F54" s="194"/>
    </row>
    <row r="55" spans="1:11">
      <c r="E55" s="202"/>
    </row>
    <row r="56" spans="1:11">
      <c r="A56" s="203" t="s">
        <v>87</v>
      </c>
      <c r="B56" s="204"/>
      <c r="C56" s="205"/>
      <c r="D56" s="205"/>
      <c r="E56" s="205"/>
      <c r="F56" s="206"/>
      <c r="G56" s="205"/>
      <c r="H56" s="207"/>
      <c r="I56" s="208" t="s">
        <v>88</v>
      </c>
      <c r="J56" s="209">
        <f>+D34+'30'!J56</f>
        <v>15999</v>
      </c>
      <c r="K56" s="210">
        <f>J56/(J40+J56/1000)/1000</f>
        <v>8.0876799747648612E-3</v>
      </c>
    </row>
    <row r="57" spans="1:11">
      <c r="A57" s="185"/>
      <c r="I57" s="208" t="s">
        <v>89</v>
      </c>
      <c r="J57" s="209">
        <f>+E34+'30'!J57</f>
        <v>0</v>
      </c>
      <c r="K57" s="210">
        <f>J57/(J40+J57/1000)/1000</f>
        <v>0</v>
      </c>
    </row>
    <row r="58" spans="1:11">
      <c r="A58" s="211"/>
      <c r="B58" s="212"/>
      <c r="F58" s="194"/>
      <c r="H58" s="213"/>
    </row>
    <row r="59" spans="1:11">
      <c r="A59" s="214"/>
      <c r="B59" s="185"/>
      <c r="C59" s="185"/>
      <c r="D59" s="185"/>
      <c r="E59" s="185"/>
      <c r="F59" s="198"/>
      <c r="G59" s="185"/>
      <c r="H59" s="213"/>
    </row>
    <row r="60" spans="1:11">
      <c r="H60" s="213"/>
    </row>
    <row r="61" spans="1:11">
      <c r="A61" s="215"/>
      <c r="B61" s="216"/>
      <c r="C61" s="216"/>
      <c r="D61" s="216"/>
      <c r="E61" s="216"/>
      <c r="F61" s="217"/>
      <c r="G61" s="216"/>
      <c r="H61" s="218"/>
    </row>
  </sheetData>
  <mergeCells count="24">
    <mergeCell ref="A41:B41"/>
    <mergeCell ref="A7:A14"/>
    <mergeCell ref="I7:I13"/>
    <mergeCell ref="A15:A23"/>
    <mergeCell ref="I15:I22"/>
    <mergeCell ref="A24:A32"/>
    <mergeCell ref="I24:I31"/>
    <mergeCell ref="A34:B34"/>
    <mergeCell ref="A37:B37"/>
    <mergeCell ref="A38:B38"/>
    <mergeCell ref="A39:B39"/>
    <mergeCell ref="A40:B40"/>
    <mergeCell ref="A53:B53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31" type="noConversion"/>
  <printOptions horizontalCentered="1"/>
  <pageMargins left="0.25" right="0.25" top="0.25" bottom="0.5" header="0.5" footer="0.5"/>
  <pageSetup paperSize="9" scale="60" firstPageNumber="4294963191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36</vt:i4>
      </vt:variant>
    </vt:vector>
  </HeadingPairs>
  <TitlesOfParts>
    <vt:vector size="85" baseType="lpstr">
      <vt:lpstr>eff all value (2)</vt:lpstr>
      <vt:lpstr>eff all value (3)</vt:lpstr>
      <vt:lpstr>eff all value (4)</vt:lpstr>
      <vt:lpstr>eff all value (5)</vt:lpstr>
      <vt:lpstr>eff all value (6)</vt:lpstr>
      <vt:lpstr>eff all value</vt:lpstr>
      <vt:lpstr>eff all</vt:lpstr>
      <vt:lpstr>Report1</vt:lpstr>
      <vt:lpstr>GRAFIK</vt:lpstr>
      <vt:lpstr>Listrik</vt:lpstr>
      <vt:lpstr>Trim Rwd</vt:lpstr>
      <vt:lpstr>Efficiency1</vt:lpstr>
      <vt:lpstr>Efficiency2</vt:lpstr>
      <vt:lpstr>BB</vt:lpstr>
      <vt:lpstr>Chem</vt:lpstr>
      <vt:lpstr>RBP</vt:lpstr>
      <vt:lpstr>Sheet1</vt:lpstr>
      <vt:lpstr>summary</vt:lpstr>
      <vt:lpstr>30</vt:lpstr>
      <vt:lpstr>29</vt:lpstr>
      <vt:lpstr>28</vt:lpstr>
      <vt:lpstr>27</vt:lpstr>
      <vt:lpstr>26</vt:lpstr>
      <vt:lpstr>25</vt:lpstr>
      <vt:lpstr>24</vt:lpstr>
      <vt:lpstr>23</vt:lpstr>
      <vt:lpstr>22</vt:lpstr>
      <vt:lpstr>21</vt:lpstr>
      <vt:lpstr>20</vt:lpstr>
      <vt:lpstr>19</vt:lpstr>
      <vt:lpstr>18</vt:lpstr>
      <vt:lpstr>17</vt:lpstr>
      <vt:lpstr>16</vt:lpstr>
      <vt:lpstr>15</vt:lpstr>
      <vt:lpstr>14</vt:lpstr>
      <vt:lpstr>13</vt:lpstr>
      <vt:lpstr>12</vt:lpstr>
      <vt:lpstr>11</vt:lpstr>
      <vt:lpstr>10</vt:lpstr>
      <vt:lpstr>9</vt:lpstr>
      <vt:lpstr>8</vt:lpstr>
      <vt:lpstr>7</vt:lpstr>
      <vt:lpstr>6</vt:lpstr>
      <vt:lpstr>5</vt:lpstr>
      <vt:lpstr>4</vt:lpstr>
      <vt:lpstr>3</vt:lpstr>
      <vt:lpstr>2</vt:lpstr>
      <vt:lpstr>1</vt:lpstr>
      <vt:lpstr>31</vt:lpstr>
      <vt:lpstr>'1'!Print_Area</vt:lpstr>
      <vt:lpstr>'10'!Print_Area</vt:lpstr>
      <vt:lpstr>'11'!Print_Area</vt:lpstr>
      <vt:lpstr>'12'!Print_Area</vt:lpstr>
      <vt:lpstr>'13'!Print_Area</vt:lpstr>
      <vt:lpstr>'14'!Print_Area</vt:lpstr>
      <vt:lpstr>'15'!Print_Area</vt:lpstr>
      <vt:lpstr>'17'!Print_Area</vt:lpstr>
      <vt:lpstr>'18'!Print_Area</vt:lpstr>
      <vt:lpstr>'19'!Print_Area</vt:lpstr>
      <vt:lpstr>'2'!Print_Area</vt:lpstr>
      <vt:lpstr>'20'!Print_Area</vt:lpstr>
      <vt:lpstr>'21'!Print_Area</vt:lpstr>
      <vt:lpstr>'22'!Print_Area</vt:lpstr>
      <vt:lpstr>'23'!Print_Area</vt:lpstr>
      <vt:lpstr>'24'!Print_Area</vt:lpstr>
      <vt:lpstr>'25'!Print_Area</vt:lpstr>
      <vt:lpstr>'26'!Print_Area</vt:lpstr>
      <vt:lpstr>'27'!Print_Area</vt:lpstr>
      <vt:lpstr>'28'!Print_Area</vt:lpstr>
      <vt:lpstr>'29'!Print_Area</vt:lpstr>
      <vt:lpstr>'3'!Print_Area</vt:lpstr>
      <vt:lpstr>'30'!Print_Area</vt:lpstr>
      <vt:lpstr>'31'!Print_Area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  <vt:lpstr>Chem!Print_Area</vt:lpstr>
      <vt:lpstr>'eff all'!Print_Area</vt:lpstr>
      <vt:lpstr>Efficiency1!Print_Area</vt:lpstr>
      <vt:lpstr>Efficiency2!Print_Area</vt:lpstr>
      <vt:lpstr>Listrik!Print_Area</vt:lpstr>
      <vt:lpstr>Report1!Print_Area</vt:lpstr>
    </vt:vector>
  </TitlesOfParts>
  <Company>PT. Sopanusa Tissue</Company>
  <LinksUpToDate>false</LinksUpToDate>
  <CharactersWithSpaces>0</CharactersWithSpaces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Arief Budiarta</dc:creator>
  <cp:lastModifiedBy>Produksi-PM</cp:lastModifiedBy>
  <cp:revision/>
  <cp:lastPrinted>2026-05-04T08:04:31Z</cp:lastPrinted>
  <dcterms:created xsi:type="dcterms:W3CDTF">2007-07-30T03:52:39Z</dcterms:created>
  <dcterms:modified xsi:type="dcterms:W3CDTF">2026-05-04T09:05:08Z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1033-6.6.0.2477</vt:lpwstr>
  </property>
</Properties>
</file>